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刷题统计" sheetId="1" r:id="rId4"/>
    <sheet state="visible" name="Coder-1" sheetId="2" r:id="rId5"/>
    <sheet state="visible" name="Coder-2" sheetId="3" r:id="rId6"/>
    <sheet state="visible" name="Coder-3" sheetId="4" r:id="rId7"/>
    <sheet state="visible" name="Coder-4" sheetId="5" r:id="rId8"/>
    <sheet state="visible" name="公司分类查询" sheetId="6" r:id="rId9"/>
    <sheet state="visible" name="指定时间公司分类查询" sheetId="7" r:id="rId10"/>
    <sheet state="visible" name="Leetcode List" sheetId="8" r:id="rId11"/>
    <sheet state="visible" name="Leetcode分类顺序表" sheetId="9" r:id="rId12"/>
    <sheet state="visible" name="wisdompeak分类顺序表" sheetId="10" r:id="rId13"/>
    <sheet state="visible" name="Algoexpert.io" sheetId="11" r:id="rId14"/>
  </sheets>
  <definedNames>
    <definedName hidden="1" localSheetId="7" name="_xlnm._FilterDatabase">'Leetcode List'!$A$1:$J$1786</definedName>
    <definedName hidden="1" localSheetId="8" name="_xlnm._FilterDatabase">'Leetcode分类顺序表'!$A$1:$O$397</definedName>
    <definedName hidden="1" localSheetId="9" name="_xlnm._FilterDatabase">'wisdompeak分类顺序表'!$A$1:$O$955</definedName>
  </definedNames>
  <calcPr/>
</workbook>
</file>

<file path=xl/sharedStrings.xml><?xml version="1.0" encoding="utf-8"?>
<sst xmlns="http://schemas.openxmlformats.org/spreadsheetml/2006/main" count="14532" uniqueCount="5229">
  <si>
    <t>请至对应工作簿中更改姓名即可，本行内容会自动更新</t>
  </si>
  <si>
    <t>本文件更新地址：https://docs.google.com/spreadsheets/d/1XFkQJqZlCMitKRnJXEZpWkAx_1dfjbmLG_RkFoz_TPE/edit?usp=sharing</t>
  </si>
  <si>
    <t>今日刷题</t>
  </si>
  <si>
    <t>左上角文件-&gt;复制 即可保存至自己的网盘</t>
  </si>
  <si>
    <t>日期\Total</t>
  </si>
  <si>
    <t>姓名</t>
  </si>
  <si>
    <t>请至Coder-1中填写姓名</t>
  </si>
  <si>
    <t>总刷题数(Unique)</t>
  </si>
  <si>
    <t>平均每日</t>
  </si>
  <si>
    <t>只需更新日期及题号，其他内容会自动更新</t>
  </si>
  <si>
    <t>日期</t>
  </si>
  <si>
    <t>题号</t>
  </si>
  <si>
    <t>题目链接</t>
  </si>
  <si>
    <t>难度</t>
  </si>
  <si>
    <t>分类</t>
  </si>
  <si>
    <t>公司</t>
  </si>
  <si>
    <t>接受度</t>
  </si>
  <si>
    <t>类别</t>
  </si>
  <si>
    <t>复习</t>
  </si>
  <si>
    <t>请至Coder-2中填写姓名</t>
  </si>
  <si>
    <t>请至Coder-3中填写姓名</t>
  </si>
  <si>
    <t>6个月内出现</t>
  </si>
  <si>
    <t>1年内出现</t>
  </si>
  <si>
    <t>2年内出现</t>
  </si>
  <si>
    <t>请至Coder-4中填写姓名</t>
  </si>
  <si>
    <t>公司分类查询表</t>
  </si>
  <si>
    <t>筛选条件：</t>
  </si>
  <si>
    <t>公司1</t>
  </si>
  <si>
    <t>Google</t>
  </si>
  <si>
    <t>公司2</t>
  </si>
  <si>
    <t>AMAZON</t>
  </si>
  <si>
    <t>公司3</t>
  </si>
  <si>
    <t>lyft</t>
  </si>
  <si>
    <t>公司4</t>
  </si>
  <si>
    <t>公司5</t>
  </si>
  <si>
    <t>公司6</t>
  </si>
  <si>
    <t>筛选方式</t>
  </si>
  <si>
    <t>And</t>
  </si>
  <si>
    <t>排序方式</t>
  </si>
  <si>
    <t>递增</t>
  </si>
  <si>
    <t>筛选结果统计：</t>
  </si>
  <si>
    <t>Or</t>
  </si>
  <si>
    <t>递减</t>
  </si>
  <si>
    <t>标题</t>
  </si>
  <si>
    <t>tags</t>
  </si>
  <si>
    <t>接受率</t>
  </si>
  <si>
    <t>指定时间公司分类查询表</t>
  </si>
  <si>
    <t>时间范围</t>
  </si>
  <si>
    <t>所有</t>
  </si>
  <si>
    <t>6个月内</t>
  </si>
  <si>
    <t>1年内</t>
  </si>
  <si>
    <t>2年内</t>
  </si>
  <si>
    <t>一年内出现</t>
  </si>
  <si>
    <t>两年内出现</t>
  </si>
  <si>
    <t>Update time</t>
  </si>
  <si>
    <t>Count Pairs of Equal Substrings With Minimum Difference</t>
  </si>
  <si>
    <t>Medium</t>
  </si>
  <si>
    <t>Greedy,String</t>
  </si>
  <si>
    <t>算法</t>
  </si>
  <si>
    <t>Maximum Score of a Good Subarray</t>
  </si>
  <si>
    <t>Hard</t>
  </si>
  <si>
    <t>Greedy</t>
  </si>
  <si>
    <t>Maximum Average Pass Ratio</t>
  </si>
  <si>
    <t>Heap</t>
  </si>
  <si>
    <t>Amazon</t>
  </si>
  <si>
    <t>Find Center of Star Graph</t>
  </si>
  <si>
    <t>Graph</t>
  </si>
  <si>
    <t>Microsoft</t>
  </si>
  <si>
    <t>Check if One String Swap Can Make Strings Equal</t>
  </si>
  <si>
    <t>Easy</t>
  </si>
  <si>
    <t>String</t>
  </si>
  <si>
    <t>Facebook</t>
  </si>
  <si>
    <t>Primary Department for Each Employee</t>
  </si>
  <si>
    <t>数据库</t>
  </si>
  <si>
    <t>Maximize the Beauty of the Garden</t>
  </si>
  <si>
    <t>Make the XOR of All Segments Equal to Zero</t>
  </si>
  <si>
    <t>Dynamic Programming</t>
  </si>
  <si>
    <t>Codeagon,Media.net</t>
  </si>
  <si>
    <t>Media.net,codeagon</t>
  </si>
  <si>
    <t>Number of Restricted Paths From First to Last Node</t>
  </si>
  <si>
    <t>Graph,Dynamic Programming</t>
  </si>
  <si>
    <t>Minimum Elements to Add to Form a Given Sum</t>
  </si>
  <si>
    <t>Twitter</t>
  </si>
  <si>
    <t>Check if Binary String Has at Most One Segment of Ones</t>
  </si>
  <si>
    <t>Cisco</t>
  </si>
  <si>
    <t>Grand Slam Titles</t>
  </si>
  <si>
    <t>Count Pairs Of Nodes</t>
  </si>
  <si>
    <t>Amazon,Google</t>
  </si>
  <si>
    <t>Sum of Beauty of All Substrings</t>
  </si>
  <si>
    <t>String,Hash Table</t>
  </si>
  <si>
    <t>Check if Number is a Sum of Powers of Three</t>
  </si>
  <si>
    <t>Recursion,Backtracking,Math</t>
  </si>
  <si>
    <t>Find Nearest Point That Has the Same X or Y Coordinate</t>
  </si>
  <si>
    <t>Array</t>
  </si>
  <si>
    <t>Shortest Path in a Hidden Grid</t>
  </si>
  <si>
    <t>Graph,Breadth First Search,Depth First Search</t>
  </si>
  <si>
    <t>Facebook,Google</t>
  </si>
  <si>
    <t>Product's Price for Each Store</t>
  </si>
  <si>
    <t>Car Fleet II</t>
  </si>
  <si>
    <t>Math</t>
  </si>
  <si>
    <t>Equal Sum Arrays With Minimum Number of Operations</t>
  </si>
  <si>
    <t>HRT,American Express</t>
  </si>
  <si>
    <t>HRT</t>
  </si>
  <si>
    <t>American Express,HRT</t>
  </si>
  <si>
    <t>Closest Dessert Cost</t>
  </si>
  <si>
    <t>Count Items Matching a Rule</t>
  </si>
  <si>
    <t>String,Array</t>
  </si>
  <si>
    <t>Sort Features by Popularity</t>
  </si>
  <si>
    <t>Sort,Hash Table</t>
  </si>
  <si>
    <t>Maximize Palindrome Length From Subsequences</t>
  </si>
  <si>
    <t>Goldman Sachs</t>
  </si>
  <si>
    <t>Maximum Score from Performing Multiplication Operations</t>
  </si>
  <si>
    <t>Google,Amazon</t>
  </si>
  <si>
    <t>Minimum Number of Operations to Move All Balls to Each Box</t>
  </si>
  <si>
    <t>Greedy,Array</t>
  </si>
  <si>
    <t>Merge Strings Alternately</t>
  </si>
  <si>
    <t>Uber</t>
  </si>
  <si>
    <t>Find the Subtasks That Did Not Execute</t>
  </si>
  <si>
    <t>Tree of Coprimes</t>
  </si>
  <si>
    <t>Breadth First Search,Depth First Search,Tree,Math</t>
  </si>
  <si>
    <t>Map of Highest Peak</t>
  </si>
  <si>
    <t>Graph,Breadth First Search</t>
  </si>
  <si>
    <t>Form Array by Concatenating Subarrays of Another Array</t>
  </si>
  <si>
    <t>Longest Nice Substring</t>
  </si>
  <si>
    <t>Buildings With an Ocean View</t>
  </si>
  <si>
    <t>Minimum Degree of a Connected Trio in a Graph</t>
  </si>
  <si>
    <t>Minimum Limit of Balls in a Bag</t>
  </si>
  <si>
    <t>Heap,Binary Search</t>
  </si>
  <si>
    <t>Flipkart</t>
  </si>
  <si>
    <t>Count Number of Homogenous Substrings</t>
  </si>
  <si>
    <t>Virtu Financial</t>
  </si>
  <si>
    <t>Minimum Changes To Make Alternating Binary String</t>
  </si>
  <si>
    <t>Tesla</t>
  </si>
  <si>
    <t>Recyclable and Low Fat Products</t>
  </si>
  <si>
    <t>Design Most Recently Used Queue</t>
  </si>
  <si>
    <t>Dequeue,Design,Array</t>
  </si>
  <si>
    <t>Closest Subsequence Sum</t>
  </si>
  <si>
    <t>Meet in the Middle,Divide and Conquer</t>
  </si>
  <si>
    <t>Sprinklr</t>
  </si>
  <si>
    <t>Largest Merge Of Two Strings</t>
  </si>
  <si>
    <t>Suffix Array,Greedy</t>
  </si>
  <si>
    <t>Snapchat</t>
  </si>
  <si>
    <t>Maximum Score From Removing Stones</t>
  </si>
  <si>
    <t>Heap,Math</t>
  </si>
  <si>
    <t>Check if Array Is Sorted and Rotated</t>
  </si>
  <si>
    <t>SoundHound</t>
  </si>
  <si>
    <t>Maximum Number of Events That Can Be Attended II</t>
  </si>
  <si>
    <t>Dynamic Programming,Binary Search</t>
  </si>
  <si>
    <t>General electric</t>
  </si>
  <si>
    <t>general electric</t>
  </si>
  <si>
    <t>Minimum Length of String After Deleting Similar Ends</t>
  </si>
  <si>
    <t>Two Pointers</t>
  </si>
  <si>
    <t>Amazon,Goldman Sachs</t>
  </si>
  <si>
    <t>Goldman Sachs,Amazon</t>
  </si>
  <si>
    <t>Maximum Absolute Sum of Any Subarray</t>
  </si>
  <si>
    <t>Sum of Unique Elements</t>
  </si>
  <si>
    <t>Hash Table,Array</t>
  </si>
  <si>
    <t>Leetflex Banned Accounts</t>
  </si>
  <si>
    <t>Audible</t>
  </si>
  <si>
    <t>Maximum Subarray Sum After One Operation</t>
  </si>
  <si>
    <t>Palindrome Partitioning IV</t>
  </si>
  <si>
    <t>Dynamic Programming,String</t>
  </si>
  <si>
    <t>Tcs</t>
  </si>
  <si>
    <t>tcs</t>
  </si>
  <si>
    <t>Can You Eat Your Favorite Candy on Your Favorite Day?</t>
  </si>
  <si>
    <t>Fleetx</t>
  </si>
  <si>
    <t>Restore the Array From Adjacent Pairs</t>
  </si>
  <si>
    <t>Robinhood</t>
  </si>
  <si>
    <t>Maximum Number of Balls in a Box</t>
  </si>
  <si>
    <t>Lucid,AppDynamics</t>
  </si>
  <si>
    <t>AppDynamics,Lucid</t>
  </si>
  <si>
    <t>Find Total Time Spent by Each Employee</t>
  </si>
  <si>
    <t>Find Distance in a Binary Tree</t>
  </si>
  <si>
    <t>Breadth First Search,Depth First Search,Tree</t>
  </si>
  <si>
    <t>Building Boxes</t>
  </si>
  <si>
    <t>Binary Search,Math</t>
  </si>
  <si>
    <t>Codenation</t>
  </si>
  <si>
    <t>Find Kth Largest XOR Coordinate Value</t>
  </si>
  <si>
    <t>Change Minimum Characters to Satisfy One of Three Conditions</t>
  </si>
  <si>
    <t>Latest Time by Replacing Hidden Digits</t>
  </si>
  <si>
    <t>Count Ways to Make Array With Product</t>
  </si>
  <si>
    <t>Decode XORed Permutation</t>
  </si>
  <si>
    <t>Bit Manipulation</t>
  </si>
  <si>
    <t>Minimum Number of People to Teach</t>
  </si>
  <si>
    <t>Duolingo</t>
  </si>
  <si>
    <t>Find the Highest Altitude</t>
  </si>
  <si>
    <t>The Number of Employees Which Report to Each Employee</t>
  </si>
  <si>
    <t>CoderByte</t>
  </si>
  <si>
    <t>Shortest Path to Get Food</t>
  </si>
  <si>
    <t>Bloomberg</t>
  </si>
  <si>
    <t>Find Followers Count</t>
  </si>
  <si>
    <t>Cat and Mouse II</t>
  </si>
  <si>
    <t>Largest Submatrix With Rearrangements</t>
  </si>
  <si>
    <t>Sort,Greedy</t>
  </si>
  <si>
    <t>Directi,Google</t>
  </si>
  <si>
    <t>Google,Directi</t>
  </si>
  <si>
    <t>Tuple with Same Product</t>
  </si>
  <si>
    <t>Number Of Rectangles That Can Form The Largest Square</t>
  </si>
  <si>
    <t>AllinCall</t>
  </si>
  <si>
    <t>Checking Existence of Edge Length Limited Paths II</t>
  </si>
  <si>
    <t>Graph,Union Find,Dynamic Programming</t>
  </si>
  <si>
    <t>Find Minimum Time to Finish All Jobs</t>
  </si>
  <si>
    <t>Recursion,Backtracking</t>
  </si>
  <si>
    <t>Minimize Hamming Distance After Swap Operations</t>
  </si>
  <si>
    <t>Union Find,Depth First Search,Greedy</t>
  </si>
  <si>
    <t>Swapping Nodes in a Linked List</t>
  </si>
  <si>
    <t>Linked List</t>
  </si>
  <si>
    <t>Decode XORed Array</t>
  </si>
  <si>
    <t>Number Of Ways To Reconstruct A Tree</t>
  </si>
  <si>
    <t>Graph,Tree</t>
  </si>
  <si>
    <t>Construct the Lexicographically Largest Valid Sequence</t>
  </si>
  <si>
    <t>Salesforce,Facebook</t>
  </si>
  <si>
    <t>Salesforce</t>
  </si>
  <si>
    <t>Facebook,Salesforce</t>
  </si>
  <si>
    <t>Maximum Score From Removing Substrings</t>
  </si>
  <si>
    <t>Calculate Money in Leetcode Bank</t>
  </si>
  <si>
    <t>Greedy,Math</t>
  </si>
  <si>
    <t>Edabit</t>
  </si>
  <si>
    <t>edabit</t>
  </si>
  <si>
    <t>Count Apples and Oranges</t>
  </si>
  <si>
    <t>Sum Of Special Evenly-Spaced Elements In Array</t>
  </si>
  <si>
    <t>Sprinklr,MakeMyTrip</t>
  </si>
  <si>
    <t>MakeMyTrip,Sprinklr</t>
  </si>
  <si>
    <t>Minimum Operations to Make a Subsequence</t>
  </si>
  <si>
    <t>Ways to Split Array Into Three Subarrays</t>
  </si>
  <si>
    <t>Binary Search,Two Pointers</t>
  </si>
  <si>
    <t>Count Good Meals</t>
  </si>
  <si>
    <t>Two Pointers,Hash Table,Array</t>
  </si>
  <si>
    <t>Maximum Units on a Truck</t>
  </si>
  <si>
    <t>Roblox,Amazon</t>
  </si>
  <si>
    <t>Amazon,Roblox</t>
  </si>
  <si>
    <t>Biggest Window Between Visits</t>
  </si>
  <si>
    <t>Largest Subarray Length K</t>
  </si>
  <si>
    <t>Maximum XOR With an Element From Array</t>
  </si>
  <si>
    <t>Trie,Bit Manipulation</t>
  </si>
  <si>
    <t>Where Will the Ball Fall</t>
  </si>
  <si>
    <t>Maximum Number of Eaten Apples</t>
  </si>
  <si>
    <t>Greedy,Heap</t>
  </si>
  <si>
    <t>Determine if String Halves Are Alike</t>
  </si>
  <si>
    <t>Minimum Adjacent Swaps for K Consecutive Ones</t>
  </si>
  <si>
    <t>Stack</t>
  </si>
  <si>
    <t>Microsoft,Google</t>
  </si>
  <si>
    <t>Google,Microsoft</t>
  </si>
  <si>
    <t>Maximum Binary String After Change</t>
  </si>
  <si>
    <t>Huwaei,Huawei</t>
  </si>
  <si>
    <t>Average Waiting Time</t>
  </si>
  <si>
    <t>Number of Students Unable to Eat Lunch</t>
  </si>
  <si>
    <t>Number of Calls Between Two Persons</t>
  </si>
  <si>
    <t>Number of Distinct Substrings in a String</t>
  </si>
  <si>
    <t>Suffix Array,Rolling Hash,Trie,String</t>
  </si>
  <si>
    <t>Dunzo,Intuit</t>
  </si>
  <si>
    <t>Intuit,Dunzo</t>
  </si>
  <si>
    <t>Checking Existence of Edge Length Limited Paths</t>
  </si>
  <si>
    <t>Union Find,Sort</t>
  </si>
  <si>
    <t>Jump Game VI</t>
  </si>
  <si>
    <t>Dequeue</t>
  </si>
  <si>
    <t>AQR Capital Management LLC,Uber</t>
  </si>
  <si>
    <t>Maximum Erasure Value</t>
  </si>
  <si>
    <t>Cashfree</t>
  </si>
  <si>
    <t>Reformat Phone Number</t>
  </si>
  <si>
    <t>Activision</t>
  </si>
  <si>
    <t>Daily Leads and Partners</t>
  </si>
  <si>
    <t>Count Ways to Distribute Candies</t>
  </si>
  <si>
    <t>Maximum Height by Stacking Cuboids</t>
  </si>
  <si>
    <t>Sort,Dynamic Programming</t>
  </si>
  <si>
    <t>Samsung</t>
  </si>
  <si>
    <t>Stone Game VII</t>
  </si>
  <si>
    <t>Dunzo</t>
  </si>
  <si>
    <t>Partitioning Into Minimum Number Of Deci-Binary Numbers</t>
  </si>
  <si>
    <t>Nutanix</t>
  </si>
  <si>
    <t>Count of Matches in Tournament</t>
  </si>
  <si>
    <t>Backtracking</t>
  </si>
  <si>
    <t>Delivering Boxes from Storage to Ports</t>
  </si>
  <si>
    <t>Dequeue,Segment Tree,Dynamic Programming,Two Pointers</t>
  </si>
  <si>
    <t>Stone Game VI</t>
  </si>
  <si>
    <t>APT Portfolio</t>
  </si>
  <si>
    <t>Sum of Absolute Differences in a Sorted Array</t>
  </si>
  <si>
    <t>Count the Number of Consistent Strings</t>
  </si>
  <si>
    <t>Invalid Tweets</t>
  </si>
  <si>
    <t>Longest Palindromic Subsequence II</t>
  </si>
  <si>
    <t>Minimum Incompatibility</t>
  </si>
  <si>
    <t>Greedy,Backtracking</t>
  </si>
  <si>
    <t>Concatenation of Consecutive Binary Numbers</t>
  </si>
  <si>
    <t>Max Number of K-Sum Pairs</t>
  </si>
  <si>
    <t>Hash Table</t>
  </si>
  <si>
    <t>DE Shaw</t>
  </si>
  <si>
    <t>Goal Parser Interpretation</t>
  </si>
  <si>
    <t>Product's Worth Over Invoices</t>
  </si>
  <si>
    <t>Lowest Common Ancestor of a Binary Tree IV</t>
  </si>
  <si>
    <t>Depth First Search,Tree</t>
  </si>
  <si>
    <t>Minimize Deviation in Array</t>
  </si>
  <si>
    <t>Ordered Map,Heap</t>
  </si>
  <si>
    <t>Minimum Moves to Make Array Complementary</t>
  </si>
  <si>
    <t>CureFit</t>
  </si>
  <si>
    <t>Find the Most Competitive Subsequence</t>
  </si>
  <si>
    <t>Queue,Greedy,Heap,Stack</t>
  </si>
  <si>
    <t>Richest Customer Wealth</t>
  </si>
  <si>
    <t>Adobe,Google</t>
  </si>
  <si>
    <t>Adobe</t>
  </si>
  <si>
    <t>Google,Adobe</t>
  </si>
  <si>
    <t>Minimum Number of Removals to Make Mountain Array</t>
  </si>
  <si>
    <t>Design Front Middle Back Queue</t>
  </si>
  <si>
    <t>Dequeue,Design,Linked List</t>
  </si>
  <si>
    <t>Merge In Between Linked Lists</t>
  </si>
  <si>
    <t>Sambanova,VMware</t>
  </si>
  <si>
    <t>VMware</t>
  </si>
  <si>
    <t>Maximum Repeating Substring</t>
  </si>
  <si>
    <t>Asana,Uber</t>
  </si>
  <si>
    <t>Fix Names in a Table</t>
  </si>
  <si>
    <t>Change the Root of a Binary Tree</t>
  </si>
  <si>
    <t>Minimum Initial Energy to Finish Tasks</t>
  </si>
  <si>
    <t>Akuna Capital</t>
  </si>
  <si>
    <t>Ways to Make a Fair Array</t>
  </si>
  <si>
    <t>Greedy,Dynamic Programming</t>
  </si>
  <si>
    <t>Dunzo,Microsoft</t>
  </si>
  <si>
    <t>Smallest String With A Given Numeric Value</t>
  </si>
  <si>
    <t>Lendingkart</t>
  </si>
  <si>
    <t>Check If Two String Arrays are Equivalent</t>
  </si>
  <si>
    <t>Average Time of Process per Machine</t>
  </si>
  <si>
    <t>Correct a Binary Tree</t>
  </si>
  <si>
    <t>Tree</t>
  </si>
  <si>
    <t>Maximize Grid Happiness</t>
  </si>
  <si>
    <t>Backtracking,Dynamic Programming</t>
  </si>
  <si>
    <t>Minimum Operations to Reduce X to Zero</t>
  </si>
  <si>
    <t>Sliding Window,Greedy,Binary Search,Two Pointers</t>
  </si>
  <si>
    <t>Determine if Two Strings Are Close</t>
  </si>
  <si>
    <t>Postmates</t>
  </si>
  <si>
    <t>Design an Ordered Stream</t>
  </si>
  <si>
    <t>Design,Array</t>
  </si>
  <si>
    <t>Distribute Repeating Integers</t>
  </si>
  <si>
    <t>Minimum Jumps to Reach Home</t>
  </si>
  <si>
    <t>Breadth First Search,Dynamic Programming</t>
  </si>
  <si>
    <t>Minimum Deletions to Make String Balanced</t>
  </si>
  <si>
    <t>Defuse the Bomb</t>
  </si>
  <si>
    <t>Hopper Company Queries III</t>
  </si>
  <si>
    <t>Lowest Common Ancestor of a Binary Tree III</t>
  </si>
  <si>
    <t>Facebook,Amazon,LinkedIn,Microsoft</t>
  </si>
  <si>
    <t>Facebook,LinkedIn,Amazon</t>
  </si>
  <si>
    <t>Microsoft,Facebook,LinkedIn,Amazon</t>
  </si>
  <si>
    <t>Create Sorted Array through Instructions</t>
  </si>
  <si>
    <t>Ordered Map,Segment Tree,Binary Indexed Tree,Binary Search</t>
  </si>
  <si>
    <t>Sell Diminishing-Valued Colored Balls</t>
  </si>
  <si>
    <t>Sort,Greedy,Math</t>
  </si>
  <si>
    <t>Groupon,Amazon</t>
  </si>
  <si>
    <t>Minimum Deletions to Make Character Frequencies Unique</t>
  </si>
  <si>
    <t>American Express,Apple,Amazon,Microsoft</t>
  </si>
  <si>
    <t>Microsoft,Amazon,Apple</t>
  </si>
  <si>
    <t>American Express,Microsoft,Amazon,Apple</t>
  </si>
  <si>
    <t>Get Maximum in Generated Array</t>
  </si>
  <si>
    <t>Hopper Company Queries II</t>
  </si>
  <si>
    <t>Lowest Common Ancestor of a Binary Tree II</t>
  </si>
  <si>
    <t>Facebook,LinkedIn,Microsoft</t>
  </si>
  <si>
    <t>Microsoft,Facebook</t>
  </si>
  <si>
    <t>LinkedIn,Microsoft,Facebook</t>
  </si>
  <si>
    <t>Kth Smallest Instructions</t>
  </si>
  <si>
    <t>HeavyWater</t>
  </si>
  <si>
    <t>Furthest Building You Can Reach</t>
  </si>
  <si>
    <t>Media.net,Google</t>
  </si>
  <si>
    <t>Count Sorted Vowel Strings</t>
  </si>
  <si>
    <t>Backtracking,Dynamic Programming,Math</t>
  </si>
  <si>
    <t>Nira Finance</t>
  </si>
  <si>
    <t>Check Array Formation Through Concatenation</t>
  </si>
  <si>
    <t>Sort,Hash Table,Array</t>
  </si>
  <si>
    <t>CodeSignal,Uber</t>
  </si>
  <si>
    <t>Number of Ways to Form a Target String Given a Dictionary</t>
  </si>
  <si>
    <t>Count Substrings That Differ by One Character</t>
  </si>
  <si>
    <t>Rolling Hash,Trie,String,Hash Table</t>
  </si>
  <si>
    <t>Widest Vertical Area Between Two Points Containing No Points</t>
  </si>
  <si>
    <t>Sort</t>
  </si>
  <si>
    <t>Sort Array by Increasing Frequency</t>
  </si>
  <si>
    <t>Sort,Array</t>
  </si>
  <si>
    <t>Twilio,EBay,Bloomberg,Amazon</t>
  </si>
  <si>
    <t>Twilio,Amazon,eBay</t>
  </si>
  <si>
    <t>Bloomberg,Twilio,Amazon,eBay</t>
  </si>
  <si>
    <t>Hopper Company Queries I</t>
  </si>
  <si>
    <t>Add Two Polynomials Represented as Linked Lists</t>
  </si>
  <si>
    <t>Percentage of Users Attended a Contest</t>
  </si>
  <si>
    <t>Rank Transform of a Matrix</t>
  </si>
  <si>
    <t>Union Find,Greedy</t>
  </si>
  <si>
    <t>Path With Minimum Effort</t>
  </si>
  <si>
    <t>Graph,Union Find,Depth First Search,Binary Search</t>
  </si>
  <si>
    <t>ByteDance,Google</t>
  </si>
  <si>
    <t>Google,ByteDance</t>
  </si>
  <si>
    <t>Arithmetic Subarrays</t>
  </si>
  <si>
    <t>Slowest Key</t>
  </si>
  <si>
    <t>Design an Expression Tree With Evaluate Function</t>
  </si>
  <si>
    <t>OOP,Design,Tree</t>
  </si>
  <si>
    <t>Graph Connectivity With Threshold</t>
  </si>
  <si>
    <t>Union Find,Math</t>
  </si>
  <si>
    <t>Trexquant</t>
  </si>
  <si>
    <t>Best Team With No Conflicts</t>
  </si>
  <si>
    <t>Uber,Morgan Stanley</t>
  </si>
  <si>
    <t>Morgan Stanley,Uber</t>
  </si>
  <si>
    <t>Lexicographically Smallest String After Applying Operations</t>
  </si>
  <si>
    <t>Breadth First Search,Depth First Search</t>
  </si>
  <si>
    <t>JP Morgan,JPMorgan</t>
  </si>
  <si>
    <t>Largest Substring Between Two Equal Characters</t>
  </si>
  <si>
    <t>All Valid Triplets That Can Represent a Country</t>
  </si>
  <si>
    <t>Fancy Sequence</t>
  </si>
  <si>
    <t>Design,Math</t>
  </si>
  <si>
    <t>Number of Sets of K Non-Overlapping Line Segments</t>
  </si>
  <si>
    <t>Coordinate With Maximum Network Quality</t>
  </si>
  <si>
    <t>Peak6</t>
  </si>
  <si>
    <t>peak6</t>
  </si>
  <si>
    <t>Mean of Array After Removing Some Elements</t>
  </si>
  <si>
    <t>Maximum Font to Fit a Sentence in a Screen</t>
  </si>
  <si>
    <t>Binary Search,String</t>
  </si>
  <si>
    <t>Count Subtrees With Max Distance Between Cities</t>
  </si>
  <si>
    <t>Split Two Strings to Make Palindrome</t>
  </si>
  <si>
    <t>Greedy,String,Two Pointers</t>
  </si>
  <si>
    <t>Maximal Network Rank</t>
  </si>
  <si>
    <t>Amazon,Microsoft</t>
  </si>
  <si>
    <t>Microsoft,Amazon</t>
  </si>
  <si>
    <t>Maximum Nesting Depth of the Parentheses</t>
  </si>
  <si>
    <t>Intel,Bloomberg,Facebook</t>
  </si>
  <si>
    <t>Bloomberg,Facebook</t>
  </si>
  <si>
    <t>Find the Missing IDs</t>
  </si>
  <si>
    <t>Check If Two Expression Trees are Equivalent</t>
  </si>
  <si>
    <t>Tree,Hash Table</t>
  </si>
  <si>
    <t>Minimum One Bit Operations to Make Integers Zero</t>
  </si>
  <si>
    <t>Bit Manipulation,Dynamic Programming</t>
  </si>
  <si>
    <t>Expedia</t>
  </si>
  <si>
    <t>Maximum Number of Visible Points</t>
  </si>
  <si>
    <t>Geometry,Two Pointers</t>
  </si>
  <si>
    <t>Nvidia,Amazon,Google</t>
  </si>
  <si>
    <t>Nvidia,Google,Amazon</t>
  </si>
  <si>
    <t>Even Odd Tree</t>
  </si>
  <si>
    <t>JPMorgan,Bloomberg</t>
  </si>
  <si>
    <t>JPMorgan</t>
  </si>
  <si>
    <t>Bloomberg,JPMorgan</t>
  </si>
  <si>
    <t>Special Array With X Elements Greater Than or Equal X</t>
  </si>
  <si>
    <t>Sellers With No Sales</t>
  </si>
  <si>
    <t>Find Servers That Handled Most Number of Requests</t>
  </si>
  <si>
    <t>Ordered Map</t>
  </si>
  <si>
    <t>Wish</t>
  </si>
  <si>
    <t>Find Valid Matrix Given Row and Column Sums</t>
  </si>
  <si>
    <t>Alert Using Same Key-Card Three or More Times in a One Hour Period</t>
  </si>
  <si>
    <t>Ordered Map,String</t>
  </si>
  <si>
    <t>Wayfair</t>
  </si>
  <si>
    <t>Design Parking System</t>
  </si>
  <si>
    <t>Design</t>
  </si>
  <si>
    <t>Find Nearest Right Node in Binary Tree</t>
  </si>
  <si>
    <t>Breadth First Search,Tree</t>
  </si>
  <si>
    <t>Maximum Number of Achievable Transfer Requests</t>
  </si>
  <si>
    <t>Throne Inheritance</t>
  </si>
  <si>
    <t>Design,Tree</t>
  </si>
  <si>
    <t>Maximum Profit of Operating a Centennial Wheel</t>
  </si>
  <si>
    <t>Crawler Log Folder</t>
  </si>
  <si>
    <t>Mercari</t>
  </si>
  <si>
    <t>Build Binary Expression Tree From Infix Expression</t>
  </si>
  <si>
    <t>Tree,String</t>
  </si>
  <si>
    <t>The Most Frequently Ordered Products for Each Customer</t>
  </si>
  <si>
    <t>Minimum Cost to Connect Two Groups of Points</t>
  </si>
  <si>
    <t>Maximum Non Negative Product in a Matrix</t>
  </si>
  <si>
    <t>Split a String Into the Max Number of Unique Substrings</t>
  </si>
  <si>
    <t>Rearrange Spaces Between Words</t>
  </si>
  <si>
    <t>Strange Printer II</t>
  </si>
  <si>
    <t>Make Sum Divisible by P</t>
  </si>
  <si>
    <t>Binary Search,Math,Hash Table,Array</t>
  </si>
  <si>
    <t>Maximum Sum Obtained of Any Permutation</t>
  </si>
  <si>
    <t>Paypal</t>
  </si>
  <si>
    <t>Sum of All Odd Length Subarrays</t>
  </si>
  <si>
    <t>LinkedIn</t>
  </si>
  <si>
    <t>Bank Account Summary II</t>
  </si>
  <si>
    <t>Binary Search Tree Iterator II</t>
  </si>
  <si>
    <t>Check If String Is Transformable With Substring Sort Operations</t>
  </si>
  <si>
    <t>Min Cost to Connect All Points</t>
  </si>
  <si>
    <t>Union Find</t>
  </si>
  <si>
    <t>Directi</t>
  </si>
  <si>
    <t>Count Unhappy Friends</t>
  </si>
  <si>
    <t>Special Positions in a Binary Matrix</t>
  </si>
  <si>
    <t>Customer Who Visited but Did Not Make Any Transactions</t>
  </si>
  <si>
    <t>NerdWallet</t>
  </si>
  <si>
    <t>Put Boxes Into the Warehouse II</t>
  </si>
  <si>
    <t>Remove Max Number of Edges to Keep Graph Fully Traversable</t>
  </si>
  <si>
    <t>Minimum Deletion Cost to Avoid Repeating Letters</t>
  </si>
  <si>
    <t>Tesla,Microsoft</t>
  </si>
  <si>
    <t>Microsoft,Tesla</t>
  </si>
  <si>
    <t>Number of Ways Where Square of Number Is Equal to Product of Two Numbers</t>
  </si>
  <si>
    <t>Math,Hash Table</t>
  </si>
  <si>
    <t>Replace All ?'s to Avoid Consecutive Repeating Characters</t>
  </si>
  <si>
    <t>Count All Possible Routes</t>
  </si>
  <si>
    <t>TSYS</t>
  </si>
  <si>
    <t>Shortest Subarray to be Removed to Make Array Sorted</t>
  </si>
  <si>
    <t>Binary Search,Array</t>
  </si>
  <si>
    <t>Number of Ways to Split a String</t>
  </si>
  <si>
    <t>Matrix Diagonal Sum</t>
  </si>
  <si>
    <t>Warehouse Manager</t>
  </si>
  <si>
    <t>Dot Product of Two Sparse Vectors</t>
  </si>
  <si>
    <t>Apple,Facebook</t>
  </si>
  <si>
    <t>Facebook,Apple</t>
  </si>
  <si>
    <t>Number of Ways to Reorder Array to Get Same BST</t>
  </si>
  <si>
    <t>Minimum Number of Days to Disconnect Island</t>
  </si>
  <si>
    <t>Unacademy</t>
  </si>
  <si>
    <t>Maximum Length of Subarray With Positive Product</t>
  </si>
  <si>
    <t>Arcesium</t>
  </si>
  <si>
    <t>Detect Pattern of Length M Repeated K or More Times</t>
  </si>
  <si>
    <t>Unique Orders and Customers Per Month</t>
  </si>
  <si>
    <t>Whole Foods Market</t>
  </si>
  <si>
    <t>Put Boxes Into the Warehouse I</t>
  </si>
  <si>
    <t>Stone Game V</t>
  </si>
  <si>
    <t>Find Latest Group of Size M</t>
  </si>
  <si>
    <t>Binary Search</t>
  </si>
  <si>
    <t>Maximum Number of Coins You Can Get</t>
  </si>
  <si>
    <t>Most Visited Sector in a Circular Track</t>
  </si>
  <si>
    <t>Detect Cycles in 2D Grid</t>
  </si>
  <si>
    <t>Depth First Search</t>
  </si>
  <si>
    <t>Nutanix,Amazon</t>
  </si>
  <si>
    <t>Minimum Numbers of Function Calls to Make Target Array</t>
  </si>
  <si>
    <t>Minimum Number of Vertices to Reach All Nodes</t>
  </si>
  <si>
    <t>Airbnb,Google</t>
  </si>
  <si>
    <t>Google,Airbnb</t>
  </si>
  <si>
    <t>Thousand Separator</t>
  </si>
  <si>
    <t>Bank Account Summary</t>
  </si>
  <si>
    <t>Optum</t>
  </si>
  <si>
    <t>Strings Differ by One Character</t>
  </si>
  <si>
    <t>Airbnb</t>
  </si>
  <si>
    <t>Minimum Number of Days to Eat N Oranges</t>
  </si>
  <si>
    <t>Magnetic Force Between Two Balls</t>
  </si>
  <si>
    <t>Roblox</t>
  </si>
  <si>
    <t>Minimum Operations to Make Array Equal</t>
  </si>
  <si>
    <t>Brillio</t>
  </si>
  <si>
    <t>Three Consecutive Odds</t>
  </si>
  <si>
    <t>DJI</t>
  </si>
  <si>
    <t>The Most Recent Orders for Each Product</t>
  </si>
  <si>
    <t>The Most Similar Path in a Graph</t>
  </si>
  <si>
    <t>Minimum Cost to Cut a Stick</t>
  </si>
  <si>
    <t>Maximum Number of Non-Overlapping Subarrays With Sum Equals Target</t>
  </si>
  <si>
    <t>Find Kth Bit in Nth Binary String</t>
  </si>
  <si>
    <t>Rupeek</t>
  </si>
  <si>
    <t>Make The String Great</t>
  </si>
  <si>
    <t>Stack,String</t>
  </si>
  <si>
    <t>Fix Product Name Format</t>
  </si>
  <si>
    <t>Find Longest Awesome Substring</t>
  </si>
  <si>
    <t>Bit Manipulation,String</t>
  </si>
  <si>
    <t>Minimum Insertions to Balance a Parentheses String</t>
  </si>
  <si>
    <t>CasaOne,Facebook</t>
  </si>
  <si>
    <t>Can Convert String in K Moves</t>
  </si>
  <si>
    <t>Infosys</t>
  </si>
  <si>
    <t>Kth Missing Positive Number</t>
  </si>
  <si>
    <t>Apple,Facebook,Amazon,Microsoft</t>
  </si>
  <si>
    <t>Facebook,Amazon,Microsoft,Apple</t>
  </si>
  <si>
    <t>Guess the Majority in a Hidden Array</t>
  </si>
  <si>
    <t>Get the Maximum Score</t>
  </si>
  <si>
    <t>MindTickle</t>
  </si>
  <si>
    <t>Minimum Swaps to Arrange a Binary Grid</t>
  </si>
  <si>
    <t>Ajira</t>
  </si>
  <si>
    <t>Find the Winner of an Array Game</t>
  </si>
  <si>
    <t>Count Good Triplets</t>
  </si>
  <si>
    <t>Turvo</t>
  </si>
  <si>
    <t>Find the Index of the Large Integer</t>
  </si>
  <si>
    <t>The Most Recent Three Orders</t>
  </si>
  <si>
    <t>String Compression II</t>
  </si>
  <si>
    <t>Toptal</t>
  </si>
  <si>
    <t>Number of Good Leaf Nodes Pairs</t>
  </si>
  <si>
    <t>Bulb Switcher IV</t>
  </si>
  <si>
    <t>Citrix</t>
  </si>
  <si>
    <t>Shuffle String</t>
  </si>
  <si>
    <t>Facebook,Microsoft</t>
  </si>
  <si>
    <t>Patients With a Condition</t>
  </si>
  <si>
    <t>Minimum Number of Increments on Subarrays to Form a Target Array</t>
  </si>
  <si>
    <t>Segment Tree</t>
  </si>
  <si>
    <t>Number of Good Ways to Split a String</t>
  </si>
  <si>
    <t>Number of Sub-arrays With Odd Sum</t>
  </si>
  <si>
    <t>Math,Array</t>
  </si>
  <si>
    <t>Count Odd Numbers in an Interval Range</t>
  </si>
  <si>
    <t>Diameter of N-Ary Tree</t>
  </si>
  <si>
    <t>Find a Value of a Mysterious Function Closest to Target</t>
  </si>
  <si>
    <t>Segment Tree,Bit Manipulation,Binary Search</t>
  </si>
  <si>
    <t>American Express</t>
  </si>
  <si>
    <t>Maximum Number of Non-Overlapping Substrings</t>
  </si>
  <si>
    <t>Number of Nodes in the Sub-Tree With the Same Label</t>
  </si>
  <si>
    <t>Uber,Samsung</t>
  </si>
  <si>
    <t>Samsung,Uber</t>
  </si>
  <si>
    <t>Water Bottles</t>
  </si>
  <si>
    <t>IBM,Microsoft</t>
  </si>
  <si>
    <t>IBM</t>
  </si>
  <si>
    <t>Microsoft,IBM</t>
  </si>
  <si>
    <t>Find Users With Valid E-Mails</t>
  </si>
  <si>
    <t>Apple</t>
  </si>
  <si>
    <t>Move Sub-Tree of N-Ary Tree</t>
  </si>
  <si>
    <t>Best Position for a Service Centre</t>
  </si>
  <si>
    <t>Geometry</t>
  </si>
  <si>
    <t>Reddit,Citadel,Uber</t>
  </si>
  <si>
    <t>Reddit,Uber</t>
  </si>
  <si>
    <t>Citadel,Reddit,Uber</t>
  </si>
  <si>
    <t>Path with Maximum Probability</t>
  </si>
  <si>
    <t>Number of Substrings With Only 1s</t>
  </si>
  <si>
    <t>String,Math</t>
  </si>
  <si>
    <t>Number of Good Pairs</t>
  </si>
  <si>
    <t>Math,Hash Table,Array</t>
  </si>
  <si>
    <t>Activevideo,Amazon,Microsoft</t>
  </si>
  <si>
    <t>Activevideo,Microsoft,Amazon</t>
  </si>
  <si>
    <t>Customer Order Frequency</t>
  </si>
  <si>
    <t>Stone Game IV</t>
  </si>
  <si>
    <t>Minimum Difference Between Largest and Smallest Value in Three Moves</t>
  </si>
  <si>
    <t>Range Sum of Sorted Subarray Sums</t>
  </si>
  <si>
    <t>Reformat Date</t>
  </si>
  <si>
    <t>Twilio,Expedia</t>
  </si>
  <si>
    <t>Find Root of N-Ary Tree</t>
  </si>
  <si>
    <t>Minimum Possible Integer After at Most K Adjacent Swaps On Digits</t>
  </si>
  <si>
    <t>Count Submatrices With All Ones</t>
  </si>
  <si>
    <t>Last Moment Before All Ants Fall Out of a Plank</t>
  </si>
  <si>
    <t>Brainteaser,Array</t>
  </si>
  <si>
    <t>Can Make Arithmetic Progression From Sequence</t>
  </si>
  <si>
    <t>Countries You Can Safely Invest In</t>
  </si>
  <si>
    <t>Design a File Sharing System</t>
  </si>
  <si>
    <t>Twitch</t>
  </si>
  <si>
    <t>Max Value of Equation</t>
  </si>
  <si>
    <t>Sliding Window,Array</t>
  </si>
  <si>
    <t>Number of Subsequences That Satisfy the Given Sum Condition</t>
  </si>
  <si>
    <t>Sliding Window,Sort</t>
  </si>
  <si>
    <t>Google,Facebook</t>
  </si>
  <si>
    <t>Check If Array Pairs Are Divisible by k</t>
  </si>
  <si>
    <t>Greedy,Math,Array</t>
  </si>
  <si>
    <t>Quble,Paypal</t>
  </si>
  <si>
    <t>Path Crossing</t>
  </si>
  <si>
    <t>Friendly Movies Streamed Last Month</t>
  </si>
  <si>
    <t>Parallel Courses II</t>
  </si>
  <si>
    <t>Longest Subarray of 1's After Deleting One Element</t>
  </si>
  <si>
    <t>Yandex</t>
  </si>
  <si>
    <t>The kth Factor of n</t>
  </si>
  <si>
    <t>Average Salary Excluding the Minimum and Maximum Salary</t>
  </si>
  <si>
    <t>Netsuite,Amazon</t>
  </si>
  <si>
    <t>Clone N-ary Tree</t>
  </si>
  <si>
    <t>Breadth First Search,Depth First Search,Tree,Hash Table</t>
  </si>
  <si>
    <t>Find Critical and Pseudo-Critical Edges in Minimum Spanning Tree</t>
  </si>
  <si>
    <t>Union Find,Depth First Search</t>
  </si>
  <si>
    <t>Avoid Flood in The City</t>
  </si>
  <si>
    <t>Making File Names Unique</t>
  </si>
  <si>
    <t>Oasis Labs</t>
  </si>
  <si>
    <t>XOR Operation in an Array</t>
  </si>
  <si>
    <t>Bit Manipulation,Array</t>
  </si>
  <si>
    <t>Walmart Labs</t>
  </si>
  <si>
    <t>Clone Binary Tree With Random Pointer</t>
  </si>
  <si>
    <t>Bloomberg,Amazon</t>
  </si>
  <si>
    <t>Amazon,Bloomberg</t>
  </si>
  <si>
    <t>Group Sold Products By The Date</t>
  </si>
  <si>
    <t>Startup</t>
  </si>
  <si>
    <t>Kth Ancestor of a Tree Node</t>
  </si>
  <si>
    <t>Minimum Number of Days to Make m Bouquets</t>
  </si>
  <si>
    <t>Least Number of Unique Integers after K Removals</t>
  </si>
  <si>
    <t>Roblox,Expedia,Oracle,Amazon,Dosh</t>
  </si>
  <si>
    <t>Roblox,Amazon,Oracle,Expedia</t>
  </si>
  <si>
    <t>Dosh,Roblox,Amazon,Oracle,Expedia</t>
  </si>
  <si>
    <t>Running Sum of 1d Array</t>
  </si>
  <si>
    <t>Apple,Uber,Bloomberg,Adobe,Amazon,Google</t>
  </si>
  <si>
    <t>Apple,Amazon,Adobe</t>
  </si>
  <si>
    <t>Bloomberg,Uber,Apple,Amazon,Adobe</t>
  </si>
  <si>
    <t>Google,Bloomberg,Uber,Apple,Amazon,Adobe</t>
  </si>
  <si>
    <t>Sales by Day of the Week</t>
  </si>
  <si>
    <t>Allocate Mailboxes</t>
  </si>
  <si>
    <t>Dynamic Programming,Math</t>
  </si>
  <si>
    <t>Find Two Non-overlapping Sub-arrays Each With Target Sum</t>
  </si>
  <si>
    <t>Subrectangle Queries</t>
  </si>
  <si>
    <t>Nuro</t>
  </si>
  <si>
    <t>Final Prices With a Special Discount in a Shop</t>
  </si>
  <si>
    <t>Dream11</t>
  </si>
  <si>
    <t>Delete N Nodes After M Nodes of a Linked List</t>
  </si>
  <si>
    <t>Paint House III</t>
  </si>
  <si>
    <t>Design Browser History</t>
  </si>
  <si>
    <t>DoorDash,Roblox,Bloomberg,Amazon</t>
  </si>
  <si>
    <t>Bloomberg,DoorDash,Roblox</t>
  </si>
  <si>
    <t>Amazon,Bloomberg,DoorDash,Roblox</t>
  </si>
  <si>
    <t>The k Strongest Values in an Array</t>
  </si>
  <si>
    <t>Shuffle the Array</t>
  </si>
  <si>
    <t>Apple,Bloomberg,Adobe,Google,Microsoft</t>
  </si>
  <si>
    <t>Apple,Bloomberg</t>
  </si>
  <si>
    <t>Microsoft,Adobe,Google,Apple,Bloomberg</t>
  </si>
  <si>
    <t>Find All The Lonely Nodes</t>
  </si>
  <si>
    <t>Calculate Salaries</t>
  </si>
  <si>
    <t>Probability of a Two Boxes Having The Same Number of Distinct Balls</t>
  </si>
  <si>
    <t>Backtracking,Math</t>
  </si>
  <si>
    <t>Reorder Routes to Make All Paths Lead to the City Zero</t>
  </si>
  <si>
    <t>Amazon,Microsoft,Google</t>
  </si>
  <si>
    <t>Google,Amazon,Microsoft</t>
  </si>
  <si>
    <t>Maximum Area of a Piece of Cake After Horizontal and Vertical Cuts</t>
  </si>
  <si>
    <t>Roblox,Expedia,Amazon,BNY Mellon</t>
  </si>
  <si>
    <t>Amazon,Roblox,Expedia</t>
  </si>
  <si>
    <t>BNY Mellon,Amazon,Roblox,Expedia</t>
  </si>
  <si>
    <t>Maximum Product of Two Elements in an Array</t>
  </si>
  <si>
    <t>Cherry Pickup II</t>
  </si>
  <si>
    <t>Course Schedule IV</t>
  </si>
  <si>
    <t>Amazon,Uber</t>
  </si>
  <si>
    <t>Uber,Amazon</t>
  </si>
  <si>
    <t>Check If a String Contains All Binary Codes of Size K</t>
  </si>
  <si>
    <t>Make Two Arrays Equal by Reversing Sub-arrays</t>
  </si>
  <si>
    <t>Rectangles Area</t>
  </si>
  <si>
    <t>Max Dot Product of Two Subsequences</t>
  </si>
  <si>
    <t>Pseudo-Palindromic Paths in a Binary Tree</t>
  </si>
  <si>
    <t>Depth First Search,Tree,Bit Manipulation</t>
  </si>
  <si>
    <t>Maximum Number of Vowels in a Substring of Given Length</t>
  </si>
  <si>
    <t>Sliding Window,String</t>
  </si>
  <si>
    <t>Check If a Word Occurs As a Prefix of Any Word in a Sentence</t>
  </si>
  <si>
    <t>Yelp</t>
  </si>
  <si>
    <t>Active Users</t>
  </si>
  <si>
    <t>Maximum Number of Darts Inside of a Circular Dartboard</t>
  </si>
  <si>
    <t>People Whose List of Favorite Companies Is Not a Subset of Another List</t>
  </si>
  <si>
    <t>Sort,String</t>
  </si>
  <si>
    <t>Rearrange Words in a Sentence</t>
  </si>
  <si>
    <t>VMware,Amazon,Expedia</t>
  </si>
  <si>
    <t>Amazon,VMware</t>
  </si>
  <si>
    <t>Expedia,Amazon,VMware</t>
  </si>
  <si>
    <t>Number of Students Doing Homework at a Given Time</t>
  </si>
  <si>
    <t>Form Largest Integer With Digits That Add up to Target</t>
  </si>
  <si>
    <t>Count Good Nodes in Binary Tree</t>
  </si>
  <si>
    <t>Simplified Fractions</t>
  </si>
  <si>
    <t>Consecutive Characters</t>
  </si>
  <si>
    <t>Apples &amp; Oranges</t>
  </si>
  <si>
    <t>Number of Ways of Cutting a Pizza</t>
  </si>
  <si>
    <t>Minimum Time to Collect All Apples in a Tree</t>
  </si>
  <si>
    <t>Count Triplets That Can Form Two Arrays of Equal XOR</t>
  </si>
  <si>
    <t>Bit Manipulation,Math,Array</t>
  </si>
  <si>
    <t>Build an Array With Stack Operations</t>
  </si>
  <si>
    <t>Evaluate Boolean Expression</t>
  </si>
  <si>
    <t>Point72</t>
  </si>
  <si>
    <t>Find the Kth Smallest Sum of a Matrix With Sorted Rows</t>
  </si>
  <si>
    <t>Longest Continuous Subarray With Absolute Diff Less Than or Equal to Limit</t>
  </si>
  <si>
    <t>EBay,Google</t>
  </si>
  <si>
    <t>eBay,Google</t>
  </si>
  <si>
    <t>Check If All 1's Are at Least Length K Places Away</t>
  </si>
  <si>
    <t>United Health Group</t>
  </si>
  <si>
    <t>Destination City</t>
  </si>
  <si>
    <t>Paypal,Yelp</t>
  </si>
  <si>
    <t>Create a Session Bar Chart</t>
  </si>
  <si>
    <t>Number of Ways to Wear Different Hats to Each Other</t>
  </si>
  <si>
    <t>Check If a String Can Break Another String</t>
  </si>
  <si>
    <t>Endurance</t>
  </si>
  <si>
    <t>endurance</t>
  </si>
  <si>
    <t>Max Difference You Can Get From Changing an Integer</t>
  </si>
  <si>
    <t>Kids With the Greatest Number of Candies</t>
  </si>
  <si>
    <t>Bloomberg,Adobe,Amazon</t>
  </si>
  <si>
    <t>Amazon,Bloomberg,Adobe</t>
  </si>
  <si>
    <t>Check If a String Is a Valid Sequence from Root to Leaves Path in a Binary Tree</t>
  </si>
  <si>
    <t>Amazon,23&amp;me</t>
  </si>
  <si>
    <t>23&amp;me,Amazon</t>
  </si>
  <si>
    <t>First Unique Number</t>
  </si>
  <si>
    <t>Design,Hash Table</t>
  </si>
  <si>
    <t>Bloomberg,Facebook,Microsoft,Amazon</t>
  </si>
  <si>
    <t>Amazon,Bloomberg,Microsoft</t>
  </si>
  <si>
    <t>Facebook,Amazon,Bloomberg,Microsoft</t>
  </si>
  <si>
    <t>Leftmost Column with at Least a One</t>
  </si>
  <si>
    <t>Pocket Gems,Facebook</t>
  </si>
  <si>
    <t>Facebook,Pocket Gems</t>
  </si>
  <si>
    <t>Perform String Shifts</t>
  </si>
  <si>
    <t>Counting Elements</t>
  </si>
  <si>
    <t>DRW</t>
  </si>
  <si>
    <t>Constrained Subsequence Sum</t>
  </si>
  <si>
    <t>Diagonal Traverse II</t>
  </si>
  <si>
    <t>Visa,EBay,Facebook,Google</t>
  </si>
  <si>
    <t>eBay</t>
  </si>
  <si>
    <t>Facebook,Visa,eBay</t>
  </si>
  <si>
    <t>Google,Facebook,Visa,eBay</t>
  </si>
  <si>
    <t>Maximum Points You Can Obtain from Cards</t>
  </si>
  <si>
    <t>Sliding Window,Dynamic Programming,Array</t>
  </si>
  <si>
    <t>Flipkart,Google</t>
  </si>
  <si>
    <t>Maximum Score After Splitting a String</t>
  </si>
  <si>
    <t>NPV Queries</t>
  </si>
  <si>
    <t>Build Array Where You Can Find The Maximum Exactly K Comparisons</t>
  </si>
  <si>
    <t>Minimum Number of Frogs Croaking</t>
  </si>
  <si>
    <t>C3.ai</t>
  </si>
  <si>
    <t>Display Table of Food Orders in a Restaurant</t>
  </si>
  <si>
    <t>JPMorgan,JP Morgan</t>
  </si>
  <si>
    <t>Reformat The String</t>
  </si>
  <si>
    <t>Restore The Array</t>
  </si>
  <si>
    <t>ByteDance,Amazon,Postman</t>
  </si>
  <si>
    <t>Amazon,ByteDance</t>
  </si>
  <si>
    <t>Postman,Amazon,ByteDance</t>
  </si>
  <si>
    <t>The k-th Lexicographical String of All Happy Strings of Length n</t>
  </si>
  <si>
    <t>Find the Minimum Number of Fibonacci Numbers Whose Sum Is K</t>
  </si>
  <si>
    <t>Minimum Value to Get Positive Step by Step Sum</t>
  </si>
  <si>
    <t>Swiggy</t>
  </si>
  <si>
    <t>Find the Quiet Students in All Exams</t>
  </si>
  <si>
    <t>Number of Ways to Paint N × 3 Grid</t>
  </si>
  <si>
    <t>Akuna Capital,Paypal,Hackerrank,Facebook</t>
  </si>
  <si>
    <t>Akuna Capital,Facebook,Paypal</t>
  </si>
  <si>
    <t>Hackerrank,Akuna Capital,Facebook,Paypal</t>
  </si>
  <si>
    <t>HTML Entity Parser</t>
  </si>
  <si>
    <t>Oracle</t>
  </si>
  <si>
    <t>Queries on a Permutation With Key</t>
  </si>
  <si>
    <t>String Matching in an Array</t>
  </si>
  <si>
    <t>Top Travellers</t>
  </si>
  <si>
    <t>Stone Game III</t>
  </si>
  <si>
    <t>Longest Happy String</t>
  </si>
  <si>
    <t>Grab,Adobe,Amazon,Wayfair</t>
  </si>
  <si>
    <t>Grab,Adobe</t>
  </si>
  <si>
    <t>Amazon,Grab,Adobe</t>
  </si>
  <si>
    <t>Wayfair,Amazon,Grab,Adobe</t>
  </si>
  <si>
    <t>Number of Steps to Reduce a Number in Binary Representation to One</t>
  </si>
  <si>
    <t>TripAdvisor,Amazon</t>
  </si>
  <si>
    <t>TripAdvisor</t>
  </si>
  <si>
    <t>Amazon,TripAdvisor</t>
  </si>
  <si>
    <t>Minimum Subsequence in Non-Increasing Order</t>
  </si>
  <si>
    <t>Reducing Dishes</t>
  </si>
  <si>
    <t>OT</t>
  </si>
  <si>
    <t>Circle and Rectangle Overlapping</t>
  </si>
  <si>
    <t>Construct K Palindrome Strings</t>
  </si>
  <si>
    <t>Count Largest Group</t>
  </si>
  <si>
    <t>Customers Who Bought Products A and B but Not C</t>
  </si>
  <si>
    <t>Amazon,Facebook</t>
  </si>
  <si>
    <t>Facebook,Amazon</t>
  </si>
  <si>
    <t>Find All Good Strings</t>
  </si>
  <si>
    <t>Design Underground System</t>
  </si>
  <si>
    <t>Count Number of Teams</t>
  </si>
  <si>
    <t>Google,Amazon,Goldman Sachs</t>
  </si>
  <si>
    <t>Google,Goldman Sachs,Amazon</t>
  </si>
  <si>
    <t>Find Lucky Integer in an Array</t>
  </si>
  <si>
    <t>Capital Gain/Loss</t>
  </si>
  <si>
    <t>Longest Happy Prefix</t>
  </si>
  <si>
    <t>Check if There is a Valid Path in a Grid</t>
  </si>
  <si>
    <t>Four Divisors</t>
  </si>
  <si>
    <t>Capital One</t>
  </si>
  <si>
    <t>Create Target Array in the Given Order</t>
  </si>
  <si>
    <t>Visa</t>
  </si>
  <si>
    <t>Pizza With 3n Slices</t>
  </si>
  <si>
    <t>Sort Integers by The Power Value</t>
  </si>
  <si>
    <t>Graph,Sort</t>
  </si>
  <si>
    <t>Cinema Seat Allocation</t>
  </si>
  <si>
    <t>Find the Distance Value Between Two Arrays</t>
  </si>
  <si>
    <t>Total Sales Amount by Year</t>
  </si>
  <si>
    <t>Maximum Performance of a Team</t>
  </si>
  <si>
    <t>DoorDash,Amazon,Citrix</t>
  </si>
  <si>
    <t>DoorDash,Amazon</t>
  </si>
  <si>
    <t>Citrix,DoorDash,Amazon</t>
  </si>
  <si>
    <t>Balance a Binary Search Tree</t>
  </si>
  <si>
    <t>Binary Search Tree</t>
  </si>
  <si>
    <t>EBay,Adobe,Facebook,Amazon</t>
  </si>
  <si>
    <t>Facebook,Adobe</t>
  </si>
  <si>
    <t>Amazon,eBay,Facebook,Adobe</t>
  </si>
  <si>
    <t>Design a Stack With Increment Operation</t>
  </si>
  <si>
    <t>Design,Stack</t>
  </si>
  <si>
    <t>Amazon,Microsoft,Endurance</t>
  </si>
  <si>
    <t>endurance,Microsoft,Amazon</t>
  </si>
  <si>
    <t>Lucky Numbers in a Matrix</t>
  </si>
  <si>
    <t>Find a Corresponding Node of a Binary Tree in a Clone of That Tree</t>
  </si>
  <si>
    <t>Recursion,Breadth First Search,Depth First Search,Tree</t>
  </si>
  <si>
    <t>Replace Employee ID With The Unique Identifier</t>
  </si>
  <si>
    <t>Frog Position After T Seconds</t>
  </si>
  <si>
    <t>Time Needed to Inform All Employees</t>
  </si>
  <si>
    <t>Bulb Switcher III</t>
  </si>
  <si>
    <t>Generate a String With Characters That Have Odd Counts</t>
  </si>
  <si>
    <t>Microsoft,DiDi</t>
  </si>
  <si>
    <t>DiDi,Microsoft</t>
  </si>
  <si>
    <t>Maximum Sum BST in Binary Tree</t>
  </si>
  <si>
    <t>Binary Search Tree,Dynamic Programming</t>
  </si>
  <si>
    <t>Longest ZigZag Path in a Binary Tree</t>
  </si>
  <si>
    <t>Tree,Dynamic Programming</t>
  </si>
  <si>
    <t>Sumerge</t>
  </si>
  <si>
    <t>Find the Longest Substring Containing Vowels in Even Counts</t>
  </si>
  <si>
    <t>Increasing Decreasing String</t>
  </si>
  <si>
    <t>Get the Second Most Recent Activity</t>
  </si>
  <si>
    <t>Minimum Cost to Make at Least One Valid Path in a Grid</t>
  </si>
  <si>
    <t>Breadth First Search</t>
  </si>
  <si>
    <t>Uber,Google</t>
  </si>
  <si>
    <t>Linked List in Binary Tree</t>
  </si>
  <si>
    <t>Tree,Dynamic Programming,Linked List</t>
  </si>
  <si>
    <t>Amazon,SoundHound</t>
  </si>
  <si>
    <t>SoundHound,Amazon</t>
  </si>
  <si>
    <t>Rank Teams by Votes</t>
  </si>
  <si>
    <t>Zoom,Atlassian,Bloomberg,Google</t>
  </si>
  <si>
    <t>Atlassian,Bloomberg,Zoom</t>
  </si>
  <si>
    <t>Google,Atlassian,Bloomberg,Zoom</t>
  </si>
  <si>
    <t>How Many Numbers Are Smaller Than the Current Number</t>
  </si>
  <si>
    <t>Bloomberg,Adobe,Amazon,Google</t>
  </si>
  <si>
    <t>Adobe,Google,Bloomberg,Amazon</t>
  </si>
  <si>
    <t>Number of Trusted Contacts of a Customer</t>
  </si>
  <si>
    <t>Largest Multiple of Three</t>
  </si>
  <si>
    <t>Closest Divisors</t>
  </si>
  <si>
    <t>Validate Binary Tree Nodes</t>
  </si>
  <si>
    <t>Number of Days Between Two Dates</t>
  </si>
  <si>
    <t>Count All Valid Pickup and Delivery Options</t>
  </si>
  <si>
    <t>DoorDash</t>
  </si>
  <si>
    <t>Number of Substrings Containing All Three Characters</t>
  </si>
  <si>
    <t>Microsoft,DE Shaw</t>
  </si>
  <si>
    <t>DE Shaw,Microsoft</t>
  </si>
  <si>
    <t>Apply Discount Every n Orders</t>
  </si>
  <si>
    <t>Sort Integers by The Number of 1 Bits</t>
  </si>
  <si>
    <t>Bit Manipulation,Sort</t>
  </si>
  <si>
    <t>Adobe,Mapbox</t>
  </si>
  <si>
    <t>Mapbox,Adobe</t>
  </si>
  <si>
    <t>Activity Participants</t>
  </si>
  <si>
    <t>Construct Target Array With Multiple Sums</t>
  </si>
  <si>
    <t>Quora</t>
  </si>
  <si>
    <t>Maximum Number of Events That Can Be Attended</t>
  </si>
  <si>
    <t>Segment Tree,Sort,Greedy</t>
  </si>
  <si>
    <t>Infosys,Citrix,Apple,Adobe,Amazon,Visa</t>
  </si>
  <si>
    <t>Visa,Citrix,Adobe,Infosys</t>
  </si>
  <si>
    <t>Apple,Visa,Citrix,Adobe,Infosys</t>
  </si>
  <si>
    <t>Amazon,Apple,Visa,Citrix,Adobe,Infosys</t>
  </si>
  <si>
    <t>Product of the Last K Numbers</t>
  </si>
  <si>
    <t>ByteDance,Apple,Uber,Microsoft,Google</t>
  </si>
  <si>
    <t>ByteDance,Google,Uber</t>
  </si>
  <si>
    <t>Apple,ByteDance,Google,Uber</t>
  </si>
  <si>
    <t>Microsoft,Apple,ByteDance,Google,Uber</t>
  </si>
  <si>
    <t>Count Negative Numbers in a Sorted Matrix</t>
  </si>
  <si>
    <t>Apple,Microsoft,Amazon</t>
  </si>
  <si>
    <t>Amazon,Apple</t>
  </si>
  <si>
    <t>Students With Invalid Departments</t>
  </si>
  <si>
    <t>Maximum Students Taking Exam</t>
  </si>
  <si>
    <t>SAP</t>
  </si>
  <si>
    <t>Tweet Counts Per Frequency</t>
  </si>
  <si>
    <t>Minimum Number of Steps to Make Two Strings Anagram</t>
  </si>
  <si>
    <t>Citrix,Bloomberg,Amazon,Microsoft,Twitter</t>
  </si>
  <si>
    <t>Bloomberg,Citrix,Microsoft,Amazon</t>
  </si>
  <si>
    <t>Twitter,Bloomberg,Citrix,Microsoft,Amazon</t>
  </si>
  <si>
    <t>Check If N and Its Double Exist</t>
  </si>
  <si>
    <t>Jump Game IV</t>
  </si>
  <si>
    <t>Angle Between Hands of a Clock</t>
  </si>
  <si>
    <t>Apple,Facebook,Microsoft,Amazon</t>
  </si>
  <si>
    <t>Facebook,Apple,Microsoft,Amazon</t>
  </si>
  <si>
    <t>Number of Sub-arrays of Size K and Average Greater than or Equal to Threshold</t>
  </si>
  <si>
    <t>Number of Steps to Reduce a Number to Zero</t>
  </si>
  <si>
    <t>Amazon,Microsoft,HRT,Google</t>
  </si>
  <si>
    <t>Google,HRT,Amazon,Microsoft</t>
  </si>
  <si>
    <t>Movie Rating</t>
  </si>
  <si>
    <t>Jump Game V</t>
  </si>
  <si>
    <t>Maximum Product of Splitted Binary Tree</t>
  </si>
  <si>
    <t>Depth First Search,Tree,Dynamic Programming</t>
  </si>
  <si>
    <t>Amazon,ByteDance,Microsoft</t>
  </si>
  <si>
    <t>ByteDance,Microsoft,Amazon</t>
  </si>
  <si>
    <t>Reduce Array Size to The Half</t>
  </si>
  <si>
    <t>The K Weakest Rows in a Matrix</t>
  </si>
  <si>
    <t>Number of Transactions per Visit</t>
  </si>
  <si>
    <t>Square,MachineZone,Machine Zone</t>
  </si>
  <si>
    <t>Square,Machine Zone,MachineZone</t>
  </si>
  <si>
    <t>Minimum Difficulty of a Job Schedule</t>
  </si>
  <si>
    <t>Swiggy,SAP,Amazon,Turvo</t>
  </si>
  <si>
    <t>Amazon,Swiggy</t>
  </si>
  <si>
    <t>SAP,Amazon,Swiggy</t>
  </si>
  <si>
    <t>Turvo,SAP,Amazon,Swiggy</t>
  </si>
  <si>
    <t>Find the City With the Smallest Number of Neighbors at a Threshold Distance</t>
  </si>
  <si>
    <t>Citrix,Uber</t>
  </si>
  <si>
    <t>Uber,Citrix</t>
  </si>
  <si>
    <t>Filter Restaurants by Vegan-Friendly, Price and Distance</t>
  </si>
  <si>
    <t>Remove Palindromic Subsequences</t>
  </si>
  <si>
    <t>Rank Transform of an Array</t>
  </si>
  <si>
    <t>Facebook,Amazon,Google</t>
  </si>
  <si>
    <t>Google,Facebook,Amazon</t>
  </si>
  <si>
    <t>Reverse Subarray To Maximize Array Value</t>
  </si>
  <si>
    <t>Sort the Matrix Diagonally</t>
  </si>
  <si>
    <t>Databricks,Robinhood,ServiceNow,Zoho,Facebook,Google,Quora</t>
  </si>
  <si>
    <t>Databricks,Google,Robinhood,ServiceNow,Facebook</t>
  </si>
  <si>
    <t>Quora,Zoho,Databricks,Google,Robinhood,ServiceNow,Facebook</t>
  </si>
  <si>
    <t>Break a Palindrome</t>
  </si>
  <si>
    <t>Zillow,Amazon,Roblox,VMware,JPMorgan,Expedia</t>
  </si>
  <si>
    <t>Amazon,Zillow</t>
  </si>
  <si>
    <t>Roblox,JPMorgan,Amazon,Zillow</t>
  </si>
  <si>
    <t>VMware,Expedia,Roblox,JPMorgan,Amazon,Zillow</t>
  </si>
  <si>
    <t>List the Products Ordered in a Period</t>
  </si>
  <si>
    <t>Minimum Number of Taps to Open to Water a Garden</t>
  </si>
  <si>
    <t>DE Shaw,Atlassian,Docusign,Apple,Morgan Stanley,Adobe,Amazon,Akuna Capital,Twitter,Google</t>
  </si>
  <si>
    <t>Apple,Twitter,Adobe,Docusign,Morgan Stanley</t>
  </si>
  <si>
    <t>Google,Atlassian,DE Shaw,Amazon,Apple,Twitter,Adobe,Docusign,Morgan Stanley</t>
  </si>
  <si>
    <t>Akuna Capital,Google,Atlassian,DE Shaw,Amazon,Apple,Twitter,Adobe,Docusign,Morgan Stanley</t>
  </si>
  <si>
    <t>Delete Leaves With a Given Value</t>
  </si>
  <si>
    <t>Print Words Vertically</t>
  </si>
  <si>
    <t>Postmates,Microsoft</t>
  </si>
  <si>
    <t>Microsoft,Postmates</t>
  </si>
  <si>
    <t>Maximum 69 Number</t>
  </si>
  <si>
    <t>Ads Performance</t>
  </si>
  <si>
    <t>Restaurant Growth</t>
  </si>
  <si>
    <t>Amazon,Point72</t>
  </si>
  <si>
    <t>Point72,Amazon</t>
  </si>
  <si>
    <t>Minimum Distance to Type a Word Using Two Fingers</t>
  </si>
  <si>
    <t>Number of Operations to Make Network Connected</t>
  </si>
  <si>
    <t>Union Find,Breadth First Search,Depth First Search</t>
  </si>
  <si>
    <t>Apple,Amazon,Akuna Capital,Mathworks</t>
  </si>
  <si>
    <t>Akuna Capital,Mathworks,Amazon,Apple</t>
  </si>
  <si>
    <t>Minimum Flips to Make a OR b Equal to c</t>
  </si>
  <si>
    <t>Convert Integer to the Sum of Two No-Zero Integers</t>
  </si>
  <si>
    <t>Distinct Echo Substrings</t>
  </si>
  <si>
    <t>Rolling Hash,String</t>
  </si>
  <si>
    <t>Sum of Nodes with Even-Valued Grandparent</t>
  </si>
  <si>
    <t>Apple,Bloomberg,Amazon</t>
  </si>
  <si>
    <t>Apple,Amazon,Bloomberg</t>
  </si>
  <si>
    <t>Matrix Block Sum</t>
  </si>
  <si>
    <t>Apple,Bloomberg,Facebook,Google</t>
  </si>
  <si>
    <t>Google,Facebook,Bloomberg</t>
  </si>
  <si>
    <t>Apple,Google,Facebook,Bloomberg</t>
  </si>
  <si>
    <t>Decompress Run-Length Encoded List</t>
  </si>
  <si>
    <t>Apple,Amazon,Google</t>
  </si>
  <si>
    <t>Google,Amazon,Apple</t>
  </si>
  <si>
    <t>Minimum Insertion Steps to Make a String Palindrome</t>
  </si>
  <si>
    <t>Apple,SAP,Bloomberg,Amazon,LinkedIn,Google</t>
  </si>
  <si>
    <t>Amazon,LinkedIn</t>
  </si>
  <si>
    <t>Google,SAP,Bloomberg,Amazon,LinkedIn</t>
  </si>
  <si>
    <t>Apple,Google,SAP,Bloomberg,Amazon,LinkedIn</t>
  </si>
  <si>
    <t>Get Watched Videos by Your Friends</t>
  </si>
  <si>
    <t>Breadth First Search,String,Hash Table</t>
  </si>
  <si>
    <t>XOR Queries of a Subarray</t>
  </si>
  <si>
    <t>Codenation,Amazon,Airtel</t>
  </si>
  <si>
    <t>Codenation,Amazon</t>
  </si>
  <si>
    <t>Airtel,Codenation,Amazon</t>
  </si>
  <si>
    <t>Decrypt String from Alphabet to Integer Mapping</t>
  </si>
  <si>
    <t>Amazon,Quip (Salesforce)</t>
  </si>
  <si>
    <t>Quip (Salesforce),Amazon</t>
  </si>
  <si>
    <t>Running Total for Different Genders</t>
  </si>
  <si>
    <t>Verbal Arithmetic Puzzle</t>
  </si>
  <si>
    <t>Atlassian</t>
  </si>
  <si>
    <t>Jump Game III</t>
  </si>
  <si>
    <t>Recursion,Depth First Search,Graph,Breadth First Search</t>
  </si>
  <si>
    <t>All Elements in Two Binary Search Trees</t>
  </si>
  <si>
    <t>Tree,Sort</t>
  </si>
  <si>
    <t>Oracle,Facebook,Amazon</t>
  </si>
  <si>
    <t>Oracle,Amazon,Facebook</t>
  </si>
  <si>
    <t>Find N Unique Integers Sum up to Zero</t>
  </si>
  <si>
    <t>Tesla,Adobe,Amazon,Facebook,Microsoft</t>
  </si>
  <si>
    <t>Amazon,Microsoft,Tesla</t>
  </si>
  <si>
    <t>Facebook,Adobe,Amazon,Microsoft,Tesla</t>
  </si>
  <si>
    <t>Find the Team Size</t>
  </si>
  <si>
    <t>Deepest Leaves Sum</t>
  </si>
  <si>
    <t>Number of Paths with Max Score</t>
  </si>
  <si>
    <t>Sum of Mutated Array Closest to Target</t>
  </si>
  <si>
    <t>Bloomberg,Google</t>
  </si>
  <si>
    <t>Google,Bloomberg</t>
  </si>
  <si>
    <t>Replace Elements with Greatest Element on Right Side</t>
  </si>
  <si>
    <t>Adobe,Amazon</t>
  </si>
  <si>
    <t>Amazon,Adobe</t>
  </si>
  <si>
    <t>Maximum Candies You Can Get from Boxes</t>
  </si>
  <si>
    <t>Maximum Number of Occurrences of a Substring</t>
  </si>
  <si>
    <t>Twitter,Facebook,Roblox,Paypal,Bloomberg</t>
  </si>
  <si>
    <t>Twitter,Facebook</t>
  </si>
  <si>
    <t>Roblox,Bloomberg,Paypal,Twitter,Facebook</t>
  </si>
  <si>
    <t>Divide Array in Sets of K Consecutive Numbers</t>
  </si>
  <si>
    <t>Coupang,ByteDance,Goldman Sachs,Google</t>
  </si>
  <si>
    <t>Goldman Sachs,Google,ByteDance</t>
  </si>
  <si>
    <t>Coupang,Goldman Sachs,Google,ByteDance</t>
  </si>
  <si>
    <t>Find Numbers with Even Number of Digits</t>
  </si>
  <si>
    <t>EBay,Quora</t>
  </si>
  <si>
    <t>Quora,eBay</t>
  </si>
  <si>
    <t>Weather Type in Each Country</t>
  </si>
  <si>
    <t>Shortest Path in a Grid with Obstacles Elimination</t>
  </si>
  <si>
    <t>ByteDance,Amazon,DiDi,Google</t>
  </si>
  <si>
    <t>DiDi,Amazon,Google</t>
  </si>
  <si>
    <t>ByteDance,DiDi,Amazon,Google</t>
  </si>
  <si>
    <t>Maximum Side Length of a Square with Sum Less than or Equal to Threshold</t>
  </si>
  <si>
    <t>Roblox,Google</t>
  </si>
  <si>
    <t>Google,Roblox</t>
  </si>
  <si>
    <t>Sequential Digits</t>
  </si>
  <si>
    <t>Amazon,F5 Networks</t>
  </si>
  <si>
    <t>F5 Networks,Amazon</t>
  </si>
  <si>
    <t>Convert Binary Number in a Linked List to Integer</t>
  </si>
  <si>
    <t>Bit Manipulation,Linked List</t>
  </si>
  <si>
    <t>JPMorgan,Citrix,Mathworks,Bloomberg,Microsoft,Roblox,ServiceNow,Cisco</t>
  </si>
  <si>
    <t>JPMorgan,Mathworks,Bloomberg,Citrix,Microsoft</t>
  </si>
  <si>
    <t>Cisco,Roblox,ServiceNow,JPMorgan,Mathworks,Bloomberg,Citrix,Microsoft</t>
  </si>
  <si>
    <t>Minimum Falling Path Sum II</t>
  </si>
  <si>
    <t>Remove Covered Intervals</t>
  </si>
  <si>
    <t>Sort,Greedy,Line Sweep</t>
  </si>
  <si>
    <t>Element Appearing More Than 25% In Sorted Array</t>
  </si>
  <si>
    <t>Iterator for Combination</t>
  </si>
  <si>
    <t>Design,Backtracking</t>
  </si>
  <si>
    <t>Find the Start and End Number of Continuous Ranges</t>
  </si>
  <si>
    <t>Minimum Number of Flips to Convert Binary Matrix to Zero Matrix</t>
  </si>
  <si>
    <t>Find the Smallest Divisor Given a Threshold</t>
  </si>
  <si>
    <t>AppDynamics,Walmart Labs,SAP,Amazon,Google,ByteDance,Salesforce,Expedia</t>
  </si>
  <si>
    <t>SAP,Salesforce,Google</t>
  </si>
  <si>
    <t>Walmart Labs,Amazon,ByteDance,AppDynamics,SAP,Salesforce,Google</t>
  </si>
  <si>
    <t>Expedia,Walmart Labs,Amazon,ByteDance,AppDynamics,SAP,Salesforce,Google</t>
  </si>
  <si>
    <t>Group the People Given the Group Size They Belong To</t>
  </si>
  <si>
    <t>Subtract the Product and Sum of Digits of an Integer</t>
  </si>
  <si>
    <t>Quora,Uber,Google</t>
  </si>
  <si>
    <t>Quora,Uber</t>
  </si>
  <si>
    <t>Google,Quora,Uber</t>
  </si>
  <si>
    <t>Students and Examinations</t>
  </si>
  <si>
    <t>Palindrome Partitioning III</t>
  </si>
  <si>
    <t>Apple,Uber</t>
  </si>
  <si>
    <t>Uber,Apple</t>
  </si>
  <si>
    <t>Count Square Submatrices with All Ones</t>
  </si>
  <si>
    <t>Dynamic Programming,Array</t>
  </si>
  <si>
    <t>Number of Burgers with No Waste of Ingredients</t>
  </si>
  <si>
    <t>Delivery Hero,DeliveryHero</t>
  </si>
  <si>
    <t>Delivery Hero</t>
  </si>
  <si>
    <t>Find Winner on a Tic Tac Toe Game</t>
  </si>
  <si>
    <t>Apple,Zoho,Facebook,Amazon</t>
  </si>
  <si>
    <t>Amazon,Facebook,Apple</t>
  </si>
  <si>
    <t>Zoho,Amazon,Facebook,Apple</t>
  </si>
  <si>
    <t>Number of Ships in a Rectangle</t>
  </si>
  <si>
    <t>Divide and Conquer</t>
  </si>
  <si>
    <t>Delete Tree Nodes</t>
  </si>
  <si>
    <t>Depth First Search,Dynamic Programming</t>
  </si>
  <si>
    <t>Remove Interval</t>
  </si>
  <si>
    <t>Line Sweep,Math</t>
  </si>
  <si>
    <t>Hexspeak</t>
  </si>
  <si>
    <t>All People Report to the Given Manager</t>
  </si>
  <si>
    <t>Number of Ways to Stay in the Same Place After Some Steps</t>
  </si>
  <si>
    <t>Search Suggestions System</t>
  </si>
  <si>
    <t>Count Servers that Communicate</t>
  </si>
  <si>
    <t>Graph,Array</t>
  </si>
  <si>
    <t>Minimum Time Visiting All Points</t>
  </si>
  <si>
    <t>Geometry,Array</t>
  </si>
  <si>
    <t>Bloomberg,Facebook,Media.net,Amazon</t>
  </si>
  <si>
    <t>Bloomberg,Amazon,Facebook</t>
  </si>
  <si>
    <t>Media.net,Bloomberg,Amazon,Facebook</t>
  </si>
  <si>
    <t>Print Immutable Linked List in Reverse</t>
  </si>
  <si>
    <t>Page Recommendations</t>
  </si>
  <si>
    <t>Minimum Moves to Move a Box to Their Target Location</t>
  </si>
  <si>
    <t>Greatest Sum Divisible by Three</t>
  </si>
  <si>
    <t>Facebook,DE Shaw,ByteDance</t>
  </si>
  <si>
    <t>ByteDance,DE Shaw,Facebook</t>
  </si>
  <si>
    <t>Find Elements in a Contaminated Binary Tree</t>
  </si>
  <si>
    <t>Shift 2D Grid</t>
  </si>
  <si>
    <t>Handshakes That Don't Cross</t>
  </si>
  <si>
    <t>Synonymous Sentences</t>
  </si>
  <si>
    <t>Amazon,Cruise Automation</t>
  </si>
  <si>
    <t>Cruise Automation,Amazon</t>
  </si>
  <si>
    <t>Smallest Common Region</t>
  </si>
  <si>
    <t>Encode Number</t>
  </si>
  <si>
    <t>Bit Manipulation,Math</t>
  </si>
  <si>
    <t>Maximum Score Words Formed by Letters</t>
  </si>
  <si>
    <t>Number of Closed Islands</t>
  </si>
  <si>
    <t>Coupang,Oracle,Apple,Uber,Facebook,Amazon,Google</t>
  </si>
  <si>
    <t>Google,Amazon,Oracle,Coupang,Uber</t>
  </si>
  <si>
    <t>Facebook,Apple,Google,Amazon,Oracle,Coupang,Uber</t>
  </si>
  <si>
    <t>Reconstruct a 2-Row Binary Matrix</t>
  </si>
  <si>
    <t>Grab</t>
  </si>
  <si>
    <t>Cells with Odd Values in a Matrix</t>
  </si>
  <si>
    <t>Average Selling Price</t>
  </si>
  <si>
    <t>Check If It Is a Good Array</t>
  </si>
  <si>
    <t>Dropbox</t>
  </si>
  <si>
    <t>Minimum Remove to Make Valid Parentheses</t>
  </si>
  <si>
    <t>ByteDance,Uber,LinkedIn,Goldman Sachs,Bloomberg,Facebook,Amazon,Microsoft</t>
  </si>
  <si>
    <t>Facebook,ByteDance,Bloomberg,Amazon,Goldman Sachs,LinkedIn</t>
  </si>
  <si>
    <t>Microsoft,Facebook,ByteDance,Bloomberg,Amazon,Goldman Sachs,LinkedIn</t>
  </si>
  <si>
    <t>Uber,Microsoft,Facebook,ByteDance,Bloomberg,Amazon,Goldman Sachs,LinkedIn</t>
  </si>
  <si>
    <t>Count Number of Nice Subarrays</t>
  </si>
  <si>
    <t>Citadel,Roblox,Amazon</t>
  </si>
  <si>
    <t>Citadel</t>
  </si>
  <si>
    <t>Roblox,Amazon,Citadel</t>
  </si>
  <si>
    <t>Minimum Swaps to Make Strings Equal</t>
  </si>
  <si>
    <t>JPMorgan,JP Morgan Chase,Amazon</t>
  </si>
  <si>
    <t>JP Morgan Chase,JPMorgan,Amazon</t>
  </si>
  <si>
    <t>Palindrome Removal</t>
  </si>
  <si>
    <t>Tree Diameter</t>
  </si>
  <si>
    <t>Amazon,Facebook,Google</t>
  </si>
  <si>
    <t>Facebook,Google,Amazon</t>
  </si>
  <si>
    <t>Design A Leaderboard</t>
  </si>
  <si>
    <t>Design,Sort,Hash Table</t>
  </si>
  <si>
    <t>Oracle,Amazon,Google,Wayfair,Bloomberg</t>
  </si>
  <si>
    <t>Amazon,Bloomberg,Google</t>
  </si>
  <si>
    <t>Oracle,Wayfair,Amazon,Bloomberg,Google</t>
  </si>
  <si>
    <t>Array Transformation</t>
  </si>
  <si>
    <t>Number of Comments per Post</t>
  </si>
  <si>
    <t>Tiling a Rectangle with the Fewest Squares</t>
  </si>
  <si>
    <t>Maximum Length of a Concatenated String with Unique Characters</t>
  </si>
  <si>
    <t>Bit Manipulation,Backtracking</t>
  </si>
  <si>
    <t>DiDi,Tesla,Oracle,Amazon,Honey,Microsoft</t>
  </si>
  <si>
    <t>Tesla,Microsoft,Oracle,DiDi</t>
  </si>
  <si>
    <t>Amazon,Tesla,Microsoft,Oracle,DiDi</t>
  </si>
  <si>
    <t>Honey,Amazon,Tesla,Microsoft,Oracle,DiDi</t>
  </si>
  <si>
    <t>Circular Permutation in Binary Representation</t>
  </si>
  <si>
    <t>Walmart Labs,Walmart</t>
  </si>
  <si>
    <t>Walmart,Walmart Labs</t>
  </si>
  <si>
    <t>Find Positive Integer Solution for a Given Equation</t>
  </si>
  <si>
    <t>Web Crawler</t>
  </si>
  <si>
    <t>GoDaddy,Google,Dropbox,Oracle,Facebook,Amazon,Microsoft</t>
  </si>
  <si>
    <t>Microsoft,Google,GoDaddy,Amazon</t>
  </si>
  <si>
    <t>Oracle,Dropbox,Facebook,Microsoft,Google,GoDaddy,Amazon</t>
  </si>
  <si>
    <t>Maximum Profit in Job Scheduling</t>
  </si>
  <si>
    <t>Sort,Dynamic Programming,Binary Search</t>
  </si>
  <si>
    <t>Dunzo,Arista Networks,DoorDash,Atlassian,ByteDance,Cisco,Bloomberg,Amazon,LinkedIn,Microsoft,Goldman Sachs,Pony.ai,Airbnb,Google</t>
  </si>
  <si>
    <t>LinkedIn,Amazon,DoorDash,ByteDance,Cisco,Arista Networks,Bloomberg,Dunzo</t>
  </si>
  <si>
    <t>Google,Goldman Sachs,Atlassian,LinkedIn,Amazon,DoorDash,ByteDance,Cisco,Arista Networks,Bloomberg,Dunzo</t>
  </si>
  <si>
    <t>Airbnb,Microsoft,Pony.ai,Google,Goldman Sachs,Atlassian,LinkedIn,Amazon,DoorDash,ByteDance,Cisco,Arista Networks,Bloomberg,Dunzo</t>
  </si>
  <si>
    <t>Replace the Substring for Balanced String</t>
  </si>
  <si>
    <t>String,Two Pointers</t>
  </si>
  <si>
    <t>Accolite</t>
  </si>
  <si>
    <t>Remove Sub-Folders from the Filesystem</t>
  </si>
  <si>
    <t>Apple,Facebook,Amazon,Google</t>
  </si>
  <si>
    <t>Amazon,Apple,Facebook</t>
  </si>
  <si>
    <t>Google,Amazon,Apple,Facebook</t>
  </si>
  <si>
    <t>Check If It Is a Straight Line</t>
  </si>
  <si>
    <t>Geometry,Math,Array</t>
  </si>
  <si>
    <t>Palantir Technologies,Palantir</t>
  </si>
  <si>
    <t>Palantir Technologies</t>
  </si>
  <si>
    <t>Divide Chocolate</t>
  </si>
  <si>
    <t>Greedy,Binary Search</t>
  </si>
  <si>
    <t>Toss Strange Coins</t>
  </si>
  <si>
    <t>Meeting Scheduler</t>
  </si>
  <si>
    <t>Sort,Two Pointers,Line Sweep</t>
  </si>
  <si>
    <t>Oracle,Bloomberg,Microsoft,Pramp,DoorDash,Paypal,Apple,Uber,Amazon,Google</t>
  </si>
  <si>
    <t>Amazon,DoorDash,Apple</t>
  </si>
  <si>
    <t>Google,Microsoft,Amazon,DoorDash,Apple</t>
  </si>
  <si>
    <t>Uber,Oracle,Bloomberg,Paypal,Pramp,Google,Microsoft,Amazon,DoorDash,Apple</t>
  </si>
  <si>
    <t>Missing Number In Arithmetic Progression</t>
  </si>
  <si>
    <t>Airplane Seat Assignment Probability</t>
  </si>
  <si>
    <t>Brainteaser,Dynamic Programming,Math</t>
  </si>
  <si>
    <t>Uber,Microstrategy</t>
  </si>
  <si>
    <t>Report Contiguous Dates</t>
  </si>
  <si>
    <t>Maximum Equal Frequency</t>
  </si>
  <si>
    <t>Dice Roll Simulation</t>
  </si>
  <si>
    <t>Codenation,Citrix,Adobe,Akuna Capital,Atlassian,Bloomberg,Google</t>
  </si>
  <si>
    <t>Google,Akuna Capital,Atlassian,Adobe,Citrix,Codenation</t>
  </si>
  <si>
    <t>Bloomberg,Google,Akuna Capital,Atlassian,Adobe,Citrix,Codenation</t>
  </si>
  <si>
    <t>Queens That Can Attack the King</t>
  </si>
  <si>
    <t>Media.net</t>
  </si>
  <si>
    <t>Split a String in Balanced Strings</t>
  </si>
  <si>
    <t>Walmart Labs,Bloomberg,Amazon,Apple</t>
  </si>
  <si>
    <t>Bloomberg,Walmart Labs</t>
  </si>
  <si>
    <t>Apple,Amazon,Bloomberg,Walmart Labs</t>
  </si>
  <si>
    <t>Count Vowels Permutation</t>
  </si>
  <si>
    <t>Swiggy,Paypal,Adobe,C3.ai</t>
  </si>
  <si>
    <t>Paypal,Swiggy</t>
  </si>
  <si>
    <t>Adobe,C3.ai,Paypal,Swiggy</t>
  </si>
  <si>
    <t>Path with Maximum Gold</t>
  </si>
  <si>
    <t>Goldman Sachs,Facebook,Amazon,Google</t>
  </si>
  <si>
    <t>Google,Goldman Sachs</t>
  </si>
  <si>
    <t>Amazon,Google,Goldman Sachs</t>
  </si>
  <si>
    <t>Facebook,Amazon,Google,Goldman Sachs</t>
  </si>
  <si>
    <t>Longest Arithmetic Subsequence of Given Difference</t>
  </si>
  <si>
    <t>Hash Table,Dynamic Programming,Math</t>
  </si>
  <si>
    <t>Minimum Cost to Move Chips to The Same Position</t>
  </si>
  <si>
    <t>Morgan Stanley</t>
  </si>
  <si>
    <t>Valid Palindrome III</t>
  </si>
  <si>
    <t>Stepping Numbers</t>
  </si>
  <si>
    <t>Epic Systems,Amazon</t>
  </si>
  <si>
    <t>Amazon,Epic Systems</t>
  </si>
  <si>
    <t>Two Sum BSTs</t>
  </si>
  <si>
    <t>Intersection of Three Sorted Arrays</t>
  </si>
  <si>
    <t>Two Pointers,Hash Table</t>
  </si>
  <si>
    <t>TripAdvisor,Facebook</t>
  </si>
  <si>
    <t>Team Scores in Football Tournament</t>
  </si>
  <si>
    <t>Wayfair,Oracle</t>
  </si>
  <si>
    <t>Oracle,Wayfair</t>
  </si>
  <si>
    <t>Queries Quality and Percentage</t>
  </si>
  <si>
    <t>Minimum Moves to Reach Target with Rotations</t>
  </si>
  <si>
    <t>Kakao</t>
  </si>
  <si>
    <t>Remove All Adjacent Duplicates in String II</t>
  </si>
  <si>
    <t>Roblox,Amazon,Microsoft,Goldman Sachs,FactSet,VMware,Bloomberg,Facebook,Google</t>
  </si>
  <si>
    <t>Bloomberg,Roblox,Facebook,Amazon,Google,Microsoft</t>
  </si>
  <si>
    <t>Goldman Sachs,Bloomberg,Roblox,Facebook,Amazon,Google,Microsoft</t>
  </si>
  <si>
    <t>VMware,FactSet,Goldman Sachs,Bloomberg,Roblox,Facebook,Amazon,Google,Microsoft</t>
  </si>
  <si>
    <t>Get Equal Substrings Within Budget</t>
  </si>
  <si>
    <t>Traveloka</t>
  </si>
  <si>
    <t>Unique Number of Occurrences</t>
  </si>
  <si>
    <t>Design Skiplist</t>
  </si>
  <si>
    <t>Pure Storage,Twitter,EBay,Microsoft,Google</t>
  </si>
  <si>
    <t>Google,Twitter,Pure Storage,eBay,Microsoft</t>
  </si>
  <si>
    <t>Monthly Transactions II</t>
  </si>
  <si>
    <t>Last Person to Fit in the Elevator</t>
  </si>
  <si>
    <t>Sort Items by Groups Respecting Dependencies</t>
  </si>
  <si>
    <t>Topological Sort,Graph,Depth First Search</t>
  </si>
  <si>
    <t>Smallest String With Swaps</t>
  </si>
  <si>
    <t>Union Find,Array</t>
  </si>
  <si>
    <t>PhonePe,Citrix,PHONEPE,ByteDance,Amazon</t>
  </si>
  <si>
    <t>ByteDance,Amazon,PhonePe,Citrix</t>
  </si>
  <si>
    <t>Ugly Number III</t>
  </si>
  <si>
    <t>Minimum Absolute Difference</t>
  </si>
  <si>
    <t>Uber,SAP,Bloomberg,Microsoft,Audible</t>
  </si>
  <si>
    <t>Microsoft,Uber</t>
  </si>
  <si>
    <t>SAP,Bloomberg,Microsoft,Uber</t>
  </si>
  <si>
    <t>Audible,SAP,Bloomberg,Microsoft,Uber</t>
  </si>
  <si>
    <t>Minimum Time to Build Blocks</t>
  </si>
  <si>
    <t>Find Smallest Common Element in All Rows</t>
  </si>
  <si>
    <t>Binary Search,Hash Table</t>
  </si>
  <si>
    <t>Qualtrics,Amazon,Microsoft</t>
  </si>
  <si>
    <t>Qualtrics</t>
  </si>
  <si>
    <t>Amazon,Microsoft,Qualtrics</t>
  </si>
  <si>
    <t>Minimum Knight Moves</t>
  </si>
  <si>
    <t>Indeed,DoorDash,Qualtrics,ByteDance,Expedia,Cisco,Mathworks,Oracle,Apple,Facebook,Amazon,Microsoft,Google</t>
  </si>
  <si>
    <t>Expedia,DoorDash,Facebook,Mathworks,Amazon,Google,Indeed,Microsoft,ByteDance,Qualtrics,Cisco</t>
  </si>
  <si>
    <t>Apple,Expedia,DoorDash,Facebook,Mathworks,Amazon,Google,Indeed,Microsoft,ByteDance,Qualtrics,Cisco</t>
  </si>
  <si>
    <t>Oracle,Apple,Expedia,DoorDash,Facebook,Mathworks,Amazon,Google,Indeed,Microsoft,ByteDance,Qualtrics,Cisco</t>
  </si>
  <si>
    <t>How Many Apples Can You Put into the Basket</t>
  </si>
  <si>
    <t>Tournament Winners</t>
  </si>
  <si>
    <t>Monthly Transactions I</t>
  </si>
  <si>
    <t>Wayfair,Wish</t>
  </si>
  <si>
    <t>Critical Connections in a Network</t>
  </si>
  <si>
    <t>VMware,Adobe,Amazon,Microsoft,Google</t>
  </si>
  <si>
    <t>Google,VMware,Amazon,Adobe</t>
  </si>
  <si>
    <t>Microsoft,Google,VMware,Amazon,Adobe</t>
  </si>
  <si>
    <t>K-Concatenation Maximum Sum</t>
  </si>
  <si>
    <t>Reverse Substrings Between Each Pair of Parentheses</t>
  </si>
  <si>
    <t>Postmates,Oracle,Amazon,Microsoft,Adobe</t>
  </si>
  <si>
    <t>Postmates,Amazon,Oracle</t>
  </si>
  <si>
    <t>Microsoft,Adobe,Postmates,Amazon,Oracle</t>
  </si>
  <si>
    <t>Maximum Number of Balloons</t>
  </si>
  <si>
    <t>Microsoft,Tesla,Wayfair</t>
  </si>
  <si>
    <t>Wayfair,Tesla,Microsoft</t>
  </si>
  <si>
    <t>Make Array Strictly Increasing</t>
  </si>
  <si>
    <t>Maximum Subarray Sum with One Deletion</t>
  </si>
  <si>
    <t>Goldman Sachs,Two Sigma</t>
  </si>
  <si>
    <t>Two Sigma,Goldman Sachs</t>
  </si>
  <si>
    <t>Day of the Week</t>
  </si>
  <si>
    <t>United Health Group,Microsoft</t>
  </si>
  <si>
    <t>Microsoft,United Health Group</t>
  </si>
  <si>
    <t>Distance Between Bus Stops</t>
  </si>
  <si>
    <t>Maximum Number of Ones</t>
  </si>
  <si>
    <t>Sort,Math</t>
  </si>
  <si>
    <t>Qualcomm</t>
  </si>
  <si>
    <t>Shortest Distance to Target Color</t>
  </si>
  <si>
    <t>Before and After Puzzle</t>
  </si>
  <si>
    <t>Clutter</t>
  </si>
  <si>
    <t>Count Substrings with Only One Distinct Letter</t>
  </si>
  <si>
    <t>Reformat Department Table</t>
  </si>
  <si>
    <t>Number of Valid Words for Each Puzzle</t>
  </si>
  <si>
    <t>Bit Manipulation,Hash Table</t>
  </si>
  <si>
    <t>Can Make Palindrome from Substring</t>
  </si>
  <si>
    <t>SAP,Amazon,Akuna Capital</t>
  </si>
  <si>
    <t>Akuna Capital,Amazon,SAP</t>
  </si>
  <si>
    <t>Diet Plan Performance</t>
  </si>
  <si>
    <t>Prime Arrangements</t>
  </si>
  <si>
    <t>Infosys,Amazon</t>
  </si>
  <si>
    <t>Amazon,Infosys</t>
  </si>
  <si>
    <t>Immediate Food Delivery II</t>
  </si>
  <si>
    <t>Immediate Food Delivery I</t>
  </si>
  <si>
    <t>Dinner Plate Stacks</t>
  </si>
  <si>
    <t>ByteDance,Amazon</t>
  </si>
  <si>
    <t>ByteDance</t>
  </si>
  <si>
    <t>Remove Zero Sum Consecutive Nodes from Linked List</t>
  </si>
  <si>
    <t>Compare Strings by Frequency of the Smallest Character</t>
  </si>
  <si>
    <t>Binary Search,String,Array</t>
  </si>
  <si>
    <t>Amazon,Oracle,Google</t>
  </si>
  <si>
    <t>Oracle,Amazon,Google</t>
  </si>
  <si>
    <t>Invalid Transactions</t>
  </si>
  <si>
    <t>Optimize Water Distribution in a Village</t>
  </si>
  <si>
    <t>Graph,Union Find</t>
  </si>
  <si>
    <t>Facebook,Yahoo,Google</t>
  </si>
  <si>
    <t>Google,Facebook,Yahoo</t>
  </si>
  <si>
    <t>Minimum Cost to Connect Sticks</t>
  </si>
  <si>
    <t>Design File System</t>
  </si>
  <si>
    <t>Google,Airbnb,Amazon</t>
  </si>
  <si>
    <t>Airbnb,Google,Amazon</t>
  </si>
  <si>
    <t>Single-Row Keyboard</t>
  </si>
  <si>
    <t>Product Price at a Given Date</t>
  </si>
  <si>
    <t>Last Substring in Lexicographical Order</t>
  </si>
  <si>
    <t>Suffix Array,String</t>
  </si>
  <si>
    <t>Salesforce,Visa,Goldman Sachs,Two Sigma,Roblox,Mathworks</t>
  </si>
  <si>
    <t>Goldman Sachs,Salesforce</t>
  </si>
  <si>
    <t>Roblox,Mathworks,Visa,Goldman Sachs,Salesforce</t>
  </si>
  <si>
    <t>Two Sigma,Roblox,Mathworks,Visa,Goldman Sachs,Salesforce</t>
  </si>
  <si>
    <t>As Far from Land as Possible</t>
  </si>
  <si>
    <t>UiPath,Facebook,Google,Uipath,Amazon</t>
  </si>
  <si>
    <t>Amazon,UiPath,Facebook,Google</t>
  </si>
  <si>
    <t>Maximum Level Sum of a Binary Tree</t>
  </si>
  <si>
    <t>Breadth First Search,Tree,Graph</t>
  </si>
  <si>
    <t>Find Words That Can Be Formed by Characters</t>
  </si>
  <si>
    <t>Market Analysis II</t>
  </si>
  <si>
    <t>Poshmark</t>
  </si>
  <si>
    <t>Market Analysis I</t>
  </si>
  <si>
    <t>Online Majority Element In Subarray</t>
  </si>
  <si>
    <t>Segment Tree,Binary Search,Array</t>
  </si>
  <si>
    <t>Nutanix,Google</t>
  </si>
  <si>
    <t>Google,Nutanix</t>
  </si>
  <si>
    <t>Swap For Longest Repeated Character Substring</t>
  </si>
  <si>
    <t>Nutanix,Microsoft</t>
  </si>
  <si>
    <t>Number of Dice Rolls With Target Sum</t>
  </si>
  <si>
    <t>ByteDance,Bloomberg,Amazon,Microsoft,Google</t>
  </si>
  <si>
    <t>Amazon,Microsoft,ByteDance</t>
  </si>
  <si>
    <t>Bloomberg,Google,Amazon,Microsoft,ByteDance</t>
  </si>
  <si>
    <t>Day of the Year</t>
  </si>
  <si>
    <t>ZScaler,Zscaler</t>
  </si>
  <si>
    <t>ZScaler</t>
  </si>
  <si>
    <t>String Transforms Into Another String</t>
  </si>
  <si>
    <t>ByteDance,Amazon,Google</t>
  </si>
  <si>
    <t>Amazon,Google,ByteDance</t>
  </si>
  <si>
    <t>Analyze User Website Visit Pattern</t>
  </si>
  <si>
    <t>DoorDash,Wish,Spotify,Apple,Amazon</t>
  </si>
  <si>
    <t>Amazon,DoorDash,Spotify</t>
  </si>
  <si>
    <t>Wish,Amazon,DoorDash,Spotify</t>
  </si>
  <si>
    <t>Apple,Wish,Amazon,DoorDash,Spotify</t>
  </si>
  <si>
    <t>Minimum Swaps to Group All 1's Together</t>
  </si>
  <si>
    <t>Twitter,IBM,Expedia</t>
  </si>
  <si>
    <t>IBM,Twitter</t>
  </si>
  <si>
    <t>Expedia,IBM,Twitter</t>
  </si>
  <si>
    <t>Check If a Number Is Majority Element in a Sorted Array</t>
  </si>
  <si>
    <t>Article Views II</t>
  </si>
  <si>
    <t>Article Views I</t>
  </si>
  <si>
    <t>Longest Chunked Palindrome Decomposition</t>
  </si>
  <si>
    <t>Rolling Hash,Dynamic Programming</t>
  </si>
  <si>
    <t>Snapshot Array</t>
  </si>
  <si>
    <t>EBay,Microsoft,Snapchat,Apple,Uber,Facebook,Amazon,Google</t>
  </si>
  <si>
    <t>Amazon,Uber,eBay,Microsoft,Google,Facebook</t>
  </si>
  <si>
    <t>Snapchat,Apple,Amazon,Uber,eBay,Microsoft,Google,Facebook</t>
  </si>
  <si>
    <t>Binary Tree Coloring Game</t>
  </si>
  <si>
    <t>Bloomberg,Microsoft,Google</t>
  </si>
  <si>
    <t>Microsoft,Google,Bloomberg</t>
  </si>
  <si>
    <t>Decrease Elements To Make Array Zigzag</t>
  </si>
  <si>
    <t>Longest Common Subsequence</t>
  </si>
  <si>
    <t>Indeed,EBay,Uber,Morgan Stanley,Facebook,ByteDance,Tencent,Amazon,Microsoft,Google</t>
  </si>
  <si>
    <t>Amazon,Microsoft,Facebook,eBay</t>
  </si>
  <si>
    <t>Google,ByteDance,Morgan Stanley,Tencent,Amazon,Microsoft,Facebook,eBay</t>
  </si>
  <si>
    <t>Uber,Indeed,Google,ByteDance,Morgan Stanley,Tencent,Amazon,Microsoft,Facebook,eBay</t>
  </si>
  <si>
    <t>User Activity for the Past 30 Days II</t>
  </si>
  <si>
    <t>Zoom,Facebook</t>
  </si>
  <si>
    <t>Facebook,Zoom</t>
  </si>
  <si>
    <t>User Activity for the Past 30 Days I</t>
  </si>
  <si>
    <t>Zoom</t>
  </si>
  <si>
    <t>Stone Game II</t>
  </si>
  <si>
    <t>ByteDance(Toutiao),Google</t>
  </si>
  <si>
    <t>Largest 1-Bordered Square</t>
  </si>
  <si>
    <t>Samsung,Amazon</t>
  </si>
  <si>
    <t>Alphabet Board Path</t>
  </si>
  <si>
    <t>Amazon,Zulily,Google</t>
  </si>
  <si>
    <t>Zulily,Google,Amazon</t>
  </si>
  <si>
    <t>N-th Tribonacci Number</t>
  </si>
  <si>
    <t>Recursion</t>
  </si>
  <si>
    <t>Uber,Amazon,Coursera,Facebook</t>
  </si>
  <si>
    <t>Amazon,Uber,Coursera,Facebook</t>
  </si>
  <si>
    <t>Parallel Courses</t>
  </si>
  <si>
    <t>Graph,Depth First Search,Dynamic Programming</t>
  </si>
  <si>
    <t>Twitch,Uber,Microsoft,Google</t>
  </si>
  <si>
    <t>Google,Uber</t>
  </si>
  <si>
    <t>Twitch,Google,Uber</t>
  </si>
  <si>
    <t>Microsoft,Twitch,Google,Uber</t>
  </si>
  <si>
    <t>Connecting Cities With Minimum Cost</t>
  </si>
  <si>
    <t>Google,Uber,Amazon</t>
  </si>
  <si>
    <t>Google,Amazon,Uber</t>
  </si>
  <si>
    <t>Armstrong Number</t>
  </si>
  <si>
    <t>Largest Unique Number</t>
  </si>
  <si>
    <t>Reported Posts II</t>
  </si>
  <si>
    <t>Maximum of Absolute Value Expression</t>
  </si>
  <si>
    <t>Minimum Cost Tree From Leaf Values</t>
  </si>
  <si>
    <t>Tree,Stack,Dynamic Programming</t>
  </si>
  <si>
    <t>Bloomberg,Mathworks,Amazon</t>
  </si>
  <si>
    <t>Mathworks,Bloomberg,Amazon</t>
  </si>
  <si>
    <t>Shortest Path with Alternating Colors</t>
  </si>
  <si>
    <t>Wish,Amazon</t>
  </si>
  <si>
    <t>Number of Equivalent Domino Pairs</t>
  </si>
  <si>
    <t>User Purchase Platform</t>
  </si>
  <si>
    <t>Active Businesses</t>
  </si>
  <si>
    <t>Smallest Sufficient Team</t>
  </si>
  <si>
    <t>Longest Well-Performing Interval</t>
  </si>
  <si>
    <t>Adobe,Infosys</t>
  </si>
  <si>
    <t>Infosys,Adobe</t>
  </si>
  <si>
    <t>Lowest Common Ancestor of Deepest Leaves</t>
  </si>
  <si>
    <t>Bloomberg,Facebook,Google</t>
  </si>
  <si>
    <t>Google,Bloomberg,Facebook</t>
  </si>
  <si>
    <t>Relative Sort Array</t>
  </si>
  <si>
    <t>Adobe,DE Shaw,EBay,Amazon,Microsoft,Google</t>
  </si>
  <si>
    <t>Google,Microsoft,Adobe,eBay,DE Shaw,Amazon</t>
  </si>
  <si>
    <t>Divide Array Into Increasing Sequences</t>
  </si>
  <si>
    <t>Maximum Average Subtree</t>
  </si>
  <si>
    <t>Facebook,Atlassian,Amazon</t>
  </si>
  <si>
    <t>Atlassian,Amazon,Facebook</t>
  </si>
  <si>
    <t>Remove Vowels from a String</t>
  </si>
  <si>
    <t>Number of Days in a Month</t>
  </si>
  <si>
    <t>Reported Posts</t>
  </si>
  <si>
    <t>Highest Grade For Each Student</t>
  </si>
  <si>
    <t>Coursera</t>
  </si>
  <si>
    <t>Maximum Nesting Depth of Two Valid Parentheses Strings</t>
  </si>
  <si>
    <t>Facebook,Bloomreach</t>
  </si>
  <si>
    <t>Delete Nodes And Return Forest</t>
  </si>
  <si>
    <t>Salesforce,Facebook,Amazon,Google</t>
  </si>
  <si>
    <t>Google,Amazon,Facebook,Salesforce</t>
  </si>
  <si>
    <t>Corporate Flight Bookings</t>
  </si>
  <si>
    <t>Defanging an IP Address</t>
  </si>
  <si>
    <t>Apple,Yahoo,Adobe,Facebook,Amazon,Google</t>
  </si>
  <si>
    <t>Amazon,Apple,Yahoo,Adobe</t>
  </si>
  <si>
    <t>Facebook,Google,Amazon,Apple,Yahoo,Adobe</t>
  </si>
  <si>
    <t>New Users Daily Count</t>
  </si>
  <si>
    <t>LinkedIn,Amazon</t>
  </si>
  <si>
    <t>Parsing A Boolean Expression</t>
  </si>
  <si>
    <t>Affinity</t>
  </si>
  <si>
    <t>Filling Bookcase Shelves</t>
  </si>
  <si>
    <t>Bloomberg,Google,Amazon</t>
  </si>
  <si>
    <t>Path In Zigzag Labelled Binary Tree</t>
  </si>
  <si>
    <t>Tree,Math</t>
  </si>
  <si>
    <t>Bloomberg,Amazon,Microsoft</t>
  </si>
  <si>
    <t>Amazon,Microsoft,Bloomberg</t>
  </si>
  <si>
    <t>Distribute Candies to People</t>
  </si>
  <si>
    <t>Path With Maximum Minimum Value</t>
  </si>
  <si>
    <t>Graph,Union Find,Depth First Search</t>
  </si>
  <si>
    <t>The Earliest Moment When Everyone Become Friends</t>
  </si>
  <si>
    <t>Google,Expedia</t>
  </si>
  <si>
    <t>Expedia,Google</t>
  </si>
  <si>
    <t>Find K-Length Substrings With No Repeated Characters</t>
  </si>
  <si>
    <t>Two Sum Less Than K</t>
  </si>
  <si>
    <t>Sort,Two Pointers,Array</t>
  </si>
  <si>
    <t>Unpopular Books</t>
  </si>
  <si>
    <t>Game Play Analysis V</t>
  </si>
  <si>
    <t>GSN Games</t>
  </si>
  <si>
    <t>Brace Expansion II</t>
  </si>
  <si>
    <t>Find in Mountain Array</t>
  </si>
  <si>
    <t>Quora,Bloomberg,Apple,Google</t>
  </si>
  <si>
    <t>Bloomberg,Apple,Google,Quora</t>
  </si>
  <si>
    <t>Car Pooling</t>
  </si>
  <si>
    <t>Microsoft,Lyft,Facebook,Amazon</t>
  </si>
  <si>
    <t>Amazon,Lyft,Facebook,Microsoft</t>
  </si>
  <si>
    <t>Statistics from a Large Sample</t>
  </si>
  <si>
    <t>Two Pointers,Math</t>
  </si>
  <si>
    <t>Shortest Common Supersequence</t>
  </si>
  <si>
    <t>Shortest Path in Binary Matrix</t>
  </si>
  <si>
    <t>Snapchat,Citadel,Paypal,Oracle,Uber,Facebook,Amazon,Microsoft,Google</t>
  </si>
  <si>
    <t>Amazon,Google,Facebook,Oracle,Snapchat</t>
  </si>
  <si>
    <t>Microsoft,Paypal,Amazon,Google,Facebook,Oracle,Snapchat</t>
  </si>
  <si>
    <t>Uber,Citadel,Microsoft,Paypal,Amazon,Google,Facebook,Oracle,Snapchat</t>
  </si>
  <si>
    <t>Largest Values From Labels</t>
  </si>
  <si>
    <t>Greedy,Hash Table</t>
  </si>
  <si>
    <t>Duplicate Zeros</t>
  </si>
  <si>
    <t>Confusing Number II</t>
  </si>
  <si>
    <t>Brace Expansion</t>
  </si>
  <si>
    <t>High Five</t>
  </si>
  <si>
    <t>Sum of Digits in the Minimum Number</t>
  </si>
  <si>
    <t>Sales Analysis III</t>
  </si>
  <si>
    <t>Sales Analysis II</t>
  </si>
  <si>
    <t>Sales Analysis I</t>
  </si>
  <si>
    <t>Smallest Subsequence of Distinct Characters</t>
  </si>
  <si>
    <t>Greedy,Stack,String</t>
  </si>
  <si>
    <t>ByteDance,Amazon,Google,FactSet</t>
  </si>
  <si>
    <t>Amazon,FactSet,Google,ByteDance</t>
  </si>
  <si>
    <t>Insufficient Nodes in Root to Leaf Paths</t>
  </si>
  <si>
    <t>Letter Tile Possibilities</t>
  </si>
  <si>
    <t>Bloomberg,Google,Microsoft</t>
  </si>
  <si>
    <t>Occurrences After Bigram</t>
  </si>
  <si>
    <t>Project Employees III</t>
  </si>
  <si>
    <t>Project Employees II</t>
  </si>
  <si>
    <t>Project Employees I</t>
  </si>
  <si>
    <t>Number of Submatrices That Sum to Target</t>
  </si>
  <si>
    <t>Adding Two Negabinary Numbers</t>
  </si>
  <si>
    <t>Flip Columns For Maximum Number of Equal Rows</t>
  </si>
  <si>
    <t>Greatest Common Divisor of Strings</t>
  </si>
  <si>
    <t>Visa,Amazon,Atlassian,Capital One</t>
  </si>
  <si>
    <t>Amazon,Atlassian,Visa</t>
  </si>
  <si>
    <t>Capital One,Amazon,Atlassian,Visa</t>
  </si>
  <si>
    <t>Product Sales Analysis III</t>
  </si>
  <si>
    <t>Product Sales Analysis II</t>
  </si>
  <si>
    <t>Product Sales Analysis I</t>
  </si>
  <si>
    <t>Digit Count in Range</t>
  </si>
  <si>
    <t>EBay,Amazon</t>
  </si>
  <si>
    <t>eBay,Amazon</t>
  </si>
  <si>
    <t>Campus Bikes II</t>
  </si>
  <si>
    <t>Index Pairs of a String</t>
  </si>
  <si>
    <t>Trie,String</t>
  </si>
  <si>
    <t>Fixed Point</t>
  </si>
  <si>
    <t>Number of Valid Subarrays</t>
  </si>
  <si>
    <t>Hulu</t>
  </si>
  <si>
    <t>Longest Repeating Substring</t>
  </si>
  <si>
    <t>Facebook,Amazon,Microsoft,Google</t>
  </si>
  <si>
    <t>Amazon,Microsoft,Google,Facebook</t>
  </si>
  <si>
    <t>Lexicographically Smallest Equivalent String</t>
  </si>
  <si>
    <t>Missing Element in Sorted Array</t>
  </si>
  <si>
    <t>Microsoft,Lyft,Apple,Bloomberg,Facebook,Amazon,Google</t>
  </si>
  <si>
    <t>Google,Apple,Bloomberg,Facebook</t>
  </si>
  <si>
    <t>Amazon,Microsoft,Lyft,Google,Apple,Bloomberg,Facebook</t>
  </si>
  <si>
    <t>All Paths from Source Lead to Destination</t>
  </si>
  <si>
    <t>Graph,Depth First Search</t>
  </si>
  <si>
    <t>Bloomberg,Amazon,Google</t>
  </si>
  <si>
    <t>Google,Amazon,Bloomberg</t>
  </si>
  <si>
    <t>Minimize Rounding Error to Meet Target</t>
  </si>
  <si>
    <t>Greedy,Dynamic Programming,Math</t>
  </si>
  <si>
    <t>Microsoft,Airbnb</t>
  </si>
  <si>
    <t>Airbnb,Microsoft</t>
  </si>
  <si>
    <t>Campus Bikes</t>
  </si>
  <si>
    <t>ByteDance,Facebook,Amazon,Google</t>
  </si>
  <si>
    <t>Google,Amazon,ByteDance</t>
  </si>
  <si>
    <t>Facebook,Google,Amazon,ByteDance</t>
  </si>
  <si>
    <t>Confusing Number</t>
  </si>
  <si>
    <t>Shortest Way to Form String</t>
  </si>
  <si>
    <t>Distant Barcodes</t>
  </si>
  <si>
    <t>Sort,Heap</t>
  </si>
  <si>
    <t>Previous Permutation With One Swap</t>
  </si>
  <si>
    <t>Quora,Facebook,Microsoft</t>
  </si>
  <si>
    <t>Quora,Microsoft,Facebook</t>
  </si>
  <si>
    <t>Grumpy Bookstore Owner</t>
  </si>
  <si>
    <t>Robinhood,Uber,Nutanix</t>
  </si>
  <si>
    <t>Uber,Robinhood</t>
  </si>
  <si>
    <t>Nutanix,Uber,Robinhood</t>
  </si>
  <si>
    <t>Height Checker</t>
  </si>
  <si>
    <t>Adobe,Goldman Sachs,Salesforce,Amazon,Google</t>
  </si>
  <si>
    <t>Amazon,Google,Adobe,Salesforce,Goldman Sachs</t>
  </si>
  <si>
    <t>Actors and Directors Who Cooperated At Least Three Times</t>
  </si>
  <si>
    <t>Last Stone Weight II</t>
  </si>
  <si>
    <t>Longest String Chain</t>
  </si>
  <si>
    <t>Dynamic Programming,Hash Table</t>
  </si>
  <si>
    <t>Akuna Capital,Two Sigma,VMware,Citadel,SAP,Amazon,Google</t>
  </si>
  <si>
    <t>Two Sigma,Google</t>
  </si>
  <si>
    <t>Citadel,VMware,Amazon,Two Sigma,Google</t>
  </si>
  <si>
    <t>Akuna Capital,SAP,Citadel,VMware,Amazon,Two Sigma,Google</t>
  </si>
  <si>
    <t>Remove All Adjacent Duplicates In String</t>
  </si>
  <si>
    <t>ByteDance,Nvidia,Cisco,Microsoft,PayTM,Paypal,Oracle,Bloomberg,Facebook,Amazon,Google</t>
  </si>
  <si>
    <t>Facebook,Oracle,Amazon,Bloomberg</t>
  </si>
  <si>
    <t>Google,Nvidia,ByteDance,Facebook,Oracle,Amazon,Bloomberg</t>
  </si>
  <si>
    <t>Microsoft,Paypal,Cisco,PayTM,Google,Nvidia,ByteDance,Facebook,Oracle,Amazon,Bloomberg</t>
  </si>
  <si>
    <t>Last Stone Weight</t>
  </si>
  <si>
    <t>Customers Who Bought All Products</t>
  </si>
  <si>
    <t>Longest Duplicate Substring</t>
  </si>
  <si>
    <t>Suffix Array,Binary Search,Hash Table</t>
  </si>
  <si>
    <t>Google,Oracle,Apple,Amazon,Microsoft</t>
  </si>
  <si>
    <t>Amazon,Oracle,Apple,Microsoft,Google</t>
  </si>
  <si>
    <t>Partition Array for Maximum Sum</t>
  </si>
  <si>
    <t>Dynamic Programming,Graph</t>
  </si>
  <si>
    <t>Flower Planting With No Adjacent</t>
  </si>
  <si>
    <t>Robot Bounded In Circle</t>
  </si>
  <si>
    <t>Expedia,Adobe,Amazon,LinkedIn,Goldman Sachs,Google,Qualtrics,Paypal,Twitter,Airbnb</t>
  </si>
  <si>
    <t>Amazon,Goldman Sachs,Google,Expedia</t>
  </si>
  <si>
    <t>Adobe,Amazon,Goldman Sachs,Google,Expedia</t>
  </si>
  <si>
    <t>Paypal,Qualtrics,Twitter,LinkedIn,Airbnb,Adobe,Amazon,Goldman Sachs,Google,Expedia</t>
  </si>
  <si>
    <t>Moving Stones Until Consecutive II</t>
  </si>
  <si>
    <t>Minimum Score Triangulation of Polygon</t>
  </si>
  <si>
    <t>Binary Search Tree to Greater Sum Tree</t>
  </si>
  <si>
    <t>Recursion,Depth First Search,Tree,Binary Search Tree</t>
  </si>
  <si>
    <t>Bloomberg,Adobe,Facebook,Apple,Uber,Amazon,Microsoft</t>
  </si>
  <si>
    <t>Amazon,Bloomberg,Facebook</t>
  </si>
  <si>
    <t>Uber,Microsoft,Adobe,Apple,Amazon,Bloomberg,Facebook</t>
  </si>
  <si>
    <t>Valid Boomerang</t>
  </si>
  <si>
    <t>Escape a Large Maze</t>
  </si>
  <si>
    <t>UiPath,Uber,Facebook,Uipath,Google</t>
  </si>
  <si>
    <t>Uber,Google,Facebook,UiPath</t>
  </si>
  <si>
    <t>Uncrossed Lines</t>
  </si>
  <si>
    <t>Coloring A Border</t>
  </si>
  <si>
    <t>Booking.com,Amazon,Booking</t>
  </si>
  <si>
    <t>Amazon,Booking,Booking.com</t>
  </si>
  <si>
    <t>Moving Stones Until Consecutive</t>
  </si>
  <si>
    <t>Brainteaser</t>
  </si>
  <si>
    <t>Stream of Characters</t>
  </si>
  <si>
    <t>Trie</t>
  </si>
  <si>
    <t>Amazon,Google,Facebook</t>
  </si>
  <si>
    <t>Maximum Sum of Two Non-Overlapping Subarrays</t>
  </si>
  <si>
    <t>American Express,Grab,Snapchat,Facebook,Amazon,Google</t>
  </si>
  <si>
    <t>Google,Grab,Amazon</t>
  </si>
  <si>
    <t>Facebook,Snapchat,American Express,Google,Grab,Amazon</t>
  </si>
  <si>
    <t>Matrix Cells in Distance Order</t>
  </si>
  <si>
    <t>Yahoo</t>
  </si>
  <si>
    <t>Two City Scheduling</t>
  </si>
  <si>
    <t>Amazon,Google,Bloomberg</t>
  </si>
  <si>
    <t>Recover a Tree From Preorder Traversal</t>
  </si>
  <si>
    <t>Longest Arithmetic Subsequence</t>
  </si>
  <si>
    <t>C3 IoT,EBay,Uber,Snapdeal,Quora,Facebook,Amazon,Microsoft,Google</t>
  </si>
  <si>
    <t>Google,eBay,C3 IoT,Facebook,Uber</t>
  </si>
  <si>
    <t>Quora,Microsoft,Amazon,Snapdeal,Google,eBay,C3 IoT,Facebook,Uber</t>
  </si>
  <si>
    <t>Maximum Difference Between Node and Ancestor</t>
  </si>
  <si>
    <t>Divisor Game</t>
  </si>
  <si>
    <t>Yahoo,Bloomberg,Adobe,Amazon,Visa,Google</t>
  </si>
  <si>
    <t>Amazon,Adobe,Bloomberg</t>
  </si>
  <si>
    <t>Yahoo,Google,Visa,Amazon,Adobe,Bloomberg</t>
  </si>
  <si>
    <t>Video Stitching</t>
  </si>
  <si>
    <t>Camelcase Matching</t>
  </si>
  <si>
    <t>Sum of Root To Leaf Binary Numbers</t>
  </si>
  <si>
    <t>Remove Outermost Parentheses</t>
  </si>
  <si>
    <t>Apple,Facebook,Google</t>
  </si>
  <si>
    <t>Number of Enclaves</t>
  </si>
  <si>
    <t>Next Greater Node In Linked List</t>
  </si>
  <si>
    <t>Stack,Linked List</t>
  </si>
  <si>
    <t>Apple,Google,Uber,Facebook,Amazon,Microsoft</t>
  </si>
  <si>
    <t>Uber,Apple,Microsoft,Amazon,Google,Facebook</t>
  </si>
  <si>
    <t>Binary Prefix Divisible By 5</t>
  </si>
  <si>
    <t>Convert to Base -2</t>
  </si>
  <si>
    <t>Grab,Airbnb</t>
  </si>
  <si>
    <t>Airbnb,Grab</t>
  </si>
  <si>
    <t>Binary String With Substrings Representing 1 To N</t>
  </si>
  <si>
    <t>Smallest Integer Divisible by K</t>
  </si>
  <si>
    <t>Best Sightseeing Pair</t>
  </si>
  <si>
    <t>Partition Array Into Three Parts With Equal Sum</t>
  </si>
  <si>
    <t>Adobe,Amazon,Microsoft</t>
  </si>
  <si>
    <t>Microsoft,Amazon,Adobe</t>
  </si>
  <si>
    <t>Numbers With Repeated Digits</t>
  </si>
  <si>
    <t>Akuna Capital,IBM,Google</t>
  </si>
  <si>
    <t>Akuna Capital,IBM</t>
  </si>
  <si>
    <t>Google,Akuna Capital,IBM</t>
  </si>
  <si>
    <t>Capacity To Ship Packages Within D Days</t>
  </si>
  <si>
    <t>Flipkart,Adobe,Apple,Uber,Amazon,Google</t>
  </si>
  <si>
    <t>Amazon,Flipkart</t>
  </si>
  <si>
    <t>Google,Amazon,Flipkart</t>
  </si>
  <si>
    <t>Apple,Uber,Adobe,Google,Amazon,Flipkart</t>
  </si>
  <si>
    <t>Pairs of Songs With Total Durations Divisible by 60</t>
  </si>
  <si>
    <t>FactSet,Paypal,Expedia,Citrix,IBM,Google,Pocket Gems,Visa,Dropbox,Adobe,Amazon,Goldman Sachs</t>
  </si>
  <si>
    <t>Amazon,Citrix,IBM</t>
  </si>
  <si>
    <t>Paypal,Amazon,Citrix,IBM</t>
  </si>
  <si>
    <t>Pocket Gems,Dropbox,Visa,Goldman Sachs,Expedia,Adobe,FactSet,Google,Paypal,Amazon,Citrix,IBM</t>
  </si>
  <si>
    <t>Complement of Base 10 Integer</t>
  </si>
  <si>
    <t>Cloudera</t>
  </si>
  <si>
    <t>Construct Binary Search Tree from Preorder Traversal</t>
  </si>
  <si>
    <t>Oracle,Facebook,Amazon,Microsoft</t>
  </si>
  <si>
    <t>Amazon,Oracle</t>
  </si>
  <si>
    <t>Facebook,Microsoft,Amazon,Oracle</t>
  </si>
  <si>
    <t>Minimum Domino Rotations For Equal Row</t>
  </si>
  <si>
    <t>Clumsy Factorial</t>
  </si>
  <si>
    <t>Maximize Sum Of Array After K Negations</t>
  </si>
  <si>
    <t>Druva,Amazon</t>
  </si>
  <si>
    <t>Max Consecutive Ones III</t>
  </si>
  <si>
    <t>Sliding Window,Two Pointers</t>
  </si>
  <si>
    <t>Coupang,Oracle,EBay,Bloomberg,Google,Yandex,Facebook,Amazon,Microsoft</t>
  </si>
  <si>
    <t>Facebook,Amazon,Coupang</t>
  </si>
  <si>
    <t>eBay,Google,Facebook,Amazon,Coupang</t>
  </si>
  <si>
    <t>Yandex,Microsoft,Bloomberg,Oracle,eBay,Google,Facebook,Amazon,Coupang</t>
  </si>
  <si>
    <t>Check If Word Is Valid After Substitutions</t>
  </si>
  <si>
    <t>Find Common Characters</t>
  </si>
  <si>
    <t>Paypal,Apple,Uber,Microsoft,TripAdvisor,Bloomberg,Adobe,Amazon</t>
  </si>
  <si>
    <t>Apple,Amazon</t>
  </si>
  <si>
    <t>Adobe,Uber,Apple,Amazon</t>
  </si>
  <si>
    <t>TripAdvisor,Bloomberg,Paypal,Microsoft,Adobe,Uber,Apple,Amazon</t>
  </si>
  <si>
    <t>Grid Illumination</t>
  </si>
  <si>
    <t>Minimum Cost to Merge Stones</t>
  </si>
  <si>
    <t>Available Captures for Rook</t>
  </si>
  <si>
    <t>Square</t>
  </si>
  <si>
    <t>Maximum Binary Tree II</t>
  </si>
  <si>
    <t>Find the Town Judge</t>
  </si>
  <si>
    <t>Arista Networks,Microsoft,Arista,Facebook,Amazon,Google</t>
  </si>
  <si>
    <t>Google,Facebook,Microsoft,Arista,Arista Networks,Amazon</t>
  </si>
  <si>
    <t>Number of Squareful Arrays</t>
  </si>
  <si>
    <t>Graph,Backtracking,Math</t>
  </si>
  <si>
    <t>Codenation,Apple</t>
  </si>
  <si>
    <t>Apple,Codenation</t>
  </si>
  <si>
    <t>Minimum Number of K Consecutive Bit Flips</t>
  </si>
  <si>
    <t>Sliding Window,Greedy</t>
  </si>
  <si>
    <t>Google,Akuna,Akuna Capital,Facebook,Amazon</t>
  </si>
  <si>
    <t>Akuna,Facebook,Google,Amazon</t>
  </si>
  <si>
    <t>Rotting Oranges</t>
  </si>
  <si>
    <t>Oracle,EBay,Apple,Bloomberg,Google,Flipkart,Adobe,Amazon,Microsoft</t>
  </si>
  <si>
    <t>Amazon,Microsoft,Bloomberg,Google,Oracle</t>
  </si>
  <si>
    <t>Adobe,eBay,Amazon,Microsoft,Bloomberg,Google,Oracle</t>
  </si>
  <si>
    <t>Flipkart,Apple,Adobe,eBay,Amazon,Microsoft,Bloomberg,Google,Oracle</t>
  </si>
  <si>
    <t>Cousins in Binary Tree</t>
  </si>
  <si>
    <t>Microsoft,Bloomberg,Adobe,Facebook,Amazon,Goldman Sachs</t>
  </si>
  <si>
    <t>Goldman Sachs,Microsoft,Bloomberg,Amazon,Facebook</t>
  </si>
  <si>
    <t>Adobe,Goldman Sachs,Microsoft,Bloomberg,Amazon,Facebook</t>
  </si>
  <si>
    <t>Subarrays with K Different Integers</t>
  </si>
  <si>
    <t>Sliding Window,Two Pointers,Hash Table</t>
  </si>
  <si>
    <t>Bloomberg,Adobe,Facebook,Uber,Amazon,Alibaba,Goldman Sachs,Google</t>
  </si>
  <si>
    <t>Facebook,Alibaba,Adobe,Goldman Sachs,Uber,Bloomberg,Amazon,Google</t>
  </si>
  <si>
    <t>Broken Calculator</t>
  </si>
  <si>
    <t>Bloomberg,Nutanix</t>
  </si>
  <si>
    <t>Nutanix,Bloomberg</t>
  </si>
  <si>
    <t>Satisfiability of Equality Equations</t>
  </si>
  <si>
    <t>Sumologic</t>
  </si>
  <si>
    <t>Add to Array-Form of Integer</t>
  </si>
  <si>
    <t>Smallest String Starting From Leaf</t>
  </si>
  <si>
    <t>Vertical Order Traversal of a Binary Tree</t>
  </si>
  <si>
    <t>ByteDance,Apple,Reddit,Databricks,Samsung,Bloomberg,Adobe,Facebook,Amazon,LinkedIn,Microsoft,Google</t>
  </si>
  <si>
    <t>Facebook,Bloomberg,Amazon,Microsoft,ByteDance,Apple</t>
  </si>
  <si>
    <t>Google,Databricks,Facebook,Bloomberg,Amazon,Microsoft,ByteDance,Apple</t>
  </si>
  <si>
    <t>Adobe,Reddit,LinkedIn,Samsung,Google,Databricks,Facebook,Bloomberg,Amazon,Microsoft,ByteDance,Apple</t>
  </si>
  <si>
    <t>Interval List Intersections</t>
  </si>
  <si>
    <t>Pinterest,Intuit,EBay,Adobe,DoorDash,Cruise Automation,Snapchat,Oracle,Apple,Uber,Bloomberg,Facebook,Amazon,Google</t>
  </si>
  <si>
    <t>Facebook,Uber,Apple,Google,Amazon,Bloomberg,Adobe</t>
  </si>
  <si>
    <t>Oracle,Facebook,Uber,Apple,Google,Amazon,Bloomberg,Adobe</t>
  </si>
  <si>
    <t>Snapchat,Cruise Automation,Pinterest,Intuit,eBay,DoorDash,Oracle,Facebook,Uber,Apple,Google,Amazon,Bloomberg,Adobe</t>
  </si>
  <si>
    <t>Sum of Even Numbers After Queries</t>
  </si>
  <si>
    <t>Indeed</t>
  </si>
  <si>
    <t>String Without AAA or BBB</t>
  </si>
  <si>
    <t>Zalando,Grab</t>
  </si>
  <si>
    <t>Grab,Zalando</t>
  </si>
  <si>
    <t>Minimum Cost For Tickets</t>
  </si>
  <si>
    <t>Apple,Grab,Uber,Facebook,Amazon,Google</t>
  </si>
  <si>
    <t>Amazon,Google,Facebook,Apple</t>
  </si>
  <si>
    <t>Grab,Uber,Amazon,Google,Facebook,Apple</t>
  </si>
  <si>
    <t>Triples with Bitwise AND Equal To Zero</t>
  </si>
  <si>
    <t>Time Based Key-Value Store</t>
  </si>
  <si>
    <t>Cruise Automation,ByteDance,Oracle,Yahoo,Bloomberg,Flexport,Sumologic,Netflix,Square,Databricks,Atlassian,VMware,Zillow,Twitter,Lyft,Apple,Uber,Facebook,Amazon,LinkedIn,Microsoft,Google</t>
  </si>
  <si>
    <t>Oracle,Lyft,Uber,ByteDance,Sumologic,Google,Microsoft,Twitter,Apple</t>
  </si>
  <si>
    <t>Atlassian,VMware,Facebook,Amazon,Netflix,Oracle,Lyft,Uber,ByteDance,Sumologic,Google,Microsoft,Twitter,Apple</t>
  </si>
  <si>
    <t>Zillow,LinkedIn,Cruise Automation,Yahoo,Bloomberg,Flexport,Databricks,Atlassian,VMware,Facebook,Amazon,Netflix,Oracle,Lyft,Uber,ByteDance,Sumologic,Google,Microsoft,Twitter,Apple</t>
  </si>
  <si>
    <t>Unique Paths III</t>
  </si>
  <si>
    <t>Depth First Search,Backtracking</t>
  </si>
  <si>
    <t>JPMorgan,LimeBike,Amazon,Google</t>
  </si>
  <si>
    <t>Amazon,JPMorgan</t>
  </si>
  <si>
    <t>Google,Amazon,JPMorgan</t>
  </si>
  <si>
    <t>LimeBike,Google,Amazon,JPMorgan</t>
  </si>
  <si>
    <t>Distribute Coins in Binary Tree</t>
  </si>
  <si>
    <t>Adobe,Uber,Facebook,Amazon,Microsoft,Google</t>
  </si>
  <si>
    <t>Google,Microsoft,Adobe,Amazon</t>
  </si>
  <si>
    <t>Facebook,Uber,Google,Microsoft,Adobe,Amazon</t>
  </si>
  <si>
    <t>Longest Turbulent Subarray</t>
  </si>
  <si>
    <t>Squares of a Sorted Array</t>
  </si>
  <si>
    <t>Two Pointers,Array</t>
  </si>
  <si>
    <t>Flipkart,Yandex,Electronic Arts,Nutanix,Twitch,Splunk,ByteDance,VMware,Walmart Labs,Paypal,Oracle,EBay,Apple,Uber,Bloomberg,Adobe,Facebook,Amazon,Microsoft,Google</t>
  </si>
  <si>
    <t>Facebook,Uber,Amazon,Apple,Yandex,Google,Microsoft,Bloomberg,ByteDance,Flipkart</t>
  </si>
  <si>
    <t>Paypal,Adobe,eBay,VMware,Oracle,Facebook,Uber,Amazon,Apple,Yandex,Google,Microsoft,Bloomberg,ByteDance,Flipkart</t>
  </si>
  <si>
    <t>Twitch,Walmart Labs,Nutanix,Electronic Arts,Splunk,Paypal,Adobe,eBay,VMware,Oracle,Facebook,Uber,Amazon,Apple,Yandex,Google,Microsoft,Bloomberg,ByteDance,Flipkart</t>
  </si>
  <si>
    <t>Largest Perimeter Triangle</t>
  </si>
  <si>
    <t>C3 IoT</t>
  </si>
  <si>
    <t>Odd Even Jump</t>
  </si>
  <si>
    <t>Ordered Map,Stack,Dynamic Programming</t>
  </si>
  <si>
    <t>Subarray Sums Divisible by K</t>
  </si>
  <si>
    <t>Cloudera,Bloomberg,Facebook,ByteDance,Twilio,Expedia,Yandex,Amazon</t>
  </si>
  <si>
    <t>Twilio,Facebook,Expedia,ByteDance</t>
  </si>
  <si>
    <t>Cloudera,Twilio,Facebook,Expedia,ByteDance</t>
  </si>
  <si>
    <t>Amazon,Yandex,Bloomberg,Cloudera,Twilio,Facebook,Expedia,ByteDance</t>
  </si>
  <si>
    <t>K Closest Points to Origin</t>
  </si>
  <si>
    <t>Sort,Heap,Divide and Conquer</t>
  </si>
  <si>
    <t>DoorDash,ByteDance,Spotify,Asana,Visa,Paypal,Expedia,Oracle,EBay,Apple,Uber,Yahoo,Facebook,Amazon,LinkedIn,Microsoft,Goldman Sachs,Google</t>
  </si>
  <si>
    <t>Facebook,Amazon,DoorDash,LinkedIn,Asana,Apple,Uber,ByteDance</t>
  </si>
  <si>
    <t>Google,Spotify,Facebook,Amazon,DoorDash,LinkedIn,Asana,Apple,Uber,ByteDance</t>
  </si>
  <si>
    <t>Expedia,Microsoft,Oracle,Yahoo,eBay,Visa,Paypal,Goldman Sachs,Google,Spotify,Facebook,Amazon,DoorDash,LinkedIn,Asana,Apple,Uber,ByteDance</t>
  </si>
  <si>
    <t>Equal Rational Numbers</t>
  </si>
  <si>
    <t>Flip Binary Tree To Match Preorder Traversal</t>
  </si>
  <si>
    <t>Powerful Integers</t>
  </si>
  <si>
    <t>Pancake Sorting</t>
  </si>
  <si>
    <t>Square,Uber,Facebook,Amazon,Microsoft</t>
  </si>
  <si>
    <t>Amazon,Square,Microsoft,Uber,Facebook</t>
  </si>
  <si>
    <t>Binary Tree Cameras</t>
  </si>
  <si>
    <t>Flipkart,FactSet,Bloomberg,Amazon,Microsoft,EBay,Uber,Facebook,Google</t>
  </si>
  <si>
    <t>Google,Flipkart,Microsoft</t>
  </si>
  <si>
    <t>eBay,FactSet,Google,Flipkart,Microsoft</t>
  </si>
  <si>
    <t>Uber,Bloomberg,Amazon,Facebook,eBay,FactSet,Google,Flipkart,Microsoft</t>
  </si>
  <si>
    <t>Numbers With Same Consecutive Differences</t>
  </si>
  <si>
    <t>Recursion,Breadth First Search,Depth First Search,Backtracking,Dynamic Programming</t>
  </si>
  <si>
    <t>Vowel Spellchecker</t>
  </si>
  <si>
    <t>Facebook,Thumbtack,Amazon</t>
  </si>
  <si>
    <t>Facebook,Amazon,Thumbtack</t>
  </si>
  <si>
    <t>Univalued Binary Tree</t>
  </si>
  <si>
    <t>Twilio,Box,Oracle,Amazon,Google</t>
  </si>
  <si>
    <t>Box</t>
  </si>
  <si>
    <t>Google,Oracle,Amazon,Twilio,Box</t>
  </si>
  <si>
    <t>Least Operators to Express Number</t>
  </si>
  <si>
    <t>Minimum Area Rectangle II</t>
  </si>
  <si>
    <t>Geometry,Math</t>
  </si>
  <si>
    <t>Maximum Width Ramp</t>
  </si>
  <si>
    <t>Facebook,EBay,Google</t>
  </si>
  <si>
    <t>eBay,Google,Facebook</t>
  </si>
  <si>
    <t>N-Repeated Element in Size 2N Array</t>
  </si>
  <si>
    <t>Akamai,Apple</t>
  </si>
  <si>
    <t>Apple,Akamai</t>
  </si>
  <si>
    <t>Delete Columns to Make Sorted III</t>
  </si>
  <si>
    <t>Regions Cut By Slashes</t>
  </si>
  <si>
    <t>Check Completeness of a Binary Tree</t>
  </si>
  <si>
    <t>ByteDance,Oracle,Facebook,Amazon,Microsoft,Google</t>
  </si>
  <si>
    <t>Google,Microsoft,ByteDance,Amazon,Oracle,Facebook</t>
  </si>
  <si>
    <t>Prison Cells After N Days</t>
  </si>
  <si>
    <t>Tallest Billboard</t>
  </si>
  <si>
    <t>Delete Columns to Make Sorted II</t>
  </si>
  <si>
    <t>Array of Doubled Pairs</t>
  </si>
  <si>
    <t>Verifying an Alien Dictionary</t>
  </si>
  <si>
    <t>Walmart Labs,Bloomberg,Airbnb,Facebook,Amazon,Microsoft</t>
  </si>
  <si>
    <t>Facebook,Walmart Labs,Amazon</t>
  </si>
  <si>
    <t>Bloomberg,Facebook,Walmart Labs,Amazon</t>
  </si>
  <si>
    <t>Microsoft,Airbnb,Bloomberg,Facebook,Walmart Labs,Amazon</t>
  </si>
  <si>
    <t>Largest Component Size by Common Factor</t>
  </si>
  <si>
    <t>Flip Equivalent Binary Trees</t>
  </si>
  <si>
    <t>Apple,Microsoft,EBay,Amazon,Google</t>
  </si>
  <si>
    <t>Amazon,eBay,Google,Microsoft</t>
  </si>
  <si>
    <t>Apple,Amazon,eBay,Google,Microsoft</t>
  </si>
  <si>
    <t>Reveal Cards In Increasing Order</t>
  </si>
  <si>
    <t>Google,Microsoft,Amazon</t>
  </si>
  <si>
    <t>Largest Time for Given Digits</t>
  </si>
  <si>
    <t>LiveRamp,Google</t>
  </si>
  <si>
    <t>Bag of Tokens</t>
  </si>
  <si>
    <t>Sort,Two Pointers,Greedy</t>
  </si>
  <si>
    <t>Most Stones Removed with Same Row or Column</t>
  </si>
  <si>
    <t>Adobe,Amazon,Google</t>
  </si>
  <si>
    <t>Google,Adobe,Amazon</t>
  </si>
  <si>
    <t>Validate Stack Sequences</t>
  </si>
  <si>
    <t>Amazon,LinkedIn,Google</t>
  </si>
  <si>
    <t>Minimum Increment to Make Array Unique</t>
  </si>
  <si>
    <t>Uber,Google,IXL,Coursera,Twitter</t>
  </si>
  <si>
    <t>Twitter,Uber</t>
  </si>
  <si>
    <t>IXL,Google,Coursera,Twitter,Uber</t>
  </si>
  <si>
    <t>Delete Columns to Make Sorted</t>
  </si>
  <si>
    <t>Find the Shortest Superstring</t>
  </si>
  <si>
    <t>DI String Match</t>
  </si>
  <si>
    <t>Uber,Bloomberg,Amazon,Goldman Sachs,Google</t>
  </si>
  <si>
    <t>Goldman Sachs,Bloomberg,Uber</t>
  </si>
  <si>
    <t>Google,Goldman Sachs,Bloomberg,Uber</t>
  </si>
  <si>
    <t>Valid Mountain Array</t>
  </si>
  <si>
    <t>Adobe,Uber,Google</t>
  </si>
  <si>
    <t>Uber,Adobe,Google</t>
  </si>
  <si>
    <t>Distinct Subsequences II</t>
  </si>
  <si>
    <t>Minimum Area Rectangle</t>
  </si>
  <si>
    <t>Snapchat,Goldman Sachs,Nvidia,Facebook,Amazon,Microsoft,Google</t>
  </si>
  <si>
    <t>Facebook,Snapchat,Amazon</t>
  </si>
  <si>
    <t>Google,Goldman Sachs,Facebook,Snapchat,Amazon</t>
  </si>
  <si>
    <t>Microsoft,Nvidia,Google,Goldman Sachs,Facebook,Snapchat,Amazon</t>
  </si>
  <si>
    <t>Range Sum of BST</t>
  </si>
  <si>
    <t>Depth First Search,Recursion,Tree</t>
  </si>
  <si>
    <t>Adobe,Oracle,Apple,Facebook,Amazon,Microsoft,Google</t>
  </si>
  <si>
    <t>Facebook,Google,Apple,Oracle</t>
  </si>
  <si>
    <t>Amazon,Facebook,Google,Apple,Oracle</t>
  </si>
  <si>
    <t>Microsoft,Adobe,Amazon,Facebook,Google,Apple,Oracle</t>
  </si>
  <si>
    <t>Reorder Data in Log Files</t>
  </si>
  <si>
    <t>Audible,Google,Apple,Amazon</t>
  </si>
  <si>
    <t>Audible,Amazon,Google</t>
  </si>
  <si>
    <t>Apple,Audible,Amazon,Google</t>
  </si>
  <si>
    <t>Stamping The Sequence</t>
  </si>
  <si>
    <t>Uber,Facebook,Google</t>
  </si>
  <si>
    <t>Uber,Facebook</t>
  </si>
  <si>
    <t>Knight Dialer</t>
  </si>
  <si>
    <t>Qualtrics,Pinterest,Twilio,Box,Citadel,Facebook,Microsoft,Google</t>
  </si>
  <si>
    <t>Twilio,Google,Facebook,Citadel,Qualtrics</t>
  </si>
  <si>
    <t>Microsoft,Box,Twilio,Google,Facebook,Citadel,Qualtrics</t>
  </si>
  <si>
    <t>Shortest Bridge</t>
  </si>
  <si>
    <t>Atlassian,McKinsey,Uber,Facebook,Microsoft,Google</t>
  </si>
  <si>
    <t>Google,Uber,Atlassian</t>
  </si>
  <si>
    <t>Facebook,Google,Uber,Atlassian</t>
  </si>
  <si>
    <t>Microsoft,McKinsey,Facebook,Google,Uber,Atlassian</t>
  </si>
  <si>
    <t>Number of Recent Calls</t>
  </si>
  <si>
    <t>Queue</t>
  </si>
  <si>
    <t>Yandex,Adobe,Bloomberg,Google</t>
  </si>
  <si>
    <t>Bloomberg,Adobe,Yandex</t>
  </si>
  <si>
    <t>Beautiful Array</t>
  </si>
  <si>
    <t>Minimum Falling Path Sum</t>
  </si>
  <si>
    <t>Roblox,Apple,Amazon,Goldman Sachs,Google</t>
  </si>
  <si>
    <t>Apple,Roblox,Amazon</t>
  </si>
  <si>
    <t>Google,Goldman Sachs,Apple,Roblox,Amazon</t>
  </si>
  <si>
    <t>Binary Subarrays With Sum</t>
  </si>
  <si>
    <t>Unique Email Addresses</t>
  </si>
  <si>
    <t>Adobe,Amazon,Microsoft,Google</t>
  </si>
  <si>
    <t>Amazon,Adobe,Google</t>
  </si>
  <si>
    <t>Minimize Malware Spread II</t>
  </si>
  <si>
    <t>Three Equal Parts</t>
  </si>
  <si>
    <t>Greedy,Binary Search,Math</t>
  </si>
  <si>
    <t>Netflix,Hotstar</t>
  </si>
  <si>
    <t>Flip String to Monotone Increasing</t>
  </si>
  <si>
    <t>Long Pressed Name</t>
  </si>
  <si>
    <t>Minimize Malware Spread</t>
  </si>
  <si>
    <t>ByteDance,Dropbox,Bloomberg,Google</t>
  </si>
  <si>
    <t>Bloomberg,ByteDance</t>
  </si>
  <si>
    <t>Google,Dropbox,Bloomberg,ByteDance</t>
  </si>
  <si>
    <t>3Sum With Multiplicity</t>
  </si>
  <si>
    <t>Sort Array By Parity II</t>
  </si>
  <si>
    <t>Minimum Add to Make Parentheses Valid</t>
  </si>
  <si>
    <t>Greedy,Stack</t>
  </si>
  <si>
    <t>Visa,ServiceNow,Facebook,Amazon</t>
  </si>
  <si>
    <t>Facebook,Visa</t>
  </si>
  <si>
    <t>ServiceNow,Amazon,Facebook,Visa</t>
  </si>
  <si>
    <t>Number of Music Playlists</t>
  </si>
  <si>
    <t>Salesforce,Facebook,Coursera,Twitter,Google</t>
  </si>
  <si>
    <t>Twitter,Coursera,Salesforce,Facebook</t>
  </si>
  <si>
    <t>Complete Binary Tree Inserter</t>
  </si>
  <si>
    <t>Facebook,Microsoft,Amazon,Google</t>
  </si>
  <si>
    <t>Google,Facebook,Microsoft</t>
  </si>
  <si>
    <t>Maximum Sum Circular Subarray</t>
  </si>
  <si>
    <t>Amazon,LinkedIn,Two Sigma,Uber,Facebook</t>
  </si>
  <si>
    <t>Two Sigma,Facebook,LinkedIn,Amazon</t>
  </si>
  <si>
    <t>Uber,Two Sigma,Facebook,LinkedIn,Amazon</t>
  </si>
  <si>
    <t>Reverse Only Letters</t>
  </si>
  <si>
    <t>Apple,Microsoft,Google</t>
  </si>
  <si>
    <t>Microsoft,Google,Apple</t>
  </si>
  <si>
    <t>Word Subsets</t>
  </si>
  <si>
    <t>Partition Array into Disjoint Intervals</t>
  </si>
  <si>
    <t>TandemG,Grab</t>
  </si>
  <si>
    <t>X of a Kind in a Deck of Cards</t>
  </si>
  <si>
    <t>Cat and Mouse</t>
  </si>
  <si>
    <t>Minimax,Breadth First Search</t>
  </si>
  <si>
    <t>Sort an Array</t>
  </si>
  <si>
    <t>Bloomberg,Amazon,Apple</t>
  </si>
  <si>
    <t>Online Election</t>
  </si>
  <si>
    <t>Apple,Google</t>
  </si>
  <si>
    <t>Smallest Range II</t>
  </si>
  <si>
    <t>Snakes and Ladders</t>
  </si>
  <si>
    <t>Cisco,Hulu,Apple,Uber,Amazon,Microsoft,Google</t>
  </si>
  <si>
    <t>Apple,Cisco,Amazon</t>
  </si>
  <si>
    <t>Microsoft,Uber,Google,Apple,Cisco,Amazon</t>
  </si>
  <si>
    <t>Smallest Range I</t>
  </si>
  <si>
    <t>Sum of Subarray Minimums</t>
  </si>
  <si>
    <t>Stack,Array</t>
  </si>
  <si>
    <t>Dunzo,VMware,Google,Hulu,Apple,Microsoft</t>
  </si>
  <si>
    <t>Dunzo,Microsoft,VMware,Google</t>
  </si>
  <si>
    <t>Hulu,Dunzo,Microsoft,VMware,Google</t>
  </si>
  <si>
    <t>Super Palindromes</t>
  </si>
  <si>
    <t>Sort Array By Parity</t>
  </si>
  <si>
    <t>Capital One,Apple,Morgan Stanley,Bloomberg,Google,VMware,Oracle,Cisco,Facebook,Amazon,Microsoft</t>
  </si>
  <si>
    <t>Capital One,VMware</t>
  </si>
  <si>
    <t>Apple,Google,Cisco,Morgan Stanley,Capital One,VMware</t>
  </si>
  <si>
    <t>Amazon,Facebook,Oracle,Bloomberg,Apple,Google,Cisco,Morgan Stanley,Capital One,VMware</t>
  </si>
  <si>
    <t>Fruit Into Baskets</t>
  </si>
  <si>
    <t>Akamai,Amazon,Google</t>
  </si>
  <si>
    <t>Google,Akamai</t>
  </si>
  <si>
    <t>Amazon,Google,Akamai</t>
  </si>
  <si>
    <t>Valid Permutations for DI Sequence</t>
  </si>
  <si>
    <t>Dynamic Programming,Divide and Conquer</t>
  </si>
  <si>
    <t>Numbers At Most N Given Digit Set</t>
  </si>
  <si>
    <t>Online Stock Span</t>
  </si>
  <si>
    <t>Microsoft,Facebook,Google,Amazon</t>
  </si>
  <si>
    <t>RLE Iterator</t>
  </si>
  <si>
    <t>Wish,Amazon,Google</t>
  </si>
  <si>
    <t>Wish,Google</t>
  </si>
  <si>
    <t>Orderly Queue</t>
  </si>
  <si>
    <t>Bitwise ORs of Subarrays</t>
  </si>
  <si>
    <t>Increasing Order Search Tree</t>
  </si>
  <si>
    <t>Recursion,Depth First Search,Tree</t>
  </si>
  <si>
    <t>Monotonic Array</t>
  </si>
  <si>
    <t>Tesla,Amazon,Facebook</t>
  </si>
  <si>
    <t>Maximum Frequency Stack</t>
  </si>
  <si>
    <t>Stack,Hash Table</t>
  </si>
  <si>
    <t>Adobe,Microsoft,Salesforce,Apple,Uber,Bloomberg,Amazon,Google</t>
  </si>
  <si>
    <t>Amazon,Microsoft,Bloomberg,Adobe</t>
  </si>
  <si>
    <t>Google,Amazon,Microsoft,Bloomberg,Adobe</t>
  </si>
  <si>
    <t>Uber,Apple,Salesforce,Google,Amazon,Microsoft,Bloomberg,Adobe</t>
  </si>
  <si>
    <t>All Possible Full Binary Trees</t>
  </si>
  <si>
    <t>Recursion,Tree</t>
  </si>
  <si>
    <t>Oracle,Google,Amazon</t>
  </si>
  <si>
    <t>Groups of Special-Equivalent Strings</t>
  </si>
  <si>
    <t>Surface Area of 3D Shapes</t>
  </si>
  <si>
    <t>Sum of Subsequence Widths</t>
  </si>
  <si>
    <t>Sapient</t>
  </si>
  <si>
    <t>Find and Replace Pattern</t>
  </si>
  <si>
    <t>Construct Binary Tree from Preorder and Postorder Traversal</t>
  </si>
  <si>
    <t>Uber,Bloomberg,Facebook,Amazon,Google</t>
  </si>
  <si>
    <t>Fair Candy Swap</t>
  </si>
  <si>
    <t>Yahoo,Microsoft,Fidessa</t>
  </si>
  <si>
    <t>Microsoft,Fidessa,Yahoo</t>
  </si>
  <si>
    <t>Super Egg Drop</t>
  </si>
  <si>
    <t>Dynamic Programming,Binary Search,Math</t>
  </si>
  <si>
    <t>Facebook,Amazon,Microsoft,Goldman Sachs,Google</t>
  </si>
  <si>
    <t>Google,Goldman Sachs,Facebook,Amazon</t>
  </si>
  <si>
    <t>Possible Bipartition</t>
  </si>
  <si>
    <t>Coupang,Amazon,Google,Apple,Facebook,Microsoft</t>
  </si>
  <si>
    <t>Amazon,Google,Apple,Coupang</t>
  </si>
  <si>
    <t>Facebook,Microsoft,Amazon,Google,Apple,Coupang</t>
  </si>
  <si>
    <t>Spiral Matrix III</t>
  </si>
  <si>
    <t>Microsoft,Dataminr,Facebook</t>
  </si>
  <si>
    <t>Uncommon Words from Two Sentences</t>
  </si>
  <si>
    <t>Expedia,Facebook,Amazon,Microsoft</t>
  </si>
  <si>
    <t>Projection Area of 3D Shapes</t>
  </si>
  <si>
    <t>Reachable Nodes In Subdivided Graph</t>
  </si>
  <si>
    <t>Breadth First Search,Heap</t>
  </si>
  <si>
    <t>Boats to Save People</t>
  </si>
  <si>
    <t>Greedy,Two Pointers</t>
  </si>
  <si>
    <t>Roblox,Paypal,FactSet,Amazon,Google</t>
  </si>
  <si>
    <t>Roblox,Paypal</t>
  </si>
  <si>
    <t>Amazon,Roblox,Paypal</t>
  </si>
  <si>
    <t>FactSet,Amazon,Roblox,Paypal</t>
  </si>
  <si>
    <t>Decoded String at Index</t>
  </si>
  <si>
    <t>Amazon,National Instruments</t>
  </si>
  <si>
    <t>National Instruments,Amazon</t>
  </si>
  <si>
    <t>Profitable Schemes</t>
  </si>
  <si>
    <t>LinkedIn,Google</t>
  </si>
  <si>
    <t>Nth Magical Number</t>
  </si>
  <si>
    <t>Stone Game</t>
  </si>
  <si>
    <t>Minimax,Dynamic Programming,Math</t>
  </si>
  <si>
    <t>Apple,Adobe,Google</t>
  </si>
  <si>
    <t>Adobe,Apple</t>
  </si>
  <si>
    <t>Middle of the Linked List</t>
  </si>
  <si>
    <t>Qualcomm,Walmart Labs,Paypal,Oracle,Cisco,Apple,Samsung,Adobe,Amazon,Microsoft,Goldman Sachs</t>
  </si>
  <si>
    <t>Microsoft,Apple</t>
  </si>
  <si>
    <t>Goldman Sachs,Oracle,Paypal,Microsoft,Apple</t>
  </si>
  <si>
    <t>Amazon,Adobe,Cisco,Qualcomm,Walmart Labs,Goldman Sachs,Oracle,Paypal,Microsoft,Apple</t>
  </si>
  <si>
    <t>Koko Eating Bananas</t>
  </si>
  <si>
    <t>Amazon,Airbnb,Adobe,Facebook,Google</t>
  </si>
  <si>
    <t>Amazon,Adobe,Facebook</t>
  </si>
  <si>
    <t>Airbnb,Google,Amazon,Adobe,Facebook</t>
  </si>
  <si>
    <t>Walking Robot Simulation</t>
  </si>
  <si>
    <t>Amazon,Jane Street</t>
  </si>
  <si>
    <t>Jane Street</t>
  </si>
  <si>
    <t>Length of Longest Fibonacci Subsequence</t>
  </si>
  <si>
    <t>Walmart Labs,Baidu,Amazon</t>
  </si>
  <si>
    <t>Baidu,Amazon</t>
  </si>
  <si>
    <t>Leaf-Similar Trees</t>
  </si>
  <si>
    <t>Atlassian,Facebook,Amazon,Microsoft,Google</t>
  </si>
  <si>
    <t>Microsoft,Atlassian,Amazon</t>
  </si>
  <si>
    <t>Facebook,Microsoft,Atlassian,Amazon</t>
  </si>
  <si>
    <t>Minimum Number of Refueling Stops</t>
  </si>
  <si>
    <t>Heap,Dynamic Programming</t>
  </si>
  <si>
    <t>Flipkart,Uber,Morgan Stanley,Baidu,Amazon,Microsoft,Google</t>
  </si>
  <si>
    <t>Morgan Stanley,Uber,Flipkart,Google</t>
  </si>
  <si>
    <t>Amazon,Baidu,Microsoft,Morgan Stanley,Uber,Flipkart,Google</t>
  </si>
  <si>
    <t>Advantage Shuffle</t>
  </si>
  <si>
    <t>Reordered Power of 2</t>
  </si>
  <si>
    <t>Binary Gap</t>
  </si>
  <si>
    <t>Twitter,EBay</t>
  </si>
  <si>
    <t>Twitter,eBay</t>
  </si>
  <si>
    <t>Transpose Matrix</t>
  </si>
  <si>
    <t>Citadel,Nvidia,Cisco,Microsoft,Intel,ServiceNow,Apple,Amazon</t>
  </si>
  <si>
    <t>Apple,Microsoft,Cisco,Nvidia,Citadel</t>
  </si>
  <si>
    <t>Amazon,ServiceNow,Apple,Microsoft,Cisco,Nvidia,Citadel</t>
  </si>
  <si>
    <t>Prime Palindrome</t>
  </si>
  <si>
    <t>Smallest Subtree with all the Deepest Nodes</t>
  </si>
  <si>
    <t>Shortest Path to Get All Keys</t>
  </si>
  <si>
    <t>ByteDance,Airbnb,Amazon,Google</t>
  </si>
  <si>
    <t>ByteDance,Airbnb</t>
  </si>
  <si>
    <t>Google,ByteDance,Airbnb</t>
  </si>
  <si>
    <t>All Nodes Distance K in Binary Tree</t>
  </si>
  <si>
    <t>Adobe,Hulu,ByteDance,Oracle,DiDi,Apple,Uber,Yahoo,Bloomberg,Facebook,Amazon,Microsoft,Google</t>
  </si>
  <si>
    <t>Microsoft,Apple,Bloomberg,Amazon,Facebook,Google</t>
  </si>
  <si>
    <t>Uber,Oracle,DiDi,ByteDance,Adobe,Microsoft,Apple,Bloomberg,Amazon,Facebook,Google</t>
  </si>
  <si>
    <t>Shortest Subarray with Sum at Least K</t>
  </si>
  <si>
    <t>Queue,Binary Search</t>
  </si>
  <si>
    <t>Microsoft,Facebook,Amazon,Goldman Sachs,Google</t>
  </si>
  <si>
    <t>Microsoft,Google,Amazon,Goldman Sachs</t>
  </si>
  <si>
    <t>Score After Flipping Matrix</t>
  </si>
  <si>
    <t>Amazon,IIT Bombay</t>
  </si>
  <si>
    <t>IIT Bombay,Amazon</t>
  </si>
  <si>
    <t>Lemonade Change</t>
  </si>
  <si>
    <t>Atlassian,Amazon</t>
  </si>
  <si>
    <t>Amazon,Atlassian</t>
  </si>
  <si>
    <t>Buddy Strings</t>
  </si>
  <si>
    <t>Mirror Reflection</t>
  </si>
  <si>
    <t>Minimum Cost to Hire K Workers</t>
  </si>
  <si>
    <t>Score of Parentheses</t>
  </si>
  <si>
    <t>ByteDance,Bloomberg,Adobe,Google,Amazon</t>
  </si>
  <si>
    <t>Bloomberg,Adobe,ByteDance,Amazon,Google</t>
  </si>
  <si>
    <t>Exam Room</t>
  </si>
  <si>
    <t>Quip (Salesforce),Quora,Uber,Facebook,Amazon,Google</t>
  </si>
  <si>
    <t>Quora,Quip (Salesforce),Uber,Amazon,Facebook,Google</t>
  </si>
  <si>
    <t>K-Similar Strings</t>
  </si>
  <si>
    <t>Car Fleet</t>
  </si>
  <si>
    <t>Peak Index in a Mountain Array</t>
  </si>
  <si>
    <t>Yahoo,Quora,Uber,Bloomberg,Facebook,Amazon,Microsoft,Google</t>
  </si>
  <si>
    <t>Bloomberg,Microsoft,Yahoo</t>
  </si>
  <si>
    <t>Google,Facebook,Amazon,Quora,Uber,Bloomberg,Microsoft,Yahoo</t>
  </si>
  <si>
    <t>Loud and Rich</t>
  </si>
  <si>
    <t>Rectangle Area II</t>
  </si>
  <si>
    <t>Line Sweep,Segment Tree</t>
  </si>
  <si>
    <t>Sumologic,Google</t>
  </si>
  <si>
    <t>Google,Sumologic</t>
  </si>
  <si>
    <t>Maximize Distance to Closest Person</t>
  </si>
  <si>
    <t>Audible,Yandex,Microsoft,Amazon,Google</t>
  </si>
  <si>
    <t>Yandex,Google,Audible</t>
  </si>
  <si>
    <t>Amazon,Microsoft,Yandex,Google,Audible</t>
  </si>
  <si>
    <t>Shifting Letters</t>
  </si>
  <si>
    <t>Shortest Path Visiting All Nodes</t>
  </si>
  <si>
    <t>Codenation,Facebook,Meituan,Amazon,Google</t>
  </si>
  <si>
    <t>Facebook,Codenation,Google</t>
  </si>
  <si>
    <t>Hand of Straights</t>
  </si>
  <si>
    <t>Apple,EBay,Bloomberg,Google</t>
  </si>
  <si>
    <t>Apple,Google,eBay</t>
  </si>
  <si>
    <t>Bloomberg,Apple,Google,eBay</t>
  </si>
  <si>
    <t>Longest Mountain in Array</t>
  </si>
  <si>
    <t>Paypal,Amazon,Microsoft,Cohesity,Wish,Google</t>
  </si>
  <si>
    <t>Amazon,Paypal</t>
  </si>
  <si>
    <t>Google,Microsoft,Amazon,Paypal</t>
  </si>
  <si>
    <t>Wish,Google,Microsoft,Amazon,Paypal</t>
  </si>
  <si>
    <t>Backspace String Compare</t>
  </si>
  <si>
    <t>Stack,Two Pointers</t>
  </si>
  <si>
    <t>Codenation,Atlassian,Oracle,Uber,Facebook,Amazon,Microsoft,Google</t>
  </si>
  <si>
    <t>Google,Facebook,Amazon,Oracle</t>
  </si>
  <si>
    <t>Microsoft,Codenation,Google,Facebook,Amazon,Oracle</t>
  </si>
  <si>
    <t>Atlassian,Microsoft,Codenation,Google,Facebook,Amazon,Oracle</t>
  </si>
  <si>
    <t>Guess the Word</t>
  </si>
  <si>
    <t>Minimax</t>
  </si>
  <si>
    <t>Airbnb,Facebook,Amazon,Microsoft,Google</t>
  </si>
  <si>
    <t>Microsoft,Facebook,Amazon,Google</t>
  </si>
  <si>
    <t>Split Array into Fibonacci Sequence</t>
  </si>
  <si>
    <t>Greedy,Backtracking,String</t>
  </si>
  <si>
    <t>Keys and Rooms</t>
  </si>
  <si>
    <t>Atlassian,Adobe,Amazon,Google</t>
  </si>
  <si>
    <t>Atlassian,Adobe,Amazon</t>
  </si>
  <si>
    <t>Google,Atlassian,Adobe,Amazon</t>
  </si>
  <si>
    <t>Magic Squares In Grid</t>
  </si>
  <si>
    <t>Wayfair,Google</t>
  </si>
  <si>
    <t>Similar String Groups</t>
  </si>
  <si>
    <t>Snapchat,Facebook,Amazon,Google</t>
  </si>
  <si>
    <t>Google,Snapchat,Amazon,Facebook</t>
  </si>
  <si>
    <t>Push Dominoes</t>
  </si>
  <si>
    <t>Dynamic Programming,Two Pointers</t>
  </si>
  <si>
    <t>New 21 Game</t>
  </si>
  <si>
    <t>Apple,Uber,Google</t>
  </si>
  <si>
    <t>Uber,Apple,Google</t>
  </si>
  <si>
    <t>Rectangle Overlap</t>
  </si>
  <si>
    <t>Pinterest,Facebook,Oracle,Mathworks,Apple,Bloomberg,Adobe,Amazon,Microsoft,Goldman Sachs,Google</t>
  </si>
  <si>
    <t>Microsoft,Amazon,Google,Oracle</t>
  </si>
  <si>
    <t>Apple,Microsoft,Amazon,Google,Oracle</t>
  </si>
  <si>
    <t>Bloomberg,Adobe,Goldman Sachs,Pinterest,Facebook,Apple,Microsoft,Amazon,Google,Oracle</t>
  </si>
  <si>
    <t>Image Overlap</t>
  </si>
  <si>
    <t>Sum of Distances in Tree</t>
  </si>
  <si>
    <t>ByteDance,Apple,Google</t>
  </si>
  <si>
    <t>Google,Apple</t>
  </si>
  <si>
    <t>ByteDance,Google,Apple</t>
  </si>
  <si>
    <t>Find And Replace in String</t>
  </si>
  <si>
    <t>Apple,Adobe,LinkedIn,Microsoft,Google</t>
  </si>
  <si>
    <t>Microsoft,Apple,Adobe,Google</t>
  </si>
  <si>
    <t>Flipping an Image</t>
  </si>
  <si>
    <t>Facebook,Microsoft,Google</t>
  </si>
  <si>
    <t>Masking Personal Information</t>
  </si>
  <si>
    <t>Positions of Large Groups</t>
  </si>
  <si>
    <t>Consecutive Numbers Sum</t>
  </si>
  <si>
    <t>Citadel,Nvidia,Citrix,Bloomberg,Amazon,Google,Roblox,Visa,VMware,Indeed,Uber</t>
  </si>
  <si>
    <t>Citadel,Visa,Amazon,Nvidia,Citrix</t>
  </si>
  <si>
    <t>Roblox,Bloomberg,Citadel,Visa,Amazon,Nvidia,Citrix</t>
  </si>
  <si>
    <t>Google,Roblox,Bloomberg,Citadel,Visa,Amazon,Nvidia,Citrix</t>
  </si>
  <si>
    <t>Count Unique Characters of All Substrings of a Given String</t>
  </si>
  <si>
    <t>ForUsAll,Twitch,Microsoft</t>
  </si>
  <si>
    <t>Twitch,ForUsAll,Microsoft</t>
  </si>
  <si>
    <t>Making A Large Island</t>
  </si>
  <si>
    <t>Uber,Facebook,Amazon,Google</t>
  </si>
  <si>
    <t>Uber,Facebook,Google,Amazon</t>
  </si>
  <si>
    <t>Most Profit Assigning Work</t>
  </si>
  <si>
    <t>Nutanix,NetEase,Uber,Amazon</t>
  </si>
  <si>
    <t>Uber,NetEase,Amazon</t>
  </si>
  <si>
    <t>Friends Of Appropriate Ages</t>
  </si>
  <si>
    <t>Goat Latin</t>
  </si>
  <si>
    <t>Binary Trees With Factors</t>
  </si>
  <si>
    <t>Card Flipping Game</t>
  </si>
  <si>
    <t>Shortest Distance to a Character</t>
  </si>
  <si>
    <t>Microsoft,Atlassian,Apple,Bloomberg,Facebook,Google</t>
  </si>
  <si>
    <t>Atlassian,Google,Bloomberg,Microsoft,Apple</t>
  </si>
  <si>
    <t>Short Encoding of Words</t>
  </si>
  <si>
    <t>Most Common Word</t>
  </si>
  <si>
    <t>Oracle,Apple,Amazon,Microsoft,Google</t>
  </si>
  <si>
    <t>Microsoft,Apple,Oracle,Amazon</t>
  </si>
  <si>
    <t>Race Car</t>
  </si>
  <si>
    <t>Linked List Components</t>
  </si>
  <si>
    <t>Ambiguous Coordinates</t>
  </si>
  <si>
    <t>Bus Routes</t>
  </si>
  <si>
    <t>Square,Qualtrics,DiDi,Uber,Amazon,Google</t>
  </si>
  <si>
    <t>Amazon,Qualtrics,Square</t>
  </si>
  <si>
    <t>Google,Amazon,Qualtrics,Square</t>
  </si>
  <si>
    <t>Uber,DiDi,Google,Amazon,Qualtrics,Square</t>
  </si>
  <si>
    <t>Binary Tree Pruning</t>
  </si>
  <si>
    <t>Facebook,Amazon,Hulu,Capital One,Twitter,Google</t>
  </si>
  <si>
    <t>Capital One,Facebook,Amazon</t>
  </si>
  <si>
    <t>Google,Hulu,Capital One,Facebook,Amazon</t>
  </si>
  <si>
    <t>Largest Sum of Averages</t>
  </si>
  <si>
    <t>Largest Triangle Area</t>
  </si>
  <si>
    <t>Subdomain Visit Count</t>
  </si>
  <si>
    <t>Karat,Pinterest,Citrix,Wayfair,Roblox,Indeed,Intuit,Apple,Bloomberg,Amazon,Google</t>
  </si>
  <si>
    <t>Karat,Wayfair,Indeed,Intuit,Pinterest,Roblox</t>
  </si>
  <si>
    <t>Amazon,Apple,Karat,Wayfair,Indeed,Intuit,Pinterest,Roblox</t>
  </si>
  <si>
    <t>Chalkboard XOR Game</t>
  </si>
  <si>
    <t>Garena</t>
  </si>
  <si>
    <t>Expressive Words</t>
  </si>
  <si>
    <t>Soup Servings</t>
  </si>
  <si>
    <t>Max Increase to Keep City Skyline</t>
  </si>
  <si>
    <t>Number of Lines To Write String</t>
  </si>
  <si>
    <t>Split Array With Same Average</t>
  </si>
  <si>
    <t>Apple,Uber,Amazon,Microsoft,Google</t>
  </si>
  <si>
    <t>Microsoft,Google,Amazon,Uber,Apple</t>
  </si>
  <si>
    <t>Unique Morse Code Words</t>
  </si>
  <si>
    <t>Bricks Falling When Hit</t>
  </si>
  <si>
    <t>Find Eventual Safe States</t>
  </si>
  <si>
    <t>Minimum Swaps To Make Sequences Increasing</t>
  </si>
  <si>
    <t>Oracle,Facebook,Amazon,Google</t>
  </si>
  <si>
    <t>Google,Amazon,Facebook,Oracle</t>
  </si>
  <si>
    <t>Similar RGB Color</t>
  </si>
  <si>
    <t>Champagne Tower</t>
  </si>
  <si>
    <t>Samsung,Google</t>
  </si>
  <si>
    <t>Google,Samsung</t>
  </si>
  <si>
    <t>Smallest Rotation with Highest Score</t>
  </si>
  <si>
    <t>All Paths From Source to Target</t>
  </si>
  <si>
    <t>Graph,Depth First Search,Backtracking</t>
  </si>
  <si>
    <t>Cisco,Google,Walmart Labs,Bloomberg,Amazon</t>
  </si>
  <si>
    <t>Google,Cisco,Bloomberg,Amazon</t>
  </si>
  <si>
    <t>Rotate String</t>
  </si>
  <si>
    <t>Oracle,EBay,Apple,Amazon,LinkedIn,Microsoft</t>
  </si>
  <si>
    <t>Amazon,Oracle,Microsoft</t>
  </si>
  <si>
    <t>Apple,LinkedIn,eBay,Amazon,Oracle,Microsoft</t>
  </si>
  <si>
    <t>Number of Subarrays with Bounded Maximum</t>
  </si>
  <si>
    <t>DoorDash,Adobe</t>
  </si>
  <si>
    <t>Adobe,DoorDash</t>
  </si>
  <si>
    <t>Valid Tic-Tac-Toe State</t>
  </si>
  <si>
    <t>Recursion,Math</t>
  </si>
  <si>
    <t>Bloomberg,Oracle,Yahoo,Facebook,Amazon,Microsoft,Google</t>
  </si>
  <si>
    <t>Facebook,Bloomberg</t>
  </si>
  <si>
    <t>Oracle,Facebook,Bloomberg</t>
  </si>
  <si>
    <t>Microsoft,Amazon,Google,Oracle,Facebook,Bloomberg</t>
  </si>
  <si>
    <t>Preimage Size of Factorial Zeroes Function</t>
  </si>
  <si>
    <t>Number of Matching Subsequences</t>
  </si>
  <si>
    <t>Custom Sort String</t>
  </si>
  <si>
    <t>Microsoft,Uber,Facebook,Amazon,Google</t>
  </si>
  <si>
    <t>Uber,Amazon,Microsoft,Google,Facebook</t>
  </si>
  <si>
    <t>Domino and Tromino Tiling</t>
  </si>
  <si>
    <t>Escape The Ghosts</t>
  </si>
  <si>
    <t>Rotated Digits</t>
  </si>
  <si>
    <t>Cheapest Flights Within K Stops</t>
  </si>
  <si>
    <t>Breadth First Search,Heap,Dynamic Programming</t>
  </si>
  <si>
    <t>Qualtrics,Expedia,Apple,EBay,Airbnb,Bloomberg,Facebook,Amazon,Microsoft,Google</t>
  </si>
  <si>
    <t>Facebook,Expedia,Qualtrics,Airbnb,Amazon,Apple</t>
  </si>
  <si>
    <t>eBay,Facebook,Expedia,Qualtrics,Airbnb,Amazon,Apple</t>
  </si>
  <si>
    <t>Bloomberg,Google,eBay,Facebook,Expedia,Qualtrics,Airbnb,Amazon,Apple</t>
  </si>
  <si>
    <t>K-th Smallest Prime Fraction</t>
  </si>
  <si>
    <t>Robinhood,Pony.ai</t>
  </si>
  <si>
    <t>Pony.ai,Robinhood</t>
  </si>
  <si>
    <t>Is Graph Bipartite?</t>
  </si>
  <si>
    <t>ByteDance,Uber,Bloomberg,LiveRamp,Walmart Labs,EBay,Facebook,Amazon,LinkedIn,Microsoft,Google</t>
  </si>
  <si>
    <t>Facebook,ByteDance,eBay</t>
  </si>
  <si>
    <t>Amazon,Walmart Labs,Facebook,ByteDance,eBay</t>
  </si>
  <si>
    <t>Google,LinkedIn,LiveRamp,Microsoft,Bloomberg,Uber,Amazon,Walmart Labs,Facebook,ByteDance,eBay</t>
  </si>
  <si>
    <t>Letter Case Permutation</t>
  </si>
  <si>
    <t>Spotify,Apple,Yelp,Bloomberg,Facebook,Amazon,Microsoft</t>
  </si>
  <si>
    <t>Bloomberg,Amazon,Spotify</t>
  </si>
  <si>
    <t>Microsoft,Apple,Yelp,Facebook,Bloomberg,Amazon,Spotify</t>
  </si>
  <si>
    <t>Minimum Distance Between BST Nodes</t>
  </si>
  <si>
    <t>Transform to Chessboard</t>
  </si>
  <si>
    <t>Rabbits in Forest</t>
  </si>
  <si>
    <t>Reaching Points</t>
  </si>
  <si>
    <t>Goldman Sachs,Coursera,Salesforce,Quora,Twitter,Uber,Google</t>
  </si>
  <si>
    <t>Goldman Sachs,Twitter,Quora</t>
  </si>
  <si>
    <t>Uber,Google,Coursera,Goldman Sachs,Twitter,Quora</t>
  </si>
  <si>
    <t>K-th Symbol in Grammar</t>
  </si>
  <si>
    <t>Google,Amazon,Facebook</t>
  </si>
  <si>
    <t>Swim in Rising Water</t>
  </si>
  <si>
    <t>Union Find,Depth First Search,Heap,Binary Search</t>
  </si>
  <si>
    <t>Swap Adjacent in LR String</t>
  </si>
  <si>
    <t>Split BST</t>
  </si>
  <si>
    <t>Salesforce,Coupang,Facebook,Amazon,Google</t>
  </si>
  <si>
    <t>Google,Facebook,Amazon,Coupang,Salesforce</t>
  </si>
  <si>
    <t>Global and Local Inversions</t>
  </si>
  <si>
    <t>Minimize Max Distance to Gas Station</t>
  </si>
  <si>
    <t>Sliding Puzzle</t>
  </si>
  <si>
    <t>Airbnb,Uber,Facebook,Amazon,Microsoft,Google</t>
  </si>
  <si>
    <t>Uber,Airbnb,Facebook</t>
  </si>
  <si>
    <t>Microsoft,Amazon,Uber,Airbnb,Facebook</t>
  </si>
  <si>
    <t>Google,Microsoft,Amazon,Uber,Airbnb,Facebook</t>
  </si>
  <si>
    <t>Basic Calculator III</t>
  </si>
  <si>
    <t>Robinhood,ByteDance,EBay,Jingchi,Hulu,DoorDash,Pinterest,Pocket Gems,Houzz,Snapchat,Apple,Uber,Facebook,Amazon,Microsoft,Google</t>
  </si>
  <si>
    <t>Facebook,ByteDance</t>
  </si>
  <si>
    <t>Amazon,Snapchat,Apple,eBay,Facebook,ByteDance</t>
  </si>
  <si>
    <t>Uber,Google,Microsoft,Robinhood,Jingchi,Pocket Gems,Hulu,Houzz,DoorDash,Amazon,Snapchat,Apple,eBay,Facebook,ByteDance</t>
  </si>
  <si>
    <t>Jewels and Stones</t>
  </si>
  <si>
    <t>Yandex,Baidu,Apple,Yahoo,Adobe,Facebook,Amazon,Alibaba,Google</t>
  </si>
  <si>
    <t>Amazon,Google,Apple</t>
  </si>
  <si>
    <t>Yahoo,Adobe,Yandex,Facebook,Amazon,Google,Apple</t>
  </si>
  <si>
    <t>Basic Calculator IV</t>
  </si>
  <si>
    <t>Stack,String,Hash Table</t>
  </si>
  <si>
    <t>Roblox,Pinterest,Indeed,Intuit,Amazon,Google</t>
  </si>
  <si>
    <t>Indeed,Amazon,Intuit,Roblox</t>
  </si>
  <si>
    <t>Max Chunks To Make Sorted</t>
  </si>
  <si>
    <t>Uber,Microsoft,Google</t>
  </si>
  <si>
    <t>Max Chunks To Make Sorted II</t>
  </si>
  <si>
    <t>Reorganize String</t>
  </si>
  <si>
    <t>Sort,Greedy,Heap,String</t>
  </si>
  <si>
    <t>Qualtrics,Wish,EBay,Apple,Bloomberg,Goldman Sachs,Tesla,Twitch,Twitter,Oracle,Uber,Facebook,Amazon,Microsoft,Google</t>
  </si>
  <si>
    <t>Amazon,Google,Microsoft,Uber,Facebook,Goldman Sachs,Wish,Bloomberg</t>
  </si>
  <si>
    <t>eBay,Oracle,Qualtrics,Apple,Amazon,Google,Microsoft,Uber,Facebook,Goldman Sachs,Wish,Bloomberg</t>
  </si>
  <si>
    <t>Twitter,Tesla,Twitch,eBay,Oracle,Qualtrics,Apple,Amazon,Google,Microsoft,Uber,Facebook,Goldman Sachs,Wish,Bloomberg</t>
  </si>
  <si>
    <t>Toeplitz Matrix</t>
  </si>
  <si>
    <t>Couples Holding Hands</t>
  </si>
  <si>
    <t>Graph,Union Find,Greedy</t>
  </si>
  <si>
    <t>Largest Plus Sign</t>
  </si>
  <si>
    <t>Partition Labels</t>
  </si>
  <si>
    <t>Nutanix,Uber,Bloomberg,Adobe,Facebook,Apple,Amazon</t>
  </si>
  <si>
    <t>Nutanix,Amazon,Adobe,Bloomberg</t>
  </si>
  <si>
    <t>Facebook,Apple,Uber,Nutanix,Amazon,Adobe,Bloomberg</t>
  </si>
  <si>
    <t>Prime Number of Set Bits in Binary Representation</t>
  </si>
  <si>
    <t>Special Binary String</t>
  </si>
  <si>
    <t>Recursion,String</t>
  </si>
  <si>
    <t>Quip (Salesforce),Coursera,Citrix,Visa</t>
  </si>
  <si>
    <t>Visa,Quip (Salesforce),Coursera,Citrix</t>
  </si>
  <si>
    <t>Find Anagram Mappings</t>
  </si>
  <si>
    <t>Employee Free Time</t>
  </si>
  <si>
    <t>Oracle,Cisco,DoorDash,Postmates,Pinterest,Wayfair,Coupang,Intuit,Airbnb,Uber,Bloomberg,Facebook,Amazon,Microsoft,Google</t>
  </si>
  <si>
    <t>DoorDash,Amazon,Intuit,Pinterest,Bloomberg,Oracle</t>
  </si>
  <si>
    <t>Microsoft,Facebook,Google,Wayfair,Coupang,DoorDash,Amazon,Intuit,Pinterest,Bloomberg,Oracle</t>
  </si>
  <si>
    <t>Airbnb,Uber,Cisco,Microsoft,Facebook,Google,Wayfair,Coupang,DoorDash,Amazon,Intuit,Pinterest,Bloomberg,Oracle</t>
  </si>
  <si>
    <t>Bold Words in String</t>
  </si>
  <si>
    <t>Set Intersection Size At Least Two</t>
  </si>
  <si>
    <t>Drawbridge,Uber</t>
  </si>
  <si>
    <t>Pyramid Transition Matrix</t>
  </si>
  <si>
    <t>Depth First Search,Bit Manipulation</t>
  </si>
  <si>
    <t>Airbnb,Amazon,Google</t>
  </si>
  <si>
    <t>Pour Water</t>
  </si>
  <si>
    <t>Robinhood,Airbnb</t>
  </si>
  <si>
    <t>Reach a Number</t>
  </si>
  <si>
    <t>InMobi</t>
  </si>
  <si>
    <t>Cracking the Safe</t>
  </si>
  <si>
    <t>Depth First Search,Math</t>
  </si>
  <si>
    <t>Open the Lock</t>
  </si>
  <si>
    <t>Citadel,Microsoft,Uber,Bloomberg,Facebook,Amazon,Google</t>
  </si>
  <si>
    <t>Facebook,Amazon,Citadel,Google,Bloomberg</t>
  </si>
  <si>
    <t>Microsoft,Facebook,Amazon,Citadel,Google,Bloomberg</t>
  </si>
  <si>
    <t>Uber,Microsoft,Facebook,Amazon,Citadel,Google,Bloomberg</t>
  </si>
  <si>
    <t>IP to CIDR</t>
  </si>
  <si>
    <t>Number Of Corner Rectangles</t>
  </si>
  <si>
    <t>Contain Virus</t>
  </si>
  <si>
    <t>Accolite,Bloomberg</t>
  </si>
  <si>
    <t>Bloomberg,Accolite</t>
  </si>
  <si>
    <t>Shortest Completing Word</t>
  </si>
  <si>
    <t>Largest Number At Least Twice of Others</t>
  </si>
  <si>
    <t>Min Cost Climbing Stairs</t>
  </si>
  <si>
    <t>Nvidia,Apple,Goldman Sachs,Yahoo,Bloomberg,Amazon</t>
  </si>
  <si>
    <t>Apple,Bloomberg,Nvidia,Amazon,Goldman Sachs</t>
  </si>
  <si>
    <t>Prefix and Suffix Search</t>
  </si>
  <si>
    <t>Find Smallest Letter Greater Than Target</t>
  </si>
  <si>
    <t>Network Delay Time</t>
  </si>
  <si>
    <t>Graph,Breadth First Search,Depth First Search,Heap</t>
  </si>
  <si>
    <t>Akuna Capital,Amazon,Microsoft,Google</t>
  </si>
  <si>
    <t>Akuna Capital,Google,Amazon</t>
  </si>
  <si>
    <t>Closest Leaf in a Binary Tree</t>
  </si>
  <si>
    <t>PayTM,JPMorgan,Databricks,Facebook,Amazon,Google</t>
  </si>
  <si>
    <t>Databricks,JPMorgan,PayTM,Facebook</t>
  </si>
  <si>
    <t>Google,Amazon,Databricks,JPMorgan,PayTM,Facebook</t>
  </si>
  <si>
    <t>Cherry Pickup</t>
  </si>
  <si>
    <t>Swiggy,Facebook,Akuna Capital,Citrix,Flipkart,Oracle,Mathworks,Apple,Uber,Adobe,Amazon,Google</t>
  </si>
  <si>
    <t>Swiggy,Facebook,Mathworks</t>
  </si>
  <si>
    <t>Google,Swiggy,Facebook,Mathworks</t>
  </si>
  <si>
    <t>Uber,Adobe,Flipkart,Citrix,Apple,Amazon,Oracle,Akuna Capital,Google,Swiggy,Facebook,Mathworks</t>
  </si>
  <si>
    <t>Delete and Earn</t>
  </si>
  <si>
    <t>Amazon,Goldman Sachs,Akuna Capital,Pocket Gems,Uber</t>
  </si>
  <si>
    <t>Pocket Gems,Uber,Amazon,Akuna Capital,Goldman Sachs</t>
  </si>
  <si>
    <t>Daily Temperatures</t>
  </si>
  <si>
    <t>ByteDance,Salesforce,Paypal,Twitter,Oracle,Huawei,Zillow,Expedia,Nvidia,Cisco,Apple,Uber,Bloomberg,Adobe,Facebook,Amazon,LinkedIn,Microsoft,Goldman Sachs,Google</t>
  </si>
  <si>
    <t>Facebook,Bloomberg,Amazon,Google,ByteDance,Zillow,Adobe,Microsoft,Paypal,Oracle,Salesforce,Twitter</t>
  </si>
  <si>
    <t>Cisco,Facebook,Bloomberg,Amazon,Google,ByteDance,Zillow,Adobe,Microsoft,Paypal,Oracle,Salesforce,Twitter</t>
  </si>
  <si>
    <t>LinkedIn,Apple,Nvidia,Uber,Expedia,Goldman Sachs,Huawei,Cisco,Facebook,Bloomberg,Amazon,Google,ByteDance,Zillow,Adobe,Microsoft,Paypal,Oracle,Salesforce,Twitter</t>
  </si>
  <si>
    <t>Monotone Increasing Digits</t>
  </si>
  <si>
    <t>SAP,Amazon</t>
  </si>
  <si>
    <t>Amazon,SAP</t>
  </si>
  <si>
    <t>Sentence Similarity II</t>
  </si>
  <si>
    <t>Parse Lisp Expression</t>
  </si>
  <si>
    <t>Affirm,Google</t>
  </si>
  <si>
    <t>Asteroid Collision</t>
  </si>
  <si>
    <t>Robinhood,ByteDance,Oracle,Visa,Paypal,Lyft,EBay,Uber,Amazon,Microsoft,Google</t>
  </si>
  <si>
    <t>Amazon,Lyft,ByteDance,Oracle,Robinhood</t>
  </si>
  <si>
    <t>Google,Amazon,Lyft,ByteDance,Oracle,Robinhood</t>
  </si>
  <si>
    <t>Visa,Paypal,Uber,Google,Amazon,Lyft,ByteDance,Oracle,Robinhood</t>
  </si>
  <si>
    <t>Sentence Similarity</t>
  </si>
  <si>
    <t>Flood Fill</t>
  </si>
  <si>
    <t>Adobe,Qualtrics,Palantir Technologies,VMware,Snapchat,Apple,Uber,Bloomberg,Facebook,Amazon,Microsoft,Google</t>
  </si>
  <si>
    <t>Apple,VMware,Palantir Technologies,Adobe,Amazon,Microsoft,Google</t>
  </si>
  <si>
    <t>Qualtrics,Facebook,Uber,Snapchat,Apple,VMware,Palantir Technologies,Adobe,Amazon,Microsoft,Google</t>
  </si>
  <si>
    <t>My Calendar III</t>
  </si>
  <si>
    <t>Ordered Map,Segment Tree</t>
  </si>
  <si>
    <t>My Calendar II</t>
  </si>
  <si>
    <t>Count Different Palindromic Subsequences</t>
  </si>
  <si>
    <t>Facebook,Pure Storage,LinkedIn,Google</t>
  </si>
  <si>
    <t>LinkedIn,Google,Facebook</t>
  </si>
  <si>
    <t>My Calendar I</t>
  </si>
  <si>
    <t>Qualtrics,Wish,Bloomberg,Intuit,Apple,Uber,Amazon,Microsoft,Google</t>
  </si>
  <si>
    <t>Google,Intuit,Amazon,Qualtrics</t>
  </si>
  <si>
    <t>Bloomberg,Apple,Google,Intuit,Amazon,Qualtrics</t>
  </si>
  <si>
    <t>Uber,Microsoft,Wish,Bloomberg,Apple,Google,Intuit,Amazon,Qualtrics</t>
  </si>
  <si>
    <t>Self Dividing Numbers</t>
  </si>
  <si>
    <t>Epic Systems,Tesla,Adobe</t>
  </si>
  <si>
    <t>Adobe,Tesla,Epic Systems</t>
  </si>
  <si>
    <t>Minimum Window Subsequence</t>
  </si>
  <si>
    <t>Sliding Window,Dynamic Programming</t>
  </si>
  <si>
    <t>Facebook,Houzz,EBay,Bloomberg,Amazon,Microsoft,Google</t>
  </si>
  <si>
    <t>Microsoft,Google,Amazon,Facebook</t>
  </si>
  <si>
    <t>Bloomberg,eBay,Microsoft,Google,Amazon,Facebook</t>
  </si>
  <si>
    <t>Number of Atoms</t>
  </si>
  <si>
    <t>Recursion,Stack,Hash Table</t>
  </si>
  <si>
    <t>Microsoft,Pinterest,ByteDance,Adobe,Facebook,Amazon,Google</t>
  </si>
  <si>
    <t>ByteDance,Google,Pinterest,Amazon,Microsoft</t>
  </si>
  <si>
    <t>Adobe,ByteDance,Google,Pinterest,Amazon,Microsoft</t>
  </si>
  <si>
    <t>Split Linked List in Parts</t>
  </si>
  <si>
    <t>Find Pivot Index</t>
  </si>
  <si>
    <t>Citadel,Twitter,Cisco,Bloomberg,Tesla,Coupang,Salesforce,GoDaddy,Indeed,Radius,Expedia,Baidu,Apple,Facebook,Amazon,Microsoft,Goldman Sachs,Google</t>
  </si>
  <si>
    <t>Facebook,Goldman Sachs,Twitter,Apple</t>
  </si>
  <si>
    <t>Microsoft,Bloomberg,Amazon,Citadel,Facebook,Goldman Sachs,Twitter,Apple</t>
  </si>
  <si>
    <t>Google,Expedia,GoDaddy,Salesforce,Cisco,Radius,Coupang,Microsoft,Bloomberg,Amazon,Citadel,Facebook,Goldman Sachs,Twitter,Apple</t>
  </si>
  <si>
    <t>Candy Crush</t>
  </si>
  <si>
    <t>Uber,Rubrik,Twitch,Bloomberg,Facebook,Google</t>
  </si>
  <si>
    <t>Facebook,Uber,Bloomberg,Google</t>
  </si>
  <si>
    <t>Twitch,Rubrik,Facebook,Uber,Bloomberg,Google</t>
  </si>
  <si>
    <t>Remove Comments</t>
  </si>
  <si>
    <t>HBO,Qualtrics,Databricks,Oracle,Uber,Facebook,Amazon,Microsoft,Goldman Sachs,Google</t>
  </si>
  <si>
    <t>Microsoft,Google,Databricks</t>
  </si>
  <si>
    <t>Facebook,Microsoft,Google,Databricks</t>
  </si>
  <si>
    <t>Oracle,HBO,Uber,Amazon,Goldman Sachs,Facebook,Microsoft,Google,Databricks</t>
  </si>
  <si>
    <t>Accounts Merge</t>
  </si>
  <si>
    <t>Rubrik,Twitter,Uber,Bloomberg,Houzz,Oracle,Apple,Facebook,Amazon,LinkedIn,Microsoft,Google</t>
  </si>
  <si>
    <t>Facebook,Google,Microsoft,Amazon,LinkedIn,Twitter</t>
  </si>
  <si>
    <t>Bloomberg,Facebook,Google,Microsoft,Amazon,LinkedIn,Twitter</t>
  </si>
  <si>
    <t>Houzz,Uber,Apple,Rubrik,Oracle,Bloomberg,Facebook,Google,Microsoft,Amazon,LinkedIn,Twitter</t>
  </si>
  <si>
    <t>Longest Word in Dictionary</t>
  </si>
  <si>
    <t>Trie,Hash Table</t>
  </si>
  <si>
    <t>VMware,Bloomberg,Facebook,Pinterest,Amazon,Goldman Sachs,Google</t>
  </si>
  <si>
    <t>VMware,Amazon,Facebook,Goldman Sachs</t>
  </si>
  <si>
    <t>Google,Bloomberg,Pinterest,VMware,Amazon,Facebook,Goldman Sachs</t>
  </si>
  <si>
    <t>Find K-th Smallest Pair Distance</t>
  </si>
  <si>
    <t>Heap,Binary Search,Array</t>
  </si>
  <si>
    <t>Maximum Length of Repeated Subarray</t>
  </si>
  <si>
    <t>Dynamic Programming,Binary Search,Hash Table,Array</t>
  </si>
  <si>
    <t>Karat,Wayfair,Roblox,Apple,Google,Pinterest,Citadel,Indeed,Intuit</t>
  </si>
  <si>
    <t>Karat,Indeed,Intuit,Roblox</t>
  </si>
  <si>
    <t>Pinterest,Apple,Wayfair,Google,Citadel,Karat,Indeed,Intuit,Roblox</t>
  </si>
  <si>
    <t>1-bit and 2-bit Characters</t>
  </si>
  <si>
    <t>Amazon,IXL,Quora,Microsoft,Google</t>
  </si>
  <si>
    <t>Google,IXL,Microsoft,Quora,Amazon</t>
  </si>
  <si>
    <t>Max Stack</t>
  </si>
  <si>
    <t>Apple,Uber,Pure Storage,Snapchat,Twitter,Lyft,Bloomberg,Facebook,Amazon,LinkedIn,Microsoft,Google</t>
  </si>
  <si>
    <t>Lyft,LinkedIn,Amazon,Pure Storage,Twitter,Uber</t>
  </si>
  <si>
    <t>Microsoft,Facebook,Apple,Lyft,LinkedIn,Amazon,Pure Storage,Twitter,Uber</t>
  </si>
  <si>
    <t>Bloomberg,Microsoft,Facebook,Apple,Lyft,LinkedIn,Amazon,Pure Storage,Twitter,Uber</t>
  </si>
  <si>
    <t>Range Module</t>
  </si>
  <si>
    <t>Machine Zone,Coupang,Oracle,Amazon,LinkedIn,Google</t>
  </si>
  <si>
    <t>Oracle,Machine Zone,Coupang,Google,Amazon</t>
  </si>
  <si>
    <t>Best Time to Buy and Sell Stock with Transaction Fee</t>
  </si>
  <si>
    <t>Greedy,Dynamic Programming,Array</t>
  </si>
  <si>
    <t>Bloomberg,Facebook,Amazon,Google</t>
  </si>
  <si>
    <t>Google,Facebook,Bloomberg,Amazon</t>
  </si>
  <si>
    <t>Subarray Product Less Than K</t>
  </si>
  <si>
    <t>Bloomberg,Amazon,LinkedIn,Goldman Sachs,Yatra,Akuna Capital,Coursera,Atlassian,Expedia,Google</t>
  </si>
  <si>
    <t>Bloomberg,LinkedIn</t>
  </si>
  <si>
    <t>Akuna Capital,Google,Amazon,Goldman Sachs,Yatra,Bloomberg,LinkedIn</t>
  </si>
  <si>
    <t>Minimum ASCII Delete Sum for Two Strings</t>
  </si>
  <si>
    <t>TripleByte</t>
  </si>
  <si>
    <t>Number of Distinct Islands II</t>
  </si>
  <si>
    <t>Depth First Search,Hash Table</t>
  </si>
  <si>
    <t>Random Pick with Blacklist</t>
  </si>
  <si>
    <t>Random,Sort,Binary Search,Hash Table</t>
  </si>
  <si>
    <t>Two Sigma,Uber,Facebook,Amazon,Google</t>
  </si>
  <si>
    <t>Two Sigma</t>
  </si>
  <si>
    <t>Google,Amazon,Uber,Two Sigma</t>
  </si>
  <si>
    <t>To Lower Case</t>
  </si>
  <si>
    <t>Google,Adobe,Apple</t>
  </si>
  <si>
    <t>Insert into a Sorted Circular Linked List</t>
  </si>
  <si>
    <t>Splunk,Quip (Salesforce),Bloomberg,Facebook,Amazon,Microsoft,Google</t>
  </si>
  <si>
    <t>Facebook,Amazon,Microsoft</t>
  </si>
  <si>
    <t>Quip (Salesforce),Facebook,Amazon,Microsoft</t>
  </si>
  <si>
    <t>Google,Splunk,Bloomberg,Quip (Salesforce),Facebook,Amazon,Microsoft</t>
  </si>
  <si>
    <t>Design Linked List</t>
  </si>
  <si>
    <t>Design,Linked List</t>
  </si>
  <si>
    <t>Twilio,Adobe,Oracle,Amazon,Microsoft</t>
  </si>
  <si>
    <t>Twilio,Adobe,Microsoft,Amazon</t>
  </si>
  <si>
    <t>Design HashMap</t>
  </si>
  <si>
    <t>ByteDance,Expedia,EBay,Morgan Stanley,Reddit,Atlassian,Dell,Tableau,Salesforce,VMware,Walmart Labs,Twitter,ServiceNow,Oracle,Apple,Uber,Adobe,Facebook,Amazon,LinkedIn,Microsoft,Goldman Sachs,Google</t>
  </si>
  <si>
    <t>Goldman Sachs,Apple,Amazon,Oracle,LinkedIn,Google,eBay,Microsoft,Twitter,ServiceNow,VMware,ByteDance</t>
  </si>
  <si>
    <t>Facebook,Expedia,Atlassian,Morgan Stanley,Goldman Sachs,Apple,Amazon,Oracle,LinkedIn,Google,eBay,Microsoft,Twitter,ServiceNow,VMware,ByteDance</t>
  </si>
  <si>
    <t>Adobe,Salesforce,Uber,Reddit,Dell,Tableau,Walmart Labs,Facebook,Expedia,Atlassian,Morgan Stanley,Goldman Sachs,Apple,Amazon,Oracle,LinkedIn,Google,eBay,Microsoft,Twitter,ServiceNow,VMware,ByteDance</t>
  </si>
  <si>
    <t>Design HashSet</t>
  </si>
  <si>
    <t>Paypal,Apple,Bloomberg,Facebook,Amazon,Microsoft,Google</t>
  </si>
  <si>
    <t>Microsoft,Facebook,Amazon,Apple</t>
  </si>
  <si>
    <t>Bloomberg,Paypal,Microsoft,Facebook,Amazon,Apple</t>
  </si>
  <si>
    <t>Google,Bloomberg,Paypal,Microsoft,Facebook,Amazon,Apple</t>
  </si>
  <si>
    <t>Kth Largest Element in a Stream</t>
  </si>
  <si>
    <t>Design,Heap</t>
  </si>
  <si>
    <t>Adobe,Goldman Sachs,Nutanix,Walmart Labs,EBay,Apple,Bloomberg,Facebook,Amazon,Microsoft,Google</t>
  </si>
  <si>
    <t>Amazon,Microsoft,Facebook,Goldman Sachs</t>
  </si>
  <si>
    <t>Google,Adobe,Amazon,Microsoft,Facebook,Goldman Sachs</t>
  </si>
  <si>
    <t>eBay,Nutanix,Apple,Google,Adobe,Amazon,Microsoft,Facebook,Goldman Sachs</t>
  </si>
  <si>
    <t>Search in a Sorted Array of Unknown Size</t>
  </si>
  <si>
    <t>Morgan Stanley,EBay,Amazon,Microsoft,Google</t>
  </si>
  <si>
    <t>Google,Microsoft,Morgan Stanley</t>
  </si>
  <si>
    <t>Amazon,Google,Microsoft,Morgan Stanley</t>
  </si>
  <si>
    <t>Insert into a Binary Search Tree</t>
  </si>
  <si>
    <t>Apple,Atlassian,Facebook,Amazon,LinkedIn,Microsoft,Google</t>
  </si>
  <si>
    <t>Facebook,Atlassian,Apple,Amazon,Microsoft,Google</t>
  </si>
  <si>
    <t>Search in a Binary Search Tree</t>
  </si>
  <si>
    <t>Apple,Uber,IBM,Adobe,Google</t>
  </si>
  <si>
    <t>Falling Squares</t>
  </si>
  <si>
    <t>Square,Uber,Amazon</t>
  </si>
  <si>
    <t>Amazon,Uber,Square</t>
  </si>
  <si>
    <t>Partition to K Equal Sum Subsets</t>
  </si>
  <si>
    <t>Recursion,Dynamic Programming</t>
  </si>
  <si>
    <t>ByteDance,Yahoo,Bloomberg,Adobe,Pinterest,Houzz,VMware,EBay,Facebook,Amazon,LinkedIn,Microsoft,Google</t>
  </si>
  <si>
    <t>LinkedIn,Facebook,Google,Amazon,Adobe</t>
  </si>
  <si>
    <t>Bloomberg,ByteDance,Pinterest,LinkedIn,Facebook,Google,Amazon,Adobe</t>
  </si>
  <si>
    <t>Microsoft,Yahoo,Houzz,eBay,Bloomberg,ByteDance,Pinterest,LinkedIn,Facebook,Google,Amazon,Adobe</t>
  </si>
  <si>
    <t>Degree of an Array</t>
  </si>
  <si>
    <t>Twitter,Bloomberg,Robinhood,IXL,Citrix,GE Digital,Visa,VMware,Walmart Labs,Mathworks</t>
  </si>
  <si>
    <t>Bloomberg,Twitter</t>
  </si>
  <si>
    <t>VMware,Bloomberg,Twitter</t>
  </si>
  <si>
    <t>Walmart Labs,Citrix,Mathworks,IXL,Robinhood,GE Digital,VMware,Bloomberg,Twitter</t>
  </si>
  <si>
    <t>Count Binary Substrings</t>
  </si>
  <si>
    <t>JPMorgan,SAP,Helix</t>
  </si>
  <si>
    <t>JPMorgan,SAP</t>
  </si>
  <si>
    <t>Helix,JPMorgan,SAP</t>
  </si>
  <si>
    <t>Max Area of Island</t>
  </si>
  <si>
    <t>Depth First Search,Array</t>
  </si>
  <si>
    <t>EBay,LinkedIn,DoorDash,Qualtrics,Palantir Technologies,Cruise Automation,Twitch,ByteDance,Affirm,Walmart Labs,Zillow,Wish,Oracle,Intuit,Mathworks,Apple,Uber,Bloomberg,Adobe,Facebook,Amazon,Microsoft,Google</t>
  </si>
  <si>
    <t>Google,DoorDash,Amazon,Facebook,Microsoft,Oracle,Bloomberg,eBay,Qualtrics,Palantir Technologies</t>
  </si>
  <si>
    <t>ByteDance,Twitch,Cruise Automation,Google,DoorDash,Amazon,Facebook,Microsoft,Oracle,Bloomberg,eBay,Qualtrics,Palantir Technologies</t>
  </si>
  <si>
    <t>Wish,Walmart Labs,Affirm,LinkedIn,Apple,Intuit,ByteDance,Twitch,Cruise Automation,Google,DoorDash,Amazon,Facebook,Microsoft,Oracle,Bloomberg,eBay,Qualtrics,Palantir Technologies</t>
  </si>
  <si>
    <t>Number of Distinct Islands</t>
  </si>
  <si>
    <t>Breadth First Search,Depth First Search,Hash Table</t>
  </si>
  <si>
    <t>Palantir Technologies,Oracle,Lyft,Apple,Uber,Bloomberg,Facebook,Amazon,Microsoft,Google</t>
  </si>
  <si>
    <t>Facebook,Palantir Technologies,Amazon,Bloomberg,Microsoft</t>
  </si>
  <si>
    <t>Apple,Google,Uber,Oracle,Facebook,Palantir Technologies,Amazon,Bloomberg,Microsoft</t>
  </si>
  <si>
    <t>Binary Number with Alternating Bits</t>
  </si>
  <si>
    <t>Top K Frequent Words</t>
  </si>
  <si>
    <t>Trie,Heap,Hash Table</t>
  </si>
  <si>
    <t>Tesla,Qualtrics,Lyft,ByteDance,TripAdvisor,Pocket Gems,Atlassian,Salesforce,VMware,Expedia,Yelp,Oracle,Apple,Uber,Bloomberg,Adobe,Facebook,Amazon,LinkedIn,Microsoft,Google</t>
  </si>
  <si>
    <t>Amazon,Bloomberg,Google,Facebook,Apple,Oracle,Microsoft,ByteDance</t>
  </si>
  <si>
    <t>Uber,Lyft,Qualtrics,Amazon,Bloomberg,Google,Facebook,Apple,Oracle,Microsoft,ByteDance</t>
  </si>
  <si>
    <t>Yelp,Expedia,TripAdvisor,Atlassian,Salesforce,Tesla,Pocket Gems,Uber,Lyft,Qualtrics,Amazon,Bloomberg,Google,Facebook,Apple,Oracle,Microsoft,ByteDance</t>
  </si>
  <si>
    <t>Stickers to Spell Word</t>
  </si>
  <si>
    <t>IXL,Facebook</t>
  </si>
  <si>
    <t>Employee Importance</t>
  </si>
  <si>
    <t>Microsoft,Uber,Amazon,Google</t>
  </si>
  <si>
    <t>Amazon,Google,Microsoft</t>
  </si>
  <si>
    <t>Uber,Amazon,Google,Microsoft</t>
  </si>
  <si>
    <t>Maximum Sum of 3 Non-Overlapping Subarrays</t>
  </si>
  <si>
    <t>Knight Probability in Chessboard</t>
  </si>
  <si>
    <t>Apple,Facebook,Amazon,Microsoft,Goldman Sachs,Google</t>
  </si>
  <si>
    <t>Goldman Sachs,Amazon,Google</t>
  </si>
  <si>
    <t>Apple,Goldman Sachs,Amazon,Google</t>
  </si>
  <si>
    <t>Microsoft,Facebook,Apple,Goldman Sachs,Amazon,Google</t>
  </si>
  <si>
    <t>Longest Univalue Path</t>
  </si>
  <si>
    <t>Bloomberg,Apple,Amazon,Google</t>
  </si>
  <si>
    <t>Apple,Google,Bloomberg,Amazon</t>
  </si>
  <si>
    <t>Repeated String Match</t>
  </si>
  <si>
    <t>Facebook,Adobe,Amazon,Google</t>
  </si>
  <si>
    <t>Redundant Connection II</t>
  </si>
  <si>
    <t>Graph,Union Find,Depth First Search,Tree</t>
  </si>
  <si>
    <t>Google,Apple,Amazon</t>
  </si>
  <si>
    <t>Redundant Connection</t>
  </si>
  <si>
    <t>Graph,Union Find,Tree</t>
  </si>
  <si>
    <t>K Empty Slots</t>
  </si>
  <si>
    <t>Baseball Game</t>
  </si>
  <si>
    <t>Next Closest Time</t>
  </si>
  <si>
    <t>Palantir Technologies,ByteDance,Amazon,Uber,Adobe,Facebook,Microsoft,Google</t>
  </si>
  <si>
    <t>Microsoft,ByteDance,Amazon</t>
  </si>
  <si>
    <t>Google,Facebook,Uber,Palantir Technologies,Microsoft,ByteDance,Amazon</t>
  </si>
  <si>
    <t>Valid Palindrome II</t>
  </si>
  <si>
    <t>Wish,Oracle,Amazon,Atlassian,Yahoo,Facebook,Microsoft,Google</t>
  </si>
  <si>
    <t>Facebook,Oracle,Microsoft,Wish</t>
  </si>
  <si>
    <t>Amazon,Facebook,Oracle,Microsoft,Wish</t>
  </si>
  <si>
    <t>Atlassian,Amazon,Facebook,Oracle,Microsoft,Wish</t>
  </si>
  <si>
    <t>24 Game</t>
  </si>
  <si>
    <t>Snapchat,ByteDance,Twitter,Uber,Facebook,Amazon,Microsoft,Google</t>
  </si>
  <si>
    <t>Google,Microsoft,Snapchat,Amazon</t>
  </si>
  <si>
    <t>Uber,Twitter,ByteDance,Facebook,Google,Microsoft,Snapchat,Amazon</t>
  </si>
  <si>
    <t>Valid Parenthesis String</t>
  </si>
  <si>
    <t>ByteDance,Salesforce,Oracle,Uber,Adobe,Bloomberg,Facebook,Amazon,Alibaba,Google</t>
  </si>
  <si>
    <t>Facebook,Salesforce,Amazon,Uber,Oracle</t>
  </si>
  <si>
    <t>Google,ByteDance,Facebook,Salesforce,Amazon,Uber,Oracle</t>
  </si>
  <si>
    <t>Adobe,Alibaba,Google,ByteDance,Facebook,Salesforce,Amazon,Uber,Oracle</t>
  </si>
  <si>
    <t>Map Sum Pairs</t>
  </si>
  <si>
    <t>Implement Magic Dictionary</t>
  </si>
  <si>
    <t>ByteDance,Amazon,Facebook,Microsoft,Google</t>
  </si>
  <si>
    <t>Cut Off Trees for Golf Event</t>
  </si>
  <si>
    <t>Flipkart,Apple,Amazon</t>
  </si>
  <si>
    <t>Flipkart,Apple</t>
  </si>
  <si>
    <t>Amazon,Flipkart,Apple</t>
  </si>
  <si>
    <t>Longest Continuous Increasing Subsequence</t>
  </si>
  <si>
    <t>Google,Apple,Facebook,Amazon</t>
  </si>
  <si>
    <t>Number of Longest Increasing Subsequence</t>
  </si>
  <si>
    <t>Bloomberg,Facebook,Amazon</t>
  </si>
  <si>
    <t>Bulb Switcher II</t>
  </si>
  <si>
    <t>Second Minimum Node In a Binary Tree</t>
  </si>
  <si>
    <t>Adobe,Google,Uber,Amazon,LinkedIn,Microsoft</t>
  </si>
  <si>
    <t>LinkedIn,Microsoft,Adobe</t>
  </si>
  <si>
    <t>Google,LinkedIn,Microsoft,Adobe</t>
  </si>
  <si>
    <t>Amazon,Uber,Google,LinkedIn,Microsoft,Adobe</t>
  </si>
  <si>
    <t>Maximum Swap</t>
  </si>
  <si>
    <t>Apple,Amazon,ByteDance,Uber,Facebook,Microsoft</t>
  </si>
  <si>
    <t>Apple,ByteDance,Facebook,Amazon</t>
  </si>
  <si>
    <t>Microsoft,Uber,Apple,ByteDance,Facebook,Amazon</t>
  </si>
  <si>
    <t>Trim a Binary Search Tree</t>
  </si>
  <si>
    <t>Samsung,Apple,Yahoo,Bloomberg,Adobe,Facebook,Microsoft,Google</t>
  </si>
  <si>
    <t>Yahoo,Google,Facebook,Apple,Samsung</t>
  </si>
  <si>
    <t>Microsoft,Adobe,Bloomberg,Yahoo,Google,Facebook,Apple,Samsung</t>
  </si>
  <si>
    <t>Kth Smallest Number in Multiplication Table</t>
  </si>
  <si>
    <t>Beautiful Arrangement II</t>
  </si>
  <si>
    <t>Path Sum IV</t>
  </si>
  <si>
    <t>Facebook,Alibaba</t>
  </si>
  <si>
    <t>Alibaba,Facebook</t>
  </si>
  <si>
    <t>Non-decreasing Array</t>
  </si>
  <si>
    <t>EBay,Apple,Bloomberg,Adobe,Facebook,Microsoft,Amazon,Google</t>
  </si>
  <si>
    <t>Amazon,eBay,Bloomberg,Facebook,Microsoft</t>
  </si>
  <si>
    <t>Google,Adobe,Apple,Amazon,eBay,Bloomberg,Facebook,Microsoft</t>
  </si>
  <si>
    <t>Strange Printer</t>
  </si>
  <si>
    <t>NetEase</t>
  </si>
  <si>
    <t>Equal Tree Partition</t>
  </si>
  <si>
    <t>Maximum Width of Binary Tree</t>
  </si>
  <si>
    <t>Oracle,EBay,Uber,Bloomberg,Facebook,Amazon,Microsoft,Google</t>
  </si>
  <si>
    <t>Google,Uber,Oracle,Amazon,eBay,Bloomberg,Facebook,Microsoft</t>
  </si>
  <si>
    <t>Image Smoother</t>
  </si>
  <si>
    <t>Remove 9</t>
  </si>
  <si>
    <t>Houzz,Google</t>
  </si>
  <si>
    <t>Google,Houzz</t>
  </si>
  <si>
    <t>Split Array into Consecutive Subsequences</t>
  </si>
  <si>
    <t>Find K Closest Elements</t>
  </si>
  <si>
    <t>Paypal,Yandex,Snapchat,EBay,Apple,Uber,Bloomberg,Facebook,Amazon,Microsoft,Google</t>
  </si>
  <si>
    <t>Facebook,Microsoft,Google,Paypal</t>
  </si>
  <si>
    <t>Apple,Amazon,Bloomberg,eBay,Facebook,Microsoft,Google,Paypal</t>
  </si>
  <si>
    <t>Uber,Snapchat,Yandex,Apple,Amazon,Bloomberg,eBay,Facebook,Microsoft,Google,Paypal</t>
  </si>
  <si>
    <t>Robot Return to Origin</t>
  </si>
  <si>
    <t>Amazon,Goldman Sachs,Google</t>
  </si>
  <si>
    <t>Coin Path</t>
  </si>
  <si>
    <t>Print Binary Tree</t>
  </si>
  <si>
    <t>Poynt,Uber,Facebook,LinkedIn,Microsoft</t>
  </si>
  <si>
    <t>Facebook,Poynt,Uber</t>
  </si>
  <si>
    <t>Maximum Binary Tree</t>
  </si>
  <si>
    <t>Two Sum IV - Input is a BST</t>
  </si>
  <si>
    <t>Bloomberg,Snapchat,ServiceNow,Samsung,Facebook,Amazon,Microsoft,Google</t>
  </si>
  <si>
    <t>Amazon,Facebook,ServiceNow,Microsoft</t>
  </si>
  <si>
    <t>Bloomberg,Samsung,Amazon,Facebook,ServiceNow,Microsoft</t>
  </si>
  <si>
    <t>Find Duplicate Subtrees</t>
  </si>
  <si>
    <t>Rubrik,Oracle,Lyft,Uber,Bloomberg,Facebook,Amazon,Microsoft,Google</t>
  </si>
  <si>
    <t>Microsoft,Google,Amazon</t>
  </si>
  <si>
    <t>Bloomberg,Facebook,Oracle,Rubrik,Microsoft,Google,Amazon</t>
  </si>
  <si>
    <t>4 Keys Keyboard</t>
  </si>
  <si>
    <t>2 Keys Keyboard</t>
  </si>
  <si>
    <t>Dota2 Senate</t>
  </si>
  <si>
    <t>Valve</t>
  </si>
  <si>
    <t>Replace Words</t>
  </si>
  <si>
    <t>Palindromic Substrings</t>
  </si>
  <si>
    <t>Walmart Labs,Expedia,Citrix,Bloomberg,Goldman Sachs,Coursera,Pure Storage,Atlassian,Roblox,VMware,Citadel,Twitter,Mathworks,Apple,Uber,SAP,Adobe,Facebook,Amazon,LinkedIn,Microsoft,Google</t>
  </si>
  <si>
    <t>Facebook,Goldman Sachs,Expedia,Google,Twitter,Bloomberg,Walmart Labs</t>
  </si>
  <si>
    <t>Microsoft,Apple,Amazon,Citadel,Facebook,Goldman Sachs,Expedia,Google,Twitter,Bloomberg,Walmart Labs</t>
  </si>
  <si>
    <t>Mathworks,Pure Storage,Uber,VMware,Atlassian,Citrix,Roblox,LinkedIn,Microsoft,Apple,Amazon,Citadel,Facebook,Goldman Sachs,Expedia,Google,Twitter,Bloomberg,Walmart Labs</t>
  </si>
  <si>
    <t>Maximum Length of Pair Chain</t>
  </si>
  <si>
    <t>Uber,Bloomberg,Facebook,Amazon</t>
  </si>
  <si>
    <t>Bloomberg,Amazon,Uber</t>
  </si>
  <si>
    <t>Set Mismatch</t>
  </si>
  <si>
    <t>Maximum Average Subarray II</t>
  </si>
  <si>
    <t>Maximum Average Subarray I</t>
  </si>
  <si>
    <t>Design Search Autocomplete System</t>
  </si>
  <si>
    <t>Trie,Design</t>
  </si>
  <si>
    <t>EBay,Salesforce,Dropbox,Snapchat,Lyft,Apple,Uber,Bloomberg,Facebook,Amazon,Microsoft,Google</t>
  </si>
  <si>
    <t>Lyft,Amazon,Google,Microsoft,Bloomberg</t>
  </si>
  <si>
    <t>Apple,eBay,Lyft,Amazon,Google,Microsoft,Bloomberg</t>
  </si>
  <si>
    <t>Dropbox,Uber,Facebook,Snapchat,Apple,eBay,Lyft,Amazon,Google,Microsoft,Bloomberg</t>
  </si>
  <si>
    <t>Design Circular Deque</t>
  </si>
  <si>
    <t>Queue,Design</t>
  </si>
  <si>
    <t>Solve the Equation</t>
  </si>
  <si>
    <t>Uber,Amazon,Google</t>
  </si>
  <si>
    <t>Decode Ways II</t>
  </si>
  <si>
    <t>Shopping Offers</t>
  </si>
  <si>
    <t>Average of Levels in Binary Tree</t>
  </si>
  <si>
    <t>Exclusive Time of Functions</t>
  </si>
  <si>
    <t>Qualtrics,Oracle,Apple,Uber,Facebook,Amazon,LinkedIn,Microsoft,Google</t>
  </si>
  <si>
    <t>Facebook,Amazon,LinkedIn,Microsoft,Qualtrics</t>
  </si>
  <si>
    <t>Apple,Google,Facebook,Amazon,LinkedIn,Microsoft,Qualtrics</t>
  </si>
  <si>
    <t>Oracle,Uber,Apple,Google,Facebook,Amazon,LinkedIn,Microsoft,Qualtrics</t>
  </si>
  <si>
    <t>Design Log Storage System</t>
  </si>
  <si>
    <t>Design,String</t>
  </si>
  <si>
    <t>Snapchat,Twitter,Amazon,Google</t>
  </si>
  <si>
    <t>Twitter,Amazon</t>
  </si>
  <si>
    <t>Google,Snapchat,Twitter,Amazon</t>
  </si>
  <si>
    <t>Find the Derangement of An Array</t>
  </si>
  <si>
    <t>IXL,Amazon</t>
  </si>
  <si>
    <t>Amazon,IXL</t>
  </si>
  <si>
    <t>Sum of Square Numbers</t>
  </si>
  <si>
    <t>Apple,LinkedIn</t>
  </si>
  <si>
    <t>LinkedIn,Apple</t>
  </si>
  <si>
    <t>Smallest Range Covering Elements from K Lists</t>
  </si>
  <si>
    <t>String,Two Pointers,Hash Table</t>
  </si>
  <si>
    <t>Apple,Pinterest,Snapchat,Lyft,Facebook,Amazon,Microsoft,Google</t>
  </si>
  <si>
    <t>Google,Facebook,Apple,Snapchat,Lyft,Amazon</t>
  </si>
  <si>
    <t>Design Excel Sum Formula</t>
  </si>
  <si>
    <t>Opendoor,Amazon,Microsoft</t>
  </si>
  <si>
    <t>Opendoor</t>
  </si>
  <si>
    <t>Amazon,Microsoft,Opendoor</t>
  </si>
  <si>
    <t>Course Schedule III</t>
  </si>
  <si>
    <t>Works Applications,Microsoft,Google</t>
  </si>
  <si>
    <t>Works Applications,Google,Microsoft</t>
  </si>
  <si>
    <t>K Inverse Pairs Array</t>
  </si>
  <si>
    <t>Works Applications</t>
  </si>
  <si>
    <t>Maximum Product of Three Numbers</t>
  </si>
  <si>
    <t>Citadel,Uber,Symantec,Redfin,Intuit,Cisco,Apple,Bloomberg,Facebook,Amazon,Goldman Sachs</t>
  </si>
  <si>
    <t>Apple,Citadel,Uber,Intuit,Amazon</t>
  </si>
  <si>
    <t>Redfin,Facebook,Cisco,Apple,Citadel,Uber,Intuit,Amazon</t>
  </si>
  <si>
    <t>Swap Salary</t>
  </si>
  <si>
    <t>Exchange Seats</t>
  </si>
  <si>
    <t>Minimum Factorization</t>
  </si>
  <si>
    <t>Tencent</t>
  </si>
  <si>
    <t>Maximum Distance in Arrays</t>
  </si>
  <si>
    <t>Add One Row to Tree</t>
  </si>
  <si>
    <t>Gilt Groupe</t>
  </si>
  <si>
    <t>Design Circular Queue</t>
  </si>
  <si>
    <t>Cloudera,Splunk,Citadel,Oracle,Apple,Airbnb,Facebook,Amazon,Microsoft,Google</t>
  </si>
  <si>
    <t>Facebook,Amazon,Microsoft,Oracle</t>
  </si>
  <si>
    <t>Apple,Google,Facebook,Amazon,Microsoft,Oracle</t>
  </si>
  <si>
    <t>Cloudera,Citadel,Splunk,Airbnb,Apple,Google,Facebook,Amazon,Microsoft,Oracle</t>
  </si>
  <si>
    <t>Task Scheduler</t>
  </si>
  <si>
    <t>Queue,Greedy,Array</t>
  </si>
  <si>
    <t>Airtel,Rubrik,Snapchat,EBay,Nutanix,Pinterest,VMware,Oracle,Apple,Uber,Bloomberg,Facebook,Amazon,Microsoft,Google</t>
  </si>
  <si>
    <t>Facebook,Amazon,Google,Rubrik,Pinterest,Microsoft,Bloomberg,Airtel</t>
  </si>
  <si>
    <t>Uber,eBay,Facebook,Amazon,Google,Rubrik,Pinterest,Microsoft,Bloomberg,Airtel</t>
  </si>
  <si>
    <t>Apple,Snapchat,Oracle,Uber,eBay,Facebook,Amazon,Google,Rubrik,Pinterest,Microsoft,Bloomberg,Airtel</t>
  </si>
  <si>
    <t>Not Boring Movies</t>
  </si>
  <si>
    <t>Biggest Single Number</t>
  </si>
  <si>
    <t>Students Report By Geography</t>
  </si>
  <si>
    <t>Merge Two Binary Trees</t>
  </si>
  <si>
    <t>Yahoo,Bloomberg,Facebook,Microsoft,Google,Oracle,Huawei,Apple,Adobe,Amazon</t>
  </si>
  <si>
    <t>Adobe,Yahoo,Amazon,Google,Facebook,Apple</t>
  </si>
  <si>
    <t>Huawei,Microsoft,Oracle,Bloomberg,Adobe,Yahoo,Amazon,Google,Facebook,Apple</t>
  </si>
  <si>
    <t>Add Bold Tag in String</t>
  </si>
  <si>
    <t>Wish,Facebook,Google</t>
  </si>
  <si>
    <t>Wish,Facebook</t>
  </si>
  <si>
    <t>Google,Wish,Facebook</t>
  </si>
  <si>
    <t>Average Salary: Departments VS Company</t>
  </si>
  <si>
    <t>Second Degree Follower</t>
  </si>
  <si>
    <t>Databricks,Facebook</t>
  </si>
  <si>
    <t>Facebook,Databricks</t>
  </si>
  <si>
    <t>Shortest Distance in a Line</t>
  </si>
  <si>
    <t>Shortest Distance in a Plane</t>
  </si>
  <si>
    <t>Valid Triangle Number</t>
  </si>
  <si>
    <t>Robinhood,ByteDance,Expedia,Uber,Bloomberg,Facebook,Amazon,LinkedIn,Microsoft</t>
  </si>
  <si>
    <t>Bloomberg,LinkedIn,ByteDance,Microsoft</t>
  </si>
  <si>
    <t>Amazon,Robinhood,Bloomberg,LinkedIn,ByteDance,Microsoft</t>
  </si>
  <si>
    <t>Facebook,Expedia,Amazon,Robinhood,Bloomberg,LinkedIn,ByteDance,Microsoft</t>
  </si>
  <si>
    <t>Triangle Judgement</t>
  </si>
  <si>
    <t>Find Duplicate File in System</t>
  </si>
  <si>
    <t>VMware,Dropbox,Oracle,Apple,Facebook,Amazon,Microsoft,Google</t>
  </si>
  <si>
    <t>Dropbox,Amazon</t>
  </si>
  <si>
    <t>Google,Facebook,Apple,Dropbox,Amazon</t>
  </si>
  <si>
    <t>VMware,Microsoft,Oracle,Google,Facebook,Apple,Dropbox,Amazon</t>
  </si>
  <si>
    <t>Tree Node</t>
  </si>
  <si>
    <t>Uber,Twitter</t>
  </si>
  <si>
    <t>Sales Person</t>
  </si>
  <si>
    <t>Construct String from Binary Tree</t>
  </si>
  <si>
    <t>Bloomberg,Microsoft,Amazon</t>
  </si>
  <si>
    <t>Microsoft,Amazon,Bloomberg</t>
  </si>
  <si>
    <t>Can Place Flowers</t>
  </si>
  <si>
    <t>Adobe,Facebook,Cisco,Yahoo,Amazon,LinkedIn</t>
  </si>
  <si>
    <t>LinkedIn,Facebook</t>
  </si>
  <si>
    <t>Adobe,LinkedIn,Facebook</t>
  </si>
  <si>
    <t>Yahoo,Adobe,LinkedIn,Facebook</t>
  </si>
  <si>
    <t>Design Compressed String Iterator</t>
  </si>
  <si>
    <t>Consecutive Available Seats</t>
  </si>
  <si>
    <t>Friend Requests II: Who Has the Most Friends</t>
  </si>
  <si>
    <t>Human Traffic of Stadium</t>
  </si>
  <si>
    <t>Uber,Adobe,Amazon</t>
  </si>
  <si>
    <t>Adobe,Uber,Amazon</t>
  </si>
  <si>
    <t>Non-negative Integers without Consecutive Ones</t>
  </si>
  <si>
    <t>Pocket Gems</t>
  </si>
  <si>
    <t>Minimum Index Sum of Two Lists</t>
  </si>
  <si>
    <t>Yelp,Oracle</t>
  </si>
  <si>
    <t>Oracle,Yelp</t>
  </si>
  <si>
    <t>Range Addition II</t>
  </si>
  <si>
    <t>IXL</t>
  </si>
  <si>
    <t>Friend Requests I: Overall Acceptance Rate</t>
  </si>
  <si>
    <t>Classes More Than 5 Students</t>
  </si>
  <si>
    <t>Big Countries</t>
  </si>
  <si>
    <t>Bloomberg,Adobe</t>
  </si>
  <si>
    <t>Longest Harmonious Subsequence</t>
  </si>
  <si>
    <t>LiveRamp,Apple</t>
  </si>
  <si>
    <t>Apple,LiveRamp</t>
  </si>
  <si>
    <t>Valid Square</t>
  </si>
  <si>
    <t>Pure Storage,Facebook,Google</t>
  </si>
  <si>
    <t>Pure Storage,Google</t>
  </si>
  <si>
    <t>Facebook,Pure Storage,Google</t>
  </si>
  <si>
    <t>Fraction Addition and Subtraction</t>
  </si>
  <si>
    <t>IXL,Goldman Sachs</t>
  </si>
  <si>
    <t>Tag Validator</t>
  </si>
  <si>
    <t>Airbnb,Uber,Microsoft,Google</t>
  </si>
  <si>
    <t>Google,Uber,Microsoft,Airbnb</t>
  </si>
  <si>
    <t>N-ary Tree Postorder Traversal</t>
  </si>
  <si>
    <t>N-ary Tree Preorder Traversal</t>
  </si>
  <si>
    <t>Design In-Memory File System</t>
  </si>
  <si>
    <t>Citadel,Facebook,Microsoft,Google,Baidu,Airbnb,Amazon,Goldman Sachs</t>
  </si>
  <si>
    <t>Amazon,Microsoft,Citadel,Google</t>
  </si>
  <si>
    <t>Airbnb,Facebook,Goldman Sachs,Baidu,Amazon,Microsoft,Citadel,Google</t>
  </si>
  <si>
    <t>Erect the Fence</t>
  </si>
  <si>
    <t>Customer Placing the Largest Number of Orders</t>
  </si>
  <si>
    <t>Investments in 2016</t>
  </si>
  <si>
    <t>Find Customer Referee</t>
  </si>
  <si>
    <t>Delete Operation for Two Strings</t>
  </si>
  <si>
    <t>Kill Process</t>
  </si>
  <si>
    <t>Queue,Tree</t>
  </si>
  <si>
    <t>Apple,Bloomberg,Amazon,Google</t>
  </si>
  <si>
    <t>Shortest Unsorted Continuous Subarray</t>
  </si>
  <si>
    <t>Microsoft,LiveRamp,Redfin,Uber,Bloomberg,Amazon,Google</t>
  </si>
  <si>
    <t>Google,Uber,LiveRamp,Amazon,Microsoft</t>
  </si>
  <si>
    <t>Count Student Number in Departments</t>
  </si>
  <si>
    <t>Find Cumulative Salary of an Employee</t>
  </si>
  <si>
    <t>Get Highest Answer Rate Question</t>
  </si>
  <si>
    <t>Employee Bonus</t>
  </si>
  <si>
    <t>Netsuite</t>
  </si>
  <si>
    <t>Out of Boundary Paths</t>
  </si>
  <si>
    <t>Amazon,Baidu</t>
  </si>
  <si>
    <t>Distribute Candies</t>
  </si>
  <si>
    <t>LiveRamp,Microsoft</t>
  </si>
  <si>
    <t>Microsoft,LiveRamp</t>
  </si>
  <si>
    <t>Winning Candidate</t>
  </si>
  <si>
    <t>Squirrel Simulation</t>
  </si>
  <si>
    <t>Subtree of Another Tree</t>
  </si>
  <si>
    <t>JPMorgan,EBay,Samsung,Bloomberg,Facebook,Amazon,Microsoft,Google</t>
  </si>
  <si>
    <t>Amazon,Microsoft,Facebook</t>
  </si>
  <si>
    <t>JPMorgan,Amazon,Microsoft,Facebook</t>
  </si>
  <si>
    <t>Google,Bloomberg,eBay,JPMorgan,Amazon,Microsoft,Facebook</t>
  </si>
  <si>
    <t>Find Median Given Frequency of Numbers</t>
  </si>
  <si>
    <t>Pinterest</t>
  </si>
  <si>
    <t>Managers with at Least 5 Direct Reports</t>
  </si>
  <si>
    <t>Median Employee Salary</t>
  </si>
  <si>
    <t>Maximum Vacation Days</t>
  </si>
  <si>
    <t>Uber,Facebook,Microsoft,Google</t>
  </si>
  <si>
    <t>Permutation in String</t>
  </si>
  <si>
    <t>ByteDance,Lyft,Yandex,Uber,Yahoo,Bloomberg,Facebook,Amazon,Microsoft,Google</t>
  </si>
  <si>
    <t>Facebook,Microsoft,Amazon,Yandex</t>
  </si>
  <si>
    <t>Lyft,ByteDance,Facebook,Microsoft,Amazon,Yandex</t>
  </si>
  <si>
    <t>Uber,Google,Lyft,ByteDance,Facebook,Microsoft,Amazon,Yandex</t>
  </si>
  <si>
    <t>Reshape the Matrix</t>
  </si>
  <si>
    <t>Mathworks</t>
  </si>
  <si>
    <t>Array Nesting</t>
  </si>
  <si>
    <t>Salesforce,Apple,Bloomberg</t>
  </si>
  <si>
    <t>Salesforce,Bloomberg,Apple</t>
  </si>
  <si>
    <t>Find the Closest Palindrome</t>
  </si>
  <si>
    <t>Apple,Nutanix,Pinterest,Yelp,Uber,Facebook,Amazon,Microsoft,Google</t>
  </si>
  <si>
    <t>Microsoft,Nutanix,Uber,Yelp,Apple,Amazon</t>
  </si>
  <si>
    <t>Binary Tree Tilt</t>
  </si>
  <si>
    <t>Longest Line of Consecutive One in Matrix</t>
  </si>
  <si>
    <t>Array Partition I</t>
  </si>
  <si>
    <t>Apple,Adobe,Amazon</t>
  </si>
  <si>
    <t>Amazon,Adobe,Apple</t>
  </si>
  <si>
    <t>Subarray Sum Equals K</t>
  </si>
  <si>
    <t>American Express,Coupang,ByteDance,Twilio,Quora,Snapchat,Indeed,Expedia,Wish,Oracle,Yandex,EBay,Apple,Uber,Yahoo,Bloomberg,Adobe,Facebook,Amazon,LinkedIn,Microsoft,Goldman Sachs,Google</t>
  </si>
  <si>
    <t>Facebook,Amazon,Bloomberg,Microsoft,Yandex,ByteDance,Adobe,Oracle</t>
  </si>
  <si>
    <t>Google,Goldman Sachs,Twilio,eBay,Yahoo,Apple,American Express,Facebook,Amazon,Bloomberg,Microsoft,Yandex,ByteDance,Adobe,Oracle</t>
  </si>
  <si>
    <t>Uber,Wish,Quora,LinkedIn,Coupang,Google,Goldman Sachs,Twilio,eBay,Yahoo,Apple,American Express,Facebook,Amazon,Bloomberg,Microsoft,Yandex,ByteDance,Adobe,Oracle</t>
  </si>
  <si>
    <t>Maximum Depth of N-ary Tree</t>
  </si>
  <si>
    <t>Microsoft,SAP,Bloomberg,Amazon,Google</t>
  </si>
  <si>
    <t>Logical OR of Two Binary Grids Represented as Quad-Trees</t>
  </si>
  <si>
    <t>Sumologic,Amazon,Google</t>
  </si>
  <si>
    <t>Reverse Words in a String III</t>
  </si>
  <si>
    <t>EBay,Zappos,Salesforce,Snapchat,Paypal,Apple,Yahoo,Bloomberg,Amazon,Microsoft</t>
  </si>
  <si>
    <t>Microsoft,Apple,Salesforce,eBay,Amazon,Bloomberg</t>
  </si>
  <si>
    <t>Yahoo,Paypal,Snapchat,Zappos,Microsoft,Apple,Salesforce,eBay,Amazon,Bloomberg</t>
  </si>
  <si>
    <t>Next Greater Element III</t>
  </si>
  <si>
    <t>Grab,ByteDance,Houzz,Bloomberg,Facebook,Amazon,Microsoft</t>
  </si>
  <si>
    <t>Microsoft,Facebook,Amazon,ByteDance</t>
  </si>
  <si>
    <t>Grab,Bloomberg,Microsoft,Facebook,Amazon,ByteDance</t>
  </si>
  <si>
    <t>Split Concatenated Strings</t>
  </si>
  <si>
    <t>Alibaba</t>
  </si>
  <si>
    <t>Brick Wall</t>
  </si>
  <si>
    <t>Oracle,Bloomberg,Facebook,Google</t>
  </si>
  <si>
    <t>Google,Facebook,Oracle</t>
  </si>
  <si>
    <t>Optimal Division</t>
  </si>
  <si>
    <t>Student Attendance Record II</t>
  </si>
  <si>
    <t>Student Attendance Record I</t>
  </si>
  <si>
    <t>Game Play Analysis IV</t>
  </si>
  <si>
    <t>GSN Games,Facebook</t>
  </si>
  <si>
    <t>Facebook,GSN Games</t>
  </si>
  <si>
    <t>Binary Tree Longest Consecutive Sequence II</t>
  </si>
  <si>
    <t>Split Array with Equal Sum</t>
  </si>
  <si>
    <t>Number of Provinces</t>
  </si>
  <si>
    <t>Sapient,Snapchat,Audible,Dropbox,Paypal,EBay,Goldman Sachs,Pocket Gems,Two Sigma,Atlassian,Deutsche Bank,Salesforce,Drawbridge,Twitter,Uber,Bloomberg,Adobe,Facebook,Amazon,LinkedIn,Microsoft,Google</t>
  </si>
  <si>
    <t>Amazon,Two Sigma,Dropbox,Goldman Sachs,Facebook,Adobe,Audible</t>
  </si>
  <si>
    <t>Microsoft,Twitter,eBay,Snapchat,Paypal,Amazon,Two Sigma,Dropbox,Goldman Sachs,Facebook,Adobe,Audible</t>
  </si>
  <si>
    <t>Pocket Gems,Sapient,Atlassian,Google,Uber,Salesforce,Bloomberg,Microsoft,Twitter,eBay,Snapchat,Paypal,Amazon,Two Sigma,Dropbox,Goldman Sachs,Facebook,Adobe,Audible</t>
  </si>
  <si>
    <t>Remove Boxes</t>
  </si>
  <si>
    <t>Apple,Amazon,Tencent</t>
  </si>
  <si>
    <t>Tencent,Apple,Amazon</t>
  </si>
  <si>
    <t>Boundary of Binary Tree</t>
  </si>
  <si>
    <t>Facebook,Atlassian,Audible,Oracle,EBay,Apple,Adobe,Amazon,Microsoft,Google</t>
  </si>
  <si>
    <t>Microsoft,Amazon,eBay,Facebook,Oracle,Audible</t>
  </si>
  <si>
    <t>Apple,Google,Microsoft,Amazon,eBay,Facebook,Oracle,Audible</t>
  </si>
  <si>
    <t>Output Contest Matches</t>
  </si>
  <si>
    <t>Diameter of Binary Tree</t>
  </si>
  <si>
    <t>Deutsche Bank,Yahoo,Qualtrics,Atlassian,ByteDance,Intel,Oracle,Baidu,Apple,Tencent,Bloomberg,Adobe,Facebook,Amazon,Microsoft,Google</t>
  </si>
  <si>
    <t>Facebook,Microsoft,Amazon,ByteDance,Google,Bloomberg,Oracle</t>
  </si>
  <si>
    <t>Yahoo,Adobe,Tencent,Deutsche Bank,Facebook,Microsoft,Amazon,ByteDance,Google,Bloomberg,Oracle</t>
  </si>
  <si>
    <t>Apple,Qualtrics,Atlassian,Yahoo,Adobe,Tencent,Deutsche Bank,Facebook,Microsoft,Amazon,ByteDance,Google,Bloomberg,Oracle</t>
  </si>
  <si>
    <t>01 Matrix</t>
  </si>
  <si>
    <t>ByteDance,Oracle,Facebook,Apple,Uber,Amazon,Google</t>
  </si>
  <si>
    <t>Apple,Facebook,ByteDance,Amazon</t>
  </si>
  <si>
    <t>Uber,Google,Oracle,Apple,Facebook,ByteDance,Amazon</t>
  </si>
  <si>
    <t>Reverse String II</t>
  </si>
  <si>
    <t>Apple,Facebook,Amazon,Microsoft,Google</t>
  </si>
  <si>
    <t>Facebook,Google,Apple,Amazon</t>
  </si>
  <si>
    <t>Single Element in a Sorted Array</t>
  </si>
  <si>
    <t>Twitter,Oracle,Bloomberg,Atlassian,Apple,Facebook,Amazon,Microsoft,Google</t>
  </si>
  <si>
    <t>Amazon,Facebook,Twitter,Apple</t>
  </si>
  <si>
    <t>Microsoft,Google,Bloomberg,Atlassian,Oracle,Amazon,Facebook,Twitter,Apple</t>
  </si>
  <si>
    <t>Minimum Time Difference</t>
  </si>
  <si>
    <t>Palantir Technologies,Amazon</t>
  </si>
  <si>
    <t>Amazon,Palantir Technologies</t>
  </si>
  <si>
    <t>Convert BST to Greater Tree</t>
  </si>
  <si>
    <t>Recursion,Binary Search Tree,Depth First Search,Tree</t>
  </si>
  <si>
    <t>Facebook,Microsoft,Amazon</t>
  </si>
  <si>
    <t>Microsoft,Amazon,Facebook</t>
  </si>
  <si>
    <t>Complex Number Multiplication</t>
  </si>
  <si>
    <t>Construct Binary Tree from String</t>
  </si>
  <si>
    <t>Encode and Decode TinyURL</t>
  </si>
  <si>
    <t>Oracle,Uber,Bloomberg,Adobe,Facebook,Amazon,Microsoft,Google</t>
  </si>
  <si>
    <t>Microsoft,Amazon,Google</t>
  </si>
  <si>
    <t>Bloomberg,Microsoft,Amazon,Google</t>
  </si>
  <si>
    <t>Oracle,Facebook,Uber,Bloomberg,Microsoft,Amazon,Google</t>
  </si>
  <si>
    <t>Game Play Analysis III</t>
  </si>
  <si>
    <t>Lonely Pixel II</t>
  </si>
  <si>
    <t>K-diff Pairs in an Array</t>
  </si>
  <si>
    <t>VMware,Expedia,Nvidia,Citrix,Goldman Sachs,Twilio,Salesforce,Paypal,Twitter,Oracle,Bloomberg,Amazon,Microsoft</t>
  </si>
  <si>
    <t>Citrix,Twitter,Goldman Sachs,Amazon,Salesforce,Expedia</t>
  </si>
  <si>
    <t>Microsoft,Nvidia,Citrix,Twitter,Goldman Sachs,Amazon,Salesforce,Expedia</t>
  </si>
  <si>
    <t>Bloomberg,Oracle,Twilio,VMware,Microsoft,Nvidia,Citrix,Twitter,Goldman Sachs,Amazon,Salesforce,Expedia</t>
  </si>
  <si>
    <t>Lonely Pixel I</t>
  </si>
  <si>
    <t>Minimum Absolute Difference in BST</t>
  </si>
  <si>
    <t>Minesweeper</t>
  </si>
  <si>
    <t>Zillow,LiveRamp,Cruise Automation,Oracle,Uber,Bloomberg,Facebook,Amazon,Microsoft,Google</t>
  </si>
  <si>
    <t>Uber,Amazon,Zillow,Google,Facebook</t>
  </si>
  <si>
    <t>Microsoft,Bloomberg,Uber,Amazon,Zillow,Google,Facebook</t>
  </si>
  <si>
    <t>LiveRamp,Cruise Automation,Microsoft,Bloomberg,Uber,Amazon,Zillow,Google,Facebook</t>
  </si>
  <si>
    <t>Random Pick with Weight</t>
  </si>
  <si>
    <t>Random,Binary Search</t>
  </si>
  <si>
    <t>Snapchat,Atlassian,Roblox,ByteDance,Zillow,Expedia,Bloomberg,TripAdvisor,DoorDash,Rubrik,Two Sigma,Twitter,Wish,Yelp,Apple,Uber,Facebook,Amazon,LinkedIn,Microsoft,Google</t>
  </si>
  <si>
    <t>Facebook,Google,ByteDance,Apple,Roblox,Bloomberg,LinkedIn,Amazon,Expedia,Yelp,Snapchat</t>
  </si>
  <si>
    <t>Microsoft,Zillow,Wish,Facebook,Google,ByteDance,Apple,Roblox,Bloomberg,LinkedIn,Amazon,Expedia,Yelp,Snapchat</t>
  </si>
  <si>
    <t>Uber,Two Sigma,Twitter,Atlassian,Rubrik,Microsoft,Zillow,Wish,Facebook,Google,ByteDance,Apple,Roblox,Bloomberg,LinkedIn,Amazon,Expedia,Yelp,Snapchat</t>
  </si>
  <si>
    <t>Word Abbreviation</t>
  </si>
  <si>
    <t>Grab,Snapchat,Uber,Google</t>
  </si>
  <si>
    <t>Snapchat,Grab,Uber,Google</t>
  </si>
  <si>
    <t>Beautiful Arrangement</t>
  </si>
  <si>
    <t>C3 IoT,Cisco,Apple,Adobe,Mathworks,Google</t>
  </si>
  <si>
    <t>Mathworks,C3 IoT,Cisco</t>
  </si>
  <si>
    <t>Adobe,Apple,Google,Mathworks,C3 IoT,Cisco</t>
  </si>
  <si>
    <t>Contiguous Array</t>
  </si>
  <si>
    <t>Robinhood,VMware,Quora,Apple,Adobe,Facebook,Amazon,Microsoft,Google</t>
  </si>
  <si>
    <t>Google,Adobe,Apple,Facebook,Amazon</t>
  </si>
  <si>
    <t>Quora,Robinhood,Google,Adobe,Apple,Facebook,Amazon</t>
  </si>
  <si>
    <t>Longest Word in Dictionary through Deleting</t>
  </si>
  <si>
    <t>Sort,Two Pointers</t>
  </si>
  <si>
    <t>Goldman Sachs,Google</t>
  </si>
  <si>
    <t>Continuous Subarray Sum</t>
  </si>
  <si>
    <t>ByteDance,Samsung,Facebook,Amazon,Microsoft,Google</t>
  </si>
  <si>
    <t>Microsoft,Google,ByteDance,Facebook,Amazon</t>
  </si>
  <si>
    <t>Longest Uncommon Subsequence II</t>
  </si>
  <si>
    <t>Longest Uncommon Subsequence I</t>
  </si>
  <si>
    <t>Brainteaser,String</t>
  </si>
  <si>
    <t>Detect Capital</t>
  </si>
  <si>
    <t>Random Flip Matrix</t>
  </si>
  <si>
    <t>Random</t>
  </si>
  <si>
    <t>Coin Change 2</t>
  </si>
  <si>
    <t>Qualtrics,Alation,ByteDance,Cisco,Adobe,IXL,Walmart Labs,Oracle,Apple,Uber,Yahoo,Bloomberg,Facebook,Amazon,Microsoft,Google</t>
  </si>
  <si>
    <t>Amazon,Microsoft,Bloomberg,Adobe,Apple,Uber,Qualtrics</t>
  </si>
  <si>
    <t>Google,Amazon,Microsoft,Bloomberg,Adobe,Apple,Uber,Qualtrics</t>
  </si>
  <si>
    <t>Oracle,Cisco,Yahoo,Alation,Walmart Labs,ByteDance,Google,Amazon,Microsoft,Bloomberg,Adobe,Apple,Uber,Qualtrics</t>
  </si>
  <si>
    <t>Super Washing Machines</t>
  </si>
  <si>
    <t>Longest Palindromic Subsequence</t>
  </si>
  <si>
    <t>EBay,Goldman Sachs,Apple,Uber,Bloomberg,Facebook,Amazon,LinkedIn,Microsoft</t>
  </si>
  <si>
    <t>Microsoft,Facebook,eBay,Amazon</t>
  </si>
  <si>
    <t>LinkedIn,Bloomberg,Goldman Sachs,Apple,Uber,Microsoft,Facebook,eBay,Amazon</t>
  </si>
  <si>
    <t>Find Largest Value in Each Tree Row</t>
  </si>
  <si>
    <t>Apple,Facebook,Amazon,LinkedIn,Microsoft</t>
  </si>
  <si>
    <t>Apple,Amazon,Facebook</t>
  </si>
  <si>
    <t>Microsoft,LinkedIn,Apple,Amazon,Facebook</t>
  </si>
  <si>
    <t>Freedom Trail</t>
  </si>
  <si>
    <t>Depth First Search,Dynamic Programming,Divide and Conquer</t>
  </si>
  <si>
    <t>DE Shaw,Google</t>
  </si>
  <si>
    <t>Google,DE Shaw</t>
  </si>
  <si>
    <t>Find Bottom Left Tree Value</t>
  </si>
  <si>
    <t>Atlassian,Bloomberg,Microsoft</t>
  </si>
  <si>
    <t>Atlassian,Microsoft,Bloomberg</t>
  </si>
  <si>
    <t>Game Play Analysis II</t>
  </si>
  <si>
    <t>Game Play Analysis I</t>
  </si>
  <si>
    <t>Inorder Successor in BST II</t>
  </si>
  <si>
    <t>Oracle,Quip (Salesforce),Bloomberg,Microsoft,Google</t>
  </si>
  <si>
    <t>Quip (Salesforce),Google,Oracle,Microsoft</t>
  </si>
  <si>
    <t>Fibonacci Number</t>
  </si>
  <si>
    <t>JPMorgan,Oracle,Uber,Bloomberg,Google,Barclays,Mathworks,Apple,Yahoo,SAP,Facebook,Amazon,Microsoft</t>
  </si>
  <si>
    <t>JPMorgan,Amazon,Google,Apple,Facebook,Microsoft</t>
  </si>
  <si>
    <t>SAP,JPMorgan,Amazon,Google,Apple,Facebook,Microsoft</t>
  </si>
  <si>
    <t>Barclays,Mathworks,Bloomberg,Uber,Oracle,SAP,JPMorgan,Amazon,Google,Apple,Facebook,Microsoft</t>
  </si>
  <si>
    <t>Most Frequent Subtree Sum</t>
  </si>
  <si>
    <t>Perfect Number</t>
  </si>
  <si>
    <t>Fallible,Amazon</t>
  </si>
  <si>
    <t>Relative Ranks</t>
  </si>
  <si>
    <t>The Maze II</t>
  </si>
  <si>
    <t>Snapchat,Oracle,Facebook,Amazon,Google</t>
  </si>
  <si>
    <t>Amazon,Facebook,Google,Snapchat,Oracle</t>
  </si>
  <si>
    <t>Base 7</t>
  </si>
  <si>
    <t>Garena,Bloomberg,Google</t>
  </si>
  <si>
    <t>Google,Bloomberg,Garena</t>
  </si>
  <si>
    <t>Next Greater Element II</t>
  </si>
  <si>
    <t>Apple,Oracle,Yahoo,Bloomberg,Facebook,Amazon,Microsoft,Google</t>
  </si>
  <si>
    <t>Apple,Oracle,Amazon,Bloomberg,Facebook</t>
  </si>
  <si>
    <t>Microsoft,Google,Apple,Oracle,Amazon,Bloomberg,Facebook</t>
  </si>
  <si>
    <t>IPO</t>
  </si>
  <si>
    <t>Find Mode in Binary Search Tree</t>
  </si>
  <si>
    <t>Keyboard Row</t>
  </si>
  <si>
    <t>The Maze III</t>
  </si>
  <si>
    <t>Diagonal Traverse</t>
  </si>
  <si>
    <t>Robinhood,Visa,Splunk,Quora,Walmart Labs,EBay,Apple,Facebook,Amazon,Microsoft,Google</t>
  </si>
  <si>
    <t>Facebook,Robinhood</t>
  </si>
  <si>
    <t>Visa,Amazon,Facebook,Robinhood</t>
  </si>
  <si>
    <t>Quora,Google,eBay,Splunk,Walmart Labs,Apple,Microsoft,Visa,Amazon,Facebook,Robinhood</t>
  </si>
  <si>
    <t>Random Point in Non-overlapping Rectangles</t>
  </si>
  <si>
    <t>Next Greater Element I</t>
  </si>
  <si>
    <t>Apple,Twitter,Oracle,Bloomberg,Facebook,Amazon,Microsoft,Google</t>
  </si>
  <si>
    <t>Bloomberg,Apple,Amazon,Microsoft</t>
  </si>
  <si>
    <t>Facebook,Google,Twitter,Oracle,Bloomberg,Apple,Amazon,Microsoft</t>
  </si>
  <si>
    <t>Teemo Attacking</t>
  </si>
  <si>
    <t>Salesforce,Riot Games</t>
  </si>
  <si>
    <t>Riot Games,Salesforce</t>
  </si>
  <si>
    <t>Target Sum</t>
  </si>
  <si>
    <t>Bloomberg,Adobe,Amazon,Facebook,Microsoft,Google</t>
  </si>
  <si>
    <t>Facebook,Amazon,Adobe</t>
  </si>
  <si>
    <t>Bloomberg,Facebook,Amazon,Adobe</t>
  </si>
  <si>
    <t>Microsoft,Google,Bloomberg,Facebook,Amazon,Adobe</t>
  </si>
  <si>
    <t>Reverse Pairs</t>
  </si>
  <si>
    <t>Segment Tree,Binary Indexed Tree,Sort,Divide and Conquer,Binary Search</t>
  </si>
  <si>
    <t>ByteDance,Bloomberg,Uber,Facebook,Amazon,Microsoft,Google</t>
  </si>
  <si>
    <t>Uber,Microsoft,Bloomberg,ByteDance,Amazon,Google</t>
  </si>
  <si>
    <t>Construct the Rectangle</t>
  </si>
  <si>
    <t>Increasing Subsequences</t>
  </si>
  <si>
    <t>Google,Yahoo,Facebook</t>
  </si>
  <si>
    <t>The Maze</t>
  </si>
  <si>
    <t>Bloomberg,Twitter,Apple,Uber,Facebook,Amazon,Microsoft,Google</t>
  </si>
  <si>
    <t>Facebook,Amazon,Microsoft,Bloomberg</t>
  </si>
  <si>
    <t>Google,Uber,Twitter,Apple,Facebook,Amazon,Microsoft,Bloomberg</t>
  </si>
  <si>
    <t>Robot Room Cleaner</t>
  </si>
  <si>
    <t>ByteDance,Citadel,Facebook,Amazon,Microsoft,Google</t>
  </si>
  <si>
    <t>Citadel,Facebook,Google,Amazon</t>
  </si>
  <si>
    <t>ByteDance,Citadel,Facebook,Google,Amazon</t>
  </si>
  <si>
    <t>Zuma Game</t>
  </si>
  <si>
    <t>Salesforce,Baidu,Bloomberg</t>
  </si>
  <si>
    <t>Salesforce,Bloomberg</t>
  </si>
  <si>
    <t>Baidu,Salesforce,Bloomberg</t>
  </si>
  <si>
    <t>Max Consecutive Ones II</t>
  </si>
  <si>
    <t>Zillow,Yandex,Google</t>
  </si>
  <si>
    <t>Yandex,Zillow</t>
  </si>
  <si>
    <t>Google,Yandex,Zillow</t>
  </si>
  <si>
    <t>Predict the Winner</t>
  </si>
  <si>
    <t>Minimax,Dynamic Programming</t>
  </si>
  <si>
    <t>Bloomberg,Apple,Uber,Amazon,Google</t>
  </si>
  <si>
    <t>Google,Uber,Amazon,Bloomberg</t>
  </si>
  <si>
    <t>Max Consecutive Ones</t>
  </si>
  <si>
    <t>Find Permutation</t>
  </si>
  <si>
    <t>Smallest Good Base</t>
  </si>
  <si>
    <t>License Key Formatting</t>
  </si>
  <si>
    <t>Capital One,Twitter,Amazon,Google</t>
  </si>
  <si>
    <t>Google,Capital One</t>
  </si>
  <si>
    <t>Magical String</t>
  </si>
  <si>
    <t>Sliding Window Median</t>
  </si>
  <si>
    <t>Sliding Window</t>
  </si>
  <si>
    <t>Indeed,Flipkart,JPMorgan,Adobe,Microsoft,Snapchat,Oracle,Spotify,Apple,Facebook,Amazon,Google</t>
  </si>
  <si>
    <t>Facebook,JPMorgan,Google,Amazon,Spotify,Flipkart,Adobe</t>
  </si>
  <si>
    <t>Microsoft,Apple,Facebook,JPMorgan,Google,Amazon,Spotify,Flipkart,Adobe</t>
  </si>
  <si>
    <t>Indeed,Microsoft,Apple,Facebook,JPMorgan,Google,Amazon,Spotify,Flipkart,Adobe</t>
  </si>
  <si>
    <t>Largest Palindrome Product</t>
  </si>
  <si>
    <t>Apple,Yahoo</t>
  </si>
  <si>
    <t>Generate Random Point in a Circle</t>
  </si>
  <si>
    <t>Rejection Sampling,Random,Math</t>
  </si>
  <si>
    <t>Leap Motion,Facebook</t>
  </si>
  <si>
    <t>Leap Motion</t>
  </si>
  <si>
    <t>Total Hamming Distance</t>
  </si>
  <si>
    <t>Number Complement</t>
  </si>
  <si>
    <t>Apple,Cloudera</t>
  </si>
  <si>
    <t>Heaters</t>
  </si>
  <si>
    <t>Ones and Zeroes</t>
  </si>
  <si>
    <t>Matchsticks to Square</t>
  </si>
  <si>
    <t>Rackspace,Amazon</t>
  </si>
  <si>
    <t>Concatenated Words</t>
  </si>
  <si>
    <t>Trie,Depth First Search,Dynamic Programming</t>
  </si>
  <si>
    <t>Adobe,Google,Audible,Apple,Facebook,Amazon,Microsoft</t>
  </si>
  <si>
    <t>Apple,Facebook,Amazon</t>
  </si>
  <si>
    <t>Google,Microsoft,Adobe,Audible,Apple,Facebook,Amazon</t>
  </si>
  <si>
    <t>Encode String with Shortest Length</t>
  </si>
  <si>
    <t>Implement Rand10() Using Rand7()</t>
  </si>
  <si>
    <t>Rejection Sampling,Random</t>
  </si>
  <si>
    <t>Yandex,ByteDance,Apple,Bloomberg,LinkedIn,Microsoft,Google</t>
  </si>
  <si>
    <t>Apple,Microsoft</t>
  </si>
  <si>
    <t>LinkedIn,ByteDance,Yandex,Apple,Microsoft</t>
  </si>
  <si>
    <t>Convex Polygon</t>
  </si>
  <si>
    <t>Validate IP Address</t>
  </si>
  <si>
    <t>Oracle,Cisco,Visa,VMware,Twitter,Uber,Facebook,Amazon,Microsoft,Google</t>
  </si>
  <si>
    <t>Facebook,Microsoft,Oracle</t>
  </si>
  <si>
    <t>Cisco,Facebook,Microsoft,Oracle</t>
  </si>
  <si>
    <t>Amazon,Twitter,Cisco,Facebook,Microsoft,Oracle</t>
  </si>
  <si>
    <t>Unique Substrings in Wraparound String</t>
  </si>
  <si>
    <t>MAQ Software,Google</t>
  </si>
  <si>
    <t>Google,MAQ Software</t>
  </si>
  <si>
    <t>Count The Repetitions</t>
  </si>
  <si>
    <t>Optimal Account Balancing</t>
  </si>
  <si>
    <t>EBay,ByteDance,Uber,Amazon,Google</t>
  </si>
  <si>
    <t>ByteDance,eBay,Google,Amazon</t>
  </si>
  <si>
    <t>Uber,ByteDance,eBay,Google,Amazon</t>
  </si>
  <si>
    <t>Can I Win</t>
  </si>
  <si>
    <t>Island Perimeter</t>
  </si>
  <si>
    <t>Apple,Bloomberg,Facebook,Amazon,Microsoft,Google</t>
  </si>
  <si>
    <t>Amazon,Google,Facebook,Bloomberg</t>
  </si>
  <si>
    <t>Microsoft,Amazon,Google,Facebook,Bloomberg</t>
  </si>
  <si>
    <t>Minimum Moves to Equal Array Elements II</t>
  </si>
  <si>
    <t>Hamming Distance</t>
  </si>
  <si>
    <t>Adobe,Facebook,Amazon</t>
  </si>
  <si>
    <t>Amazon,Facebook,Adobe</t>
  </si>
  <si>
    <t>LFU Cache</t>
  </si>
  <si>
    <t>DiDi,Twitch,Nutanix,Citadel,Oracle,Facebook,Salesforce,VMware,Snapchat,Apple,Uber,Bloomberg,Adobe,Amazon,LinkedIn,Microsoft,Alibaba,Goldman Sachs,Google</t>
  </si>
  <si>
    <t>Amazon,Microsoft,Google,Citadel,Bloomberg,VMware,Goldman Sachs,Twitch</t>
  </si>
  <si>
    <t>Oracle,DiDi,Amazon,Microsoft,Google,Citadel,Bloomberg,VMware,Goldman Sachs,Twitch</t>
  </si>
  <si>
    <t>Salesforce,LinkedIn,Apple,Alibaba,Facebook,Nutanix,Oracle,DiDi,Amazon,Microsoft,Google,Citadel,Bloomberg,VMware,Goldman Sachs,Twitch</t>
  </si>
  <si>
    <t>Repeated Substring Pattern</t>
  </si>
  <si>
    <t>Poor Pigs</t>
  </si>
  <si>
    <t>Circular Array Loop</t>
  </si>
  <si>
    <t>Apple,Goldman Sachs,Nutanix,Microsoft,Google</t>
  </si>
  <si>
    <t>Microsoft,Goldman Sachs,Apple</t>
  </si>
  <si>
    <t>132 Pattern</t>
  </si>
  <si>
    <t>ByteDance,Google,Oracle,Amazon</t>
  </si>
  <si>
    <t>Google,ByteDance,Amazon</t>
  </si>
  <si>
    <t>Oracle,Google,ByteDance,Amazon</t>
  </si>
  <si>
    <t>Assign Cookies</t>
  </si>
  <si>
    <t>4Sum II</t>
  </si>
  <si>
    <t>ByteDance,Uber,Adobe,Google,Apple,Amazon</t>
  </si>
  <si>
    <t>Adobe,Apple,ByteDance,Google,Uber,Amazon</t>
  </si>
  <si>
    <t>Minimum Moves to Equal Array Elements</t>
  </si>
  <si>
    <t>Swiggy,FactSet,JPMorgan,Mathworks,Microsoft,Coursera,Drawbridge,Indeed,Apple,Amazon</t>
  </si>
  <si>
    <t>JPMorgan,Microsoft,Mathworks,Swiggy</t>
  </si>
  <si>
    <t>Apple,Amazon,FactSet,JPMorgan,Microsoft,Mathworks,Swiggy</t>
  </si>
  <si>
    <t>Drawbridge,Coursera,Indeed,Apple,Amazon,FactSet,JPMorgan,Microsoft,Mathworks,Swiggy</t>
  </si>
  <si>
    <t>Minimum Number of Arrows to Burst Balloons</t>
  </si>
  <si>
    <t>Uber,Bloomberg,Adobe,Google,Quora,Facebook,Amazon,Microsoft</t>
  </si>
  <si>
    <t>Amazon,Uber,Facebook,Google</t>
  </si>
  <si>
    <t>Quora,Bloomberg,Adobe,Microsoft,Amazon,Uber,Facebook,Google</t>
  </si>
  <si>
    <t>Sort Characters By Frequency</t>
  </si>
  <si>
    <t>Heap,Hash Table</t>
  </si>
  <si>
    <t>Apple,Expedia,Uber,Yahoo,Bloomberg,Facebook,Amazon,LinkedIn,Google</t>
  </si>
  <si>
    <t>Uber,Google,Facebook,Apple,Amazon,Bloomberg</t>
  </si>
  <si>
    <t>Delete Node in a BST</t>
  </si>
  <si>
    <t>Oracle,Cisco,Apple,Uber,Yahoo,Bloomberg,Facebook,Amazon,LinkedIn,Microsoft,Google</t>
  </si>
  <si>
    <t>Oracle,Bloomberg,Google</t>
  </si>
  <si>
    <t>Microsoft,Amazon,Cisco,Oracle,Bloomberg,Google</t>
  </si>
  <si>
    <t>Facebook,Uber,Microsoft,Amazon,Cisco,Oracle,Bloomberg,Google</t>
  </si>
  <si>
    <t>Serialize and Deserialize BST</t>
  </si>
  <si>
    <t>ByteDance,Apple,Qualtrics,Zillow,Oracle,Yandex,EBay,Uber,Facebook,Amazon,LinkedIn,Microsoft,Google</t>
  </si>
  <si>
    <t>Facebook,Amazon,Microsoft,ByteDance</t>
  </si>
  <si>
    <t>LinkedIn,Oracle,Apple,Uber,Google,Yandex,Facebook,Amazon,Microsoft,ByteDance</t>
  </si>
  <si>
    <t>Find All Numbers Disappeared in an Array</t>
  </si>
  <si>
    <t>Yahoo,Bloomberg,Amazon,Apple,Adobe,Facebook,Microsoft,Google</t>
  </si>
  <si>
    <t>Microsoft,Yahoo,Amazon,Bloomberg</t>
  </si>
  <si>
    <t>Apple,Google,Adobe,Microsoft,Yahoo,Amazon,Bloomberg</t>
  </si>
  <si>
    <t>Number of Boomerangs</t>
  </si>
  <si>
    <t>Arithmetic Slices II - Subsequence</t>
  </si>
  <si>
    <t>Adobe,Google,Baidu,Facebook,Alibaba</t>
  </si>
  <si>
    <t>Adobe,Baidu,Google</t>
  </si>
  <si>
    <t>Add Two Numbers II</t>
  </si>
  <si>
    <t>Grab,Salesforce,EBay,Yahoo,Adobe,ByteDance,Oracle,Cisco,Apple,Uber,Bloomberg,Facebook,Amazon,Microsoft,Goldman Sachs,Google</t>
  </si>
  <si>
    <t>Bloomberg,Microsoft,Amazon,Facebook,Apple,Adobe,Uber,ByteDance</t>
  </si>
  <si>
    <t>Google,eBay,Yahoo,Grab,Bloomberg,Microsoft,Amazon,Facebook,Apple,Adobe,Uber,ByteDance</t>
  </si>
  <si>
    <t>Oracle,Cisco,Salesforce,Google,eBay,Yahoo,Grab,Bloomberg,Microsoft,Amazon,Facebook,Apple,Adobe,Uber,ByteDance</t>
  </si>
  <si>
    <t>Sequence Reconstruction</t>
  </si>
  <si>
    <t>Topological Sort,Graph</t>
  </si>
  <si>
    <t>String Compression</t>
  </si>
  <si>
    <t>VMware,Citrix,Spotify,IBM,Cisco,Akuna Capital,Wayfair,Redfin,Walmart Labs,GoDaddy,Snapchat,Zillow,Expedia,Yelp,Lyft,Yandex,EBay,Apple,Bloomberg,Facebook,Amazon,Microsoft,Goldman Sachs,Google</t>
  </si>
  <si>
    <t>Goldman Sachs,Yandex,Apple,Microsoft,Citrix,Facebook,Amazon,eBay,Expedia,Redfin,Google,IBM,VMware,Cisco</t>
  </si>
  <si>
    <t>Zillow,Walmart Labs,Goldman Sachs,Yandex,Apple,Microsoft,Citrix,Facebook,Amazon,eBay,Expedia,Redfin,Google,IBM,VMware,Cisco</t>
  </si>
  <si>
    <t>Wayfair,Bloomberg,Spotify,GoDaddy,Snapchat,Yelp,Lyft,Zillow,Walmart Labs,Goldman Sachs,Yandex,Apple,Microsoft,Citrix,Facebook,Amazon,eBay,Expedia,Redfin,Google,IBM,VMware,Cisco</t>
  </si>
  <si>
    <t>Find All Duplicates in an Array</t>
  </si>
  <si>
    <t>Pocket Gems,Lyft,Apple,Bloomberg,Facebook,Amazon,Microsoft,Google</t>
  </si>
  <si>
    <t>Bloomberg,Apple,Amazon,Microsoft,Facebook</t>
  </si>
  <si>
    <t>Google,Lyft,Pocket Gems,Bloomberg,Apple,Amazon,Microsoft,Facebook</t>
  </si>
  <si>
    <t>Arranging Coins</t>
  </si>
  <si>
    <t>Bloomberg,GoDaddy</t>
  </si>
  <si>
    <t>GoDaddy,Bloomberg</t>
  </si>
  <si>
    <t>K-th Smallest in Lexicographical Order</t>
  </si>
  <si>
    <t>Hulu,ByteDance,Google</t>
  </si>
  <si>
    <t>ByteDance,Google,Hulu</t>
  </si>
  <si>
    <t>Ternary Expression Parser</t>
  </si>
  <si>
    <t>Depth First Search,Stack</t>
  </si>
  <si>
    <t>Find All Anagrams in a String</t>
  </si>
  <si>
    <t>Snapchat,ServiceNow,Apple,Robinhood,Oracle,Uber,Bloomberg,Facebook,Amazon,Microsoft,Goldman Sachs,Google</t>
  </si>
  <si>
    <t>Facebook,Amazon,Bloomberg,Microsoft,Snapchat,Apple</t>
  </si>
  <si>
    <t>Google,Uber,Oracle,ServiceNow,Facebook,Amazon,Bloomberg,Microsoft,Snapchat,Apple</t>
  </si>
  <si>
    <t>Robinhood,Google,Uber,Oracle,ServiceNow,Facebook,Amazon,Bloomberg,Microsoft,Snapchat,Apple</t>
  </si>
  <si>
    <t>Path Sum III</t>
  </si>
  <si>
    <t>ByteDance,Oracle,Yahoo,Quora,Zillow,Uber,Bloomberg,Facebook,Amazon,Microsoft</t>
  </si>
  <si>
    <t>Oracle,Facebook,Amazon,ByteDance</t>
  </si>
  <si>
    <t>Quora,Zillow,Microsoft,Bloomberg,Yahoo,Oracle,Facebook,Amazon,ByteDance</t>
  </si>
  <si>
    <t>Find Right Interval</t>
  </si>
  <si>
    <t>Non-overlapping Intervals</t>
  </si>
  <si>
    <t>ByteDance,Google,Apple,Bloomberg,Facebook,Amazon,Microsoft</t>
  </si>
  <si>
    <t>Facebook,ByteDance,Amazon</t>
  </si>
  <si>
    <t>Google,Apple,Facebook,ByteDance,Amazon</t>
  </si>
  <si>
    <t>Microsoft,Google,Apple,Facebook,ByteDance,Amazon</t>
  </si>
  <si>
    <t>Number of Segments in a String</t>
  </si>
  <si>
    <t>Minimum Genetic Mutation</t>
  </si>
  <si>
    <t>Amazon,Twitter,Google</t>
  </si>
  <si>
    <t>All O`one Data Structure</t>
  </si>
  <si>
    <t>Media.net,Uber,Bloomberg,Facebook,Amazon,LinkedIn,Microsoft,Google</t>
  </si>
  <si>
    <t>LinkedIn,Google,Microsoft,Media.net,Uber,Facebook,Amazon</t>
  </si>
  <si>
    <t>Encode N-ary Tree to Binary Tree</t>
  </si>
  <si>
    <t>Flipkart,Google,Microsoft</t>
  </si>
  <si>
    <t>Microsoft,Google,Flipkart</t>
  </si>
  <si>
    <t>Flatten a Multilevel Doubly Linked List</t>
  </si>
  <si>
    <t>Depth First Search,Linked List</t>
  </si>
  <si>
    <t>Oracle,Apple,Uber,Bloomberg,Facebook,Amazon,Microsoft,Google</t>
  </si>
  <si>
    <t>Amazon,Google,Microsoft,Oracle,Bloomberg,Facebook</t>
  </si>
  <si>
    <t>Uber,Apple,Amazon,Google,Microsoft,Oracle,Bloomberg,Facebook</t>
  </si>
  <si>
    <t>N-ary Tree Level Order Traversal</t>
  </si>
  <si>
    <t>Serialize and Deserialize N-ary Tree</t>
  </si>
  <si>
    <t>Zillow,Pinterest,EBay,Apple,Uber,Facebook,Amazon,LinkedIn,Microsoft,Google</t>
  </si>
  <si>
    <t>Microsoft,Google,Apple,Amazon</t>
  </si>
  <si>
    <t>Facebook,Uber,Zillow,Microsoft,Google,Apple,Amazon</t>
  </si>
  <si>
    <t>eBay,Facebook,Uber,Zillow,Microsoft,Google,Apple,Amazon</t>
  </si>
  <si>
    <t>Construct Quad Tree</t>
  </si>
  <si>
    <t>Convert Binary Search Tree to Sorted Doubly Linked List</t>
  </si>
  <si>
    <t>Tree,Divide and Conquer,Linked List</t>
  </si>
  <si>
    <t>Databricks,VMware,Oracle,Lyft,Uber,Bloomberg,Facebook,Amazon,Microsoft,Google</t>
  </si>
  <si>
    <t>Facebook,Microsoft,Amazon,Google,VMware</t>
  </si>
  <si>
    <t>Lyft,Databricks,Oracle,Uber,Facebook,Microsoft,Amazon,Google,VMware</t>
  </si>
  <si>
    <t>Word Squares</t>
  </si>
  <si>
    <t>Trie,Backtracking</t>
  </si>
  <si>
    <t>Bloomberg,Oracle,Google</t>
  </si>
  <si>
    <t>Oracle,Google,Bloomberg</t>
  </si>
  <si>
    <t>Longest Repeating Character Replacement</t>
  </si>
  <si>
    <t>Wish,Bloomberg,Adobe,Facebook,Amazon,Pocket Gems,Google</t>
  </si>
  <si>
    <t>Google,Wish,Amazon</t>
  </si>
  <si>
    <t>Bloomberg,Facebook,Adobe,Google,Wish,Amazon</t>
  </si>
  <si>
    <t>Pocket Gems,Bloomberg,Facebook,Adobe,Google,Wish,Amazon</t>
  </si>
  <si>
    <t>Reconstruct Original Digits from English</t>
  </si>
  <si>
    <t>Valid Word Square</t>
  </si>
  <si>
    <t>Maximum XOR of Two Numbers in an Array</t>
  </si>
  <si>
    <t>VMware,Uber,Amazon,Google</t>
  </si>
  <si>
    <t>Google,Uber,Amazon,VMware</t>
  </si>
  <si>
    <t>Strong Password Checker</t>
  </si>
  <si>
    <t>Oracle,Apple,Yahoo,Facebook,Microsoft,Uber,Adobe,Amazon,Google</t>
  </si>
  <si>
    <t>Google,Oracle,Microsoft</t>
  </si>
  <si>
    <t>Amazon,Adobe,Apple,Facebook,Yahoo,Google,Oracle,Microsoft</t>
  </si>
  <si>
    <t>Uber,Amazon,Adobe,Apple,Facebook,Yahoo,Google,Oracle,Microsoft</t>
  </si>
  <si>
    <t>Battleships in a Board</t>
  </si>
  <si>
    <t>Twitch,Apple,Facebook,Amazon,Microsoft,Google</t>
  </si>
  <si>
    <t>Google,Facebook,Microsoft,Twitch</t>
  </si>
  <si>
    <t>Amazon,Google,Facebook,Microsoft,Twitch</t>
  </si>
  <si>
    <t>Apple,Amazon,Google,Facebook,Microsoft,Twitch</t>
  </si>
  <si>
    <t>Sentence Screen Fitting</t>
  </si>
  <si>
    <t>Robinhood,Google</t>
  </si>
  <si>
    <t>Pacific Atlantic Water Flow</t>
  </si>
  <si>
    <t>ByteDance,Oracle,Apple,Bloomberg,Facebook,Amazon,Microsoft,Google</t>
  </si>
  <si>
    <t>ByteDance,Google,Amazon</t>
  </si>
  <si>
    <t>Microsoft,Apple,ByteDance,Google,Amazon</t>
  </si>
  <si>
    <t>Facebook,Bloomberg,Oracle,Microsoft,Apple,ByteDance,Google,Amazon</t>
  </si>
  <si>
    <t>Partition Equal Subset Sum</t>
  </si>
  <si>
    <t>ByteDance,Bloomberg,Goldman Sachs,VMware,Paypal,EBay,Apple,Uber,Yahoo,Facebook,Amazon,Microsoft,Google</t>
  </si>
  <si>
    <t>Amazon,Facebook,Goldman Sachs</t>
  </si>
  <si>
    <t>Apple,Google,ByteDance,Amazon,Facebook,Goldman Sachs</t>
  </si>
  <si>
    <t>Microsoft,Yahoo,VMware,Bloomberg,eBay,Apple,Google,ByteDance,Amazon,Facebook,Goldman Sachs</t>
  </si>
  <si>
    <t>Add Strings</t>
  </si>
  <si>
    <t>Wayfair,Uber,Square,ByteDance,Snapchat,Nvidia,Oracle,Apple,Airbnb,Bloomberg,Adobe,Facebook,Amazon,Microsoft,Alibaba,Google</t>
  </si>
  <si>
    <t>Facebook,Google,Adobe,Wayfair,Microsoft,Uber,Bloomberg,Amazon,Nvidia,Oracle</t>
  </si>
  <si>
    <t>Apple,Square,ByteDance,Facebook,Google,Adobe,Wayfair,Microsoft,Uber,Bloomberg,Amazon,Nvidia,Oracle</t>
  </si>
  <si>
    <t>Snapchat,Airbnb,Apple,Square,ByteDance,Facebook,Google,Adobe,Wayfair,Microsoft,Uber,Bloomberg,Amazon,Nvidia,Oracle</t>
  </si>
  <si>
    <t>Third Maximum Number</t>
  </si>
  <si>
    <t>Arithmetic Slices</t>
  </si>
  <si>
    <t>Baidu,Aetion,Bloomberg,Facebook,Amazon,Microsoft</t>
  </si>
  <si>
    <t>Bloomberg,Aetion,Baidu,Amazon</t>
  </si>
  <si>
    <t>Fizz Buzz</t>
  </si>
  <si>
    <t>Docusign,VMware,Yahoo,SAP,Bloomberg,Facebook,Wayfair,Capital One,Salesforce,Oracle,Spotify,IBM,Cisco,Apple,Adobe,Amazon,LinkedIn,Microsoft,Google</t>
  </si>
  <si>
    <t>Microsoft,Bloomberg,Apple</t>
  </si>
  <si>
    <t>Amazon,Cisco,VMware,Docusign,Microsoft,Bloomberg,Apple</t>
  </si>
  <si>
    <t>Capital One,LinkedIn,Salesforce,Facebook,Google,IBM,Yahoo,Oracle,SAP,Wayfair,Amazon,Cisco,VMware,Docusign,Microsoft,Bloomberg,Apple</t>
  </si>
  <si>
    <t>Minimum Unique Word Abbreviation</t>
  </si>
  <si>
    <t>Split Array Largest Sum</t>
  </si>
  <si>
    <t>Infosys,ByteDance,Apple,Microsoft,Baidu,Facebook,Amazon,Google</t>
  </si>
  <si>
    <t>Apple,Infosys,Amazon,Google,ByteDance</t>
  </si>
  <si>
    <t>Facebook,Microsoft,Baidu,Apple,Infosys,Amazon,Google,ByteDance</t>
  </si>
  <si>
    <t>Longest Palindrome</t>
  </si>
  <si>
    <t>Lyft,Bloomberg,Microsoft,Intuit,Amazon,Google</t>
  </si>
  <si>
    <t>Lyft,Amazon,Google</t>
  </si>
  <si>
    <t>Intuit,Microsoft,Bloomberg,Lyft,Amazon,Google</t>
  </si>
  <si>
    <t>Valid Word Abbreviation</t>
  </si>
  <si>
    <t>Trapping Rain Water II</t>
  </si>
  <si>
    <t>Facebook,ByteDance,Twitter,Apple,Amazon,Microsoft,Google</t>
  </si>
  <si>
    <t>Apple,Facebook,Microsoft,Twitter,ByteDance,Amazon,Google</t>
  </si>
  <si>
    <t>Queue Reconstruction by Height</t>
  </si>
  <si>
    <t>ByteDance,Apple,Bloomberg,Facebook,Amazon,Microsoft,Google</t>
  </si>
  <si>
    <t>ByteDance,Google,Amazon,Apple,Facebook</t>
  </si>
  <si>
    <t>Microsoft,ByteDance,Google,Amazon,Apple,Facebook</t>
  </si>
  <si>
    <t>Convert a Number to Hexadecimal</t>
  </si>
  <si>
    <t>Sum of Left Leaves</t>
  </si>
  <si>
    <t>Apple,Expedia,Mathworks,Bloomberg,Adobe,Facebook,Amazon,Google</t>
  </si>
  <si>
    <t>Bloomberg,Google,Expedia,Facebook,Amazon,Adobe,Apple</t>
  </si>
  <si>
    <t>Frog Jump</t>
  </si>
  <si>
    <t>Wish,Salesforce,Yahoo,Nutanix,ByteDance,Snapchat,Oracle,Apple,Facebook,Amazon,Microsoft,Google</t>
  </si>
  <si>
    <t>Amazon,Microsoft,Salesforce,Google,Yahoo,ByteDance</t>
  </si>
  <si>
    <t>Apple,Facebook,Amazon,Microsoft,Salesforce,Google,Yahoo,ByteDance</t>
  </si>
  <si>
    <t>Oracle,Nutanix,Snapchat,Wish,Apple,Facebook,Amazon,Microsoft,Salesforce,Google,Yahoo,ByteDance</t>
  </si>
  <si>
    <t>Remove K Digits</t>
  </si>
  <si>
    <t>Sprinklr,Codenation,Uber,Nutanix,ByteDance,VMware,Snapchat,Oracle,DiDi,Bloomberg,Adobe,Facebook,Amazon,Microsoft,Google</t>
  </si>
  <si>
    <t>Amazon,Microsoft,Adobe,Oracle</t>
  </si>
  <si>
    <t>Codenation,Bloomberg,ByteDance,Sprinklr,Amazon,Microsoft,Adobe,Oracle</t>
  </si>
  <si>
    <t>DiDi,Facebook,Uber,Google,Snapchat,Codenation,Bloomberg,ByteDance,Sprinklr,Amazon,Microsoft,Adobe,Oracle</t>
  </si>
  <si>
    <t>Binary Watch</t>
  </si>
  <si>
    <t>Nth Digit</t>
  </si>
  <si>
    <t>Evaluate Division</t>
  </si>
  <si>
    <t>Apple,Microsoft,Uber,Bloomberg,Adobe,Facebook,Amazon,Google</t>
  </si>
  <si>
    <t>Bloomberg,Amazon,Uber,Facebook,Google,Microsoft,Apple</t>
  </si>
  <si>
    <t>Random Pick Index</t>
  </si>
  <si>
    <t>Reservoir Sampling</t>
  </si>
  <si>
    <t>Integer Replacement</t>
  </si>
  <si>
    <t>Baidu,Bloomberg,Amazon,Microsoft,Google</t>
  </si>
  <si>
    <t>Amazon,Bloomberg,Baidu,Google</t>
  </si>
  <si>
    <t>Rotate Function</t>
  </si>
  <si>
    <t>Longest Substring with At Least K Repeating Characters</t>
  </si>
  <si>
    <t>Sliding Window,Recursion,Divide and Conquer</t>
  </si>
  <si>
    <t>Apple,ByteDance,Baidu,Uber,Bloomberg,Adobe,Facebook,Amazon,Google</t>
  </si>
  <si>
    <t>Uber,Apple,ByteDance,Bloomberg,Facebook,Amazon</t>
  </si>
  <si>
    <t>Google,Adobe,Baidu,Uber,Apple,ByteDance,Bloomberg,Facebook,Amazon</t>
  </si>
  <si>
    <t>Decode String</t>
  </si>
  <si>
    <t>Splunk,Walmart Labs,Citrix,Alibaba,AppDynamics,Hulu,Cruise Automation,Coupang,Atlassian,ByteDance,Salesforce,VMware,Snapchat,Yelp,Oracle,Cisco,Huawei,EBay,Apple,Yahoo,Tencent,Bloomberg,Facebook,Amazon,Microsoft,Google</t>
  </si>
  <si>
    <t>Bloomberg,Amazon,Google,Oracle,Apple,ByteDance,Walmart Labs,VMware,Cisco</t>
  </si>
  <si>
    <t>Microsoft,eBay,Coupang,Facebook,Tencent,Hulu,Citrix,Bloomberg,Amazon,Google,Oracle,Apple,ByteDance,Walmart Labs,VMware,Cisco</t>
  </si>
  <si>
    <t>Huawei,Atlassian,Snapchat,Salesforce,Alibaba,Splunk,Yelp,Microsoft,eBay,Coupang,Facebook,Tencent,Hulu,Citrix,Bloomberg,Amazon,Google,Oracle,Apple,ByteDance,Walmart Labs,VMware,Cisco</t>
  </si>
  <si>
    <t>UTF-8 Validation</t>
  </si>
  <si>
    <t>Microsoft,Palantir Technologies,Apple,Facebook,Amazon,Google</t>
  </si>
  <si>
    <t>Palantir Technologies,Facebook,Amazon</t>
  </si>
  <si>
    <t>Microsoft,Google,Palantir Technologies,Facebook,Amazon</t>
  </si>
  <si>
    <t>Apple,Microsoft,Google,Palantir Technologies,Facebook,Amazon</t>
  </si>
  <si>
    <t>Is Subsequence</t>
  </si>
  <si>
    <t>Greedy,Dynamic Programming,Binary Search</t>
  </si>
  <si>
    <t>Yandex,Adobe,Microsoft,Pinterest,Coursera,Bloomberg,Facebook,Amazon,Google</t>
  </si>
  <si>
    <t>Facebook,Adobe,Bloomberg</t>
  </si>
  <si>
    <t>Google,Microsoft,Yandex,Facebook,Adobe,Bloomberg</t>
  </si>
  <si>
    <t>Amazon,Pinterest,Google,Microsoft,Yandex,Facebook,Adobe,Bloomberg</t>
  </si>
  <si>
    <t>Perfect Rectangle</t>
  </si>
  <si>
    <t>Line Sweep</t>
  </si>
  <si>
    <t>Uber,Google,Apple</t>
  </si>
  <si>
    <t>Elimination Game</t>
  </si>
  <si>
    <t>Goldman Sachs,Quora,Bloomberg,Amazon</t>
  </si>
  <si>
    <t>Bloomberg,Goldman Sachs</t>
  </si>
  <si>
    <t>Amazon,Quora,Bloomberg,Goldman Sachs</t>
  </si>
  <si>
    <t>Find the Difference</t>
  </si>
  <si>
    <t>Adobe,Google,Amazon</t>
  </si>
  <si>
    <t>Longest Absolute File Path</t>
  </si>
  <si>
    <t>Square,Nvidia,Bloomberg,Wish,Apple,Uber,Facebook,Amazon,Google</t>
  </si>
  <si>
    <t>Square,Apple,Bloomberg,Nvidia,Amazon,Facebook,Google</t>
  </si>
  <si>
    <t>Wish,Square,Apple,Bloomberg,Nvidia,Amazon,Facebook,Google</t>
  </si>
  <si>
    <t>First Unique Character in a String</t>
  </si>
  <si>
    <t>Tcs,Twitter,Oracle,EBay,Uber,Zulily,Walmart Labs,JPMorgan,Zillow,ServiceNow,Huawei,Apple,Yahoo,Bloomberg,Adobe,Facebook,Amazon,LinkedIn,Microsoft,Goldman Sachs,Google</t>
  </si>
  <si>
    <t>Bloomberg,Goldman Sachs,Amazon,Facebook,Microsoft,Google,Zillow,Apple,Adobe,Oracle</t>
  </si>
  <si>
    <t>ServiceNow,tcs,Bloomberg,Goldman Sachs,Amazon,Facebook,Microsoft,Google,Zillow,Apple,Adobe,Oracle</t>
  </si>
  <si>
    <t>Yahoo,eBay,Uber,Walmart Labs,Zulily,LinkedIn,Twitter,ServiceNow,tcs,Bloomberg,Goldman Sachs,Amazon,Facebook,Microsoft,Google,Zillow,Apple,Adobe,Oracle</t>
  </si>
  <si>
    <t>Lexicographical Numbers</t>
  </si>
  <si>
    <t>Pony.ai,ByteDance,Bloomberg,Adobe,Google</t>
  </si>
  <si>
    <t>Pony.ai,ByteDance</t>
  </si>
  <si>
    <t>Adobe,Bloomberg,Pony.ai,ByteDance</t>
  </si>
  <si>
    <t>Mini Parser</t>
  </si>
  <si>
    <t>Shuffle an Array</t>
  </si>
  <si>
    <t>Oracle,TripAdvisor,Two Sigma,Salesforce,Cisco,Apple,Yahoo,Bloomberg,Facebook,Amazon,LinkedIn,Microsoft,Google</t>
  </si>
  <si>
    <t>Amazon,Microsoft,Google,Apple</t>
  </si>
  <si>
    <t>Bloomberg,Facebook,Oracle,Amazon,Microsoft,Google,Apple</t>
  </si>
  <si>
    <t>Yahoo,Two Sigma,Bloomberg,Facebook,Oracle,Amazon,Microsoft,Google,Apple</t>
  </si>
  <si>
    <t>Ransom Note</t>
  </si>
  <si>
    <t>Visa,Facebook,Spotify,Apple,Amazon,Microsoft</t>
  </si>
  <si>
    <t>Spotify,Amazon,Microsoft</t>
  </si>
  <si>
    <t>Visa,Facebook,Spotify,Amazon,Microsoft</t>
  </si>
  <si>
    <t>Apple,Visa,Facebook,Spotify,Amazon,Microsoft</t>
  </si>
  <si>
    <t>Linked List Random Node</t>
  </si>
  <si>
    <t>Amazon,Apple,Facebook,Google</t>
  </si>
  <si>
    <t>Insert Delete GetRandom O(1) - Duplicates allowed</t>
  </si>
  <si>
    <t>Design,Hash Table,Array</t>
  </si>
  <si>
    <t>Quora,Wish,Bloomberg,Databricks,Affirm,Walmart Labs,Yelp,Apple,Uber,Facebook,Amazon,LinkedIn,Microsoft,Google</t>
  </si>
  <si>
    <t>Facebook,Affirm</t>
  </si>
  <si>
    <t>LinkedIn,Facebook,Affirm</t>
  </si>
  <si>
    <t>Apple,Amazon,Microsoft,Uber,Bloomberg,Walmart Labs,Databricks,Wish,Quora,Yelp,LinkedIn,Facebook,Affirm</t>
  </si>
  <si>
    <t>Insert Delete GetRandom O(1)</t>
  </si>
  <si>
    <t>HRT,AppDynamics,Snapchat,ByteDance,Visa,Citadel,Zillow,Nvidia,Pinterest,Databricks,Pocket Gems,Pure Storage,Two Sigma,Flipkart,Twilio,Salesforce,VMware,Quora,Affirm,Walmart Labs,Indeed,Twitter,Yelp,Oracle,Yandex,Apple,Uber,Bloomberg,Adobe,Facebook,Amazon,LinkedIn,Microsoft,Goldman Sachs,Google</t>
  </si>
  <si>
    <t>Amazon,Bloomberg,Twitter,Facebook,Microsoft,Affirm,Oracle,Two Sigma,Yandex,Nvidia,LinkedIn,Google,Apple,Snapchat,Databricks,Quora,Adobe,Citadel,Zillow,HRT</t>
  </si>
  <si>
    <t>AppDynamics,Amazon,Bloomberg,Twitter,Facebook,Microsoft,Affirm,Oracle,Two Sigma,Yandex,Nvidia,LinkedIn,Google,Apple,Snapchat,Databricks,Quora,Adobe,Citadel,Zillow,HRT</t>
  </si>
  <si>
    <t>Uber,VMware,Indeed,Goldman Sachs,Salesforce,Walmart Labs,Flipkart,ByteDance,Twilio,Visa,Yelp,Pocket Gems,AppDynamics,Amazon,Bloomberg,Twitter,Facebook,Microsoft,Affirm,Oracle,Two Sigma,Yandex,Nvidia,LinkedIn,Google,Apple,Snapchat,Databricks,Quora,Adobe,Citadel,Zillow,HRT</t>
  </si>
  <si>
    <t>Design Phone Directory</t>
  </si>
  <si>
    <t>Dropbox,Microsoft,Google</t>
  </si>
  <si>
    <t>Dropbox,Google</t>
  </si>
  <si>
    <t>Microsoft,Dropbox,Google</t>
  </si>
  <si>
    <t>Kth Smallest Element in a Sorted Matrix</t>
  </si>
  <si>
    <t>Walmart Labs,Twitter,Apple,Uber,Yahoo,Bloomberg,Adobe,Facebook,Amazon,Microsoft,Google</t>
  </si>
  <si>
    <t>Apple,Adobe,Yahoo,Uber,Walmart Labs,Twitter,Microsoft,Facebook,Amazon,Google</t>
  </si>
  <si>
    <t>Combination Sum IV</t>
  </si>
  <si>
    <t>Apple,Bloomberg,Visa,Snapchat,Facebook,Amazon,Google</t>
  </si>
  <si>
    <t>Bloomberg,Apple</t>
  </si>
  <si>
    <t>Amazon,Google,Facebook,Snapchat,Bloomberg,Apple</t>
  </si>
  <si>
    <t>Wiggle Subsequence</t>
  </si>
  <si>
    <t>Facebook,Microsoft,Uber,Amazon</t>
  </si>
  <si>
    <t>Amazon,Uber,Facebook,Microsoft</t>
  </si>
  <si>
    <t>Guess Number Higher or Lower II</t>
  </si>
  <si>
    <t>Guess Number Higher or Lower</t>
  </si>
  <si>
    <t>Find K Pairs with Smallest Sums</t>
  </si>
  <si>
    <t>Pinterest,Walmart Labs,Apple,Uber,Facebook,Amazon,LinkedIn,Microsoft,Google</t>
  </si>
  <si>
    <t>Amazon,Walmart Labs</t>
  </si>
  <si>
    <t>Facebook,Amazon,Walmart Labs</t>
  </si>
  <si>
    <t>LinkedIn,Google,Pinterest,Uber,Facebook,Amazon,Walmart Labs</t>
  </si>
  <si>
    <t>Super Pow</t>
  </si>
  <si>
    <t>Sum of Two Integers</t>
  </si>
  <si>
    <t>Apple,Yahoo,Bloomberg,Google,Hulu,Facebook,Amazon</t>
  </si>
  <si>
    <t>Apple,Yahoo,Bloomberg,Facebook</t>
  </si>
  <si>
    <t>Google,Hulu,Apple,Yahoo,Bloomberg,Facebook</t>
  </si>
  <si>
    <t>Range Addition</t>
  </si>
  <si>
    <t>Plus One Linked List</t>
  </si>
  <si>
    <t>Recursion,Linked List</t>
  </si>
  <si>
    <t>Largest Divisible Subset</t>
  </si>
  <si>
    <t>Valid Perfect Square</t>
  </si>
  <si>
    <t>Adobe,Facebook,Amazon,LinkedIn,Microsoft,Google</t>
  </si>
  <si>
    <t>LinkedIn,Facebook,Adobe</t>
  </si>
  <si>
    <t>Amazon,LinkedIn,Facebook,Adobe</t>
  </si>
  <si>
    <t>Microsoft,Amazon,LinkedIn,Facebook,Adobe</t>
  </si>
  <si>
    <t>Find Leaves of Binary Tree</t>
  </si>
  <si>
    <t>Pocket Gems,Atlassian,EBay,Amazon,LinkedIn,Google</t>
  </si>
  <si>
    <t>Pocket Gems,Amazon,Atlassian,eBay,LinkedIn</t>
  </si>
  <si>
    <t>Google,Pocket Gems,Amazon,Atlassian,eBay,LinkedIn</t>
  </si>
  <si>
    <t>Water and Jug Problem</t>
  </si>
  <si>
    <t>Lyft,Uber,Amazon,Microsoft,Google</t>
  </si>
  <si>
    <t>Lyft,Google</t>
  </si>
  <si>
    <t>Uber,Microsoft,Lyft,Google</t>
  </si>
  <si>
    <t>Nested List Weight Sum II</t>
  </si>
  <si>
    <t>Amazon,DiDi,Facebook,LinkedIn</t>
  </si>
  <si>
    <t>Facebook,LinkedIn</t>
  </si>
  <si>
    <t>DiDi,Amazon,Facebook,LinkedIn</t>
  </si>
  <si>
    <t>Max Sum of Rectangle No Larger Than K</t>
  </si>
  <si>
    <t>Queue,Dynamic Programming,Binary Search</t>
  </si>
  <si>
    <t>Roblox,Facebook,Google</t>
  </si>
  <si>
    <t>Facebook,Google,Roblox</t>
  </si>
  <si>
    <t>Design Hit Counter</t>
  </si>
  <si>
    <t>Citadel,Cisco,Yandex,Netflix,Quip (Salesforce),Pinterest,Atlassian,Booking.com,Visa,Affirm,Dropbox,Snapchat,Indeed,Zillow,Oracle,Apple,Uber,Yahoo,Bloomberg,Amazon,LinkedIn,Microsoft,Google</t>
  </si>
  <si>
    <t>Amazon,Microsoft,Apple,Bloomberg,Oracle,Google,Yandex</t>
  </si>
  <si>
    <t>Atlassian,Dropbox,Pinterest,Cisco,Netflix,Citadel,Amazon,Microsoft,Apple,Bloomberg,Oracle,Google,Yandex</t>
  </si>
  <si>
    <t>Quip (Salesforce),Indeed,Affirm,Visa,Snapchat,LinkedIn,Booking.com,Atlassian,Dropbox,Pinterest,Cisco,Netflix,Citadel,Amazon,Microsoft,Apple,Bloomberg,Oracle,Google,Yandex</t>
  </si>
  <si>
    <t>Bomb Enemy</t>
  </si>
  <si>
    <t>Sort Transformed Array</t>
  </si>
  <si>
    <t>Sort,Two Pointers,Math</t>
  </si>
  <si>
    <t>LinkedIn,Facebook,Google</t>
  </si>
  <si>
    <t>Logger Rate Limiter</t>
  </si>
  <si>
    <t>Citadel,Oracle,Microsoft,Atlassian,Apple,Uber,Bloomberg,Amazon,LinkedIn,Google</t>
  </si>
  <si>
    <t>Google,Apple,Amazon,Microsoft,Oracle</t>
  </si>
  <si>
    <t>Atlassian,Bloomberg,Citadel,Google,Apple,Amazon,Microsoft,Oracle</t>
  </si>
  <si>
    <t>Uber,Atlassian,Bloomberg,Citadel,Google,Apple,Amazon,Microsoft,Oracle</t>
  </si>
  <si>
    <t>Rearrange String k Distance Apart</t>
  </si>
  <si>
    <t>Greedy,Heap,Hash Table</t>
  </si>
  <si>
    <t>EBay,Facebook,Amazon,Microsoft,Google</t>
  </si>
  <si>
    <t>Google,Amazon,Microsoft,Facebook</t>
  </si>
  <si>
    <t>Count Numbers with Unique Digits</t>
  </si>
  <si>
    <t>Line Reflection</t>
  </si>
  <si>
    <t>Yandex,Amazon,Google</t>
  </si>
  <si>
    <t>Amazon,Yandex</t>
  </si>
  <si>
    <t>Google,Amazon,Yandex</t>
  </si>
  <si>
    <t>Design Twitter</t>
  </si>
  <si>
    <t>Design,Heap,Hash Table</t>
  </si>
  <si>
    <t>Paypal,Oracle,Citrix,Huawei,Microsoft,DoorDash,Twitter,Yelp,Amazon</t>
  </si>
  <si>
    <t>Yelp,Paypal,Microsoft</t>
  </si>
  <si>
    <t>Huawei,Citrix,Yelp,Paypal,Microsoft</t>
  </si>
  <si>
    <t>DoorDash,Amazon,Oracle,Twitter,Huawei,Citrix,Yelp,Paypal,Microsoft</t>
  </si>
  <si>
    <t>Russian Doll Envelopes</t>
  </si>
  <si>
    <t>ByteDance,Uber,Amazon,Microsoft,Google</t>
  </si>
  <si>
    <t>Google,Amazon,Uber,ByteDance,Microsoft</t>
  </si>
  <si>
    <t>Design Snake Game</t>
  </si>
  <si>
    <t>Apple,Bloomberg,Microsoft,Salesforce,Zillow,Uber,Facebook,Amazon,Google</t>
  </si>
  <si>
    <t>Apple,Bloomberg,Amazon,Microsoft</t>
  </si>
  <si>
    <t>Google,Uber,Apple,Bloomberg,Amazon,Microsoft</t>
  </si>
  <si>
    <t>Data Stream as Disjoint Intervals</t>
  </si>
  <si>
    <t>Ordered Map,Binary Search</t>
  </si>
  <si>
    <t>Uber,Oracle,Facebook,Amazon,Google</t>
  </si>
  <si>
    <t>Facebook,Google,Uber,Amazon,Oracle</t>
  </si>
  <si>
    <t>Android Unlock Patterns</t>
  </si>
  <si>
    <t>Microsoft,ByteDance,Apple,Amazon,Google</t>
  </si>
  <si>
    <t>Apple,ByteDance,Google,Microsoft</t>
  </si>
  <si>
    <t>Amazon,Apple,ByteDance,Google,Microsoft</t>
  </si>
  <si>
    <t>Intersection of Two Arrays II</t>
  </si>
  <si>
    <t>Sort,Binary Search,Two Pointers,Hash Table</t>
  </si>
  <si>
    <t>Nutanix,Adobe,Databricks,ByteDance,Salesforce,Oracle,Yandex,Apple,Uber,Bloomberg,Facebook,Amazon,LinkedIn,Microsoft,Google</t>
  </si>
  <si>
    <t>ByteDance,Bloomberg,Microsoft,Google,Facebook,Amazon,Oracle</t>
  </si>
  <si>
    <t>Apple,LinkedIn,Yandex,Adobe,Nutanix,ByteDance,Bloomberg,Microsoft,Google,Facebook,Amazon,Oracle</t>
  </si>
  <si>
    <t>Intersection of Two Arrays</t>
  </si>
  <si>
    <t>Yandex,Bloomberg,Two Sigma,ByteDance,Indeed,JPMorgan,Yelp,Oracle,Lyft,Apple,Uber,Facebook,Amazon,LinkedIn,Microsoft,Google</t>
  </si>
  <si>
    <t>Amazon,Microsoft,Facebook,ByteDance</t>
  </si>
  <si>
    <t>Oracle,Lyft,Google,LinkedIn,Apple,Bloomberg,Yandex,Two Sigma,Amazon,Microsoft,Facebook,ByteDance</t>
  </si>
  <si>
    <t>Design Tic-Tac-Toe</t>
  </si>
  <si>
    <t>DiDi,Oracle,Intuit,TripleByte,DoorDash,Salesforce,Apple,Uber,Bloomberg,Facebook,Amazon,Microsoft,Google</t>
  </si>
  <si>
    <t>Amazon,Microsoft,Facebook,Intuit,Apple,Oracle</t>
  </si>
  <si>
    <t>Bloomberg,TripleByte,Salesforce,DiDi,Amazon,Microsoft,Facebook,Intuit,Apple,Oracle</t>
  </si>
  <si>
    <t>Uber,Google,Bloomberg,TripleByte,Salesforce,DiDi,Amazon,Microsoft,Facebook,Intuit,Apple,Oracle</t>
  </si>
  <si>
    <t>Top K Frequent Elements</t>
  </si>
  <si>
    <t>Booking.com,Capital One,Infosys,Hulu,Pocket Gems,ByteDance,Salesforce,VMware,Walmart Labs,Snapchat,Yelp,Oracle,Spotify,EBay,Apple,Uber,Yahoo,Bloomberg,Facebook,Amazon,LinkedIn,Microsoft,Goldman Sachs,Google</t>
  </si>
  <si>
    <t>Capital One,Facebook,Amazon,Oracle,Apple,Bloomberg,Google,ByteDance,Walmart Labs,Yelp,Microsoft,eBay</t>
  </si>
  <si>
    <t>Pocket Gems,Goldman Sachs,Capital One,Facebook,Amazon,Oracle,Apple,Bloomberg,Google,ByteDance,Walmart Labs,Yelp,Microsoft,eBay</t>
  </si>
  <si>
    <t>Uber,Snapchat,Spotify,VMware,Yahoo,Hulu,Booking.com,Infosys,Pocket Gems,Goldman Sachs,Capital One,Facebook,Amazon,Oracle,Apple,Bloomberg,Google,ByteDance,Walmart Labs,Yelp,Microsoft,eBay</t>
  </si>
  <si>
    <t>Moving Average from Data Stream</t>
  </si>
  <si>
    <t>Paypal,Spotify,Apple,AppDynamics,Indeed,Twitter,Uber,Bloomberg,Facebook,Amazon,Microsoft,Google</t>
  </si>
  <si>
    <t>Google,Apple,Spotify,Amazon,Indeed,Facebook</t>
  </si>
  <si>
    <t>Microsoft,AppDynamics,Paypal,Google,Apple,Spotify,Amazon,Indeed,Facebook</t>
  </si>
  <si>
    <t>Uber,Microsoft,AppDynamics,Paypal,Google,Apple,Spotify,Amazon,Indeed,Facebook</t>
  </si>
  <si>
    <t>Reverse Vowels of a String</t>
  </si>
  <si>
    <t>Reverse String</t>
  </si>
  <si>
    <t>ServiceNow,GoDaddy,Snapchat,Paypal,Oracle,Cisco,EBay,Apple,Uber,Bloomberg,Adobe,Facebook,Amazon,Microsoft,Goldman Sachs,Google</t>
  </si>
  <si>
    <t>Apple,Microsoft,Amazon,Goldman Sachs,eBay,Adobe,Bloomberg</t>
  </si>
  <si>
    <t>ServiceNow,Google,Apple,Microsoft,Amazon,Goldman Sachs,eBay,Adobe,Bloomberg</t>
  </si>
  <si>
    <t>Facebook,Oracle,Uber,Cisco,Snapchat,ServiceNow,Google,Apple,Microsoft,Amazon,Goldman Sachs,eBay,Adobe,Bloomberg</t>
  </si>
  <si>
    <t>Integer Break</t>
  </si>
  <si>
    <t>Adobe,Amazon,Apple,Google</t>
  </si>
  <si>
    <t>Apple,Amazon,Google,Adobe</t>
  </si>
  <si>
    <t>Power of Four</t>
  </si>
  <si>
    <t>Two Sigma,Uber</t>
  </si>
  <si>
    <t>Flatten Nested List Iterator</t>
  </si>
  <si>
    <t>EBay,Pinterest,Atlassian,Splunk,VMware,Snapchat,Twitter,Oracle,Lyft,Apple,Airbnb,Uber,Bloomberg,Facebook,Amazon,LinkedIn,Microsoft,Google</t>
  </si>
  <si>
    <t>Facebook,Amazon,Apple,Airbnb,Oracle,LinkedIn</t>
  </si>
  <si>
    <t>Uber,Twitter,Google,eBay,Facebook,Amazon,Apple,Airbnb,Oracle,LinkedIn</t>
  </si>
  <si>
    <t>Lyft,Bloomberg,Microsoft,VMware,Uber,Twitter,Google,eBay,Facebook,Amazon,Apple,Airbnb,Oracle,LinkedIn</t>
  </si>
  <si>
    <t>Longest Substring with At Most K Distinct Characters</t>
  </si>
  <si>
    <t>Two Pointers,Sliding Window,String,Hash Table</t>
  </si>
  <si>
    <t>LinkedIn,AppDynamics,Coupang,Citadel,Snapchat,Wish,Oracle,Uber,Bloomberg,Facebook,Amazon,Microsoft,Google</t>
  </si>
  <si>
    <t>Facebook,Uber,Amazon,Microsoft,Wish</t>
  </si>
  <si>
    <t>Google,Oracle,Facebook,Uber,Amazon,Microsoft,Wish</t>
  </si>
  <si>
    <t>Bloomberg,Snapchat,LinkedIn,Citadel,AppDynamics,Coupang,Google,Oracle,Facebook,Uber,Amazon,Microsoft,Wish</t>
  </si>
  <si>
    <t>Nested List Weight Sum</t>
  </si>
  <si>
    <t>EBay,Cloudera,Uber,Facebook,Amazon,LinkedIn</t>
  </si>
  <si>
    <t>Uber,eBay,Cloudera,Facebook,LinkedIn,Amazon</t>
  </si>
  <si>
    <t>Counting Bits</t>
  </si>
  <si>
    <t>Blizzard,Mathworks,Apple,Uber,Bloomberg,Facebook,Amazon,Microsoft</t>
  </si>
  <si>
    <t>Amazon,Blizzard</t>
  </si>
  <si>
    <t>Apple,Uber,Bloomberg,Mathworks,Facebook,Amazon,Blizzard</t>
  </si>
  <si>
    <t>Microsoft,Apple,Uber,Bloomberg,Mathworks,Facebook,Amazon,Blizzard</t>
  </si>
  <si>
    <t>House Robber III</t>
  </si>
  <si>
    <t>Dynamic Programming,Depth First Search,Tree</t>
  </si>
  <si>
    <t>Uber,Google,Amazon</t>
  </si>
  <si>
    <t>Palindrome Pairs</t>
  </si>
  <si>
    <t>Trie,String,Hash Table</t>
  </si>
  <si>
    <t>Nutanix,ByteDance,Square,Apple,Airbnb,Uber,Bloomberg,Adobe,Facebook,Amazon,Google</t>
  </si>
  <si>
    <t>Airbnb,ByteDance,Facebook,Amazon</t>
  </si>
  <si>
    <t>Square,Uber,Airbnb,ByteDance,Facebook,Amazon</t>
  </si>
  <si>
    <t>Google,Apple,Nutanix,Square,Uber,Airbnb,ByteDance,Facebook,Amazon</t>
  </si>
  <si>
    <t>Self Crossing</t>
  </si>
  <si>
    <t>Increasing Triplet Subsequence</t>
  </si>
  <si>
    <t>Oracle,Uber,Yahoo,Bloomberg,Facebook,Amazon,Google</t>
  </si>
  <si>
    <t>Oracle,Yahoo,Bloomberg,Uber,Facebook,Amazon,Google</t>
  </si>
  <si>
    <t>Largest BST Subtree</t>
  </si>
  <si>
    <t>Bloomberg,Lyft,Apple,Facebook,Amazon,Microsoft,Google</t>
  </si>
  <si>
    <t>Amazon,Facebook,Bloomberg</t>
  </si>
  <si>
    <t>Lyft,Apple,Microsoft,Amazon,Facebook,Bloomberg</t>
  </si>
  <si>
    <t>Reconstruct Itinerary</t>
  </si>
  <si>
    <t>Akuna Capital,Square,VMware,Twitter,Expedia,Intuit,EBay,Qualtrics,Twilio,Citadel,Snapchat,Yelp,Yandex,Apple,Uber,Bloomberg,Facebook,Amazon,Microsoft,Goldman Sachs,Google</t>
  </si>
  <si>
    <t>Uber,Amazon,Twilio,Bloomberg,Facebook,Intuit,Microsoft,Twitter,Google,eBay,Expedia,Qualtrics,VMware</t>
  </si>
  <si>
    <t>Apple,Akuna Capital,Uber,Amazon,Twilio,Bloomberg,Facebook,Intuit,Microsoft,Twitter,Google,eBay,Expedia,Qualtrics,VMware</t>
  </si>
  <si>
    <t>Goldman Sachs,Yelp,Snapchat,Yandex,Citadel,Square,Apple,Akuna Capital,Uber,Amazon,Twilio,Bloomberg,Facebook,Intuit,Microsoft,Twitter,Google,eBay,Expedia,Qualtrics,VMware</t>
  </si>
  <si>
    <t>Verify Preorder Serialization of a Binary Tree</t>
  </si>
  <si>
    <t>Patching Array</t>
  </si>
  <si>
    <t>Longest Increasing Path in a Matrix</t>
  </si>
  <si>
    <t>Memoization,Topological Sort,Depth First Search</t>
  </si>
  <si>
    <t>DoorDash,Qualtrics,Oracle,Cisco,ByteDance,Snapchat,Apple,Uber,Bloomberg,Adobe,Facebook,Amazon,Microsoft,Google</t>
  </si>
  <si>
    <t>Google,Facebook,Bloomberg,ByteDance,Amazon,DoorDash</t>
  </si>
  <si>
    <t>Apple,Microsoft,Oracle,Snapchat,Cisco,Google,Facebook,Bloomberg,ByteDance,Amazon,DoorDash</t>
  </si>
  <si>
    <t>Uber,Adobe,Qualtrics,Apple,Microsoft,Oracle,Snapchat,Cisco,Google,Facebook,Bloomberg,ByteDance,Amazon,DoorDash</t>
  </si>
  <si>
    <t>Odd Even Linked List</t>
  </si>
  <si>
    <t>Oracle,Alibaba,Capital One,EBay,Bloomberg,Facebook,Amazon,Microsoft,Google</t>
  </si>
  <si>
    <t>Bloomberg,Oracle,Facebook,Google</t>
  </si>
  <si>
    <t>Amazon,Microsoft,Capital One,Bloomberg,Oracle,Facebook,Google</t>
  </si>
  <si>
    <t>Alibaba,Amazon,Microsoft,Capital One,Bloomberg,Oracle,Facebook,Google</t>
  </si>
  <si>
    <t>Count of Range Sum</t>
  </si>
  <si>
    <t>Power of Three</t>
  </si>
  <si>
    <t>Hulu,Apple,Goldman Sachs,Google</t>
  </si>
  <si>
    <t>Maximum Size Subarray Sum Equals k</t>
  </si>
  <si>
    <t>Palantir Technologies,Facebook,Amazon,Microsoft,Google</t>
  </si>
  <si>
    <t>Google,Amazon,Facebook,Microsoft</t>
  </si>
  <si>
    <t>Palantir Technologies,Google,Amazon,Facebook,Microsoft</t>
  </si>
  <si>
    <t>Wiggle Sort II</t>
  </si>
  <si>
    <t>Paypal,Amazon,Akuna Capital,Airbnb,Facebook,Google</t>
  </si>
  <si>
    <t>Airbnb,Facebook,Amazon,Google,Paypal</t>
  </si>
  <si>
    <t>Number of Connected Components in an Undirected Graph</t>
  </si>
  <si>
    <t>Graph,Union Find,Breadth First Search,Depth First Search</t>
  </si>
  <si>
    <t>Apple,Twitter,Facebook,Amazon,LinkedIn,Microsoft,Google</t>
  </si>
  <si>
    <t>Amazon,Facebook,Microsoft,LinkedIn,Google,Apple</t>
  </si>
  <si>
    <t>Twitter,Amazon,Facebook,Microsoft,LinkedIn,Google,Apple</t>
  </si>
  <si>
    <t>Coin Change</t>
  </si>
  <si>
    <t>Grab,SAP,Zappos,ByteDance,Capital One,Visa,VMware,Affirm,Walmart Labs,JPMorgan,Paypal,Oracle,Cisco,EBay,BlackRock,Apple,Airbnb,Uber,Yahoo,Bloomberg,Adobe,Facebook,Amazon,LinkedIn,Microsoft,Goldman Sachs,Google</t>
  </si>
  <si>
    <t>Amazon,Goldman Sachs,Bloomberg,Walmart Labs,Airbnb,BlackRock,Uber,Oracle,Apple,Microsoft,Facebook</t>
  </si>
  <si>
    <t>ByteDance,Google,eBay,Capital One,Grab,VMware,Cisco,Paypal,Amazon,Goldman Sachs,Bloomberg,Walmart Labs,Airbnb,BlackRock,Uber,Oracle,Apple,Microsoft,Facebook</t>
  </si>
  <si>
    <t>Adobe,Yahoo,Zappos,Affirm,SAP,ByteDance,Google,eBay,Capital One,Grab,VMware,Cisco,Paypal,Amazon,Goldman Sachs,Bloomberg,Walmart Labs,Airbnb,BlackRock,Uber,Oracle,Apple,Microsoft,Facebook</t>
  </si>
  <si>
    <t>Create Maximum Number</t>
  </si>
  <si>
    <t>Generalized Abbreviation</t>
  </si>
  <si>
    <t>Bulb Switcher</t>
  </si>
  <si>
    <t>Brainteaser,Math</t>
  </si>
  <si>
    <t>Apple,Bloomberg,LinkedIn,Microsoft,Mathworks,Facebook,Amazon</t>
  </si>
  <si>
    <t>Facebook,Amazon,Mathworks,LinkedIn,Bloomberg,Apple,Microsoft</t>
  </si>
  <si>
    <t>Maximum Product of Word Lengths</t>
  </si>
  <si>
    <t>Shortest Distance from All Buildings</t>
  </si>
  <si>
    <t>Oracle,Zenefits,Splunk,ByteDance,Snapchat,Mathworks,Uber,Facebook,Amazon,Microsoft,Goldman Sachs,Google</t>
  </si>
  <si>
    <t>Snapchat,Facebook,Google,Amazon</t>
  </si>
  <si>
    <t>Mathworks,Microsoft,ByteDance,Uber,Splunk,Oracle,Zenefits,Snapchat,Facebook,Google,Amazon</t>
  </si>
  <si>
    <t>Remove Duplicate Letters</t>
  </si>
  <si>
    <t>String,Greedy,Stack</t>
  </si>
  <si>
    <t>FactSet,Bloomberg,Nutanix,ByteDance,Apple,Yahoo,Adobe,Facebook,Amazon,Microsoft,Google</t>
  </si>
  <si>
    <t>ByteDance,Adobe,Amazon,Bloomberg,Google</t>
  </si>
  <si>
    <t>Facebook,Apple,Microsoft,FactSet,ByteDance,Adobe,Amazon,Bloomberg,Google</t>
  </si>
  <si>
    <t>Count of Smaller Numbers After Self</t>
  </si>
  <si>
    <t>Adobe,Oracle,Apple,Uber,Bloomberg,Facebook,Amazon,Microsoft,Google</t>
  </si>
  <si>
    <t>Google,Amazon,Apple,Bloomberg,Uber</t>
  </si>
  <si>
    <t>Microsoft,Adobe,Google,Amazon,Apple,Bloomberg,Uber</t>
  </si>
  <si>
    <t>Oracle,Microsoft,Adobe,Google,Amazon,Apple,Bloomberg,Uber</t>
  </si>
  <si>
    <t>Binary Tree Vertical Order Traversal</t>
  </si>
  <si>
    <t>Reddit,Databricks,ByteDance,Salesforce,Snapchat,Expedia,Wish,Oracle,Mathworks,Bloomberg,Adobe,Facebook,Amazon,Microsoft,Google</t>
  </si>
  <si>
    <t>Databricks,Reddit,Google,Bloomberg,Facebook,Amazon</t>
  </si>
  <si>
    <t>Microsoft,ByteDance,Oracle,Salesforce,Mathworks,Wish,Snapchat,Databricks,Reddit,Google,Bloomberg,Facebook,Amazon</t>
  </si>
  <si>
    <t>Super Ugly Number</t>
  </si>
  <si>
    <t>Burst Balloons</t>
  </si>
  <si>
    <t>Codenation,Uber,Bloomberg,Snapchat,Samsung,Adobe,Facebook,Amazon,Google</t>
  </si>
  <si>
    <t>Adobe,Codenation,Bloomberg</t>
  </si>
  <si>
    <t>Amazon,Samsung,Google,Adobe,Codenation,Bloomberg</t>
  </si>
  <si>
    <t>Facebook,Uber,Snapchat,Amazon,Samsung,Google,Adobe,Codenation,Bloomberg</t>
  </si>
  <si>
    <t>Sparse Matrix Multiplication</t>
  </si>
  <si>
    <t>Wish,Snapchat,Apple,Uber,Bloomberg,Facebook,Amazon,LinkedIn,Microsoft,Google</t>
  </si>
  <si>
    <t>Facebook,Apple,Wish</t>
  </si>
  <si>
    <t>Google,Bloomberg,Amazon,Facebook,Apple,Wish</t>
  </si>
  <si>
    <t>Snapchat,Uber,Microsoft,LinkedIn,Google,Bloomberg,Amazon,Facebook,Apple,Wish</t>
  </si>
  <si>
    <t>Minimum Height Trees</t>
  </si>
  <si>
    <t>Apple,Snapchat,Bloomberg,Facebook,Amazon,Google</t>
  </si>
  <si>
    <t>Amazon,Google,Bloomberg,Facebook</t>
  </si>
  <si>
    <t>Snapchat,Apple,Amazon,Google,Bloomberg,Facebook</t>
  </si>
  <si>
    <t>Best Time to Buy and Sell Stock with Cooldown</t>
  </si>
  <si>
    <t>Yahoo,Adobe,Facebook,Goldman Sachs,Apple,Amazon,Google</t>
  </si>
  <si>
    <t>Amazon,Yahoo</t>
  </si>
  <si>
    <t>Facebook,Adobe,Goldman Sachs,Amazon,Yahoo</t>
  </si>
  <si>
    <t>Google,Apple,Facebook,Adobe,Goldman Sachs,Amazon,Yahoo</t>
  </si>
  <si>
    <t>Range Sum Query 2D - Mutable</t>
  </si>
  <si>
    <t>Segment Tree,Binary Indexed Tree</t>
  </si>
  <si>
    <t>Microsoft,Facebook,Google</t>
  </si>
  <si>
    <t>Range Sum Query - Mutable</t>
  </si>
  <si>
    <t>Adobe,Twitter,Facebook,Amazon,Google</t>
  </si>
  <si>
    <t>Google,Amazon,Adobe,Facebook</t>
  </si>
  <si>
    <t>Twitter,Google,Amazon,Adobe,Facebook</t>
  </si>
  <si>
    <t>Additive Number</t>
  </si>
  <si>
    <t>Microsoft,Google,Epic Systems</t>
  </si>
  <si>
    <t>Epic Systems,Microsoft,Google</t>
  </si>
  <si>
    <t>Number of Islands II</t>
  </si>
  <si>
    <t>Bloomberg,Snapchat,Oracle,Uber,Facebook,Amazon,Microsoft,Google</t>
  </si>
  <si>
    <t>Uber,Facebook,Bloomberg,Microsoft,Oracle,Google,Amazon</t>
  </si>
  <si>
    <t>Range Sum Query 2D - Immutable</t>
  </si>
  <si>
    <t>Cruise Automation,Houzz,VMware,Lyft,Apple,Facebook,Amazon,Microsoft,Google</t>
  </si>
  <si>
    <t>Facebook,Google,Lyft,Amazon</t>
  </si>
  <si>
    <t>Cruise Automation,Microsoft,Facebook,Google,Lyft,Amazon</t>
  </si>
  <si>
    <t>Apple,Houzz,VMware,Cruise Automation,Microsoft,Facebook,Google,Lyft,Amazon</t>
  </si>
  <si>
    <t>Range Sum Query - Immutable</t>
  </si>
  <si>
    <t>Adobe,Amazon,Palantir Technologies,Bloomberg,Facebook,Microsoft,Google</t>
  </si>
  <si>
    <t>Adobe,Amazon,Google,Facebook</t>
  </si>
  <si>
    <t>Bloomberg,Microsoft,Palantir Technologies,Adobe,Amazon,Google,Facebook</t>
  </si>
  <si>
    <t>Smallest Rectangle Enclosing Black Pixels</t>
  </si>
  <si>
    <t>Remove Invalid Parentheses</t>
  </si>
  <si>
    <t>Qualtrics,ByteDance,Citadel,EBay,Pony.ai,Postmates,Houzz,Apple,Uber,Bloomberg,Facebook,Amazon,Google</t>
  </si>
  <si>
    <t>Facebook,Bloomberg,Amazon,ByteDance,Qualtrics,Citadel</t>
  </si>
  <si>
    <t>Google,Postmates,eBay,Facebook,Bloomberg,Amazon,ByteDance,Qualtrics,Citadel</t>
  </si>
  <si>
    <t>Uber,Houzz,Google,Postmates,eBay,Facebook,Bloomberg,Amazon,ByteDance,Qualtrics,Citadel</t>
  </si>
  <si>
    <t>Longest Increasing Subsequence</t>
  </si>
  <si>
    <t>Codenation,Coupang,ByteDance,Citrix,Nagarro,IBM,Yahoo,Bloomberg,Atlassian,Salesforce,VMware,Oracle,EBay,Apple,Uber,Adobe,Facebook,Amazon,Microsoft,Google</t>
  </si>
  <si>
    <t>Apple,Amazon,Facebook,Google,Citrix,ByteDance,Microsoft,Bloomberg,Nagarro</t>
  </si>
  <si>
    <t>Adobe,Atlassian,Uber,eBay,Codenation,Apple,Amazon,Facebook,Google,Citrix,ByteDance,Microsoft,Bloomberg,Nagarro</t>
  </si>
  <si>
    <t>Oracle,Yahoo,IBM,Coupang,Adobe,Atlassian,Uber,eBay,Codenation,Apple,Amazon,Facebook,Google,Citrix,ByteDance,Microsoft,Bloomberg,Nagarro</t>
  </si>
  <si>
    <t>Bulls and Cows</t>
  </si>
  <si>
    <t>ByteDance,EBay,Zillow,Airbnb,Uber,Amazon,Microsoft,Google</t>
  </si>
  <si>
    <t>Amazon,Microsoft,Google,ByteDance</t>
  </si>
  <si>
    <t>Airbnb,eBay,Amazon,Microsoft,Google,ByteDance</t>
  </si>
  <si>
    <t>Binary Tree Longest Consecutive Sequence</t>
  </si>
  <si>
    <t>Serialize and Deserialize Binary Tree</t>
  </si>
  <si>
    <t>Square,Walmart Labs,Paypal,Qualtrics,Tableau,Salesforce,Groupon,VMware,Citadel,Quora,Snapchat,Indeed,Expedia,Oracle,EBay,Apple,Uber,Yahoo,Bloomberg,Facebook,Amazon,LinkedIn,Microsoft,Google</t>
  </si>
  <si>
    <t>Facebook,Amazon,Microsoft,LinkedIn,Uber,Bloomberg,eBay,Quora,Google,Oracle,Qualtrics,Citadel,Walmart Labs</t>
  </si>
  <si>
    <t>Apple,Snapchat,VMware,Square,Facebook,Amazon,Microsoft,LinkedIn,Uber,Bloomberg,eBay,Quora,Google,Oracle,Qualtrics,Citadel,Walmart Labs</t>
  </si>
  <si>
    <t>Expedia,Paypal,Yahoo,Apple,Snapchat,VMware,Square,Facebook,Amazon,Microsoft,LinkedIn,Uber,Bloomberg,eBay,Quora,Google,Oracle,Qualtrics,Citadel,Walmart Labs</t>
  </si>
  <si>
    <t>Best Meeting Point</t>
  </si>
  <si>
    <t>Bloomberg,Microsoft,Snapchat,Twitter,Facebook,Amazon,LinkedIn,Google</t>
  </si>
  <si>
    <t>Bloomberg,Microsoft</t>
  </si>
  <si>
    <t>Google,Amazon,Bloomberg,Microsoft</t>
  </si>
  <si>
    <t>Snapchat,LinkedIn,Twitter,Google,Amazon,Bloomberg,Microsoft</t>
  </si>
  <si>
    <t>Find Median from Data Stream</t>
  </si>
  <si>
    <t>Indeed,Twilio,Wish,Citadel,Walmart Labs,Zillow,Nvidia,Netflix,Pinterest,Qualtrics,Atlassian,ByteDance,Salesforce,VMware,Snapchat,Twitter,Expedia,Oracle,EBay,Apple,Uber,Yahoo,Bloomberg,Adobe,Facebook,Amazon,Microsoft,Goldman Sachs,Google</t>
  </si>
  <si>
    <t>Amazon,Facebook,Google,ByteDance,Microsoft,Apple,eBay,Bloomberg,Salesforce,Goldman Sachs,Oracle,VMware,Uber,Walmart Labs,Nvidia,Twilio</t>
  </si>
  <si>
    <t>Twitter,Zillow,Amazon,Facebook,Google,ByteDance,Microsoft,Apple,eBay,Bloomberg,Salesforce,Goldman Sachs,Oracle,VMware,Uber,Walmart Labs,Nvidia,Twilio</t>
  </si>
  <si>
    <t>Snapchat,Netflix,Qualtrics,Yahoo,Wish,Atlassian,Indeed,Adobe,Citadel,Twitter,Zillow,Amazon,Facebook,Google,ByteDance,Microsoft,Apple,eBay,Bloomberg,Salesforce,Goldman Sachs,Oracle,VMware,Uber,Walmart Labs,Nvidia,Twilio</t>
  </si>
  <si>
    <t>Flip Game II</t>
  </si>
  <si>
    <t>Minimax,Backtracking</t>
  </si>
  <si>
    <t>Flip Game</t>
  </si>
  <si>
    <t>Nim Game</t>
  </si>
  <si>
    <t>Minimax,Brainteaser</t>
  </si>
  <si>
    <t>Google,Bloomberg,Adobe</t>
  </si>
  <si>
    <t>Google,Adobe,Bloomberg</t>
  </si>
  <si>
    <t>Word Pattern II</t>
  </si>
  <si>
    <t>Amazon,Pony.ai,Dropbox,Uber,Facebook</t>
  </si>
  <si>
    <t>Pony.ai,Dropbox,Uber,Amazon</t>
  </si>
  <si>
    <t>Word Pattern</t>
  </si>
  <si>
    <t>GoDaddy,Apple,Capital One,Dropbox,Uber,Facebook,Amazon,Microsoft,Google</t>
  </si>
  <si>
    <t>Amazon,Capital One,Apple</t>
  </si>
  <si>
    <t>Google,Microsoft,Facebook,GoDaddy,Dropbox,Uber,Amazon,Capital One,Apple</t>
  </si>
  <si>
    <t>Game of Life</t>
  </si>
  <si>
    <t>Square,Adobe,Reddit,Evernote,Opendoor,Two Sigma,Booking.com,Dropbox,Snapchat,Zillow,Oracle,Uber,Bloomberg,Facebook,Amazon,Microsoft,Goldman Sachs,Google</t>
  </si>
  <si>
    <t>Dropbox,Amazon,Reddit,Opendoor,Microsoft</t>
  </si>
  <si>
    <t>Oracle,Square,Adobe,Goldman Sachs,Facebook,Dropbox,Amazon,Reddit,Opendoor,Microsoft</t>
  </si>
  <si>
    <t>Google,Uber,Bloomberg,Booking.com,Snapchat,Two Sigma,Oracle,Square,Adobe,Goldman Sachs,Facebook,Dropbox,Amazon,Reddit,Opendoor,Microsoft</t>
  </si>
  <si>
    <t>Unique Word Abbreviation</t>
  </si>
  <si>
    <t>Find the Duplicate Number</t>
  </si>
  <si>
    <t>Binary Search,Two Pointers,Array</t>
  </si>
  <si>
    <t>Zynga,Nutanix,Wish,Citadel,Paypal,Yahoo,Goldman Sachs,Salesforce,VMware,Oracle,Intuit,EBay,Apple,Tencent,Morgan Stanley,Bloomberg,Adobe,Facebook,Amazon,Microsoft,Google</t>
  </si>
  <si>
    <t>Microsoft,Amazon,Apple,Google,Bloomberg,Paypal,Goldman Sachs</t>
  </si>
  <si>
    <t>Adobe,eBay,Zynga,Microsoft,Amazon,Apple,Google,Bloomberg,Paypal,Goldman Sachs</t>
  </si>
  <si>
    <t>Facebook,Yahoo,Salesforce,VMware,Citadel,Intuit,Wish,Nutanix,Adobe,eBay,Zynga,Microsoft,Amazon,Apple,Google,Bloomberg,Paypal,Goldman Sachs</t>
  </si>
  <si>
    <t>Walls and Gates</t>
  </si>
  <si>
    <t>ByteDance,Spotify,Uber,Bloomberg,Facebook,Amazon,Microsoft,Google</t>
  </si>
  <si>
    <t>ByteDance,Facebook,Amazon,Microsoft</t>
  </si>
  <si>
    <t>Google,Spotify,Bloomberg,ByteDance,Facebook,Amazon,Microsoft</t>
  </si>
  <si>
    <t>Uber,Google,Spotify,Bloomberg,ByteDance,Facebook,Amazon,Microsoft</t>
  </si>
  <si>
    <t>Inorder Successor in BST</t>
  </si>
  <si>
    <t>Adobe,Quip (Salesforce),Pocket Gems,Palantir Technologies,Citadel,Zillow,Bloomberg,Facebook,Amazon,Microsoft,Google</t>
  </si>
  <si>
    <t>Citadel,Facebook,Google,Bloomberg,Amazon,Microsoft</t>
  </si>
  <si>
    <t>Quip (Salesforce),Zillow,Adobe,Pocket Gems,Citadel,Facebook,Google,Bloomberg,Amazon,Microsoft</t>
  </si>
  <si>
    <t>Peeking Iterator</t>
  </si>
  <si>
    <t>Atlassian,Walmart Labs,Oracle,EBay,Apple,Yahoo,Facebook,Amazon,Microsoft,Google</t>
  </si>
  <si>
    <t>Facebook,eBay,Atlassian,Google,Apple,Amazon</t>
  </si>
  <si>
    <t>Microsoft,Oracle,Yahoo,Facebook,eBay,Atlassian,Google,Apple,Amazon</t>
  </si>
  <si>
    <t>Move Zeroes</t>
  </si>
  <si>
    <t>Tesla,Capital One,Splunk,ByteDance,ServiceNow,IBM,Cisco,Cohesity,Nutanix,Dell,Qualcomm,Walmart Labs,Zillow,Paypal,Oracle,Lyft,Yandex,EBay,Apple,Uber,Yahoo,SAP,Bloomberg,Adobe,Facebook,Amazon,Microsoft,Goldman Sachs,Google</t>
  </si>
  <si>
    <t>Facebook,Bloomberg,Capital One,Microsoft,Apple,Adobe,Amazon,eBay,SAP,Uber,Cisco,Oracle,Qualcomm,Yandex</t>
  </si>
  <si>
    <t>Google,Walmart Labs,ByteDance,IBM,Paypal,Goldman Sachs,Tesla,Facebook,Bloomberg,Capital One,Microsoft,Apple,Adobe,Amazon,eBay,SAP,Uber,Cisco,Oracle,Qualcomm,Yandex</t>
  </si>
  <si>
    <t>Yahoo,Zillow,Nutanix,ServiceNow,Dell,Splunk,Google,Walmart Labs,ByteDance,IBM,Paypal,Goldman Sachs,Tesla,Facebook,Bloomberg,Capital One,Microsoft,Apple,Adobe,Amazon,eBay,SAP,Uber,Cisco,Oracle,Qualcomm,Yandex</t>
  </si>
  <si>
    <t>Expression Add Operators</t>
  </si>
  <si>
    <t>Jane Street,Wish,Citadel,Amazon,ByteDance,Snapchat,Apple,Uber,Facebook,LinkedIn,Microsoft,Google</t>
  </si>
  <si>
    <t>Facebook,Citadel</t>
  </si>
  <si>
    <t>Uber,ByteDance,Microsoft,Google,Jane Street,Amazon,Wish,Facebook,Citadel</t>
  </si>
  <si>
    <t>Snapchat,Uber,ByteDance,Microsoft,Google,Jane Street,Amazon,Wish,Facebook,Citadel</t>
  </si>
  <si>
    <t>Zigzag Iterator</t>
  </si>
  <si>
    <t>Cruise Automation,Yandex,Apple,Facebook,Amazon,Microsoft,Google</t>
  </si>
  <si>
    <t>Apple,Yandex</t>
  </si>
  <si>
    <t>Microsoft,Google,Apple,Yandex</t>
  </si>
  <si>
    <t>Wiggle Sort</t>
  </si>
  <si>
    <t>Airbnb,Amazon,Google,Facebook</t>
  </si>
  <si>
    <t>Perfect Squares</t>
  </si>
  <si>
    <t>Breadth First Search,Dynamic Programming,Math</t>
  </si>
  <si>
    <t>GoDaddy,Lyft,Cisco,Yandex,EBay,Apple,Uber,Adobe,Facebook,Amazon,LinkedIn,Microsoft,Google</t>
  </si>
  <si>
    <t>Amazon,Google,Adobe</t>
  </si>
  <si>
    <t>Apple,Yandex,Amazon,Google,Adobe</t>
  </si>
  <si>
    <t>Uber,Lyft,Microsoft,LinkedIn,Cisco,Apple,Yandex,Amazon,Google,Adobe</t>
  </si>
  <si>
    <t>First Bad Version</t>
  </si>
  <si>
    <t>Salesforce,Cisco,EBay,Uber,Bloomberg,Adobe,Facebook,Amazon,Microsoft,Google</t>
  </si>
  <si>
    <t>Google,eBay,Amazon,Adobe,Salesforce,Cisco,Facebook</t>
  </si>
  <si>
    <t>Microsoft,Google,eBay,Amazon,Adobe,Salesforce,Cisco,Facebook</t>
  </si>
  <si>
    <t>Find the Celebrity</t>
  </si>
  <si>
    <t>Snapchat,Nvidia,Square,Pinterest,Palantir Technologies,VMware,Apple,Uber,Facebook,Amazon,LinkedIn,Microsoft,Google</t>
  </si>
  <si>
    <t>Microsoft,Amazon,Facebook,Apple,LinkedIn,Snapchat</t>
  </si>
  <si>
    <t>VMware,Nvidia,Microsoft,Amazon,Facebook,Apple,LinkedIn,Snapchat</t>
  </si>
  <si>
    <t>Pinterest,Palantir Technologies,Google,Uber,VMware,Nvidia,Microsoft,Amazon,Facebook,Apple,LinkedIn,Snapchat</t>
  </si>
  <si>
    <t>Paint Fence</t>
  </si>
  <si>
    <t>JPMorgan,Expedia,Google</t>
  </si>
  <si>
    <t>Google,JPMorgan</t>
  </si>
  <si>
    <t>Expedia,Google,JPMorgan</t>
  </si>
  <si>
    <t>H-Index II</t>
  </si>
  <si>
    <t>Goldman Sachs,Facebook</t>
  </si>
  <si>
    <t>Facebook,Goldman Sachs</t>
  </si>
  <si>
    <t>H-Index</t>
  </si>
  <si>
    <t>Walmart Labs,Nvidia,Amazon,Goldman Sachs,TripAdvisor,Yahoo,Bloomberg,Adobe,Facebook,Google</t>
  </si>
  <si>
    <t>Nvidia,Goldman Sachs</t>
  </si>
  <si>
    <t>Google,Nvidia,Goldman Sachs</t>
  </si>
  <si>
    <t>Adobe,TripAdvisor,Amazon,Facebook,Bloomberg,Walmart Labs,Google,Nvidia,Goldman Sachs</t>
  </si>
  <si>
    <t>Integer to English Words</t>
  </si>
  <si>
    <t>Netflix,Adobe,Tesla,Nutanix,Square,Palantir Technologies,Citrix,Barclays,Coupang,Splunk,Capital One,Tableau,Visa,Walmart Labs,JPMorgan,Zillow,Paypal,Yelp,Oracle,Apple,Uber,Yahoo,SAP,Bloomberg,Facebook,Amazon,LinkedIn,Microsoft,Google</t>
  </si>
  <si>
    <t>Facebook,Amazon,Microsoft,Palantir Technologies,Apple,Oracle,Square,Netflix</t>
  </si>
  <si>
    <t>Uber,Adobe,Bloomberg,Facebook,Amazon,Microsoft,Palantir Technologies,Apple,Oracle,Square,Netflix</t>
  </si>
  <si>
    <t>LinkedIn,Google,Zillow,Nutanix,Splunk,Walmart Labs,Yahoo,Tesla,Uber,Adobe,Bloomberg,Facebook,Amazon,Microsoft,Palantir Technologies,Apple,Oracle,Square,Netflix</t>
  </si>
  <si>
    <t>Closest Binary Search Tree Value II</t>
  </si>
  <si>
    <t>Tree,Stack</t>
  </si>
  <si>
    <t>Oracle,ForUsAll,Facebook,Amazon,LinkedIn,Google</t>
  </si>
  <si>
    <t>LinkedIn,Oracle</t>
  </si>
  <si>
    <t>Facebook,LinkedIn,Oracle</t>
  </si>
  <si>
    <t>Amazon,Google,Facebook,LinkedIn,Oracle</t>
  </si>
  <si>
    <t>Encode and Decode Strings</t>
  </si>
  <si>
    <t>Atlassian,Square,Twitter,Bloomberg,Microsoft,Google</t>
  </si>
  <si>
    <t>Square,Atlassian,Google,Microsoft</t>
  </si>
  <si>
    <t>Closest Binary Search Tree Value</t>
  </si>
  <si>
    <t>Tree,Binary Search</t>
  </si>
  <si>
    <t>Coupang,Snapchat,Bloomberg,Facebook,Amazon,LinkedIn,Microsoft,Google</t>
  </si>
  <si>
    <t>Facebook,Bloomberg,Microsoft</t>
  </si>
  <si>
    <t>Amazon,Facebook,Bloomberg,Microsoft</t>
  </si>
  <si>
    <t>Google,Coupang,Snapchat,Amazon,Facebook,Bloomberg,Microsoft</t>
  </si>
  <si>
    <t>Alien Dictionary</t>
  </si>
  <si>
    <t>ByteDance,EBay,Cohesity,DoorDash,Square,Pinterest,Pocket Gems,Flipkart,VMware,Walmart Labs,Snapchat,Twitter,Apple,Airbnb,Uber,Bloomberg,Facebook,Amazon,Microsoft,Google</t>
  </si>
  <si>
    <t>Facebook,Amazon,Pinterest,Microsoft,Google,Airbnb</t>
  </si>
  <si>
    <t>Apple,Uber,Bloomberg,Facebook,Amazon,Pinterest,Microsoft,Google,Airbnb</t>
  </si>
  <si>
    <t>VMware,Twitter,Snapchat,Walmart Labs,Flipkart,eBay,ByteDance,Pocket Gems,Apple,Uber,Bloomberg,Facebook,Amazon,Pinterest,Microsoft,Google,Airbnb</t>
  </si>
  <si>
    <t>Missing Number</t>
  </si>
  <si>
    <t>Capital One,JPMorgan,Paypal,Nvidia,Cisco,Yandex,EBay,Goldman Sachs,Arista Networks,VMware,Zillow,ServiceNow,Oracle,IBM,Apple,Bloomberg,Adobe,Facebook,Amazon,Microsoft,Google</t>
  </si>
  <si>
    <t>Capital One,Facebook,Amazon,Apple,Oracle,Microsoft,Goldman Sachs,Cisco,Arista Networks</t>
  </si>
  <si>
    <t>Adobe,Capital One,Facebook,Amazon,Apple,Oracle,Microsoft,Goldman Sachs,Cisco,Arista Networks</t>
  </si>
  <si>
    <t>Google,Bloomberg,JPMorgan,Paypal,IBM,Yandex,ServiceNow,Nvidia,eBay,Adobe,Capital One,Facebook,Amazon,Apple,Oracle,Microsoft,Goldman Sachs,Cisco,Arista Networks</t>
  </si>
  <si>
    <t>Palindrome Permutation II</t>
  </si>
  <si>
    <t>Uber,Microsoft</t>
  </si>
  <si>
    <t>Google,Amazon,Uber,Microsoft</t>
  </si>
  <si>
    <t>Palindrome Permutation</t>
  </si>
  <si>
    <t>Apple,Uber,Bloomberg,Facebook,Amazon,Microsoft,Google</t>
  </si>
  <si>
    <t>Apple,Amazon,Google,Uber,Bloomberg,Facebook,Microsoft</t>
  </si>
  <si>
    <t>Paint House II</t>
  </si>
  <si>
    <t>Walmart Labs,Uber,Facebook,LinkedIn,Google</t>
  </si>
  <si>
    <t>LinkedIn,Facebook,Walmart Labs</t>
  </si>
  <si>
    <t>Ugly Number II</t>
  </si>
  <si>
    <t>Heap,Dynamic Programming,Math</t>
  </si>
  <si>
    <t>Adobe,Oracle,Uber,Amazon,Google</t>
  </si>
  <si>
    <t>Oracle,Amazon,Adobe</t>
  </si>
  <si>
    <t>Ugly Number</t>
  </si>
  <si>
    <t>Trips and Users</t>
  </si>
  <si>
    <t>Graph Valid Tree</t>
  </si>
  <si>
    <t>Qualtrics,Apple,Bloomberg,Microsoft,Pinterest,Zenefits,Salesforce,Adobe,Facebook,Amazon,LinkedIn,Google</t>
  </si>
  <si>
    <t>Amazon,Qualtrics,Microsoft</t>
  </si>
  <si>
    <t>LinkedIn,Amazon,Qualtrics,Microsoft</t>
  </si>
  <si>
    <t>Apple,Google,Bloomberg,Facebook,Zenefits,LinkedIn,Amazon,Qualtrics,Microsoft</t>
  </si>
  <si>
    <t>Single Number III</t>
  </si>
  <si>
    <t>Microsoft,Apple,Yahoo,Facebook,Amazon</t>
  </si>
  <si>
    <t>Apple,Yahoo,Amazon,Microsoft</t>
  </si>
  <si>
    <t>Facebook,Apple,Yahoo,Amazon,Microsoft</t>
  </si>
  <si>
    <t>3Sum Smaller</t>
  </si>
  <si>
    <t>Citadel,Adobe,IBM,Mathworks,Google</t>
  </si>
  <si>
    <t>IBM,Citadel</t>
  </si>
  <si>
    <t>Google,Adobe,IBM,Citadel</t>
  </si>
  <si>
    <t>Mathworks,Google,Adobe,IBM,Citadel</t>
  </si>
  <si>
    <t>Add Digits</t>
  </si>
  <si>
    <t>Amazon,Google,Apple,Bloomberg,Adobe,Microsoft</t>
  </si>
  <si>
    <t>Microsoft,Adobe,Bloomberg,Amazon,Google</t>
  </si>
  <si>
    <t>Binary Tree Paths</t>
  </si>
  <si>
    <t>Bloomberg,Apple,Adobe,Facebook,Amazon,Microsoft,Google</t>
  </si>
  <si>
    <t>Facebook,Apple,Google,Bloomberg</t>
  </si>
  <si>
    <t>Amazon,Facebook,Apple,Google,Bloomberg</t>
  </si>
  <si>
    <t>Microsoft,Adobe,Amazon,Facebook,Apple,Google,Bloomberg</t>
  </si>
  <si>
    <t>Paint House</t>
  </si>
  <si>
    <t>Roblox,Walmart Labs,Oracle,Amazon,Google,Twitter,Apple,Tencent,LinkedIn,Microsoft</t>
  </si>
  <si>
    <t>Roblox,LinkedIn,Google,Oracle</t>
  </si>
  <si>
    <t>Microsoft,Amazon,Walmart Labs,Roblox,LinkedIn,Google,Oracle</t>
  </si>
  <si>
    <t>Twitter,Apple,Tencent,Microsoft,Amazon,Walmart Labs,Roblox,LinkedIn,Google,Oracle</t>
  </si>
  <si>
    <t>Verify Preorder Sequence in Binary Search Tree</t>
  </si>
  <si>
    <t>VMware,Zenefits,Walmart Labs,Mathworks,Uber</t>
  </si>
  <si>
    <t>Mathworks,Walmart Labs,Zenefits,VMware</t>
  </si>
  <si>
    <t>Factor Combinations</t>
  </si>
  <si>
    <t>Pinterest,Uber,LinkedIn,Google</t>
  </si>
  <si>
    <t>Google,Uber,LinkedIn</t>
  </si>
  <si>
    <t>Meeting Rooms II</t>
  </si>
  <si>
    <t>Sort,Greedy,Heap</t>
  </si>
  <si>
    <t>Wish,Roblox,ByteDance,VMware,Citadel,Twitter,Yandex,Adobe,Nutanix,Postmates,Citrix,Atlassian,Booking.com,Drawbridge,Visa,Quora,Walmart Labs,GoDaddy,Snapchat,Paypal,Expedia,Yelp,Oracle,Lyft,Cisco,EBay,Baidu,Apple,Uber,Bloomberg,Facebook,Amazon,Microsoft,Goldman Sachs,Google</t>
  </si>
  <si>
    <t>Amazon,Bloomberg,Facebook,Google,Oracle,Yandex,Microsoft,Uber,ByteDance,Twitter,eBay,Apple,Adobe,Walmart Labs,Expedia,Quora,Roblox</t>
  </si>
  <si>
    <t>Snapchat,Paypal,Citadel,Amazon,Bloomberg,Facebook,Google,Oracle,Yandex,Microsoft,Uber,ByteDance,Twitter,eBay,Apple,Adobe,Walmart Labs,Expedia,Quora,Roblox</t>
  </si>
  <si>
    <t>Lyft,Visa,GoDaddy,Citrix,Nutanix,Yelp,Booking.com,VMware,Drawbridge,Postmates,Goldman Sachs,Wish,Snapchat,Paypal,Citadel,Amazon,Bloomberg,Facebook,Google,Oracle,Yandex,Microsoft,Uber,ByteDance,Twitter,eBay,Apple,Adobe,Walmart Labs,Expedia,Quora,Roblox</t>
  </si>
  <si>
    <t>Meeting Rooms</t>
  </si>
  <si>
    <t>Karat,VMware,Intuit,EBay,Adobe,Bloomberg,Facebook,Amazon,Microsoft,Google</t>
  </si>
  <si>
    <t>Microsoft,Facebook,Amazon,Adobe,Karat</t>
  </si>
  <si>
    <t>Google,Bloomberg,eBay,VMware,Microsoft,Facebook,Amazon,Adobe,Karat</t>
  </si>
  <si>
    <t>Intuit,Google,Bloomberg,eBay,VMware,Microsoft,Facebook,Amazon,Adobe,Karat</t>
  </si>
  <si>
    <t>Flatten 2D Vector</t>
  </si>
  <si>
    <t>Zenefits,Salesforce,Twitter,Lyft,Apple,Airbnb,Uber,Facebook,Google</t>
  </si>
  <si>
    <t>Apple,Airbnb</t>
  </si>
  <si>
    <t>Uber,Twitter,Google,Zenefits,Apple,Airbnb</t>
  </si>
  <si>
    <t>Count Univalue Subtrees</t>
  </si>
  <si>
    <t>Paypal,Box,EBay,Bloomberg,Facebook,Amazon,Google</t>
  </si>
  <si>
    <t>eBay,Box,Google</t>
  </si>
  <si>
    <t>Amazon,Bloomberg,Facebook,Paypal,eBay,Box,Google</t>
  </si>
  <si>
    <t>Group Shifted Strings</t>
  </si>
  <si>
    <t>Uber,Amazon,Facebook,Google</t>
  </si>
  <si>
    <t>Strobogrammatic Number III</t>
  </si>
  <si>
    <t>Strobogrammatic Number II</t>
  </si>
  <si>
    <t>Bloomberg,Cisco,Facebook,Google</t>
  </si>
  <si>
    <t>Cisco,Bloomberg,Facebook,Google</t>
  </si>
  <si>
    <t>Strobogrammatic Number</t>
  </si>
  <si>
    <t>Microsoft,Cisco,Facebook,Google</t>
  </si>
  <si>
    <t>Cisco,Google,Facebook,Microsoft</t>
  </si>
  <si>
    <t>Shortest Word Distance III</t>
  </si>
  <si>
    <t>Shortest Word Distance II</t>
  </si>
  <si>
    <t>Audible,EBay,Uber,Amazon,LinkedIn</t>
  </si>
  <si>
    <t>Audible,LinkedIn,Amazon</t>
  </si>
  <si>
    <t>Uber,eBay,Audible,LinkedIn,Amazon</t>
  </si>
  <si>
    <t>Shortest Word Distance</t>
  </si>
  <si>
    <t>Goldman Sachs,VMware,Paypal,Oracle,Uber,Amazon,LinkedIn,Microsoft,Google</t>
  </si>
  <si>
    <t>LinkedIn,Microsoft,Goldman Sachs</t>
  </si>
  <si>
    <t>Amazon,Google,LinkedIn,Microsoft,Goldman Sachs</t>
  </si>
  <si>
    <t>Paypal,Uber,Oracle,Amazon,Google,LinkedIn,Microsoft,Goldman Sachs</t>
  </si>
  <si>
    <t>Valid Anagram</t>
  </si>
  <si>
    <t>Qualcomm,VMware,Adobe,Docusign,Zulily,Snapchat,Paypal,ServiceNow,Expedia,Yelp,Oracle,Cisco,Apple,Uber,Yahoo,Morgan Stanley,Bloomberg,Facebook,Amazon,Microsoft,Goldman Sachs,Google</t>
  </si>
  <si>
    <t>Bloomberg,Microsoft,Facebook,Amazon,Goldman Sachs,Apple,Oracle,Google,Paypal,Adobe,Cisco,Qualcomm</t>
  </si>
  <si>
    <t>VMware,Docusign,Bloomberg,Microsoft,Facebook,Amazon,Goldman Sachs,Apple,Oracle,Google,Paypal,Adobe,Cisco,Qualcomm</t>
  </si>
  <si>
    <t>Uber,Zulily,ServiceNow,Yelp,VMware,Docusign,Bloomberg,Microsoft,Facebook,Amazon,Goldman Sachs,Apple,Oracle,Google,Paypal,Adobe,Cisco,Qualcomm</t>
  </si>
  <si>
    <t>Different Ways to Add Parentheses</t>
  </si>
  <si>
    <t>Flipkart,Cisco,Bloomberg,Adobe,Microsoft,Citadel,Facebook,Amazon,Google</t>
  </si>
  <si>
    <t>Microsoft,Flipkart</t>
  </si>
  <si>
    <t>Citadel,Google,Amazon,Bloomberg,Microsoft,Flipkart</t>
  </si>
  <si>
    <t>Facebook,Adobe,Cisco,Citadel,Google,Amazon,Bloomberg,Microsoft,Flipkart</t>
  </si>
  <si>
    <t>Search a 2D Matrix II</t>
  </si>
  <si>
    <t>Divide and Conquer,Binary Search</t>
  </si>
  <si>
    <t>Nvidia,Oracle,ByteDance,Salesforce,Citadel,Walmart Labs,Paypal,Expedia,EBay,Baidu,Apple,Yahoo,Tencent,SAP,Bloomberg,Adobe,Facebook,Amazon,LinkedIn,Microsoft,Goldman Sachs,Google</t>
  </si>
  <si>
    <t>Amazon,Microsoft,ByteDance,Bloomberg,Facebook,Nvidia</t>
  </si>
  <si>
    <t>eBay,Google,Apple,Adobe,Walmart Labs,Citadel,Amazon,Microsoft,ByteDance,Bloomberg,Facebook,Nvidia</t>
  </si>
  <si>
    <t>Paypal,Salesforce,SAP,Expedia,Oracle,eBay,Google,Apple,Adobe,Walmart Labs,Citadel,Amazon,Microsoft,ByteDance,Bloomberg,Facebook,Nvidia</t>
  </si>
  <si>
    <t>Sliding Window Maximum</t>
  </si>
  <si>
    <t>Dequeue,Sliding Window,Heap</t>
  </si>
  <si>
    <t>AppDynamics,Akuna Capital,Snapchat,Twilio,Dropbox,Expedia,IBM,Nutanix,Pinterest,Databricks,Coursera,Zenefits,Roblox,ByteDance,VMware,Citadel,Twitter,Wish,Yelp,Oracle,Lyft,Apple,Uber,Bloomberg,Adobe,Facebook,Amazon,Microsoft,Alibaba,Google</t>
  </si>
  <si>
    <t>Amazon,Dropbox,Facebook,ByteDance,Citadel,Google,Bloomberg,Microsoft,Akuna Capital,IBM,Twitter,Twilio</t>
  </si>
  <si>
    <t>Databricks,Uber,Roblox,Apple,Adobe,Oracle,Expedia,Amazon,Dropbox,Facebook,ByteDance,Citadel,Google,Bloomberg,Microsoft,Akuna Capital,IBM,Twitter,Twilio</t>
  </si>
  <si>
    <t>Wish,Snapchat,VMware,AppDynamics,Zenefits,Databricks,Uber,Roblox,Apple,Adobe,Oracle,Expedia,Amazon,Dropbox,Facebook,ByteDance,Citadel,Google,Bloomberg,Microsoft,Akuna Capital,IBM,Twitter,Twilio</t>
  </si>
  <si>
    <t>Product of Array Except Self</t>
  </si>
  <si>
    <t>Houzz,PayTM,Citadel,ServiceNow,Expedia,Yandex,Asana,Nutanix,Qualtrics,Evernote,Zenefits,Grab,Splunk,ByteDance,Tableau,Salesforce,Groupon,Intel,Visa,VMware,Walmart Labs,Snapchat,Paypal,Yelp,Oracle,Lyft,EBay,BlackRock,Apple,Uber,Yahoo,SAP,Bloomberg,Adobe,Facebook,Amazon,LinkedIn,Microsoft,Goldman Sachs,Google</t>
  </si>
  <si>
    <t>Facebook,Amazon,Apple,Lyft,Asana,Microsoft,Uber,Adobe,VMware,Bloomberg,Oracle</t>
  </si>
  <si>
    <t>Google,Goldman Sachs,Nutanix,eBay,Paypal,ServiceNow,ByteDance,Qualtrics,Citadel,Yandex,PayTM,Facebook,Amazon,Apple,Lyft,Asana,Microsoft,Uber,Adobe,VMware,Bloomberg,Oracle</t>
  </si>
  <si>
    <t>Tableau,Yahoo,Splunk,BlackRock,Expedia,Snapchat,Groupon,Visa,Walmart Labs,Intel,Evernote,SAP,Salesforce,Houzz,LinkedIn,Google,Goldman Sachs,Nutanix,eBay,Paypal,ServiceNow,ByteDance,Qualtrics,Citadel,Yandex,PayTM,Facebook,Amazon,Apple,Lyft,Asana,Microsoft,Uber,Adobe,VMware,Bloomberg,Oracle</t>
  </si>
  <si>
    <t>Delete Node in a Linked List</t>
  </si>
  <si>
    <t>Qualcomm,Cisco,Apple,Yahoo,Bloomberg,Adobe,Facebook,Amazon,Microsoft,Goldman Sachs,Google</t>
  </si>
  <si>
    <t>Bloomberg,Facebook,Goldman Sachs,Adobe</t>
  </si>
  <si>
    <t>Google,Amazon,Microsoft,Qualcomm,Apple,Yahoo,Cisco,Bloomberg,Facebook,Goldman Sachs,Adobe</t>
  </si>
  <si>
    <t>Lowest Common Ancestor of a Binary Tree</t>
  </si>
  <si>
    <t>Pony.ai,Palantir Technologies,Roblox,VMware,Pinterest,Atlassian,Splunk,ByteDance,Salesforce,Visa,Walmart Labs,Zillow,Paypal,Oracle,Intuit,EBay,Apple,Airbnb,Uber,Yahoo,Bloomberg,Adobe,Facebook,Amazon,LinkedIn,Microsoft,Google</t>
  </si>
  <si>
    <t>Facebook,Microsoft,Amazon,Oracle,LinkedIn,Apple,Bloomberg,Atlassian,Google,Uber,Zillow,Intuit,Palantir Technologies,Pony.ai</t>
  </si>
  <si>
    <t>Adobe,ByteDance,Roblox,Facebook,Microsoft,Amazon,Oracle,LinkedIn,Apple,Bloomberg,Atlassian,Google,Uber,Zillow,Intuit,Palantir Technologies,Pony.ai</t>
  </si>
  <si>
    <t>eBay,Airbnb,Visa,Paypal,VMware,Yahoo,Splunk,Adobe,ByteDance,Roblox,Facebook,Microsoft,Amazon,Oracle,LinkedIn,Apple,Bloomberg,Atlassian,Google,Uber,Zillow,Intuit,Palantir Technologies,Pony.ai</t>
  </si>
  <si>
    <t>Lowest Common Ancestor of a Binary Search Tree</t>
  </si>
  <si>
    <t>Twitter,Oracle,Cisco,Uber,Bloomberg,Adobe,Facebook,Amazon,LinkedIn,Microsoft,Google</t>
  </si>
  <si>
    <t>Amazon,Facebook,LinkedIn,Oracle,Microsoft</t>
  </si>
  <si>
    <t>Twitter,Amazon,Facebook,LinkedIn,Oracle,Microsoft</t>
  </si>
  <si>
    <t>Palindrome Linked List</t>
  </si>
  <si>
    <t>Two Pointers,Linked List</t>
  </si>
  <si>
    <t>Capital One,PayTM,Oracle,Cisco,Yandex,Uber,Nutanix,IXL,Grab,Intel,VMware,Snapchat,Apple,Bloomberg,Adobe,Facebook,Amazon,Microsoft,Google</t>
  </si>
  <si>
    <t>Microsoft,Facebook,Adobe,Amazon,Capital One,PayTM,Bloomberg,Uber,Google,Snapchat,Oracle</t>
  </si>
  <si>
    <t>Apple,Cisco,IXL,Nutanix,Yandex,Microsoft,Facebook,Adobe,Amazon,Capital One,PayTM,Bloomberg,Uber,Google,Snapchat,Oracle</t>
  </si>
  <si>
    <t>Intel,Grab,Apple,Cisco,IXL,Nutanix,Yandex,Microsoft,Facebook,Adobe,Amazon,Capital One,PayTM,Bloomberg,Uber,Google,Snapchat,Oracle</t>
  </si>
  <si>
    <t>Number of Digit One</t>
  </si>
  <si>
    <t>Implement Queue using Stacks</t>
  </si>
  <si>
    <t>Twilio,Poshmark,ByteDance,Citrix,Morgan Stanley,Facebook,Salesforce,Citadel,Oracle,Mathworks,Yandex,EBay,Apple,Uber,Yahoo,Bloomberg,Amazon,Microsoft,Google</t>
  </si>
  <si>
    <t>Amazon,Microsoft,Apple,Facebook,Citrix,Morgan Stanley</t>
  </si>
  <si>
    <t>Citadel,Amazon,Microsoft,Apple,Facebook,Citrix,Morgan Stanley</t>
  </si>
  <si>
    <t>Oracle,Mathworks,Yandex,ByteDance,Salesforce,Bloomberg,Google,Twilio,Poshmark,Citadel,Amazon,Microsoft,Apple,Facebook,Citrix,Morgan Stanley</t>
  </si>
  <si>
    <t>Power of Two</t>
  </si>
  <si>
    <t>Nvidia,Apple,Amazon,Microsoft,Google</t>
  </si>
  <si>
    <t>Nvidia,Apple</t>
  </si>
  <si>
    <t>Google,Amazon,Nvidia,Apple</t>
  </si>
  <si>
    <t>Kth Smallest Element in a BST</t>
  </si>
  <si>
    <t>Adobe,LinkedIn,TripleByte,Hulu,VMware,Affirm,Oracle,Apple,Uber,Bloomberg,Facebook,Amazon,Microsoft,Google</t>
  </si>
  <si>
    <t>Amazon,Facebook,Adobe,Oracle,Microsoft,Apple</t>
  </si>
  <si>
    <t>Bloomberg,Google,Amazon,Facebook,Adobe,Oracle,Microsoft,Apple</t>
  </si>
  <si>
    <t>TripleByte,Uber,LinkedIn,VMware,Hulu,Bloomberg,Google,Amazon,Facebook,Adobe,Oracle,Microsoft,Apple</t>
  </si>
  <si>
    <t>Majority Element II</t>
  </si>
  <si>
    <t>Zenefits,Apple,Uber,Bloomberg,Adobe,Facebook,Amazon,Microsoft,Google</t>
  </si>
  <si>
    <t>Bloomberg,Apple,Microsoft,Facebook,Zenefits,Adobe,Google,Amazon</t>
  </si>
  <si>
    <t>Summary Ranges</t>
  </si>
  <si>
    <t>Qualtrics,Capital One,Indeed,Yandex,Uber,Bloomberg,Facebook,Amazon,Microsoft,Google</t>
  </si>
  <si>
    <t>Yandex,Facebook,Bloomberg,Qualtrics</t>
  </si>
  <si>
    <t>Capital One,Yandex,Facebook,Bloomberg,Qualtrics</t>
  </si>
  <si>
    <t>Amazon,Google,Microsoft,Indeed,Uber,Capital One,Yandex,Facebook,Bloomberg,Qualtrics</t>
  </si>
  <si>
    <t>Basic Calculator II</t>
  </si>
  <si>
    <t>Postmates,Grab,Roblox,ByteDance,Reddit,DoorDash,IXL,Houzz,Atlassian,Tableau,Walmart Labs,Snapchat,Indeed,Paypal,Yelp,Oracle,Intuit,EBay,Apple,Airbnb,Uber,Tencent,Facebook,Amazon,Microsoft,Google</t>
  </si>
  <si>
    <t>Amazon,Facebook,Microsoft,Roblox,Snapchat,Uber,Apple,Oracle</t>
  </si>
  <si>
    <t>eBay,Google,Postmates,ByteDance,Grab,Amazon,Facebook,Microsoft,Roblox,Snapchat,Uber,Apple,Oracle</t>
  </si>
  <si>
    <t>Houzz,Indeed,Reddit,DoorDash,Tableau,Walmart Labs,Paypal,Airbnb,eBay,Google,Postmates,ByteDance,Grab,Amazon,Facebook,Microsoft,Roblox,Snapchat,Uber,Apple,Oracle</t>
  </si>
  <si>
    <t>Invert Binary Tree</t>
  </si>
  <si>
    <t>Walmart Labs,Paypal,Oracle,EBay,Salesforce,VMware,Apple,Uber,Bloomberg,Facebook,Amazon,Microsoft,Google</t>
  </si>
  <si>
    <t>Microsoft,Amazon,Google,Facebook,eBay,Apple,VMware,Paypal</t>
  </si>
  <si>
    <t>Oracle,Microsoft,Amazon,Google,Facebook,eBay,Apple,VMware,Paypal</t>
  </si>
  <si>
    <t>Bloomberg,Walmart Labs,Oracle,Microsoft,Amazon,Google,Facebook,eBay,Apple,VMware,Paypal</t>
  </si>
  <si>
    <t>Implement Stack using Queues</t>
  </si>
  <si>
    <t>Paypal,Twilio,Citadel,Mathworks,Yahoo,Bloomberg,Amazon,Microsoft</t>
  </si>
  <si>
    <t>Twilio,Paypal</t>
  </si>
  <si>
    <t>Amazon,Twilio,Paypal</t>
  </si>
  <si>
    <t>Microsoft,Mathworks,Citadel,Bloomberg,Amazon,Twilio,Paypal</t>
  </si>
  <si>
    <t>Basic Calculator</t>
  </si>
  <si>
    <t>Stack,Math</t>
  </si>
  <si>
    <t>Wayfair,Wish,ByteDance,Salesforce,Oracle,Apple,Jump Trading,Karat,Robinhood,Pinterest,Roblox,Snapchat,Indeed,Paypal,Intuit,Uber,Bloomberg,Adobe,Facebook,Amazon,Microsoft,Google</t>
  </si>
  <si>
    <t>Amazon,Indeed,Roblox,Facebook,Karat,Google,Uber,Microsoft,ByteDance,Wish</t>
  </si>
  <si>
    <t>Paypal,Robinhood,Wayfair,Amazon,Indeed,Roblox,Facebook,Karat,Google,Uber,Microsoft,ByteDance,Wish</t>
  </si>
  <si>
    <t>Snapchat,Apple,Oracle,Salesforce,Paypal,Robinhood,Wayfair,Amazon,Indeed,Roblox,Facebook,Karat,Google,Uber,Microsoft,ByteDance,Wish</t>
  </si>
  <si>
    <t>Rectangle Area</t>
  </si>
  <si>
    <t>Zillow,Amazon,Nvidia,Apple,Facebook,Microsoft</t>
  </si>
  <si>
    <t>Zillow</t>
  </si>
  <si>
    <t>Apple,Zillow</t>
  </si>
  <si>
    <t>Facebook,Amazon,Apple,Zillow</t>
  </si>
  <si>
    <t>Count Complete Tree Nodes</t>
  </si>
  <si>
    <t>ByteDance,Yahoo,Bloomberg,Facebook,Amazon,Microsoft,Google</t>
  </si>
  <si>
    <t>Google,Bloomberg,Microsoft</t>
  </si>
  <si>
    <t>Amazon,ByteDance,Google,Bloomberg,Microsoft</t>
  </si>
  <si>
    <t>Facebook,Amazon,ByteDance,Google,Bloomberg,Microsoft</t>
  </si>
  <si>
    <t>Maximal Square</t>
  </si>
  <si>
    <t>AppDynamics,Booking.com,Twilio,ByteDance,FactSet,Walmart Labs,Paypal,Twitter,IBM,Yahoo,Goldman Sachs,Two Sigma,VMware,Citadel,Oracle,Huawei,Apple,Airbnb,Uber,Bloomberg,Adobe,Facebook,Amazon,Microsoft,Google</t>
  </si>
  <si>
    <t>Amazon,IBM,Google,Twitter,ByteDance,Apple</t>
  </si>
  <si>
    <t>Adobe,Citadel,Paypal,Facebook,Microsoft,Bloomberg,AppDynamics,Booking.com,Goldman Sachs,Amazon,IBM,Google,Twitter,ByteDance,Apple</t>
  </si>
  <si>
    <t>Uber,VMware,Huawei,Oracle,Yahoo,Twilio,Walmart Labs,FactSet,Airbnb,Adobe,Citadel,Paypal,Facebook,Microsoft,Bloomberg,AppDynamics,Booking.com,Goldman Sachs,Amazon,IBM,Google,Twitter,ByteDance,Apple</t>
  </si>
  <si>
    <t>Contains Duplicate III</t>
  </si>
  <si>
    <t>Ordered Map,Sort</t>
  </si>
  <si>
    <t>Facebook,Palantir Technologies,Apple,Airbnb,Adobe,Microsoft,Google</t>
  </si>
  <si>
    <t>Adobe,Apple,Google,Microsoft,Airbnb,Palantir Technologies,Facebook</t>
  </si>
  <si>
    <t>Contains Duplicate II</t>
  </si>
  <si>
    <t>Facebook,Palantir Technologies,Apple,Airbnb,Bloomberg,Adobe,Amazon,Microsoft,Google</t>
  </si>
  <si>
    <t>Adobe,Bloomberg,Amazon,Facebook,Google</t>
  </si>
  <si>
    <t>Microsoft,Apple,Airbnb,Palantir Technologies,Adobe,Bloomberg,Amazon,Facebook,Google</t>
  </si>
  <si>
    <t>The Skyline Problem</t>
  </si>
  <si>
    <t>Line Sweep,Segment Tree,Binary Indexed Tree,Heap,Divide and Conquer</t>
  </si>
  <si>
    <t>Databricks,Houzz,Tableau,Salesforce,Twitter,Yelp,Apple,Uber,Adobe,Facebook,Amazon,Microsoft,Goldman Sachs,Google</t>
  </si>
  <si>
    <t>Microsoft,Amazon,Google,Twitter</t>
  </si>
  <si>
    <t>Facebook,Adobe,Microsoft,Amazon,Google,Twitter</t>
  </si>
  <si>
    <t>Databricks,Uber,Apple,Goldman Sachs,Salesforce,Tableau,Yelp,Facebook,Adobe,Microsoft,Amazon,Google,Twitter</t>
  </si>
  <si>
    <t>Contains Duplicate</t>
  </si>
  <si>
    <t>Google,Palantir Technologies,Oracle,Apple,Airbnb,Yahoo,Bloomberg,Adobe,Facebook,Amazon,Microsoft</t>
  </si>
  <si>
    <t>Adobe,Apple,Microsoft</t>
  </si>
  <si>
    <t>Amazon,Google,Facebook,Oracle,Yahoo,Airbnb,Palantir Technologies,Adobe,Apple,Microsoft</t>
  </si>
  <si>
    <t>Combination Sum III</t>
  </si>
  <si>
    <t>Backtracking,Array</t>
  </si>
  <si>
    <t>Google,Bloomberg,Amazon,Microsoft</t>
  </si>
  <si>
    <t>Microsoft,Google,Amazon,Bloomberg</t>
  </si>
  <si>
    <t>Kth Largest Element in an Array</t>
  </si>
  <si>
    <t>Heap,Divide and Conquer</t>
  </si>
  <si>
    <t>Accolite,Roblox,Zillow,Paypal,Cisco,Pocket Gems,Atlassian,Grab,ByteDance,Salesforce,VMware,Walmart Labs,Snapchat,JPMorgan,Expedia,Oracle,Spotify,EBay,Baidu,Apple,Airbnb,Uber,Yahoo,Tencent,Bloomberg,Adobe,Facebook,Amazon,LinkedIn,Microsoft,Alibaba,Goldman Sachs,Google</t>
  </si>
  <si>
    <t>Facebook,Amazon,Walmart Labs,Apple,ByteDance,LinkedIn,Microsoft,Bloomberg,Adobe,Oracle,Salesforce,Google,Goldman Sachs,Spotify,Zillow</t>
  </si>
  <si>
    <t>eBay,Uber,Expedia,Facebook,Amazon,Walmart Labs,Apple,ByteDance,LinkedIn,Microsoft,Bloomberg,Adobe,Oracle,Salesforce,Google,Goldman Sachs,Spotify,Zillow</t>
  </si>
  <si>
    <t>Yahoo,Alibaba,Tencent,VMware,Paypal,Atlassian,Roblox,Grab,Cisco,JPMorgan,Accolite,Pocket Gems,eBay,Uber,Expedia,Facebook,Amazon,Walmart Labs,Apple,ByteDance,LinkedIn,Microsoft,Bloomberg,Adobe,Oracle,Salesforce,Google,Goldman Sachs,Spotify,Zillow</t>
  </si>
  <si>
    <t>Shortest Palindrome</t>
  </si>
  <si>
    <t>Tesla,Pocket Gems,Oracle,Bloomberg,Adobe,Facebook,Amazon,Microsoft,Google</t>
  </si>
  <si>
    <t>Bloomberg,Facebook,Google,Amazon,Tesla,Microsoft</t>
  </si>
  <si>
    <t>Oracle,Adobe,Pocket Gems,Bloomberg,Facebook,Google,Amazon,Tesla,Microsoft</t>
  </si>
  <si>
    <t>House Robber II</t>
  </si>
  <si>
    <t>Walmart Labs,Apple,Adobe,Amazon,Salesforce,EBay,Microsoft,Google</t>
  </si>
  <si>
    <t>Adobe,Amazon,eBay,Microsoft</t>
  </si>
  <si>
    <t>Apple,Google,Walmart Labs,Adobe,Amazon,eBay,Microsoft</t>
  </si>
  <si>
    <t>Word Search II</t>
  </si>
  <si>
    <t>Twitter,Cisco,EBay,Houzz,Roblox,Salesforce,Citadel,Snapchat,Zillow,Oracle,Apple,Airbnb,Uber,Yahoo,Bloomberg,Facebook,Amazon,Microsoft,Google</t>
  </si>
  <si>
    <t>Amazon,Microsoft,Uber,Apple,Google,Twitter,Snapchat</t>
  </si>
  <si>
    <t>Oracle,Cisco,Facebook,Bloomberg,Zillow,Amazon,Microsoft,Uber,Apple,Google,Twitter,Snapchat</t>
  </si>
  <si>
    <t>Airbnb,Yahoo,eBay,Salesforce,Citadel,Oracle,Cisco,Facebook,Bloomberg,Zillow,Amazon,Microsoft,Uber,Apple,Google,Twitter,Snapchat</t>
  </si>
  <si>
    <t>Design Add and Search Words Data Structure</t>
  </si>
  <si>
    <t>Depth First Search,Trie,Design,Backtracking</t>
  </si>
  <si>
    <t>Oracle,Bloomberg,Adobe,Salesforce,EBay,Apple,Airbnb,Uber,Facebook,Amazon,Microsoft,Google</t>
  </si>
  <si>
    <t>Facebook,Google,Amazon,Oracle,Adobe</t>
  </si>
  <si>
    <t>Apple,eBay,Facebook,Google,Amazon,Oracle,Adobe</t>
  </si>
  <si>
    <t>Uber,Bloomberg,Salesforce,Microsoft,Apple,eBay,Facebook,Google,Amazon,Oracle,Adobe</t>
  </si>
  <si>
    <t>Course Schedule II</t>
  </si>
  <si>
    <t>Topological Sort,Graph,Breadth First Search,Depth First Search</t>
  </si>
  <si>
    <t>Karat,Snapchat,Robinhood,Roblox,EBay,Goldman Sachs,Nutanix,DoorDash,Pinterest,Palantir Technologies,Wayfair,Zenefits,Walmart Labs,Twitter,Oracle,Intuit,Apple,Uber,Bloomberg,Facebook,Amazon,Microsoft,Google</t>
  </si>
  <si>
    <t>Amazon,DoorDash,Microsoft,Google,Oracle,Snapchat,Facebook,Intuit,Pinterest,Wayfair,Karat</t>
  </si>
  <si>
    <t>Apple,eBay,Roblox,Walmart Labs,Robinhood,Amazon,DoorDash,Microsoft,Google,Oracle,Snapchat,Facebook,Intuit,Pinterest,Wayfair,Karat</t>
  </si>
  <si>
    <t>Uber,Twitter,Bloomberg,Goldman Sachs,Zenefits,Apple,eBay,Roblox,Walmart Labs,Robinhood,Amazon,DoorDash,Microsoft,Google,Oracle,Snapchat,Facebook,Intuit,Pinterest,Wayfair,Karat</t>
  </si>
  <si>
    <t>Minimum Size Subarray Sum</t>
  </si>
  <si>
    <t>Wish,ByteDance,Oracle,Apple,SAP,Bloomberg,Facebook,Amazon,Microsoft,Goldman Sachs,Google</t>
  </si>
  <si>
    <t>Goldman Sachs,Amazon,Facebook,Bloomberg,Microsoft,ByteDance</t>
  </si>
  <si>
    <t>Google,Goldman Sachs,Amazon,Facebook,Bloomberg,Microsoft,ByteDance</t>
  </si>
  <si>
    <t>Oracle,Apple,Wish,SAP,Google,Goldman Sachs,Amazon,Facebook,Bloomberg,Microsoft,ByteDance</t>
  </si>
  <si>
    <t>Implement Trie (Prefix Tree)</t>
  </si>
  <si>
    <t>Audible,Citadel,Adobe,Goldman Sachs,Nutanix,Quip (Salesforce),Square,Pinterest,Qualtrics,Walmart Labs,Twitter,Oracle,EBay,Apple,Uber,Bloomberg,Facebook,Amazon,Microsoft,Google</t>
  </si>
  <si>
    <t>Amazon,Pinterest,Google,Oracle,Apple,Facebook,Microsoft,Twitter,Goldman Sachs</t>
  </si>
  <si>
    <t>Uber,Audible,Citadel,Amazon,Pinterest,Google,Oracle,Apple,Facebook,Microsoft,Twitter,Goldman Sachs</t>
  </si>
  <si>
    <t>eBay,Qualtrics,Square,Adobe,Walmart Labs,Quip (Salesforce),Bloomberg,Uber,Audible,Citadel,Amazon,Pinterest,Google,Oracle,Apple,Facebook,Microsoft,Twitter,Goldman Sachs</t>
  </si>
  <si>
    <t>Course Schedule</t>
  </si>
  <si>
    <t>Karat,Wish,Roblox,Cisco,Cohesity,Nutanix,Zenefits,ByteDance,Salesforce,Paypal,Yelp,Oracle,Intuit,EBay,Apple,Uber,Yahoo,Bloomberg,Facebook,Amazon,LinkedIn,Microsoft,Goldman Sachs,Google</t>
  </si>
  <si>
    <t>Amazon,Facebook,Intuit,Karat,ByteDance,Microsoft,Bloomberg,Uber</t>
  </si>
  <si>
    <t>Roblox,Wish,Apple,Cisco,eBay,Amazon,Facebook,Intuit,Karat,ByteDance,Microsoft,Bloomberg,Uber</t>
  </si>
  <si>
    <t>Google,Oracle,Yahoo,Cohesity,LinkedIn,Salesforce,Yelp,Zenefits,Roblox,Wish,Apple,Cisco,eBay,Amazon,Facebook,Intuit,Karat,ByteDance,Microsoft,Bloomberg,Uber</t>
  </si>
  <si>
    <t>Reverse Linked List</t>
  </si>
  <si>
    <t>Deutsche Bank,Capital One,Salesforce,Zillow,ServiceNow,IBM,LinkedIn,Docusign,Electronic Arts,TripAdvisor,Citrix,Zenefits,ByteDance,FactSet,Qualcomm,Intel,Visa,VMware,Walmart Labs,Snapchat,Paypal,Twitter,Expedia,Yelp,Nvidia,Oracle,Spotify,Cisco,Mathworks,Yandex,EBay,Baidu,Apple,Uber,Yahoo,Tencent,Bloomberg,Adobe,Facebook,Amazon,Microsoft,Alibaba,Goldman Sachs,Google</t>
  </si>
  <si>
    <t>Adobe,Amazon,Facebook,Apple,Microsoft,Qualcomm,Google,Uber,Oracle,Bloomberg,Yandex,Zillow,IBM,ByteDance</t>
  </si>
  <si>
    <t>Citrix,eBay,Mathworks,Goldman Sachs,Spotify,Deutsche Bank,Intel,Tencent,Expedia,ServiceNow,Adobe,Amazon,Facebook,Apple,Microsoft,Qualcomm,Google,Uber,Oracle,Bloomberg,Yandex,Zillow,IBM,ByteDance</t>
  </si>
  <si>
    <t>Walmart Labs,Cisco,Nvidia,Yahoo,Paypal,Alibaba,Visa,Twitter,VMware,LinkedIn,Capital One,Electronic Arts,Docusign,Salesforce,Snapchat,Zenefits,Yelp,Citrix,eBay,Mathworks,Goldman Sachs,Spotify,Deutsche Bank,Intel,Tencent,Expedia,ServiceNow,Adobe,Amazon,Facebook,Apple,Microsoft,Qualcomm,Google,Uber,Oracle,Bloomberg,Yandex,Zillow,IBM,ByteDance</t>
  </si>
  <si>
    <t>Isomorphic Strings</t>
  </si>
  <si>
    <t>Intel,EBay,Apple,Salesforce,Yelp,Oracle,Yahoo,Bloomberg,Adobe,Facebook,Amazon,LinkedIn,Microsoft,Google</t>
  </si>
  <si>
    <t>Amazon,Apple,Facebook,Intel,Google</t>
  </si>
  <si>
    <t>Microsoft,Bloomberg,Amazon,Apple,Facebook,Intel,Google</t>
  </si>
  <si>
    <t>LinkedIn,Yahoo,Adobe,eBay,Oracle,Microsoft,Bloomberg,Amazon,Apple,Facebook,Intel,Google</t>
  </si>
  <si>
    <t>Count Primes</t>
  </si>
  <si>
    <t>Docusign,Tcs,Citadel,Spotify,Uber,Capital One,Intel,Oracle,Yandex,EBay,Apple,Yahoo,Bloomberg,Adobe,Facebook,Amazon,Microsoft,Goldman Sachs,Google</t>
  </si>
  <si>
    <t>Capital One,Amazon,Apple,Microsoft</t>
  </si>
  <si>
    <t>Google,Oracle,Adobe,Capital One,Amazon,Apple,Microsoft</t>
  </si>
  <si>
    <t>Facebook,Goldman Sachs,Uber,Bloomberg,eBay,Citadel,Intel,Spotify,Docusign,tcs,Google,Oracle,Adobe,Capital One,Amazon,Apple,Microsoft</t>
  </si>
  <si>
    <t>Remove Linked List Elements</t>
  </si>
  <si>
    <t>Pure Storage,Capital One,Paypal,Apple,Uber,Bloomberg,Adobe,Facebook,Amazon,Microsoft,Google</t>
  </si>
  <si>
    <t>Facebook,Amazon,Google,Microsoft,Apple</t>
  </si>
  <si>
    <t>Pure Storage,Adobe,Facebook,Amazon,Google,Microsoft,Apple</t>
  </si>
  <si>
    <t>Bloomberg,Capital One,Pure Storage,Adobe,Facebook,Amazon,Google,Microsoft,Apple</t>
  </si>
  <si>
    <t>Happy Number</t>
  </si>
  <si>
    <t>Pure Storage,Barclays,ByteDance,EBay,Nutanix,Pinterest,Evernote,JPMorgan,Twitter,Apple,Airbnb,Uber,Bloomberg,Adobe,Facebook,Amazon,Microsoft,Google</t>
  </si>
  <si>
    <t>Apple,Amazon,Adobe,JPMorgan,Barclays,ByteDance</t>
  </si>
  <si>
    <t>Google,Apple,Amazon,Adobe,JPMorgan,Barclays,ByteDance</t>
  </si>
  <si>
    <t>Bloomberg,Microsoft,Evernote,Facebook,Pure Storage,eBay,Airbnb,Twitter,Uber,Google,Apple,Amazon,Adobe,JPMorgan,Barclays,ByteDance</t>
  </si>
  <si>
    <t>Bitwise AND of Numbers Range</t>
  </si>
  <si>
    <t>Number of Islands</t>
  </si>
  <si>
    <t>Pony.ai,Karat,Tesla,Robinhood,PayTM,ByteDance,Intel,Dropbox,ServiceNow,Yandex,Samsung,AppDynamics,Electronic Arts,Sumologic,Hulu,Cohesity,Arista Networks,LiveRamp,Nutanix,DoorDash,Square,Qualtrics,Evernote,Palantir Technologies,Cruise Automation,Citrix,Zulily,Houzz,Zenefits,Atlassian,Twitch,Roblox,Audible,Splunk,Tableau,Salesforce,Visa,VMware,Citadel,Affirm,Walmart Labs,Snapchat,JPMorgan,Paypal,Twitter,Expedia,Wish,Nvidia,Oracle,Spotify,Lyft,Cisco,Mathworks,EBay,BlackRock,Apple,Uber,Yahoo,SAP,Bloomberg,Adobe,Facebook,Amazon,LinkedIn,Microsoft,Alibaba,Goldman Sachs,Google</t>
  </si>
  <si>
    <t>Amazon,Bloomberg,Microsoft,Oracle,Facebook,Apple,Uber,Google,DoorDash,Qualtrics,LinkedIn,Snapchat,Expedia,Goldman Sachs,Citadel,VMware,Tesla,Karat,ByteDance,Yandex,eBay,Samsung,Yahoo,Nvidia,Splunk,Pony.ai</t>
  </si>
  <si>
    <t>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t>
  </si>
  <si>
    <t>Cruise Automation,Twitch,Atlassian,Tableau,Affirm,Mathworks,JPMorgan,Electronic Arts,Houzz,Nutanix,Evernote,Dropbox,Paypal,SAP,Square,Arista Networks,ServiceNow,Spotify,Zulily,Cohesity,Zenefits,Adobe,Wish,Walmart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t>
  </si>
  <si>
    <t>Binary Tree Right Side View</t>
  </si>
  <si>
    <t>Queue,Recursion,Breadth First Search,Depth First Search,Tree</t>
  </si>
  <si>
    <t>Accolite,ServiceNow,Nvidia,SAP,Goldman Sachs,Google,Atlassian,ByteDance,VMware,Citadel,Walmart Labs,Paypal,Oracle,Mathworks,EBay,Apple,Uber,Bloomberg,Adobe,Facebook,Amazon,Microsoft</t>
  </si>
  <si>
    <t>Facebook,Amazon,ByteDance,Microsoft,Bloomberg,Apple,eBay</t>
  </si>
  <si>
    <t>Oracle,Walmart Labs,Accolite,Facebook,Amazon,ByteDance,Microsoft,Bloomberg,Apple,eBay</t>
  </si>
  <si>
    <t>Mathworks,Adobe,Google,Uber,SAP,ServiceNow,VMware,Atlassian,Goldman Sachs,Nvidia,Oracle,Walmart Labs,Accolite,Facebook,Amazon,ByteDance,Microsoft,Bloomberg,Apple,eBay</t>
  </si>
  <si>
    <t>House Robber</t>
  </si>
  <si>
    <t>Qualtrics,Splunk,Twitter,Oracle,HBO,ByteDance,Quora,Walmart Labs,Expedia,Cisco,EBay,Apple,Airbnb,Uber,Bloomberg,Adobe,Amazon,LinkedIn,Microsoft,Goldman Sachs,Google</t>
  </si>
  <si>
    <t>Oracle,Cisco,Microsoft,Bloomberg,Amazon,Expedia,ByteDance,Splunk</t>
  </si>
  <si>
    <t>Google,Apple,Adobe,eBay,Twitter,Oracle,Cisco,Microsoft,Bloomberg,Amazon,Expedia,ByteDance,Splunk</t>
  </si>
  <si>
    <t>Uber,HBO,LinkedIn,Walmart Labs,Goldman Sachs,Qualtrics,Airbnb,Google,Apple,Adobe,eBay,Twitter,Oracle,Cisco,Microsoft,Bloomberg,Amazon,Expedia,ByteDance,Splunk</t>
  </si>
  <si>
    <t>Rising Temperature</t>
  </si>
  <si>
    <t>Delete Duplicate Emails</t>
  </si>
  <si>
    <t>Tenth Line</t>
  </si>
  <si>
    <t>Oracle,Apple,Adobe,Google</t>
  </si>
  <si>
    <t>Apple,Google,Adobe</t>
  </si>
  <si>
    <t>命令行</t>
  </si>
  <si>
    <t>Transpose File</t>
  </si>
  <si>
    <t>Valid Phone Numbers</t>
  </si>
  <si>
    <t>Word Frequency</t>
  </si>
  <si>
    <t>Apple,Google,Yelp,Adobe,Facebook,Amazon</t>
  </si>
  <si>
    <t>Number of 1 Bits</t>
  </si>
  <si>
    <t>Qualcomm,Cisco,Box,Apple,Adobe,Facebook,Amazon,Microsoft,Google</t>
  </si>
  <si>
    <t>Box,Cisco,Qualcomm</t>
  </si>
  <si>
    <t>Facebook,Apple,Microsoft,Adobe,Box,Cisco,Qualcomm</t>
  </si>
  <si>
    <t>Amazon,Facebook,Apple,Microsoft,Adobe,Box,Cisco,Qualcomm</t>
  </si>
  <si>
    <t>Reverse Bits</t>
  </si>
  <si>
    <t>Apple,Airbnb,Samsung,Tencent,Amazon,Google</t>
  </si>
  <si>
    <t>Google,Amazon,Samsung,Tencent,Airbnb,Apple</t>
  </si>
  <si>
    <t>Rotate Array</t>
  </si>
  <si>
    <t>Visa,Apple,Google,Snapchat,Paypal,Oracle,Cisco,EBay,Uber,Bloomberg,Adobe,Facebook,Amazon,Microsoft,Goldman Sachs</t>
  </si>
  <si>
    <t>Microsoft,Oracle,Amazon,Apple</t>
  </si>
  <si>
    <t>Facebook,Google,eBay,Bloomberg,Microsoft,Oracle,Amazon,Apple</t>
  </si>
  <si>
    <t>Goldman Sachs,Cisco,Paypal,Visa,Snapchat,Facebook,Google,eBay,Bloomberg,Microsoft,Oracle,Amazon,Apple</t>
  </si>
  <si>
    <t>Best Time to Buy and Sell Stock IV</t>
  </si>
  <si>
    <t>Citadel,Adobe,Goldman Sachs,JPMorgan,Apple,Bloomberg,Facebook,Amazon,Google</t>
  </si>
  <si>
    <t>Bloomberg,Facebook,Citadel,Goldman Sachs,Amazon,Google</t>
  </si>
  <si>
    <t>Apple,Adobe,Bloomberg,Facebook,Citadel,Goldman Sachs,Amazon,Google</t>
  </si>
  <si>
    <t>Repeated DNA Sequences</t>
  </si>
  <si>
    <t>Apple,Microsoft,Amazon,LinkedIn,Google</t>
  </si>
  <si>
    <t>Microsoft,Apple,Google,Amazon</t>
  </si>
  <si>
    <t>LinkedIn,Microsoft,Apple,Google,Amazon</t>
  </si>
  <si>
    <t>Reverse Words in a String II</t>
  </si>
  <si>
    <t>Salesforce,VMware,Uber,Amazon,Microsoft</t>
  </si>
  <si>
    <t>Microsoft,Salesforce</t>
  </si>
  <si>
    <t>VMware,Amazon,Uber,Microsoft,Salesforce</t>
  </si>
  <si>
    <t>Department Top Three Salaries</t>
  </si>
  <si>
    <t>EBay,Netflix,Adobe,Amazon,Google</t>
  </si>
  <si>
    <t>Google,eBay,Amazon</t>
  </si>
  <si>
    <t>Department Highest Salary</t>
  </si>
  <si>
    <t>Uber,Wayfair,Oracle,Amazon</t>
  </si>
  <si>
    <t>Oracle,Wayfair,Uber,Amazon</t>
  </si>
  <si>
    <t>Customers Who Never Order</t>
  </si>
  <si>
    <t>Duplicate Emails</t>
  </si>
  <si>
    <t>Employees Earning More Than Their Managers</t>
  </si>
  <si>
    <t>Google,Facebook,Apple,Amazon</t>
  </si>
  <si>
    <t>Consecutive Numbers</t>
  </si>
  <si>
    <t>Largest Number</t>
  </si>
  <si>
    <t>ByteDance,VMware,Nvidia,Adobe,Google,Salesforce,Walmart Labs,Works Applications,Oracle,Apple,Facebook,Amazon,Microsoft</t>
  </si>
  <si>
    <t>Amazon,Microsoft,VMware</t>
  </si>
  <si>
    <t>Apple,ByteDance,Facebook,Adobe,Google,Oracle,Amazon,Microsoft,VMware</t>
  </si>
  <si>
    <t>Nvidia,Works Applications,Apple,ByteDance,Facebook,Adobe,Google,Oracle,Amazon,Microsoft,VMware</t>
  </si>
  <si>
    <t>Rank Scores</t>
  </si>
  <si>
    <t>Apple,Yahoo,Adobe,Facebook,Amazon</t>
  </si>
  <si>
    <t>Adobe,Yahoo,Apple,Amazon,Facebook</t>
  </si>
  <si>
    <t>Nth Highest Salary</t>
  </si>
  <si>
    <t>Infosys,Yahoo,Bloomberg,Apple,Uber,Adobe,Amazon,Google</t>
  </si>
  <si>
    <t>Google,Infosys</t>
  </si>
  <si>
    <t>Amazon,Apple,Bloomberg,Google,Infosys</t>
  </si>
  <si>
    <t>Adobe,Yahoo,Amazon,Apple,Bloomberg,Google,Infosys</t>
  </si>
  <si>
    <t>Second Highest Salary</t>
  </si>
  <si>
    <t>Oracle,EBay,Bloomberg,Walmart Labs,Apple,Yahoo,Adobe,Facebook,Amazon,Microsoft,Google</t>
  </si>
  <si>
    <t>Amazon,Google,Adobe,Apple</t>
  </si>
  <si>
    <t>Facebook,Microsoft,Amazon,Google,Adobe,Apple</t>
  </si>
  <si>
    <t>Walmart Labs,Oracle,eBay,Bloomberg,Facebook,Microsoft,Amazon,Google,Adobe,Apple</t>
  </si>
  <si>
    <t>Combine Two Tables</t>
  </si>
  <si>
    <t>Apple,Yahoo,Adobe,Amazon,Google</t>
  </si>
  <si>
    <t>Yahoo,Amazon,Google,Adobe,Apple</t>
  </si>
  <si>
    <t>Dungeon Game</t>
  </si>
  <si>
    <t>DE Shaw,JPMorgan,Bloomberg,Amazon,Microsoft,Google</t>
  </si>
  <si>
    <t>Google,Bloomberg,JPMorgan</t>
  </si>
  <si>
    <t>DE Shaw,Microsoft,Google,Bloomberg,JPMorgan</t>
  </si>
  <si>
    <t>Binary Search Tree Iterator</t>
  </si>
  <si>
    <t>Design,Tree,Stack</t>
  </si>
  <si>
    <t>JPMorgan,Zillow,Adobe,Cloudera,Qualtrics,Atlassian,Redfin,Splunk,ByteDance,Walmart Labs,Oracle,Cisco,EBay,Apple,Uber,Bloomberg,Facebook,Amazon,LinkedIn,Microsoft,Alibaba,Google</t>
  </si>
  <si>
    <t>Facebook,ByteDance,Bloomberg,Microsoft,Oracle,Google,Amazon,Apple,Adobe</t>
  </si>
  <si>
    <t>Cloudera,Zillow,Atlassian,Facebook,ByteDance,Bloomberg,Microsoft,Oracle,Google,Amazon,Apple,Adobe</t>
  </si>
  <si>
    <t>Uber,Qualtrics,LinkedIn,eBay,JPMorgan,Cloudera,Zillow,Atlassian,Facebook,ByteDance,Bloomberg,Microsoft,Oracle,Google,Amazon,Apple,Adobe</t>
  </si>
  <si>
    <t>Factorial Trailing Zeroes</t>
  </si>
  <si>
    <t>Wish,Oracle,Bloomberg,Facebook,Amazon,Microsoft</t>
  </si>
  <si>
    <t>Microsoft,Wish,Oracle,Bloomberg,Facebook,Amazon</t>
  </si>
  <si>
    <t>Excel Sheet Column Number</t>
  </si>
  <si>
    <t>Adobe,Goldman Sachs,Alation,Flipkart,FactSet,Apple,Uber,Bloomberg,Facebook,Amazon,Microsoft,Google</t>
  </si>
  <si>
    <t>Microsoft,Amazon,Apple,Google,Adobe,Goldman Sachs</t>
  </si>
  <si>
    <t>Facebook,Bloomberg,FactSet,Uber,Microsoft,Amazon,Apple,Google,Adobe,Goldman Sachs</t>
  </si>
  <si>
    <t>Two Sum III - Data structure design</t>
  </si>
  <si>
    <t>Majority Element</t>
  </si>
  <si>
    <t>Bit Manipulation,Divide and Conquer,Array</t>
  </si>
  <si>
    <t>Rubrik,Atlassian,Splunk,ByteDance,GoDaddy,Bloomberg,Facebook,Zenefits,Snapchat,Twitter,Oracle,Apple,Yahoo,Tencent,Adobe,Amazon,Microsoft,Google</t>
  </si>
  <si>
    <t>Amazon,Microsoft,Bloomberg,ByteDance,GoDaddy,Rubrik,Splunk</t>
  </si>
  <si>
    <t>Google,Apple,Yahoo,Adobe,Atlassian,Amazon,Microsoft,Bloomberg,ByteDance,GoDaddy,Rubrik,Splunk</t>
  </si>
  <si>
    <t>Oracle,Snapchat,Facebook,Zenefits,Google,Apple,Yahoo,Adobe,Atlassian,Amazon,Microsoft,Bloomberg,ByteDance,GoDaddy,Rubrik,Splunk</t>
  </si>
  <si>
    <t>Excel Sheet Column Title</t>
  </si>
  <si>
    <t>VMware,Paypal,Zenefits,Alation,FactSet,Apple,Yahoo,Adobe,Facebook,Microsoft,Google</t>
  </si>
  <si>
    <t>Google,Apple,Adobe,VMware,Microsoft,Facebook</t>
  </si>
  <si>
    <t>FactSet,Paypal,Zenefits,Google,Apple,Adobe,VMware,Microsoft,Facebook</t>
  </si>
  <si>
    <t>Two Sum II - Input array is sorted</t>
  </si>
  <si>
    <t>Oracle,Intuit,Uber,Bloomberg,Wayfair,Pure Storage,ByteDance,Paypal,Expedia,Apple,Facebook,Amazon,Microsoft,Goldman Sachs,Google</t>
  </si>
  <si>
    <t>Oracle,Amazon,Microsoft</t>
  </si>
  <si>
    <t>Apple,Intuit,ByteDance,Oracle,Amazon,Microsoft</t>
  </si>
  <si>
    <t>Google,Uber,Bloomberg,Paypal,Goldman Sachs,Pure Storage,Apple,Intuit,ByteDance,Oracle,Amazon,Microsoft</t>
  </si>
  <si>
    <t>Fraction to Recurring Decimal</t>
  </si>
  <si>
    <t>ByteDance,Oracle,Apple,Microsoft,Cohesity,IXL,Rubrik,Airbnb,Uber,Tencent,Facebook,Amazon,Goldman Sachs,Google</t>
  </si>
  <si>
    <t>IXL,Google,ByteDance,Goldman Sachs,Facebook</t>
  </si>
  <si>
    <t>Airbnb,Uber,Amazon,Rubrik,Oracle,Apple,Microsoft,IXL,Google,ByteDance,Goldman Sachs,Facebook</t>
  </si>
  <si>
    <t>Compare Version Numbers</t>
  </si>
  <si>
    <t>ByteDance,Arista Networks,Square,Apple,Amazon,Microsoft,Google</t>
  </si>
  <si>
    <t>Amazon,Google,Microsoft,ByteDance</t>
  </si>
  <si>
    <t>Square,Apple,Arista Networks,Amazon,Google,Microsoft,ByteDance</t>
  </si>
  <si>
    <t>Maximum Gap</t>
  </si>
  <si>
    <t>Missing Ranges</t>
  </si>
  <si>
    <t>Coupang,Oracle,Facebook,Amazon,Google</t>
  </si>
  <si>
    <t>Facebook,Google,Amazon,Coupang</t>
  </si>
  <si>
    <t>Find Peak Element</t>
  </si>
  <si>
    <t>DE Shaw,Duolingo,ByteDance,IXL,VMware,Quora,Walmart Labs,Lyft,Apple,Uber,Yahoo,Bloomberg,Facebook,Amazon,Microsoft,Google</t>
  </si>
  <si>
    <t>Facebook,Amazon,Quora,Bloomberg,Google</t>
  </si>
  <si>
    <t>Apple,Microsoft,Uber,ByteDance,Facebook,Amazon,Quora,Bloomberg,Google</t>
  </si>
  <si>
    <t>DE Shaw,Walmart Labs,Duolingo,Apple,Microsoft,Uber,ByteDance,Facebook,Amazon,Quora,Bloomberg,Google</t>
  </si>
  <si>
    <t>One Edit Distance</t>
  </si>
  <si>
    <t>Yandex,Apple,Snapchat,Twitter,Uber,Facebook,Amazon,Microsoft,Google</t>
  </si>
  <si>
    <t>Apple,Facebook,Amazon,Yandex</t>
  </si>
  <si>
    <t>Microsoft,Twitter,Snapchat,Uber,Apple,Facebook,Amazon,Yandex</t>
  </si>
  <si>
    <t>Intersection of Two Linked Lists</t>
  </si>
  <si>
    <t>Paypal,Intuit,EBay,Apple,Morgan Stanley,Redfin,ByteDance,Qualcomm,Expedia,Oracle,Cisco,Airbnb,Yahoo,Tencent,SAP,Bloomberg,Facebook,Amazon,LinkedIn,Microsoft,Alibaba,Goldman Sachs,Google</t>
  </si>
  <si>
    <t>Microsoft,Amazon,Facebook,Apple,ByteDance,LinkedIn,Paypal,Bloomberg,Intuit</t>
  </si>
  <si>
    <t>eBay,Google,Qualcomm,Yahoo,Morgan Stanley,Redfin,Microsoft,Amazon,Facebook,Apple,ByteDance,LinkedIn,Paypal,Bloomberg,Intuit</t>
  </si>
  <si>
    <t>Oracle,Airbnb,Goldman Sachs,Cisco,eBay,Google,Qualcomm,Yahoo,Morgan Stanley,Redfin,Microsoft,Amazon,Facebook,Apple,ByteDance,LinkedIn,Paypal,Bloomberg,Intuit</t>
  </si>
  <si>
    <t>Longest Substring with At Most Two Distinct Characters</t>
  </si>
  <si>
    <t>Sliding Window,String,Two Pointers,Hash Table</t>
  </si>
  <si>
    <t>Adobe,Facebook,Amazon,Microsoft,Google</t>
  </si>
  <si>
    <t>Google,Microsoft,Facebook</t>
  </si>
  <si>
    <t>Amazon,Adobe,Google,Microsoft,Facebook</t>
  </si>
  <si>
    <t>Read N Characters Given Read4 II - Call multiple times</t>
  </si>
  <si>
    <t>Oracle,Apple,Pinterest,Lyft,Uber,Bloomberg,Facebook,Amazon,Microsoft,Google</t>
  </si>
  <si>
    <t>Facebook,Lyft,Google,Oracle</t>
  </si>
  <si>
    <t>Amazon,Facebook,Lyft,Google,Oracle</t>
  </si>
  <si>
    <t>Microsoft,Uber,Pinterest,Apple,Bloomberg,Amazon,Facebook,Lyft,Google,Oracle</t>
  </si>
  <si>
    <t>Read N Characters Given Read4</t>
  </si>
  <si>
    <t>Rubrik,Lyft,Oracle,Microsoft,Facebook,Google</t>
  </si>
  <si>
    <t>Facebook,Rubrik,Lyft</t>
  </si>
  <si>
    <t>Google,Facebook,Rubrik,Lyft</t>
  </si>
  <si>
    <t>Oracle,Microsoft,Google,Facebook,Rubrik,Lyft</t>
  </si>
  <si>
    <t>Binary Tree Upside Down</t>
  </si>
  <si>
    <t>Min Stack</t>
  </si>
  <si>
    <t>Deutsche Bank,Capital One,Groupon,VMware,Twitter,Cisco,Netflix,Pure Storage,Zenefits,Flipkart,Visa,Walmart Labs,Snapchat,ServiceNow,Wish,Oracle,Intuit,Lyft,EBay,Apple,Uber,Bloomberg,Adobe,Facebook,Amazon,LinkedIn,Microsoft,Goldman Sachs,Google</t>
  </si>
  <si>
    <t>Capital One,Amazon,Bloomberg,Microsoft,Oracle,eBay,Apple</t>
  </si>
  <si>
    <t>Goldman Sachs,Google,Facebook,Walmart Labs,Netflix,Deutsche Bank,Capital One,Amazon,Bloomberg,Microsoft,Oracle,eBay,Apple</t>
  </si>
  <si>
    <t>Adobe,Wish,Pure Storage,Lyft,Cisco,Uber,VMware,Visa,Intuit,ServiceNow,Flipkart,Groupon,Twitter,Snapchat,Zenefits,Goldman Sachs,Google,Facebook,Walmart Labs,Netflix,Deutsche Bank,Capital One,Amazon,Bloomberg,Microsoft,Oracle,eBay,Apple</t>
  </si>
  <si>
    <t>Find Minimum in Rotated Sorted Array II</t>
  </si>
  <si>
    <t>Wish,Oracle,Microsoft,Uber,Adobe,Facebook,Amazon,Google</t>
  </si>
  <si>
    <t>Google,Amazon,Oracle</t>
  </si>
  <si>
    <t>Facebook,Google,Amazon,Oracle</t>
  </si>
  <si>
    <t>Uber,Microsoft,Wish,Facebook,Google,Amazon,Oracle</t>
  </si>
  <si>
    <t>Find Minimum in Rotated Sorted Array</t>
  </si>
  <si>
    <t>Snapchat,Wish,Atlassian,ByteDance,Salesforce,VMware,Walmart Labs,Oracle,EBay,Apple,Uber,Bloomberg,Facebook,Amazon,Microsoft,Goldman Sachs,Google</t>
  </si>
  <si>
    <t>Facebook,Amazon,Oracle,Bloomberg,Goldman Sachs,Microsoft</t>
  </si>
  <si>
    <t>eBay,Apple,Google,Wish,ByteDance,Facebook,Amazon,Oracle,Bloomberg,Goldman Sachs,Microsoft</t>
  </si>
  <si>
    <t>Uber,Snapchat,Walmart Labs,Salesforce,Atlassian,eBay,Apple,Google,Wish,ByteDance,Facebook,Amazon,Oracle,Bloomberg,Goldman Sachs,Microsoft</t>
  </si>
  <si>
    <t>Maximum Product Subarray</t>
  </si>
  <si>
    <t>Apple,Akuna Capital,ByteDance,Oracle,Uber,Bloomberg,Adobe,Facebook,Amazon,LinkedIn,Microsoft,Alibaba,Google</t>
  </si>
  <si>
    <t>LinkedIn,Amazon,Google,Apple,Facebook,Bloomberg,Akuna Capital</t>
  </si>
  <si>
    <t>Microsoft,Adobe,ByteDance,Uber,LinkedIn,Amazon,Google,Apple,Facebook,Bloomberg,Akuna Capital</t>
  </si>
  <si>
    <t>Alibaba,Oracle,Microsoft,Adobe,ByteDance,Uber,LinkedIn,Amazon,Google,Apple,Facebook,Bloomberg,Akuna Capital</t>
  </si>
  <si>
    <t>Reverse Words in a String</t>
  </si>
  <si>
    <t>PayTM,ByteDance,Qualcomm,SAP,LinkedIn,Salesforce,VMware,Citadel,Walmart Labs,Snapchat,Zillow,Yelp,Nvidia,Oracle,Cisco,Huawei,Apple,Bloomberg,Facebook,Amazon,Microsoft,Alibaba,Google</t>
  </si>
  <si>
    <t>Microsoft,Oracle,LinkedIn,Apple,Salesforce</t>
  </si>
  <si>
    <t>Facebook,Amazon,Qualcomm,VMware,ByteDance,Microsoft,Oracle,LinkedIn,Apple,Salesforce</t>
  </si>
  <si>
    <t>Zillow,Nvidia,SAP,Huawei,Cisco,Citadel,PayTM,Bloomberg,Snapchat,Yelp,Facebook,Amazon,Qualcomm,VMware,ByteDance,Microsoft,Oracle,LinkedIn,Apple,Salesforce</t>
  </si>
  <si>
    <t>Evaluate Reverse Polish Notation</t>
  </si>
  <si>
    <t>Toptal,Oracle,Adobe,Opendoor,Atlassian,VMware,Zillow,Yandex,Uber,Facebook,Amazon,LinkedIn,Microsoft,Google</t>
  </si>
  <si>
    <t>Amazon,Oracle,LinkedIn,Google,Microsoft</t>
  </si>
  <si>
    <t>Facebook,Atlassian,VMware,Adobe,Yandex,Toptal,Amazon,Oracle,LinkedIn,Google,Microsoft</t>
  </si>
  <si>
    <t>Opendoor,Zillow,Facebook,Atlassian,VMware,Adobe,Yandex,Toptal,Amazon,Oracle,LinkedIn,Google,Microsoft</t>
  </si>
  <si>
    <t>Max Points on a Line</t>
  </si>
  <si>
    <t>Paypal,Yahoo,Adobe,TripAdvisor,Twitter,Apple,Uber,Bloomberg,Amazon,LinkedIn,Microsoft,Alibaba,Google</t>
  </si>
  <si>
    <t>Apple,Google,LinkedIn,Amazon,Paypal</t>
  </si>
  <si>
    <t>Adobe,Microsoft,Uber,Apple,Google,LinkedIn,Amazon,Paypal</t>
  </si>
  <si>
    <t>Bloomberg,TripAdvisor,Yahoo,Twitter,Adobe,Microsoft,Uber,Apple,Google,LinkedIn,Amazon,Paypal</t>
  </si>
  <si>
    <t>Sort List</t>
  </si>
  <si>
    <t>Sort,Linked List</t>
  </si>
  <si>
    <t>ByteDance,Apple,Yahoo,Bloomberg,VMware,Baidu,Adobe,Facebook,Amazon,Microsoft,Google</t>
  </si>
  <si>
    <t>Facebook,Microsoft,Amazon,Google,ByteDance</t>
  </si>
  <si>
    <t>Yahoo,Facebook,Microsoft,Amazon,Google,ByteDance</t>
  </si>
  <si>
    <t>Adobe,Bloomberg,Apple,Yahoo,Facebook,Microsoft,Amazon,Google,ByteDance</t>
  </si>
  <si>
    <t>Insertion Sort List</t>
  </si>
  <si>
    <t>Apple,Bloomberg,Microsoft</t>
  </si>
  <si>
    <t>LRU Cache</t>
  </si>
  <si>
    <t>MakeMyTrip,DiDi,Garena,Cohesity,Atlassian,Capital One,PayTM,Infosys,Intel,Cloudera,HBO,Asana,Docusign,TripAdvisor,Tesla,Nutanix,DoorDash,Pinterest,Palantir Technologies,Cruise Automation,Two Sigma,Zenefits,Twitch,Roblox,Splunk,ByteDance,Twilio,Salesforce,Groupon,Zynga,Visa,VMware,Citadel,Walmart Labs,Dropbox,GoDaddy,Snapchat,JPMorgan,Zillow,Paypal,Twitter,Expedia,Wish,Nvidia,Oracle,Spotify,Intuit,Lyft,Cisco,Yandex,EBay,Baidu,Apple,Uber,Yahoo,SAP,Morgan Stanley,Bloomberg,Adobe,Facebook,Amazon,LinkedIn,Microsoft,Alibaba,Goldman Sachs,Google</t>
  </si>
  <si>
    <t>Amazon,Microsoft,Bloomberg,Facebook,Apple,Capital One,Snapchat,eBay,Oracle,Intuit,Google,ByteDance,Zillow,Uber,Paypal,Twilio,VMware,Dropbox,Adobe,Walmart Labs,Goldman Sachs,Cohesity,Citadel,Salesforce,Tesla,Cruise Automation,Wish,Nutanix,HBO,Morgan Stanley</t>
  </si>
  <si>
    <t>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t>
  </si>
  <si>
    <t>Two Sigma,Asana,Yahoo,LinkedIn,Spotify,Cloudera,GoDaddy,Groupon,DoorDash,PayTM,Baidu,Lyft,JPMorgan,TripAdvisor,Intel,Atlassian,Splunk,MakeMyTrip,Palantir Technologies,Zenefits,Cisco,Roblox,Pinterest,Nvidia,Yandex,Alibaba,Twitter,Expedia,Zynga,Docusign,Garena,DiDi,Infosys,Amazon,Microsoft,Bloomberg,Facebook,Apple,Capital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t>
  </si>
  <si>
    <t>Binary Tree Postorder Traversal</t>
  </si>
  <si>
    <t>Microsoft,Uber,Adobe,Facebook,Amazon,Google</t>
  </si>
  <si>
    <t>Google,Uber,Facebook,Microsoft,Amazon</t>
  </si>
  <si>
    <t>Binary Tree Preorder Traversal</t>
  </si>
  <si>
    <t>Oracle,Cisco,Bloomberg,Amazon,Microsoft,Google</t>
  </si>
  <si>
    <t>Oracle,Bloomberg,Google,Amazon,Microsoft</t>
  </si>
  <si>
    <t>Reorder List</t>
  </si>
  <si>
    <t>Snapchat,Walmart Labs,Apple,Bloomberg,Splunk,ByteDance,Cisco,EBay,Tencent,Adobe,Facebook,Amazon,Microsoft,Google</t>
  </si>
  <si>
    <t>Amazon,Facebook,Splunk</t>
  </si>
  <si>
    <t>Apple,eBay,ByteDance,Microsoft,Bloomberg,Snapchat,Amazon,Facebook,Splunk</t>
  </si>
  <si>
    <t>Adobe,Tencent,Walmart Labs,Apple,eBay,ByteDance,Microsoft,Bloomberg,Snapchat,Amazon,Facebook,Splunk</t>
  </si>
  <si>
    <t>Linked List Cycle II</t>
  </si>
  <si>
    <t>Oracle,Goldman Sachs,EBay,Apple,Adobe,Amazon,LinkedIn,Microsoft,Google</t>
  </si>
  <si>
    <t>Adobe,Goldman Sachs,eBay,Oracle,Microsoft,Amazon,Apple</t>
  </si>
  <si>
    <t>Linked List Cycle</t>
  </si>
  <si>
    <t>Tesla,JPMorgan,Expedia,VMware,Walmart Labs,Oracle,Cisco,EBay,Apple,Uber,Yahoo,Bloomberg,Adobe,Facebook,Amazon,LinkedIn,Microsoft,Goldman Sachs,Google</t>
  </si>
  <si>
    <t>Apple,Microsoft,Amazon,Goldman Sachs,Facebook,Google</t>
  </si>
  <si>
    <t>Adobe,eBay,Tesla,Apple,Microsoft,Amazon,Goldman Sachs,Facebook,Google</t>
  </si>
  <si>
    <t>Oracle,Walmart Labs,Cisco,Expedia,VMware,JPMorgan,Bloomberg,Yahoo,Adobe,eBay,Tesla,Apple,Microsoft,Amazon,Goldman Sachs,Facebook,Google</t>
  </si>
  <si>
    <t>Word Break II</t>
  </si>
  <si>
    <t>ByteDance,EBay,Adobe,Pinterest,Audible,Booking.com,Dropbox,Snapchat,Zillow,Twitter,Oracle,Apple,Uber,Bloomberg,Facebook,Amazon,Microsoft,Google</t>
  </si>
  <si>
    <t>Amazon,Facebook,Bloomberg,ByteDance,Google,Apple,Microsoft</t>
  </si>
  <si>
    <t>Audible,eBay,Adobe,Amazon,Facebook,Bloomberg,ByteDance,Google,Apple,Microsoft</t>
  </si>
  <si>
    <t>Uber,Oracle,Snapchat,Twitter,Dropbox,Audible,eBay,Adobe,Amazon,Facebook,Bloomberg,ByteDance,Google,Apple,Microsoft</t>
  </si>
  <si>
    <t>Word Break</t>
  </si>
  <si>
    <t>Pinterest,Reddit,Twitter,HBO,TripAdvisor,Hulu,Square,Qualtrics,Pocket Gems,Coupang,Audible,ByteDance,Twilio,Salesforce,VMware,Walmart Labs,GoDaddy,Snapchat,Zillow,Yelp,Oracle,EBay,Apple,Uber,Yahoo,Bloomberg,Adobe,Facebook,Amazon,Microsoft,Google</t>
  </si>
  <si>
    <t>Facebook,Amazon,Bloomberg,Microsoft,ByteDance,Apple,eBay,Qualtrics,Oracle,Google,Adobe</t>
  </si>
  <si>
    <t>Twitter,Uber,Yahoo,VMware,GoDaddy,Facebook,Amazon,Bloomberg,Microsoft,ByteDance,Apple,eBay,Qualtrics,Oracle,Google,Adobe</t>
  </si>
  <si>
    <t>Snapchat,Zillow,Audible,Pinterest,Hulu,Square,Salesforce,Walmart Labs,TripAdvisor,Reddit,Pocket Gems,Coupang,Twitter,Uber,Yahoo,VMware,GoDaddy,Facebook,Amazon,Bloomberg,Microsoft,ByteDance,Apple,eBay,Qualtrics,Oracle,Google,Adobe</t>
  </si>
  <si>
    <t>Copy List with Random Pointer</t>
  </si>
  <si>
    <t>Linked List,Hash Table</t>
  </si>
  <si>
    <t>ByteDance,Qualcomm,Salesforce,Citadel,Nutanix,Qualtrics,Capital One,Visa,Expedia,Oracle,EBay,Apple,Uber,Yahoo,Bloomberg,Adobe,Facebook,Amazon,Microsoft,Google</t>
  </si>
  <si>
    <t>Amazon,Facebook,Microsoft,Bloomberg,eBay,Oracle,Yahoo</t>
  </si>
  <si>
    <t>Qualtrics,Capital One,ByteDance,Qualcomm,Amazon,Facebook,Microsoft,Bloomberg,eBay,Oracle,Yahoo</t>
  </si>
  <si>
    <t>Apple,Google,Salesforce,Nutanix,Citadel,Uber,Qualtrics,Capital One,ByteDance,Qualcomm,Amazon,Facebook,Microsoft,Bloomberg,eBay,Oracle,Yahoo</t>
  </si>
  <si>
    <t>Single Number II</t>
  </si>
  <si>
    <t>Apple,Adobe,Facebook,Amazon,Google</t>
  </si>
  <si>
    <t>Facebook,Google,Amazon,Adobe</t>
  </si>
  <si>
    <t>Apple,Facebook,Google,Amazon,Adobe</t>
  </si>
  <si>
    <t>Single Number</t>
  </si>
  <si>
    <t>Palantir Technologies,Atlassian,Oracle,Apple,Airbnb,Tencent,SAP,Bloomberg,Adobe,Facebook,Amazon,Microsoft,Google</t>
  </si>
  <si>
    <t>Google,Facebook,Microsoft,Amazon</t>
  </si>
  <si>
    <t>Apple,Bloomberg,Adobe,Google,Facebook,Microsoft,Amazon</t>
  </si>
  <si>
    <t>Tencent,Oracle,Atlassian,Airbnb,Palantir Technologies,Apple,Bloomberg,Adobe,Google,Facebook,Microsoft,Amazon</t>
  </si>
  <si>
    <t>Candy</t>
  </si>
  <si>
    <t>Flipkart,Apple,Goldman Sachs,Salesforce,Uber,Amazon,Microsoft,Google</t>
  </si>
  <si>
    <t>Apple,Goldman Sachs,Amazon</t>
  </si>
  <si>
    <t>Microsoft,Flipkart,Google,Salesforce,Apple,Goldman Sachs,Amazon</t>
  </si>
  <si>
    <t>Gas Station</t>
  </si>
  <si>
    <t>Hotstar,Citrix,Uber,Bloomberg,Facebook,Paypal,Expedia,IBM,Apple,Amazon,Microsoft,Google</t>
  </si>
  <si>
    <t>Amazon,Google,Microsoft,Bloomberg,Facebook,Apple,Citrix,Hotstar</t>
  </si>
  <si>
    <t>Uber,IBM,Amazon,Google,Microsoft,Bloomberg,Facebook,Apple,Citrix,Hotstar</t>
  </si>
  <si>
    <t>Expedia,Uber,IBM,Amazon,Google,Microsoft,Bloomberg,Facebook,Apple,Citrix,Hotstar</t>
  </si>
  <si>
    <t>Clone Graph</t>
  </si>
  <si>
    <t>DiDi,Qualtrics,Docusign,VMware,Pocket Gems,Splunk,Walmart Labs,Twitter,Mathworks,Apple,Uber,Bloomberg,Facebook,Amazon,LinkedIn,Microsoft,Google</t>
  </si>
  <si>
    <t>Facebook,Amazon,Microsoft,Bloomberg,Apple,Google,Twitter,Uber,Qualtrics</t>
  </si>
  <si>
    <t>DiDi,Docusign,Facebook,Amazon,Microsoft,Bloomberg,Apple,Google,Twitter,Uber,Qualtrics</t>
  </si>
  <si>
    <t>Mathworks,Walmart Labs,Splunk,VMware,Pocket Gems,DiDi,Docusign,Facebook,Amazon,Microsoft,Bloomberg,Apple,Google,Twitter,Uber,Qualtrics</t>
  </si>
  <si>
    <t>Palindrome Partitioning II</t>
  </si>
  <si>
    <t>Duolingo,Amazon,Google</t>
  </si>
  <si>
    <t>Duolingo,Google,Amazon</t>
  </si>
  <si>
    <t>Palindrome Partitioning</t>
  </si>
  <si>
    <t>Depth First Search,Dynamic Programming,Backtracking</t>
  </si>
  <si>
    <t>Apple,Facebook,Microsoft,Qualtrics,Uber,Yahoo,Bloomberg,Adobe,Amazon,Google</t>
  </si>
  <si>
    <t>Amazon,Apple,Google</t>
  </si>
  <si>
    <t>Microsoft,Facebook,Amazon,Apple,Google</t>
  </si>
  <si>
    <t>Uber,Adobe,Bloomberg,Yahoo,Qualtrics,Microsoft,Facebook,Amazon,Apple,Google</t>
  </si>
  <si>
    <t>Surrounded Regions</t>
  </si>
  <si>
    <t>Splunk,EBay,Uber,Facebook,Amazon,Google</t>
  </si>
  <si>
    <t>eBay,Google,Amazon,Uber</t>
  </si>
  <si>
    <t>Splunk,Facebook,eBay,Google,Amazon,Uber</t>
  </si>
  <si>
    <t>Sum Root to Leaf Numbers</t>
  </si>
  <si>
    <t>EBay,Bloomberg,Facebook,Amazon,Microsoft,Google</t>
  </si>
  <si>
    <t>Facebook,Bloomberg,Amazon</t>
  </si>
  <si>
    <t>Microsoft,Google,eBay,Facebook,Bloomberg,Amazon</t>
  </si>
  <si>
    <t>Longest Consecutive Sequence</t>
  </si>
  <si>
    <t>Qualtrics,Twitter,Adobe,Goldman Sachs,Nutanix,Paypal,Wish,Oracle,Spotify,Apple,Uber,Bloomberg,Facebook,Amazon,Microsoft,Google</t>
  </si>
  <si>
    <t>Amazon,Microsoft,Bloomberg,Google,Facebook,Oracle,Goldman Sachs</t>
  </si>
  <si>
    <t>Uber,Adobe,Apple,Paypal,Spotify,Amazon,Microsoft,Bloomberg,Google,Facebook,Oracle,Goldman Sachs</t>
  </si>
  <si>
    <t>Wish,Twitter,Nutanix,Qualtrics,Uber,Adobe,Apple,Paypal,Spotify,Amazon,Microsoft,Bloomberg,Google,Facebook,Oracle,Goldman Sachs</t>
  </si>
  <si>
    <t>Word Ladder</t>
  </si>
  <si>
    <t>Citadel,EBay,Yahoo,Cohesity,Tesla,Square,Pinterest,Qualtrics,Audible,Salesforce,VMware,Affirm,Walmart Labs,Snapchat,Zillow,ServiceNow,Expedia,Yelp,Oracle,Spotify,Lyft,Apple,Airbnb,Uber,Samsung,Bloomberg,Facebook,Amazon,LinkedIn,Microsoft,Google</t>
  </si>
  <si>
    <t>Amazon,Facebook,Lyft,Google,Bloomberg,Uber,Microsoft,Oracle,Apple,Zillow,Snapchat,Yahoo,Qualtrics,Citadel</t>
  </si>
  <si>
    <t>Salesforce,eBay,LinkedIn,ServiceNow,Amazon,Facebook,Lyft,Google,Bloomberg,Uber,Microsoft,Oracle,Apple,Zillow,Snapchat,Yahoo,Qualtrics,Citadel</t>
  </si>
  <si>
    <t>Walmart Labs,VMware,Pinterest,Spotify,Yelp,Salesforce,eBay,LinkedIn,ServiceNow,Amazon,Facebook,Lyft,Google,Bloomberg,Uber,Microsoft,Oracle,Apple,Zillow,Snapchat,Yahoo,Qualtrics,Citadel</t>
  </si>
  <si>
    <t>Word Ladder II</t>
  </si>
  <si>
    <t>Breadth First Search,Backtracking,String,Array</t>
  </si>
  <si>
    <t>Snapchat,Bloomberg,Pinterest,Box,Yelp,Oracle,Lyft,Apple,Uber,Yahoo,Facebook,Amazon,LinkedIn,Microsoft,Google</t>
  </si>
  <si>
    <t>Amazon,Bloomberg,Uber,Facebook,Box,Lyft,Microsoft,Google</t>
  </si>
  <si>
    <t>Apple,Amazon,Bloomberg,Uber,Facebook,Box,Lyft,Microsoft,Google</t>
  </si>
  <si>
    <t>Oracle,Pinterest,LinkedIn,Snapchat,Yahoo,Yelp,Apple,Amazon,Bloomberg,Uber,Facebook,Box,Lyft,Microsoft,Google</t>
  </si>
  <si>
    <t>Valid Palindrome</t>
  </si>
  <si>
    <t>IBM,Wayfair,Zenefits,Wish,Oracle,Cisco,Yandex,EBay,Apple,Uber,Bloomberg,Adobe,Facebook,Amazon,LinkedIn,Microsoft,Google</t>
  </si>
  <si>
    <t>Facebook,Microsoft,Apple,Wayfair,Amazon,Yandex,Bloomberg,Oracle</t>
  </si>
  <si>
    <t>eBay,IBM,Facebook,Microsoft,Apple,Wayfair,Amazon,Yandex,Bloomberg,Oracle</t>
  </si>
  <si>
    <t>Google,Adobe,LinkedIn,Cisco,Wish,Uber,Zenefits,eBay,IBM,Facebook,Microsoft,Apple,Wayfair,Amazon,Yandex,Bloomberg,Oracle</t>
  </si>
  <si>
    <t>Binary Tree Maximum Path Sum</t>
  </si>
  <si>
    <t>Oracle,Yahoo,AppDynamics,ByteDance,VMware,Walmart Labs,Twitter,Intuit,Baidu,Apple,Uber,Bloomberg,Adobe,Facebook,Amazon,Microsoft,Google</t>
  </si>
  <si>
    <t>Facebook,Amazon,Google,Microsoft,Bloomberg,Oracle,Adobe,Apple,Yahoo,ByteDance</t>
  </si>
  <si>
    <t>Uber,Facebook,Amazon,Google,Microsoft,Bloomberg,Oracle,Adobe,Apple,Yahoo,ByteDance</t>
  </si>
  <si>
    <t>Intuit,AppDynamics,Baidu,Uber,Facebook,Amazon,Google,Microsoft,Bloomberg,Oracle,Adobe,Apple,Yahoo,ByteDance</t>
  </si>
  <si>
    <t>Best Time to Buy and Sell Stock III</t>
  </si>
  <si>
    <t>Adobe,Rubrik,Two Sigma,Atlassian,Flipkart,Citadel,Apple,Bloomberg,Facebook,Amazon,Microsoft,Google</t>
  </si>
  <si>
    <t>Microsoft,Apple,Amazon,Adobe</t>
  </si>
  <si>
    <t>Two Sigma,Bloomberg,Facebook,Google,Rubrik,Atlassian,Microsoft,Apple,Amazon,Adobe</t>
  </si>
  <si>
    <t>Best Time to Buy and Sell Stock II</t>
  </si>
  <si>
    <t>DE Shaw,Square,Qualtrics,Atlassian,Tcs,Salesforce,Paypal,Intuit,Morgan Stanley,Citadel,Walmart Labs,Oracle,Apple,Uber,Yahoo,Bloomberg,Adobe,Facebook,Amazon,Microsoft,Goldman Sachs,Google</t>
  </si>
  <si>
    <t>Amazon,Apple,Morgan Stanley,tcs,Microsoft,Facebook,Uber</t>
  </si>
  <si>
    <t>Bloomberg,Paypal,Square,Qualtrics,DE Shaw,Amazon,Apple,Morgan Stanley,tcs,Microsoft,Facebook,Uber</t>
  </si>
  <si>
    <t>Google,Goldman Sachs,Oracle,Adobe,Intuit,Atlassian,Salesforce,Bloomberg,Paypal,Square,Qualtrics,DE Shaw,Amazon,Apple,Morgan Stanley,tcs,Microsoft,Facebook,Uber</t>
  </si>
  <si>
    <t>Best Time to Buy and Sell Stock</t>
  </si>
  <si>
    <t>MAQ Software,DE Shaw,Houzz,Qualtrics,Alation,Docusign,Tcs,Qualcomm,Salesforce,VMware,ServiceNow,Citrix,EBay,Samsung,DoorDash,Akuna Capital,Atlassian,Redfin,Grab,Audible,ByteDance,Deutsche Bank,Tableau,Groupon,Intel,Visa,Citadel,Walmart Labs,Snapchat,JPMorgan,Zillow,Paypal,Expedia,Oracle,Lyft,Cisco,BlackRock,Apple,Uber,Yahoo,Tencent,SAP,Morgan Stanley,Bloomberg,Adobe,Facebook,Amazon,LinkedIn,Microsoft,Alibaba,Goldman Sachs,Google</t>
  </si>
  <si>
    <t>Amazon,Microsoft,Facebook,Google,Apple,Adobe,tcs,Bloomberg,Goldman Sachs,Uber,eBay,Qualtrics,ByteDance,VMware,Yahoo,Morgan Stanley,Oracle,ServiceNow,Samsung,Paypal,Expedia,Houzz,Salesforce,Visa,Qualcomm</t>
  </si>
  <si>
    <t>JPMorgan,DE Shaw,Citadel,Cisco,Audible,MAQ Software,Amazon,Microsoft,Facebook,Google,Apple,Adobe,tcs,Bloomberg,Goldman Sachs,Uber,eBay,Qualtrics,ByteDance,VMware,Yahoo,Morgan Stanley,Oracle,ServiceNow,Samsung,Paypal,Expedia,Houzz,Salesforce,Visa,Qualcomm</t>
  </si>
  <si>
    <t>DoorDash,Walmart Labs,SAP,Intel,Citrix,BlackRock,LinkedIn,Alibaba,Tencent,Groupon,Zillow,Atlassian,Docusign,Alation,JPMorgan,DE Shaw,Citadel,Cisco,Audible,MAQ Software,Amazon,Microsoft,Facebook,Google,Apple,Adobe,tcs,Bloomberg,Goldman Sachs,Uber,eBay,Qualtrics,ByteDance,VMware,Yahoo,Morgan Stanley,Oracle,ServiceNow,Samsung,Paypal,Expedia,Houzz,Salesforce,Visa,Qualcomm</t>
  </si>
  <si>
    <t>Triangle</t>
  </si>
  <si>
    <t>Flipkart,Goldman Sachs,Houzz,Apple,Bloomberg,Amazon,Google</t>
  </si>
  <si>
    <t>Google,Goldman Sachs,Flipkart,Apple,Amazon,Bloomberg</t>
  </si>
  <si>
    <t>Pascal's Triangle II</t>
  </si>
  <si>
    <t>Microsoft,Qualtrics,Oracle,Amazon,Goldman Sachs,Google</t>
  </si>
  <si>
    <t>Goldman Sachs,Qualtrics,Microsoft,Google,Amazon</t>
  </si>
  <si>
    <t>Pascal's Triangle</t>
  </si>
  <si>
    <t>Samsung,Twitter,Oracle,Apple,Uber,Bloomberg,Adobe,Facebook,Amazon,Microsoft,Goldman Sachs,Google</t>
  </si>
  <si>
    <t>Google,Adobe,Apple,Samsung</t>
  </si>
  <si>
    <t>Amazon,Bloomberg,Google,Adobe,Apple,Samsung</t>
  </si>
  <si>
    <t>Microsoft,Goldman Sachs,Uber,Facebook,Twitter,Amazon,Bloomberg,Google,Adobe,Apple,Samsung</t>
  </si>
  <si>
    <t>Populating Next Right Pointers in Each Node II</t>
  </si>
  <si>
    <t>Oracle,Apple,Bloomberg,Facebook,Amazon,Microsoft,Google</t>
  </si>
  <si>
    <t>Facebook,Google,Microsoft,Amazon,Bloomberg</t>
  </si>
  <si>
    <t>Apple,Oracle,Facebook,Google,Microsoft,Amazon,Bloomberg</t>
  </si>
  <si>
    <t>Populating Next Right Pointers in Each Node</t>
  </si>
  <si>
    <t>Nutanix,VMware,Oracle,DiDi,Apple,SAP,Bloomberg,Facebook,Amazon,Microsoft,Google</t>
  </si>
  <si>
    <t>Microsoft,Bloomberg,Facebook,Google,Amazon</t>
  </si>
  <si>
    <t>DiDi,Microsoft,Bloomberg,Facebook,Google,Amazon</t>
  </si>
  <si>
    <t>Oracle,Apple,VMware,SAP,DiDi,Microsoft,Bloomberg,Facebook,Google,Amazon</t>
  </si>
  <si>
    <t>Distinct Subsequences</t>
  </si>
  <si>
    <t>Uber,Bloomberg,Barclays,Mathworks,Adobe,Amazon,Google</t>
  </si>
  <si>
    <t>Mathworks,Google,Amazon,Bloomberg</t>
  </si>
  <si>
    <t>Adobe,Mathworks,Google,Amazon,Bloomberg</t>
  </si>
  <si>
    <t>Uber,Adobe,Mathworks,Google,Amazon,Bloomberg</t>
  </si>
  <si>
    <t>Flatten Binary Tree to Linked List</t>
  </si>
  <si>
    <t>ByteDance,Databricks,Coupang,Nvidia,Oracle,Apple,Uber,Yahoo,Bloomberg,Adobe,Facebook,Amazon,Microsoft,Google</t>
  </si>
  <si>
    <t>Bloomberg,Adobe,Google,ByteDance,Facebook,Amazon,Microsoft</t>
  </si>
  <si>
    <t>Oracle,Coupang,Apple,Nvidia,Uber,Yahoo,Databricks,Bloomberg,Adobe,Google,ByteDance,Facebook,Amazon,Microsoft</t>
  </si>
  <si>
    <t>Path Sum II</t>
  </si>
  <si>
    <t>ByteDance,VMware,Quora,Zillow,Oracle,Baidu,Apple,Bloomberg,Adobe,Facebook,Amazon,LinkedIn,Microsoft,Google</t>
  </si>
  <si>
    <t>Amazon,Facebook,Microsoft,Zillow</t>
  </si>
  <si>
    <t>Adobe,Apple,Oracle,Google,Amazon,Facebook,Microsoft,Zillow</t>
  </si>
  <si>
    <t>Quora,Baidu,VMware,ByteDance,Bloomberg,Adobe,Apple,Oracle,Google,Amazon,Facebook,Microsoft,Zillow</t>
  </si>
  <si>
    <t>Path Sum</t>
  </si>
  <si>
    <t>Wish,ByteDance,SAP,Google,Zillow,Oracle,Apple,Yahoo,Bloomberg,Adobe,Facebook,Amazon,Microsoft</t>
  </si>
  <si>
    <t>Amazon,Facebook,Apple,Microsoft,Oracle,ByteDance</t>
  </si>
  <si>
    <t>Bloomberg,SAP,Amazon,Facebook,Apple,Microsoft,Oracle,ByteDance</t>
  </si>
  <si>
    <t>Adobe,Google,Zillow,Wish,Bloomberg,SAP,Amazon,Facebook,Apple,Microsoft,Oracle,ByteDance</t>
  </si>
  <si>
    <t>Minimum Depth of Binary Tree</t>
  </si>
  <si>
    <t>Adobe,Goldman Sachs,Google,Apple,Facebook,Amazon,Microsoft</t>
  </si>
  <si>
    <t>Google,Apple,Amazon,Facebook,Adobe</t>
  </si>
  <si>
    <t>Goldman Sachs,Google,Apple,Amazon,Facebook,Adobe</t>
  </si>
  <si>
    <t>Balanced Binary Tree</t>
  </si>
  <si>
    <t>ByteDance,VMware,Cisco,Apple,Bloomberg,Adobe,Facebook,Amazon,Microsoft,Google</t>
  </si>
  <si>
    <t>Microsoft,Bloomberg,ByteDance,Amazon,Google</t>
  </si>
  <si>
    <t>Facebook,Adobe,VMware,Apple,Microsoft,Bloomberg,ByteDance,Amazon,Google</t>
  </si>
  <si>
    <t>Convert Sorted List to Binary Search Tree</t>
  </si>
  <si>
    <t>Zenefits,VMware,Oracle,Lyft,Bloomberg,Facebook,Amazon,Microsoft,Google</t>
  </si>
  <si>
    <t>Facebook,Amazon,Oracle,Microsoft</t>
  </si>
  <si>
    <t>Google,Lyft,Facebook,Amazon,Oracle,Microsoft</t>
  </si>
  <si>
    <t>Bloomberg,Zenefits,Google,Lyft,Facebook,Amazon,Oracle,Microsoft</t>
  </si>
  <si>
    <t>Convert Sorted Array to Binary Search Tree</t>
  </si>
  <si>
    <t>VMware,Spotify,Adobe,Oracle,Cisco,Apple,Airbnb,Yahoo,Bloomberg,Facebook,Amazon,Microsoft,Google</t>
  </si>
  <si>
    <t>Amazon,Adobe,Microsoft,Google,Bloomberg,Apple,Facebook</t>
  </si>
  <si>
    <t>VMware,Yahoo,Amazon,Adobe,Microsoft,Google,Bloomberg,Apple,Facebook</t>
  </si>
  <si>
    <t>Cisco,Oracle,Spotify,Airbnb,VMware,Yahoo,Amazon,Adobe,Microsoft,Google,Bloomberg,Apple,Facebook</t>
  </si>
  <si>
    <t>Binary Tree Level Order Traversal II</t>
  </si>
  <si>
    <t>Bloomberg,Oracle,Apple,Adobe,Amazon,Microsoft</t>
  </si>
  <si>
    <t>Bloomberg,Adobe,Microsoft,Amazon,Apple</t>
  </si>
  <si>
    <t>Oracle,Bloomberg,Adobe,Microsoft,Amazon,Apple</t>
  </si>
  <si>
    <t>Construct Binary Tree from Inorder and Postorder Traversal</t>
  </si>
  <si>
    <t>Depth First Search,Tree,Array</t>
  </si>
  <si>
    <t>Google,Twitter,Mathworks,Bloomberg,Facebook,Amazon,Microsoft</t>
  </si>
  <si>
    <t>Facebook,Google,Mathworks,Amazon,Bloomberg,Microsoft</t>
  </si>
  <si>
    <t>Construct Binary Tree from Preorder and Inorder Traversal</t>
  </si>
  <si>
    <t>Salesforce,Uber,Square,ByteDance,Citadel,Twitter,Oracle,Apple,Yahoo,Bloomberg,Adobe,Facebook,Amazon,Microsoft,Google</t>
  </si>
  <si>
    <t>Amazon,Microsoft,ByteDance,Facebook,Citadel,Oracle,Bloomberg</t>
  </si>
  <si>
    <t>Google,Apple,Amazon,Microsoft,ByteDance,Facebook,Citadel,Oracle,Bloomberg</t>
  </si>
  <si>
    <t>Square,Salesforce,Twitter,Uber,Google,Apple,Amazon,Microsoft,ByteDance,Facebook,Citadel,Oracle,Bloomberg</t>
  </si>
  <si>
    <t>Maximum Depth of Binary Tree</t>
  </si>
  <si>
    <t>Intel,ByteDance,Paypal,Apple,Uber,Yahoo,SAP,Bloomberg,Adobe,Facebook,Amazon,LinkedIn,Microsoft,Goldman Sachs,Google</t>
  </si>
  <si>
    <t>LinkedIn,Amazon,Microsoft,Facebook,Intel</t>
  </si>
  <si>
    <t>Apple,Adobe,Google,Uber,LinkedIn,Amazon,Microsoft,Facebook,Intel</t>
  </si>
  <si>
    <t>Bloomberg,Goldman Sachs,SAP,Yahoo,Apple,Adobe,Google,Uber,LinkedIn,Amazon,Microsoft,Facebook,Intel</t>
  </si>
  <si>
    <t>Binary Tree Zigzag Level Order Traversal</t>
  </si>
  <si>
    <t>Breadth First Search,Tree,Stack</t>
  </si>
  <si>
    <t>Flipkart,VMware,Adobe,Goldman Sachs,Qualtrics,ByteDance,Walmart Labs,ServiceNow,Oracle,EBay,Apple,Uber,Yahoo,Samsung,Bloomberg,Facebook,Amazon,LinkedIn,Microsoft,Google</t>
  </si>
  <si>
    <t>Amazon,Microsoft,Bloomberg,Apple,Qualtrics,Adobe,Facebook,Google,eBay,Goldman Sachs,ServiceNow,Oracle</t>
  </si>
  <si>
    <t>ByteDance,Uber,VMware,Flipkart,Amazon,Microsoft,Bloomberg,Apple,Qualtrics,Adobe,Facebook,Google,eBay,Goldman Sachs,ServiceNow,Oracle</t>
  </si>
  <si>
    <t>LinkedIn,Walmart Labs,Samsung,ByteDance,Uber,VMware,Flipkart,Amazon,Microsoft,Bloomberg,Apple,Qualtrics,Adobe,Facebook,Google,eBay,Goldman Sachs,ServiceNow,Oracle</t>
  </si>
  <si>
    <t>Binary Tree Level Order Traversal</t>
  </si>
  <si>
    <t>Visa,Paypal,Atlassian,VMware,Citadel,Walmart Labs,Expedia,Oracle,Cisco,Mathworks,EBay,Apple,Uber,Yahoo,SAP,Bloomberg,Adobe,Facebook,Amazon,LinkedIn,Microsoft,Alibaba,Google</t>
  </si>
  <si>
    <t>Bloomberg,Amazon,Facebook,Microsoft,LinkedIn,Adobe,Paypal,Uber,Apple,Yahoo</t>
  </si>
  <si>
    <t>Google,eBay,Cisco,Atlassian,Bloomberg,Amazon,Facebook,Microsoft,LinkedIn,Adobe,Paypal,Uber,Apple,Yahoo</t>
  </si>
  <si>
    <t>VMware,SAP,Visa,Walmart Labs,Expedia,Google,eBay,Cisco,Atlassian,Bloomberg,Amazon,Facebook,Microsoft,LinkedIn,Adobe,Paypal,Uber,Apple,Yahoo</t>
  </si>
  <si>
    <t>Symmetric Tree</t>
  </si>
  <si>
    <t>Capital One,VMware,EBay,TripAdvisor,Atlassian,Audible,Salesforce,Visa,Twitter,Oracle,Yandex,Apple,Uber,SAP,Bloomberg,Adobe,Facebook,Amazon,LinkedIn,Microsoft,Alibaba,Google</t>
  </si>
  <si>
    <t>Capital One,Amazon,Google,Yandex,Apple,Oracle</t>
  </si>
  <si>
    <t>Facebook,Bloomberg,eBay,Adobe,Capital One,Amazon,Google,Yandex,Apple,Oracle</t>
  </si>
  <si>
    <t>LinkedIn,Microsoft,Uber,Atlassian,Twitter,Alibaba,VMware,SAP,Audible,Facebook,Bloomberg,eBay,Adobe,Capital One,Amazon,Google,Yandex,Apple,Oracle</t>
  </si>
  <si>
    <t>Same Tree</t>
  </si>
  <si>
    <t>Apple,Bloomberg,Facebook,Amazon,LinkedIn,Microsoft,Google</t>
  </si>
  <si>
    <t>Amazon,Google,Microsoft,Apple</t>
  </si>
  <si>
    <t>LinkedIn,Bloomberg,Facebook,Amazon,Google,Microsoft,Apple</t>
  </si>
  <si>
    <t>Recover Binary Search Tree</t>
  </si>
  <si>
    <t>ByteDance,VMware,Oracle,Uber,Bloomberg,Facebook,Amazon,Microsoft,Goldman Sachs,Google</t>
  </si>
  <si>
    <t>Oracle,Microsoft,Amazon,Uber</t>
  </si>
  <si>
    <t>Google,ByteDance,Oracle,Microsoft,Amazon,Uber</t>
  </si>
  <si>
    <t>Bloomberg,Goldman Sachs,VMware,Google,ByteDance,Oracle,Microsoft,Amazon,Uber</t>
  </si>
  <si>
    <t>Validate Binary Search Tree</t>
  </si>
  <si>
    <t>Qualtrics,Audible,ByteDance,Citadel,Zillow,Yahoo,Asana,TripAdvisor,Atlassian,Capital One,Salesforce,Visa,VMware,Walmart Labs,Oracle,Mathworks,Yandex,EBay,Apple,Uber,SAP,Bloomberg,Adobe,Facebook,Amazon,LinkedIn,Microsoft,Goldman Sachs,Google</t>
  </si>
  <si>
    <t>Bloomberg,Amazon,Microsoft,Facebook,Asana,Apple,Qualtrics,Zillow,Citadel,VMware,ByteDance,Oracle,Atlassian</t>
  </si>
  <si>
    <t>Google,Adobe,Yahoo,Walmart Labs,eBay,Bloomberg,Amazon,Microsoft,Facebook,Asana,Apple,Qualtrics,Zillow,Citadel,VMware,ByteDance,Oracle,Atlassian</t>
  </si>
  <si>
    <t>Yandex,Salesforce,Visa,Mathworks,Goldman Sachs,Audible,Google,Adobe,Yahoo,Walmart Labs,eBay,Bloomberg,Amazon,Microsoft,Facebook,Asana,Apple,Qualtrics,Zillow,Citadel,VMware,ByteDance,Oracle,Atlassian</t>
  </si>
  <si>
    <t>Interleaving String</t>
  </si>
  <si>
    <t>VMware,Nvidia,Apple,Uber,Bloomberg,Amazon,Microsoft,Google</t>
  </si>
  <si>
    <t>Amazon,Apple,VMware,Microsoft</t>
  </si>
  <si>
    <t>Google,Bloomberg,Amazon,Apple,VMware,Microsoft</t>
  </si>
  <si>
    <t>Unique Binary Search Trees</t>
  </si>
  <si>
    <t>ByteDance,Snapchat,Expedia,Wish,Apple,Bloomberg,Adobe,Facebook,Amazon,Microsoft,Google</t>
  </si>
  <si>
    <t>Amazon,Google,Adobe,ByteDance,Bloomberg,Microsoft</t>
  </si>
  <si>
    <t>Apple,Wish,Facebook,Snapchat,Amazon,Google,Adobe,ByteDance,Bloomberg,Microsoft</t>
  </si>
  <si>
    <t>Unique Binary Search Trees II</t>
  </si>
  <si>
    <t>Apple,Yahoo,Adobe,Facebook,Amazon,Microsoft,Google</t>
  </si>
  <si>
    <t>Yahoo,Apple,Microsoft,Facebook,Amazon,Google</t>
  </si>
  <si>
    <t>Binary Tree Inorder Traversal</t>
  </si>
  <si>
    <t>Tree,Stack,Hash Table</t>
  </si>
  <si>
    <t>Cisco,Goldman Sachs,ByteDance,Oracle,EBay,Apple,Uber,SAP,Bloomberg,Facebook,Amazon,Microsoft,Alibaba,Google</t>
  </si>
  <si>
    <t>Microsoft,Oracle,Facebook,Amazon</t>
  </si>
  <si>
    <t>Google,Apple,Bloomberg,Microsoft,Oracle,Facebook,Amazon</t>
  </si>
  <si>
    <t>SAP,Cisco,Goldman Sachs,Google,Apple,Bloomberg,Microsoft,Oracle,Facebook,Amazon</t>
  </si>
  <si>
    <t>Restore IP Addresses</t>
  </si>
  <si>
    <t>Backtracking,String</t>
  </si>
  <si>
    <t>Splunk,Oracle,Bloomberg,Google,VMware,Apple,Yahoo,Adobe,Facebook,Amazon,Microsoft</t>
  </si>
  <si>
    <t>Facebook,Amazon,Microsoft,Google,Bloomberg,Apple,Oracle</t>
  </si>
  <si>
    <t>VMware,Yahoo,Splunk,Facebook,Amazon,Microsoft,Google,Bloomberg,Apple,Oracle</t>
  </si>
  <si>
    <t>Reverse Linked List II</t>
  </si>
  <si>
    <t>ByteDance,Docusign,Atlassian,Oracle,Apple,Bloomberg,Adobe,Facebook,Amazon,Microsoft,Google</t>
  </si>
  <si>
    <t>Amazon,Facebook,Microsoft,Oracle,Bloomberg,Google,ByteDance</t>
  </si>
  <si>
    <t>Apple,Adobe,Docusign,Amazon,Facebook,Microsoft,Oracle,Bloomberg,Google,ByteDance</t>
  </si>
  <si>
    <t>Decode Ways</t>
  </si>
  <si>
    <t>PayTM,ByteDance,Walmart Labs,JPMorgan,Paypal,Oracle,Morgan Stanley,Square,Pinterest,Databricks,Barclays,Snapchat,Twitter,Expedia,Lyft,Cisco,Huawei,Baidu,Apple,Uber,Bloomberg,Adobe,Facebook,Amazon,Microsoft,Goldman Sachs,Google</t>
  </si>
  <si>
    <t>JPMorgan,Cisco,Facebook,Amazon,Google,Goldman Sachs,ByteDance,Microsoft,Adobe,Lyft,Oracle</t>
  </si>
  <si>
    <t>Bloomberg,Morgan Stanley,Square,Apple,Databricks,PayTM,JPMorgan,Cisco,Facebook,Amazon,Google,Goldman Sachs,ByteDance,Microsoft,Adobe,Lyft,Oracle</t>
  </si>
  <si>
    <t>Uber,Snapchat,Expedia,Huawei,Walmart Labs,Baidu,Paypal,Bloomberg,Morgan Stanley,Square,Apple,Databricks,PayTM,JPMorgan,Cisco,Facebook,Amazon,Google,Goldman Sachs,ByteDance,Microsoft,Adobe,Lyft,Oracle</t>
  </si>
  <si>
    <t>Subsets II</t>
  </si>
  <si>
    <t>ByteDance,Apple,Uber,Bloomberg,Facebook,Amazon,Microsoft</t>
  </si>
  <si>
    <t>Amazon,Apple,ByteDance</t>
  </si>
  <si>
    <t>Facebook,Bloomberg,Amazon,Apple,ByteDance</t>
  </si>
  <si>
    <t>Microsoft,Uber,Facebook,Bloomberg,Amazon,Apple,ByteDance</t>
  </si>
  <si>
    <t>Gray Code</t>
  </si>
  <si>
    <t>Merge Sorted Array</t>
  </si>
  <si>
    <t>Wish,Walmart Labs,Netflix,Quip (Salesforce),ByteDance,Tableau,Intel,VMware,Indeed,Expedia,Oracle,IBM,Lyft,Cisco,Yandex,EBay,Baidu,Apple,Uber,Yahoo,Bloomberg,Adobe,Facebook,Amazon,LinkedIn,Microsoft,Goldman Sachs,Google</t>
  </si>
  <si>
    <t>Facebook,Microsoft,Amazon,IBM,Bloomberg,Walmart Labs,Oracle,Apple,LinkedIn,Goldman Sachs,Yandex,Wish</t>
  </si>
  <si>
    <t>Adobe,ByteDance,Google,Lyft,Facebook,Microsoft,Amazon,IBM,Bloomberg,Walmart Labs,Oracle,Apple,LinkedIn,Goldman Sachs,Yandex,Wish</t>
  </si>
  <si>
    <t>Cisco,Yahoo,Uber,VMware,eBay,Expedia,Adobe,ByteDance,Google,Lyft,Facebook,Microsoft,Amazon,IBM,Bloomberg,Walmart Labs,Oracle,Apple,LinkedIn,Goldman Sachs,Yandex,Wish</t>
  </si>
  <si>
    <t>Scramble String</t>
  </si>
  <si>
    <t>Partition List</t>
  </si>
  <si>
    <t>Bloomberg,Facebook,Apple,Amazon,Microsoft</t>
  </si>
  <si>
    <t>Amazon,Microsoft,Apple,Bloomberg,Facebook</t>
  </si>
  <si>
    <t>Maximal Rectangle</t>
  </si>
  <si>
    <t>Stack,Dynamic Programming,Hash Table,Array</t>
  </si>
  <si>
    <t>Citadel,Yandex,Apple,Karat,Wayfair,VMware,Indeed,Uber,Samsung,Bloomberg,Adobe,Facebook,Amazon,Microsoft,Google</t>
  </si>
  <si>
    <t>Google,Amazon,Adobe,Bloomberg,Apple</t>
  </si>
  <si>
    <t>Microsoft,Uber,Citadel,Wayfair,Karat,Yandex,Google,Amazon,Adobe,Bloomberg,Apple</t>
  </si>
  <si>
    <t>Samsung,Indeed,VMware,Facebook,Microsoft,Uber,Citadel,Wayfair,Karat,Yandex,Google,Amazon,Adobe,Bloomberg,Apple</t>
  </si>
  <si>
    <t>Largest Rectangle in Histogram</t>
  </si>
  <si>
    <t>MAQ Software,Lyft,Tcs,ByteDance,Huawei,Uber,Flipkart,Walmart Labs,Twitter,Bloomberg,Adobe,Facebook,Amazon,Microsoft,Google</t>
  </si>
  <si>
    <t>Amazon,ByteDance,Google,Adobe,Microsoft,Uber,Lyft,MAQ Software</t>
  </si>
  <si>
    <t>Bloomberg,Huawei,tcs,Amazon,ByteDance,Google,Adobe,Microsoft,Uber,Lyft,MAQ Software</t>
  </si>
  <si>
    <t>Flipkart,Facebook,Twitter,Bloomberg,Huawei,tcs,Amazon,ByteDance,Google,Adobe,Microsoft,Uber,Lyft,MAQ Software</t>
  </si>
  <si>
    <t>Remove Duplicates from Sorted List</t>
  </si>
  <si>
    <t>Snapchat,Oracle,EBay,Yahoo,Goldman Sachs,ByteDance,Salesforce,Apple,Uber,Adobe,Facebook,Amazon,Microsoft,Google</t>
  </si>
  <si>
    <t>Amazon,Goldman Sachs,Adobe,Oracle</t>
  </si>
  <si>
    <t>Microsoft,Facebook,Apple,Snapchat,eBay,Yahoo,Amazon,Goldman Sachs,Adobe,Oracle</t>
  </si>
  <si>
    <t>Google,Microsoft,Facebook,Apple,Snapchat,eBay,Yahoo,Amazon,Goldman Sachs,Adobe,Oracle</t>
  </si>
  <si>
    <t>Remove Duplicates from Sorted List II</t>
  </si>
  <si>
    <t>Qualcomm,Goldman Sachs,Salesforce,Paypal,Apple,Bloomberg,Adobe,Amazon,Microsoft,Google</t>
  </si>
  <si>
    <t>Microsoft,Google,Apple,Adobe,Amazon,Bloomberg</t>
  </si>
  <si>
    <t>Salesforce,Goldman Sachs,Qualcomm,Microsoft,Google,Apple,Adobe,Amazon,Bloomberg</t>
  </si>
  <si>
    <t>Search in Rotated Sorted Array II</t>
  </si>
  <si>
    <t>Bloomberg,Adobe,Facebook,Amazon,Microsoft,Google</t>
  </si>
  <si>
    <t>Facebook,Adobe,Amazon</t>
  </si>
  <si>
    <t>Microsoft,Google,Bloomberg,Facebook,Adobe,Amazon</t>
  </si>
  <si>
    <t>Remove Duplicates from Sorted Array II</t>
  </si>
  <si>
    <t>Amazon,Microsoft,VMware,Baidu,Facebook,Google</t>
  </si>
  <si>
    <t>Amazon,VMware,Facebook,Google,Microsoft</t>
  </si>
  <si>
    <t>Word Search</t>
  </si>
  <si>
    <t>Houzz,Twitter,ServiceNow,Expedia,Spotify,Cisco,EBay,Quantcast,Docusign,Pinterest,Cruise Automation,Coupang,ByteDance,VMware,Snapchat,JPMorgan,Zillow,Oracle,Intuit,Lyft,Apple,Uber,Yahoo,Aetion,Bloomberg,Adobe,Facebook,Amazon,LinkedIn,Microsoft,Google</t>
  </si>
  <si>
    <t>Amazon,Bloomberg,Intuit,Facebook,Microsoft,Snapchat,Oracle,Apple,eBay,Pinterest,Expedia,ByteDance,ServiceNow</t>
  </si>
  <si>
    <t>Cisco,Google,Twitter,Adobe,Cruise Automation,Coupang,Amazon,Bloomberg,Intuit,Facebook,Microsoft,Snapchat,Oracle,Apple,eBay,Pinterest,Expedia,ByteDance,ServiceNow</t>
  </si>
  <si>
    <t>Uber,Docusign,Yahoo,JPMorgan,Houzz,Spotify,Cisco,Google,Twitter,Adobe,Cruise Automation,Coupang,Amazon,Bloomberg,Intuit,Facebook,Microsoft,Snapchat,Oracle,Apple,eBay,Pinterest,Expedia,ByteDance,ServiceNow</t>
  </si>
  <si>
    <t>Subsets</t>
  </si>
  <si>
    <t>Bit Manipulation,Backtracking,Array</t>
  </si>
  <si>
    <t>Coupang,Atlassian,ByteDance,Walmart Labs,Oracle,Lyft,EBay,Apple,Uber,Yahoo,Bloomberg,Adobe,Facebook,Amazon,Microsoft,Goldman Sachs,Google</t>
  </si>
  <si>
    <t>Facebook,Amazon,Bloomberg,Microsoft,Uber,Apple,ByteDance</t>
  </si>
  <si>
    <t>Google,Oracle,eBay,Facebook,Amazon,Bloomberg,Microsoft,Uber,Apple,ByteDance</t>
  </si>
  <si>
    <t>Adobe,Goldman Sachs,Walmart Labs,Atlassian,Coupang,Google,Oracle,eBay,Facebook,Amazon,Bloomberg,Microsoft,Uber,Apple,ByteDance</t>
  </si>
  <si>
    <t>Combinations</t>
  </si>
  <si>
    <t>Yahoo,Bloomberg,Apple,Adobe,Facebook,Amazon,Microsoft,Google</t>
  </si>
  <si>
    <t>Amazon,Apple,Google,Microsoft,Yahoo,Facebook</t>
  </si>
  <si>
    <t>Adobe,Bloomberg,Amazon,Apple,Google,Microsoft,Yahoo,Facebook</t>
  </si>
  <si>
    <t>Minimum Window Substring</t>
  </si>
  <si>
    <t>Pinterest,Cohesity,Nutanix,ByteDance,Deutsche Bank,Salesforce,Visa,VMware,Walmart Labs,GoDaddy,Snapchat,Twitter,Oracle,Lyft,EBay,Apple,Airbnb,Uber,Yahoo,Tencent,Bloomberg,Adobe,Facebook,Amazon,LinkedIn,Microsoft,Goldman Sachs,Google</t>
  </si>
  <si>
    <t>Facebook,Amazon,Microsoft,Google,Lyft,LinkedIn,Apple,Uber,Bloomberg,Pinterest,Snapchat,ByteDance</t>
  </si>
  <si>
    <t>Adobe,Goldman Sachs,Facebook,Amazon,Microsoft,Google,Lyft,LinkedIn,Apple,Uber,Bloomberg,Pinterest,Snapchat,ByteDance</t>
  </si>
  <si>
    <t>Cohesity,Walmart Labs,Deutsche Bank,Oracle,Visa,VMware,eBay,Twitter,GoDaddy,Salesforce,Adobe,Goldman Sachs,Facebook,Amazon,Microsoft,Google,Lyft,LinkedIn,Apple,Uber,Bloomberg,Pinterest,Snapchat,ByteDance</t>
  </si>
  <si>
    <t>Sort Colors</t>
  </si>
  <si>
    <t>VMware,Expedia,Nvidia,Spotify,Adobe,Goldman Sachs,Pocket Gems,Pure Storage,Walmart Labs,Paypal,Oracle,EBay,Apple,Uber,Yahoo,Bloomberg,Facebook,Amazon,LinkedIn,Microsoft,Google</t>
  </si>
  <si>
    <t>Microsoft,Oracle,Amazon,Facebook,Adobe,eBay,Nvidia,Expedia,Spotify</t>
  </si>
  <si>
    <t>Apple,Pure Storage,Goldman Sachs,Microsoft,Oracle,Amazon,Facebook,Adobe,eBay,Nvidia,Expedia,Spotify</t>
  </si>
  <si>
    <t>LinkedIn,Uber,Google,Yahoo,Bloomberg,VMware,Paypal,Pocket Gems,Apple,Pure Storage,Goldman Sachs,Microsoft,Oracle,Amazon,Facebook,Adobe,eBay,Nvidia,Expedia,Spotify</t>
  </si>
  <si>
    <t>Search a 2D Matrix</t>
  </si>
  <si>
    <t>Nutanix,Cisco,EBay,Apple,Uber,Bloomberg,Adobe,Facebook,Amazon,Microsoft,Goldman Sachs,Google</t>
  </si>
  <si>
    <t>Amazon,Facebook,Microsoft,Apple,Nutanix</t>
  </si>
  <si>
    <t>Bloomberg,Uber,Adobe,Cisco,eBay,Amazon,Facebook,Microsoft,Apple,Nutanix</t>
  </si>
  <si>
    <t>Goldman Sachs,Bloomberg,Uber,Adobe,Cisco,eBay,Amazon,Facebook,Microsoft,Apple,Nutanix</t>
  </si>
  <si>
    <t>Set Matrix Zeroes</t>
  </si>
  <si>
    <t>PayTM,EBay,Samsung,Bloomberg,Adobe,Goldman Sachs,Google,Docusign,TripAdvisor,Audible,Salesforce,Paypal,Expedia,Oracle,Apple,Facebook,Amazon,Microsoft</t>
  </si>
  <si>
    <t>Oracle,Facebook,Microsoft,Amazon,Expedia,Bloomberg,Goldman Sachs,Apple</t>
  </si>
  <si>
    <t>PayTM,Samsung,Docusign,Audible,eBay,Oracle,Facebook,Microsoft,Amazon,Expedia,Bloomberg,Goldman Sachs,Apple</t>
  </si>
  <si>
    <t>Paypal,Google,Adobe,PayTM,Samsung,Docusign,Audible,eBay,Oracle,Facebook,Microsoft,Amazon,Expedia,Bloomberg,Goldman Sachs,Apple</t>
  </si>
  <si>
    <t>Edit Distance</t>
  </si>
  <si>
    <t>DiDi,Palantir Technologies,Cisco,Tencent,Square,ByteDance,Qualcomm,VMware,Paypal,Intuit,Baidu,Apple,Uber,Yahoo,Bloomberg,Adobe,Facebook,Amazon,LinkedIn,Microsoft,Goldman Sachs,Google</t>
  </si>
  <si>
    <t>Amazon,Microsoft,Google,Palantir Technologies,Facebook</t>
  </si>
  <si>
    <t>Square,ByteDance,Cisco,Tencent,Uber,Amazon,Microsoft,Google,Palantir Technologies,Facebook</t>
  </si>
  <si>
    <t>LinkedIn,Bloomberg,Intuit,Apple,Adobe,DiDi,Square,ByteDance,Cisco,Tencent,Uber,Amazon,Microsoft,Google,Palantir Technologies,Facebook</t>
  </si>
  <si>
    <t>Simplify Path</t>
  </si>
  <si>
    <t>Qualtrics,Adobe,Google,Docusign,ByteDance,Salesforce,Oracle,Yandex,Bloomberg,Facebook,Amazon,Microsoft</t>
  </si>
  <si>
    <t>Adobe,Bloomberg,Oracle,Facebook,Amazon,Microsoft,Google</t>
  </si>
  <si>
    <t>Yandex,Qualtrics,Docusign,Adobe,Bloomberg,Oracle,Facebook,Amazon,Microsoft,Google</t>
  </si>
  <si>
    <t>Climbing Stairs</t>
  </si>
  <si>
    <t>Expedia,Intuit,Samsung,Morgan Stanley,TripAdvisor,Zulily,Citadel,Walmart Labs,Nvidia,Oracle,Huawei,Baidu,Apple,Uber,Bloomberg,Adobe,Facebook,Amazon,LinkedIn,Microsoft,Alibaba,Goldman Sachs,Google</t>
  </si>
  <si>
    <t>Expedia,Amazon,Adobe,Apple,Google,Goldman Sachs,Nvidia,Intuit</t>
  </si>
  <si>
    <t>Facebook,Microsoft,Bloomberg,Morgan Stanley,Samsung,Expedia,Amazon,Adobe,Apple,Google,Goldman Sachs,Nvidia,Intuit</t>
  </si>
  <si>
    <t>Uber,Oracle,LinkedIn,Huawei,Citadel,Zulily,TripAdvisor,Facebook,Microsoft,Bloomberg,Morgan Stanley,Samsung,Expedia,Amazon,Adobe,Apple,Google,Goldman Sachs,Nvidia,Intuit</t>
  </si>
  <si>
    <t>Sqrt(x)</t>
  </si>
  <si>
    <t>ByteDance,Oracle,Goldman Sachs,Qualtrics,Wayfair,Lyft,Huawei,Apple,Uber,Bloomberg,Facebook,Amazon,LinkedIn,Microsoft,Google</t>
  </si>
  <si>
    <t>Microsoft,Amazon,Uber,LinkedIn,Google</t>
  </si>
  <si>
    <t>Bloomberg,Apple,Goldman Sachs,Lyft,ByteDance,Microsoft,Amazon,Uber,LinkedIn,Google</t>
  </si>
  <si>
    <t>Wayfair,Facebook,Huawei,Qualtrics,Oracle,Bloomberg,Apple,Goldman Sachs,Lyft,ByteDance,Microsoft,Amazon,Uber,LinkedIn,Google</t>
  </si>
  <si>
    <t>Text Justification</t>
  </si>
  <si>
    <t>Karat,Netflix,Square,Databricks,Reddit,ByteDance,Paypal,EBay,Bloomberg,Robinhood,Pinterest,Coursera,Twilio,Box,Snapchat,Indeed,Twitter,Intuit,Lyft,Apple,Airbnb,Uber,Facebook,Amazon,LinkedIn,Microsoft,Google</t>
  </si>
  <si>
    <t>Intuit,Twilio,Uber,Karat,Indeed,Amazon,Google,Reddit,Databricks,Bloomberg,LinkedIn,Twitter,Paypal,Microsoft,ByteDance,Netflix,eBay</t>
  </si>
  <si>
    <t>Coursera,Robinhood,Box,Intuit,Twilio,Uber,Karat,Indeed,Amazon,Google,Reddit,Databricks,Bloomberg,LinkedIn,Twitter,Paypal,Microsoft,ByteDance,Netflix,eBay</t>
  </si>
  <si>
    <t>Airbnb,Pinterest,Snapchat,Square,Apple,Facebook,Coursera,Robinhood,Box,Intuit,Twilio,Uber,Karat,Indeed,Amazon,Google,Reddit,Databricks,Bloomberg,LinkedIn,Twitter,Paypal,Microsoft,ByteDance,Netflix,eBay</t>
  </si>
  <si>
    <t>Add Binary</t>
  </si>
  <si>
    <t>ByteDance,Yahoo,Bloomberg,Oracle,Apple,Adobe,Facebook,Amazon,Microsoft,Google</t>
  </si>
  <si>
    <t>Facebook,Amazon,ByteDance</t>
  </si>
  <si>
    <t>Apple,Google,Microsoft,Yahoo,Facebook,Amazon,ByteDance</t>
  </si>
  <si>
    <t>Adobe,Bloomberg,Oracle,Apple,Google,Microsoft,Yahoo,Facebook,Amazon,ByteDance</t>
  </si>
  <si>
    <t>Plus One</t>
  </si>
  <si>
    <t>Capital One,ByteDance,Salesforce,Apple,Adobe,Microsoft,Spotify,EBay,Uber,Bloomberg,Facebook,Amazon,Google</t>
  </si>
  <si>
    <t>ByteDance,Facebook,Google,Adobe,Amazon,Spotify</t>
  </si>
  <si>
    <t>Microsoft,eBay,Apple,Capital One,ByteDance,Facebook,Google,Adobe,Amazon,Spotify</t>
  </si>
  <si>
    <t>Bloomberg,Salesforce,Microsoft,eBay,Apple,Capital One,ByteDance,Facebook,Google,Adobe,Amazon,Spotify</t>
  </si>
  <si>
    <t>Valid Number</t>
  </si>
  <si>
    <t>Twitch,Oracle,TripAdvisor,Apple,Adobe,Facebook,Amazon,LinkedIn,Microsoft,Google</t>
  </si>
  <si>
    <t>Adobe,Microsoft,TripAdvisor,Twitch,Amazon,Google,Facebook,LinkedIn,Oracle</t>
  </si>
  <si>
    <t>Minimum Path Sum</t>
  </si>
  <si>
    <t>Tesla,Snapchat,EBay,Rubrik,Dropbox,Wish,Nvidia,Apple,Uber,Bloomberg,Adobe,Facebook,Amazon,Microsoft,Goldman Sachs,Google</t>
  </si>
  <si>
    <t>Amazon,Google,Bloomberg,Goldman Sachs,Apple,Facebook,Snapchat,Tesla</t>
  </si>
  <si>
    <t>Microsoft,Adobe,eBay,Amazon,Google,Bloomberg,Goldman Sachs,Apple,Facebook,Snapchat,Tesla</t>
  </si>
  <si>
    <t>Nvidia,Uber,Dropbox,Wish,Microsoft,Adobe,eBay,Amazon,Google,Bloomberg,Goldman Sachs,Apple,Facebook,Snapchat,Tesla</t>
  </si>
  <si>
    <t>Unique Paths II</t>
  </si>
  <si>
    <t>Cruise Automation,VMware,Expedia,GoDaddy,Snapchat,Mathworks,Apple,Bloomberg,Facebook,Amazon,Microsoft,Goldman Sachs,Google</t>
  </si>
  <si>
    <t>Google,Microsoft,VMware,Expedia,Amazon,Bloomberg,Facebook</t>
  </si>
  <si>
    <t>Mathworks,Apple,Cruise Automation,Google,Microsoft,VMware,Expedia,Amazon,Bloomberg,Facebook</t>
  </si>
  <si>
    <t>Unique Paths</t>
  </si>
  <si>
    <t>Qualtrics,ByteDance,Salesforce,EBay,VMware,Walmart Labs,Snapchat,Oracle,Mathworks,Apple,Uber,Bloomberg,Adobe,Facebook,Amazon,Microsoft,Alibaba,Goldman Sachs,Google</t>
  </si>
  <si>
    <t>Microsoft,Amazon,Google,Facebook,Bloomberg,Qualtrics,VMware,ByteDance</t>
  </si>
  <si>
    <t>Goldman Sachs,Apple,Adobe,Microsoft,Amazon,Google,Facebook,Bloomberg,Qualtrics,VMware,ByteDance</t>
  </si>
  <si>
    <t>Mathworks,Uber,Oracle,eBay,Walmart Labs,Salesforce,Goldman Sachs,Apple,Adobe,Microsoft,Amazon,Google,Facebook,Bloomberg,Qualtrics,VMware,ByteDance</t>
  </si>
  <si>
    <t>Rotate List</t>
  </si>
  <si>
    <t>Apple,Yahoo,Samsung,Facebook,Hulu,Bloomberg,Adobe,Amazon,LinkedIn,Microsoft</t>
  </si>
  <si>
    <t>Adobe,Apple,Amazon,Bloomberg,Microsoft</t>
  </si>
  <si>
    <t>LinkedIn,Facebook,Yahoo,Samsung,Adobe,Apple,Amazon,Bloomberg,Microsoft</t>
  </si>
  <si>
    <t>Permutation Sequence</t>
  </si>
  <si>
    <t>Jump Trading,Apple,Yahoo,Twitter,Facebook,Amazon,Microsoft,Google</t>
  </si>
  <si>
    <t>Facebook,Google,Jump Trading,Amazon</t>
  </si>
  <si>
    <t>Microsoft,Apple,Yahoo,Twitter,Facebook,Google,Jump Trading,Amazon</t>
  </si>
  <si>
    <t>Spiral Matrix II</t>
  </si>
  <si>
    <t>Goldman Sachs,Robinhood,Snapchat,Oracle,Yandex,Apple,Uber,Adobe,Facebook,Amazon,Microsoft,Google</t>
  </si>
  <si>
    <t>Google,Apple,Microsoft</t>
  </si>
  <si>
    <t>Amazon,Yandex,Adobe,Facebook,Goldman Sachs,Google,Apple,Microsoft</t>
  </si>
  <si>
    <t>Length of Last Word</t>
  </si>
  <si>
    <t>Insert Interval</t>
  </si>
  <si>
    <t>ServiceNow,Bloomberg,Dataminr,Tableau,Twitter,Oracle,Apple,Uber,Adobe,Facebook,Amazon,LinkedIn,Microsoft,Google</t>
  </si>
  <si>
    <t>Google,Twitter,Facebook,Microsoft,Amazon,ServiceNow</t>
  </si>
  <si>
    <t>LinkedIn,Uber,Oracle,Dataminr,Apple,Bloomberg,Google,Twitter,Facebook,Microsoft,Amazon,ServiceNow</t>
  </si>
  <si>
    <t>Merge Intervals</t>
  </si>
  <si>
    <t>Netflix,Square,IXL,Qualtrics,Nutanix,Grab,Splunk,JPMorgan,Morgan Stanley,Dataminr,Sumologic,Cohesity,DoorDash,Postmates,Pinterest,Palantir Technologies,Cruise Automation,Wayfair,Zulily,Two Sigma,Zenefits,Coupang,Atlassian,Twitch,ByteDance,Salesforce,Visa,VMware,Walmart Labs,GoDaddy,Snapchat,Paypal,Twitter,ServiceNow,Wish,Yelp,Oracle,Intuit,Cisco,Yandex,EBay,Apple,Uber,Yahoo,Tencent,SAP,Bloomberg,Adobe,Facebook,Amazon,LinkedIn,Microsoft,Alibaba,Goldman Sachs,Google</t>
  </si>
  <si>
    <t>Facebook,Bloomberg,JPMorgan,Amazon,Apple,Microsoft,Google,Adobe,Uber,Twitter,Oracle,eBay,Yandex,Paypal,Cisco,Palantir Technologies,Walmart Labs,Salesforce,Goldman Sachs,Yahoo,VMware,Splunk,Qualtrics</t>
  </si>
  <si>
    <t>ByteDance,Square,IXL,LinkedIn,Netflix,DoorDash,ServiceNow,Morgan Stanley,Facebook,Bloomberg,JPMorgan,Amazon,Apple,Microsoft,Google,Adobe,Uber,Twitter,Oracle,eBay,Yandex,Paypal,Cisco,Palantir Technologies,Walmart Labs,Salesforce,Goldman Sachs,Yahoo,VMware,Splunk,Qualtrics</t>
  </si>
  <si>
    <t>Zulily,Wish,Postmates,Snapchat,Wayfair,SAP,Sumologic,Coupang,Twitch,Two Sigma,Intuit,Nutanix,Yelp,Grab,Alibaba,Visa,Cohesity,Cruise Automation,Atlassian,ByteDance,Square,IXL,LinkedIn,Netflix,DoorDash,ServiceNow,Morgan Stanley,Facebook,Bloomberg,JPMorgan,Amazon,Apple,Microsoft,Google,Adobe,Uber,Twitter,Oracle,eBay,Yandex,Paypal,Cisco,Palantir Technologies,Walmart Labs,Salesforce,Goldman Sachs,Yahoo,VMware,Splunk,Qualtrics</t>
  </si>
  <si>
    <t>Jump Game</t>
  </si>
  <si>
    <t>Nutanix,Postmates,ByteDance,Oracle,Apple,Uber,Bloomberg,Adobe,Facebook,Amazon,Microsoft,Google</t>
  </si>
  <si>
    <t>Amazon,Microsoft,Facebook,Bloomberg</t>
  </si>
  <si>
    <t>Adobe,Apple,Nutanix,ByteDance,Amazon,Microsoft,Facebook,Bloomberg</t>
  </si>
  <si>
    <t>Google,Uber,Oracle,Adobe,Apple,Nutanix,ByteDance,Amazon,Microsoft,Facebook,Bloomberg</t>
  </si>
  <si>
    <t>Spiral Matrix</t>
  </si>
  <si>
    <t>DE Shaw,Tesla,Citadel,Expedia,Intuit,Huawei,Robinhood,Hulu,Epic Systems,Quip (Salesforce),Twitch,ByteDance,Drawbridge,Visa,Walmart Labs,Snapchat,Paypal,Oracle,Cisco,EBay,Apple,Uber,Bloomberg,Adobe,Facebook,Amazon,LinkedIn,Microsoft,Goldman Sachs,Google</t>
  </si>
  <si>
    <t>Microsoft,Amazon,Facebook,Apple,Intuit,Google,Expedia,eBay,Paypal,ByteDance,Bloomberg,Goldman Sachs</t>
  </si>
  <si>
    <t>Oracle,Robinhood,Uber,Cisco,Microsoft,Amazon,Facebook,Apple,Intuit,Google,Expedia,eBay,Paypal,ByteDance,Bloomberg,Goldman Sachs</t>
  </si>
  <si>
    <t>Epic Systems,Adobe,Visa,Walmart Labs,Drawbridge,LinkedIn,Snapchat,Twitch,Citadel,Tesla,Huawei,DE Shaw,Oracle,Robinhood,Uber,Cisco,Microsoft,Amazon,Facebook,Apple,Intuit,Google,Expedia,eBay,Paypal,ByteDance,Bloomberg,Goldman Sachs</t>
  </si>
  <si>
    <t>Maximum Subarray</t>
  </si>
  <si>
    <t>Dynamic Programming,Divide and Conquer,Array</t>
  </si>
  <si>
    <t>Square,Grab,Tcs,Poshmark,PayTM,Infosys,Splunk,Qualcomm,VMware,Asana,Tesla,Palantir Technologies,Wayfair,Two Sigma,Atlassian,ByteDance,Capital One,Salesforce,Intel,Visa,Citadel,Walmart Labs,JPMorgan,Zillow,Paypal,Expedia,Nvidia,Oracle,IBM,Cisco,EBay,Apple,Uber,Yahoo,SAP,Morgan Stanley,Bloomberg,Adobe,Facebook,Amazon,LinkedIn,Microsoft,Alibaba,Goldman Sachs,Google</t>
  </si>
  <si>
    <t>Microsoft,Amazon,Apple,LinkedIn,ByteDance,Google,Bloomberg,Adobe,Oracle,JPMorgan,Cisco,Splunk,Facebook,Uber,Goldman Sachs,Paypal,PayTM</t>
  </si>
  <si>
    <t>VMware,Morgan Stanley,IBM,Grab,tcs,Microsoft,Amazon,Apple,LinkedIn,ByteDance,Google,Bloomberg,Adobe,Oracle,JPMorgan,Cisco,Splunk,Facebook,Uber,Goldman Sachs,Paypal,PayTM</t>
  </si>
  <si>
    <t>eBay,Zillow,Expedia,Yahoo,Citadel,Capital One,Asana,Atlassian,Walmart Labs,Infosys,Alibaba,Intel,Salesforce,Square,Tesla,Qualcomm,Poshmark,VMware,Morgan Stanley,IBM,Grab,tcs,Microsoft,Amazon,Apple,LinkedIn,ByteDance,Google,Bloomberg,Adobe,Oracle,JPMorgan,Cisco,Splunk,Facebook,Uber,Goldman Sachs,Paypal,PayTM</t>
  </si>
  <si>
    <t>N-Queens II</t>
  </si>
  <si>
    <t>Zenefits,Amazon</t>
  </si>
  <si>
    <t>Amazon,Zenefits</t>
  </si>
  <si>
    <t>N-Queens</t>
  </si>
  <si>
    <t>Rubrik,ByteDance,Tableau,Oracle,EBay,Apple,Uber,Adobe,Facebook,Amazon,Microsoft,Google</t>
  </si>
  <si>
    <t>Facebook,Amazon,ByteDance,Microsoft,Apple,Adobe</t>
  </si>
  <si>
    <t>eBay,Facebook,Amazon,ByteDance,Microsoft,Apple,Adobe</t>
  </si>
  <si>
    <t>Google,Rubrik,Oracle,Uber,eBay,Facebook,Amazon,ByteDance,Microsoft,Apple,Adobe</t>
  </si>
  <si>
    <t>Pow(x, n)</t>
  </si>
  <si>
    <t>VMware,Paypal,EBay,Asana,Walmart Labs,Oracle,Apple,Uber,Morgan Stanley,Bloomberg,Adobe,Facebook,Amazon,LinkedIn,Microsoft,Goldman Sachs,Google</t>
  </si>
  <si>
    <t>Facebook,Amazon,LinkedIn,Microsoft,Google,Bloomberg,Goldman Sachs,eBay,Asana</t>
  </si>
  <si>
    <t>Apple,Uber,Oracle,Facebook,Amazon,LinkedIn,Microsoft,Google,Bloomberg,Goldman Sachs,eBay,Asana</t>
  </si>
  <si>
    <t>VMware,Walmart Labs,Paypal,Apple,Uber,Oracle,Facebook,Amazon,LinkedIn,Microsoft,Google,Bloomberg,Goldman Sachs,eBay,Asana</t>
  </si>
  <si>
    <t>Group Anagrams</t>
  </si>
  <si>
    <t>Splunk,ByteDance,Intel,Citadel,Paypal,Expedia,Docusign,Electronic Arts,Hulu,Tesla,Nutanix,Qualtrics,Zulily,Twilio,Salesforce,Booking.com,Visa,VMware,Affirm,Walmart Labs,Snapchat,ServiceNow,Wish,Yelp,Oracle,Intuit,Cisco,Mathworks,Yandex,EBay,Apple,Uber,Yahoo,Bloomberg,Adobe,Facebook,Amazon,Microsoft,Goldman Sachs,Google</t>
  </si>
  <si>
    <t>Amazon,Goldman Sachs,Microsoft,Apple,Uber,VMware,eBay,Twilio,Oracle,Yandex,Expedia,Affirm,ByteDance,Bloomberg,Citadel,Cisco,Intel</t>
  </si>
  <si>
    <t>Facebook,Google,Docusign,Mathworks,Adobe,Walmart Labs,Paypal,ServiceNow,Amazon,Goldman Sachs,Microsoft,Apple,Uber,VMware,eBay,Twilio,Oracle,Yandex,Expedia,Affirm,ByteDance,Bloomberg,Citadel,Cisco,Intel</t>
  </si>
  <si>
    <t>Wish,Yahoo,Salesforce,Snapchat,Booking.com,Intuit,Tesla,Hulu,Visa,Splunk,Nutanix,Yelp,Facebook,Google,Docusign,Mathworks,Adobe,Walmart Labs,Paypal,ServiceNow,Amazon,Goldman Sachs,Microsoft,Apple,Uber,VMware,eBay,Twilio,Oracle,Yandex,Expedia,Affirm,ByteDance,Bloomberg,Citadel,Cisco,Intel</t>
  </si>
  <si>
    <t>Rotate Image</t>
  </si>
  <si>
    <t>Garena,Rubrik,Databricks,Robinhood,PayTM,Walmart Labs,EBay,Uber,Akuna Capital,Palantir Technologies,Houzz,Salesforce,Groupon,Quora,Wish,Nvidia,Lyft,Cisco,Yandex,Apple,Samsung,Bloomberg,Adobe,Facebook,Amazon,Microsoft,Google</t>
  </si>
  <si>
    <t>Amazon,Microsoft,Apple,Uber,Cisco,Facebook,Rubrik,Adobe,Nvidia,Quora,eBay,PayTM</t>
  </si>
  <si>
    <t>Google,Bloomberg,Akuna Capital,Databricks,Robinhood,Amazon,Microsoft,Apple,Uber,Cisco,Facebook,Rubrik,Adobe,Nvidia,Quora,eBay,PayTM</t>
  </si>
  <si>
    <t>Lyft,Groupon,Salesforce,Yandex,Garena,Walmart Labs,Palantir Technologies,Google,Bloomberg,Akuna Capital,Databricks,Robinhood,Amazon,Microsoft,Apple,Uber,Cisco,Facebook,Rubrik,Adobe,Nvidia,Quora,eBay,PayTM</t>
  </si>
  <si>
    <t>Permutations II</t>
  </si>
  <si>
    <t>Walmart Labs,VMware,Apple,Uber,Bloomberg,Adobe,Facebook,Amazon,LinkedIn,Microsoft</t>
  </si>
  <si>
    <t>Facebook,Amazon,Microsoft,Adobe,Apple</t>
  </si>
  <si>
    <t>Walmart Labs,Facebook,Amazon,Microsoft,Adobe,Apple</t>
  </si>
  <si>
    <t>LinkedIn,Bloomberg,Uber,Walmart Labs,Facebook,Amazon,Microsoft,Adobe,Apple</t>
  </si>
  <si>
    <t>Permutations</t>
  </si>
  <si>
    <t>Garena,Atlassian,ByteDance,Salesforce,VMware,Walmart Labs,GoDaddy,Paypal,Oracle,NetEase,Cisco,EBay,Apple,Uber,Yahoo,Bloomberg,Adobe,Facebook,Amazon,LinkedIn,Microsoft,Goldman Sachs,Google</t>
  </si>
  <si>
    <t>Amazon,Facebook,Apple,eBay,ByteDance,Microsoft,Paypal,LinkedIn,Oracle</t>
  </si>
  <si>
    <t>Google,Bloomberg,Adobe,Uber,Amazon,Facebook,Apple,eBay,ByteDance,Microsoft,Paypal,LinkedIn,Oracle</t>
  </si>
  <si>
    <t>Atlassian,Yahoo,Goldman Sachs,Garena,Google,Bloomberg,Adobe,Uber,Amazon,Facebook,Apple,eBay,ByteDance,Microsoft,Paypal,LinkedIn,Oracle</t>
  </si>
  <si>
    <t>Jump Game II</t>
  </si>
  <si>
    <t>Flipkart,Salesforce,Nutanix,Oracle,Huawei,Apple,Uber,Adobe,Facebook,Amazon,Microsoft,Goldman Sachs,Google</t>
  </si>
  <si>
    <t>Microsoft,Google,Adobe,Amazon,Apple</t>
  </si>
  <si>
    <t>Nutanix,Facebook,Oracle,Huawei,Uber,Flipkart,Salesforce,Microsoft,Google,Adobe,Amazon,Apple</t>
  </si>
  <si>
    <t>Wildcard Matching</t>
  </si>
  <si>
    <t>Greedy,Backtracking,Dynamic Programming,String</t>
  </si>
  <si>
    <t>Citadel,Apple,Coursera,Cruise Automation,Two Sigma,ByteDance,Snapchat,Twitter,Oracle,Bloomberg,Adobe,Facebook,Amazon,Microsoft,Goldman Sachs,Google</t>
  </si>
  <si>
    <t>Amazon,Adobe,Citadel,Facebook,Microsoft,Google,Coursera,Apple</t>
  </si>
  <si>
    <t>Goldman Sachs,ByteDance,Bloomberg,Amazon,Adobe,Citadel,Facebook,Microsoft,Google,Coursera,Apple</t>
  </si>
  <si>
    <t>Two Sigma,Twitter,Snapchat,Goldman Sachs,ByteDance,Bloomberg,Amazon,Adobe,Citadel,Facebook,Microsoft,Google,Coursera,Apple</t>
  </si>
  <si>
    <t>Multiply Strings</t>
  </si>
  <si>
    <t>Two Sigma,Square,ByteDance,Bloomberg,Houzz,Redfin,Walmart Labs,Zillow,Twitter,Expedia,Oracle,Mathworks,Huawei,Apple,Uber,Facebook,Amazon,Microsoft,Google</t>
  </si>
  <si>
    <t>Facebook,Microsoft,Apple,Amazon,Bloomberg,Square,Two Sigma,ByteDance</t>
  </si>
  <si>
    <t>Google,Facebook,Microsoft,Apple,Amazon,Bloomberg,Square,Two Sigma,ByteDance</t>
  </si>
  <si>
    <t>Oracle,Zillow,Houzz,Twitter,Google,Facebook,Microsoft,Apple,Amazon,Bloomberg,Square,Two Sigma,ByteDance</t>
  </si>
  <si>
    <t>Trapping Rain Water</t>
  </si>
  <si>
    <t>Dynamic Programming,Stack,Two Pointers,Array</t>
  </si>
  <si>
    <t>Twitch,Robinhood,Accolite,Audible,VMware,Paypal,ServiceNow,Expedia,Cisco,Electronic Arts,Dataminr,Qualtrics,Databricks,Palantir Technologies,Zenefits,Atlassian,Flipkart,Grab,ByteDance,Tableau,Salesforce,Visa,Citadel,Affirm,Walmart Labs,Snapchat,Twitter,Wish,Nvidia,Oracle,Lyft,Yandex,Huawei,EBay,Apple,Airbnb,Uber,Yahoo,Bloomberg,Adobe,Facebook,Amazon,Microsoft,Goldman Sachs,Google</t>
  </si>
  <si>
    <t>Goldman Sachs,Facebook,Amazon,Microsoft,Bloomberg,Apple,Databricks,Google,Oracle,Adobe,Flipkart,Qualtrics,Yahoo</t>
  </si>
  <si>
    <t>ByteDance,Walmart Labs,Citadel,ServiceNow,Uber,Grab,Cisco,Expedia,Twitch,Accolite,Goldman Sachs,Facebook,Amazon,Microsoft,Bloomberg,Apple,Databricks,Google,Oracle,Adobe,Flipkart,Qualtrics,Yahoo</t>
  </si>
  <si>
    <t>Visa,Wish,Snapchat,Airbnb,Lyft,Yandex,VMware,Twitter,eBay,Palantir Technologies,Affirm,Huawei,Salesforce,Paypal,Electronic Arts,Tableau,Audible,Robinhood,Zenefits,ByteDance,Walmart Labs,Citadel,ServiceNow,Uber,Grab,Cisco,Expedia,Twitch,Accolite,Goldman Sachs,Facebook,Amazon,Microsoft,Bloomberg,Apple,Databricks,Google,Oracle,Adobe,Flipkart,Qualtrics,Yahoo</t>
  </si>
  <si>
    <t>First Missing Positive</t>
  </si>
  <si>
    <t>Booking.com,Tesla,JPMorgan,Tencent,Goldman Sachs,Databricks,Pocket Gems,Wayfair,Twitch,Grab,ByteDance,Salesforce,Walmart Labs,Wish,Oracle,EBay,Apple,Airbnb,Uber,SAP,Morgan Stanley,Bloomberg,Adobe,Facebook,Amazon,Microsoft,Google</t>
  </si>
  <si>
    <t>Microsoft,Amazon,Google,Bloomberg,Facebook,Oracle,Adobe,Uber,Databricks,Walmart Labs,Tesla,Salesforce,Wish,Tencent,JPMorgan</t>
  </si>
  <si>
    <t>Apple,ByteDance,eBay,Goldman Sachs,Microsoft,Amazon,Google,Bloomberg,Facebook,Oracle,Adobe,Uber,Databricks,Walmart Labs,Tesla,Salesforce,Wish,Tencent,JPMorgan</t>
  </si>
  <si>
    <t>Twitch,Booking.com,Morgan Stanley,Apple,ByteDance,eBay,Goldman Sachs,Microsoft,Amazon,Google,Bloomberg,Facebook,Oracle,Adobe,Uber,Databricks,Walmart Labs,Tesla,Salesforce,Wish,Tencent,JPMorgan</t>
  </si>
  <si>
    <t>Combination Sum II</t>
  </si>
  <si>
    <t>ByteDance,Bloomberg,Nutanix,Walmart Labs,Snapchat,EBay,Apple,Uber,Adobe,Facebook,Amazon,LinkedIn,Microsoft,Google</t>
  </si>
  <si>
    <t>Facebook,Adobe,Bloomberg,eBay,Amazon,Microsoft,ByteDance</t>
  </si>
  <si>
    <t>Uber,Google,LinkedIn,Apple,Walmart Labs,Nutanix,Snapchat,Facebook,Adobe,Bloomberg,eBay,Amazon,Microsoft,ByteDance</t>
  </si>
  <si>
    <t>Combination Sum</t>
  </si>
  <si>
    <t>Atlassian,ByteDance,Oracle,Adobe,Akuna Capital,Square,IXL,VMware,Quora,Walmart Labs,Snapchat,JPMorgan,Yelp,EBay,Apple,Airbnb,Uber,Bloomberg,Facebook,Amazon,LinkedIn,Microsoft,Goldman Sachs,Google</t>
  </si>
  <si>
    <t>Facebook,Airbnb,Bloomberg,Amazon,Microsoft,Adobe,Uber,ByteDance</t>
  </si>
  <si>
    <t>eBay,Apple,Snapchat,Facebook,Airbnb,Bloomberg,Amazon,Microsoft,Adobe,Uber,ByteDance</t>
  </si>
  <si>
    <t>Google,Square,VMware,Goldman Sachs,Walmart Labs,LinkedIn,Atlassian,Oracle,eBay,Apple,Snapchat,Facebook,Airbnb,Bloomberg,Amazon,Microsoft,Adobe,Uber,ByteDance</t>
  </si>
  <si>
    <t>Count and Say</t>
  </si>
  <si>
    <t>Tesla,Infosys,VMware,Epic Systems,Oracle,Apple,Bloomberg,Adobe,Facebook,Amazon,Microsoft,Google</t>
  </si>
  <si>
    <t>Bloomberg,Facebook,Amazon,Microsoft,Apple,Epic Systems,Tesla</t>
  </si>
  <si>
    <t>Google,VMware,Bloomberg,Facebook,Amazon,Microsoft,Apple,Epic Systems,Tesla</t>
  </si>
  <si>
    <t>Oracle,Infosys,Google,VMware,Bloomberg,Facebook,Amazon,Microsoft,Apple,Epic Systems,Tesla</t>
  </si>
  <si>
    <t>Sudoku Solver</t>
  </si>
  <si>
    <t>Backtracking,Hash Table</t>
  </si>
  <si>
    <t>Pinterest,Tesla,Salesforce,JPMorgan,Intuit,Adobe,Arista Networks,Riot Games,DoorDash,Roblox,VMware,Snapchat,Expedia,Wish,Oracle,Apple,Uber,Facebook,Amazon,Microsoft,Google</t>
  </si>
  <si>
    <t>DoorDash,Amazon,Oracle,Pinterest,Apple,Intuit</t>
  </si>
  <si>
    <t>Microsoft,Google,Roblox,Adobe,Salesforce,JPMorgan,Tesla,DoorDash,Amazon,Oracle,Pinterest,Apple,Intuit</t>
  </si>
  <si>
    <t>Facebook,Wish,Uber,Snapchat,Microsoft,Google,Roblox,Adobe,Salesforce,JPMorgan,Tesla,DoorDash,Amazon,Oracle,Pinterest,Apple,Intuit</t>
  </si>
  <si>
    <t>Valid Sudoku</t>
  </si>
  <si>
    <t>Postmates,DoorDash,Pinterest,Cruise Automation,Roblox,Salesforce,VMware,Snapchat,Twitter,Oracle,Apple,Uber,Bloomberg,Adobe,Facebook,Amazon,Microsoft,Google</t>
  </si>
  <si>
    <t>Amazon,Roblox,Apple,Oracle,Uber,Facebook</t>
  </si>
  <si>
    <t>Google,Microsoft,Pinterest,Bloomberg,Postmates,Amazon,Roblox,Apple,Oracle,Uber,Facebook</t>
  </si>
  <si>
    <t>DoorDash,Cruise Automation,VMware,Snapchat,Google,Microsoft,Pinterest,Bloomberg,Postmates,Amazon,Roblox,Apple,Oracle,Uber,Facebook</t>
  </si>
  <si>
    <t>Search Insert Position</t>
  </si>
  <si>
    <t>Facebook,Apple,SAP,Bloomberg,Adobe,Amazon,Microsoft,Google</t>
  </si>
  <si>
    <t>Adobe,Amazon,Apple</t>
  </si>
  <si>
    <t>Google,Microsoft,Bloomberg,Facebook,Adobe,Amazon,Apple</t>
  </si>
  <si>
    <t>Find First and Last Position of Element in Sorted Array</t>
  </si>
  <si>
    <t>Flipkart,Twitter,Netflix,Quip (Salesforce),Qualtrics,ByteDance,Visa,Oracle,Yandex,Apple,Airbnb,Uber,Yahoo,Bloomberg,Facebook,Amazon,LinkedIn,Microsoft,Google</t>
  </si>
  <si>
    <t>Facebook,Amazon,Microsoft,Uber,Google,Bloomberg,Oracle</t>
  </si>
  <si>
    <t>Apple,ByteDance,LinkedIn,Facebook,Amazon,Microsoft,Uber,Google,Bloomberg,Oracle</t>
  </si>
  <si>
    <t>Yandex,Twitter,Flipkart,Airbnb,Netflix,Quip (Salesforce),Apple,ByteDance,LinkedIn,Facebook,Amazon,Microsoft,Uber,Google,Bloomberg,Oracle</t>
  </si>
  <si>
    <t>Search in Rotated Sorted Array</t>
  </si>
  <si>
    <t>PayTM,Paypal,ServiceNow,TripAdvisor,Tesla,Nutanix,Zulily,Twitch,ByteDance,Salesforce,Visa,VMware,Walmart Labs,Snapchat,JPMorgan,Zillow,Expedia,Nvidia,Oracle,NetEase,Cisco,Yandex,EBay,Baidu,Apple,Uber,Yahoo,Samsung,Tencent,Bloomberg,Adobe,Facebook,Amazon,LinkedIn,Microsoft,Alibaba,Goldman Sachs,Google</t>
  </si>
  <si>
    <t>Amazon,Facebook,Microsoft,LinkedIn,Bloomberg,Oracle,Apple,ByteDance,Expedia,Google,Nvidia,Zillow,eBay,Adobe,Cisco,ServiceNow</t>
  </si>
  <si>
    <t>VMware,Goldman Sachs,Walmart Labs,Paypal,PayTM,Amazon,Facebook,Microsoft,LinkedIn,Bloomberg,Oracle,Apple,ByteDance,Expedia,Google,Nvidia,Zillow,eBay,Adobe,Cisco,ServiceNow</t>
  </si>
  <si>
    <t>Yahoo,Nutanix,Yandex,Alibaba,Samsung,Uber,Tencent,Salesforce,Zulily,Twitch,JPMorgan,Tesla,VMware,Goldman Sachs,Walmart Labs,Paypal,PayTM,Amazon,Facebook,Microsoft,LinkedIn,Bloomberg,Oracle,Apple,ByteDance,Expedia,Google,Nvidia,Zillow,eBay,Adobe,Cisco,ServiceNow</t>
  </si>
  <si>
    <t>Longest Valid Parentheses</t>
  </si>
  <si>
    <t>ByteDance,VMware,Bloomberg,Salesforce,Citadel,Expedia,Oracle,EBay,Apple,Uber,Yahoo,Samsung,Adobe,Facebook,Amazon,Microsoft,Google</t>
  </si>
  <si>
    <t>Amazon,Facebook,Microsoft,Apple,ByteDance</t>
  </si>
  <si>
    <t>Uber,Bloomberg,Citadel,Amazon,Facebook,Microsoft,Apple,ByteDance</t>
  </si>
  <si>
    <t>Google,Adobe,Oracle,Yahoo,eBay,VMware,Uber,Bloomberg,Citadel,Amazon,Facebook,Microsoft,Apple,ByteDance</t>
  </si>
  <si>
    <t>Next Permutation</t>
  </si>
  <si>
    <t>Flipkart,FactSet,Salesforce,Morgan Stanley,Goldman Sachs,Sumologic,Rubrik,Houzz,Atlassian,ByteDance,Quora,JPMorgan,EBay,Apple,Uber,Samsung,Bloomberg,Adobe,Facebook,Amazon,Microsoft,Google</t>
  </si>
  <si>
    <t>Facebook,Google,Microsoft,Amazon,Bloomberg,Adobe,Apple,ByteDance,Rubrik,Salesforce,Morgan Stanley,Goldman Sachs,Atlassian,FactSet</t>
  </si>
  <si>
    <t>Uber,JPMorgan,Flipkart,Facebook,Google,Microsoft,Amazon,Bloomberg,Adobe,Apple,ByteDance,Rubrik,Salesforce,Morgan Stanley,Goldman Sachs,Atlassian,FactSet</t>
  </si>
  <si>
    <t>eBay,Uber,JPMorgan,Flipkart,Facebook,Google,Microsoft,Amazon,Bloomberg,Adobe,Apple,ByteDance,Rubrik,Salesforce,Morgan Stanley,Goldman Sachs,Atlassian,FactSet</t>
  </si>
  <si>
    <t>Substring with Concatenation of All Words</t>
  </si>
  <si>
    <t>Apple,Bloomberg,Adobe,Facebook,Amazon,Microsoft,Google</t>
  </si>
  <si>
    <t>Bloomberg,Google,Amazon,Adobe</t>
  </si>
  <si>
    <t>Microsoft,Facebook,Bloomberg,Google,Amazon,Adobe</t>
  </si>
  <si>
    <t>Divide Two Integers</t>
  </si>
  <si>
    <t>Riot Games,Oracle,Apple,Bloomberg,Adobe,Facebook,Amazon,Microsoft,Google</t>
  </si>
  <si>
    <t>Apple,Adobe,Riot Games,Google,Microsoft,Facebook,Amazon</t>
  </si>
  <si>
    <t>Bloomberg,Apple,Adobe,Riot Games,Google,Microsoft,Facebook,Amazon</t>
  </si>
  <si>
    <t>Implement strStr()</t>
  </si>
  <si>
    <t>Adobe,Pocket Gems,VMware,Citadel,Dropbox,Oracle,Yandex,EBay,Apple,Yahoo,Bloomberg,Facebook,Amazon,Microsoft,Google</t>
  </si>
  <si>
    <t>Apple,Microsoft,Yahoo,Adobe,Facebook,Amazon</t>
  </si>
  <si>
    <t>Google,Bloomberg,Dropbox,Oracle,eBay,Citadel,VMware,Pocket Gems,Apple,Microsoft,Yahoo,Adobe,Facebook,Amazon</t>
  </si>
  <si>
    <t>Remove Element</t>
  </si>
  <si>
    <t>Oracle,Apple,Adobe,Bloomberg,Amazon,Microsoft,Google</t>
  </si>
  <si>
    <t>Amazon,Adobe,Oracle</t>
  </si>
  <si>
    <t>Bloomberg,Amazon,Adobe,Oracle</t>
  </si>
  <si>
    <t>Microsoft,Apple,Bloomberg,Amazon,Adobe,Oracle</t>
  </si>
  <si>
    <t>Remove Duplicates from Sorted Array</t>
  </si>
  <si>
    <t>Qualcomm,Hulu,Cohesity,VMware,ServiceNow,Oracle,Cisco,Apple,Uber,Bloomberg,Adobe,Facebook,Amazon,Microsoft,Google</t>
  </si>
  <si>
    <t>Apple,ServiceNow,Bloomberg,Google,Amazon,Facebook,Microsoft</t>
  </si>
  <si>
    <t>Oracle,Uber,Adobe,VMware,Qualcomm,Apple,ServiceNow,Bloomberg,Google,Amazon,Facebook,Microsoft</t>
  </si>
  <si>
    <t>Reverse Nodes in k-Group</t>
  </si>
  <si>
    <t>Snapchat,Tencent,Goo,Cohesity,ByteDance,VMware,Paypal,Cisco,Mathworks,EBay,Apple,Adobe,Facebook,Amazon,Microsoft,Google</t>
  </si>
  <si>
    <t>Amazon,Microsoft,ByteDance,Apple,Facebook,Tencent</t>
  </si>
  <si>
    <t>Adobe,Google,Amazon,Microsoft,ByteDance,Apple,Facebook,Tencent</t>
  </si>
  <si>
    <t>Mathworks,Cisco,Snapchat,Cohesity,Adobe,Google,Amazon,Microsoft,ByteDance,Apple,Facebook,Tencent</t>
  </si>
  <si>
    <t>Swap Nodes in Pairs</t>
  </si>
  <si>
    <t>Snapchat,ByteDance,Goldman Sachs,Oracle,Lyft,EBay,Apple,Uber,SAP,Bloomberg,Adobe,Facebook,Amazon,Microsoft,Google</t>
  </si>
  <si>
    <t>Microsoft,Amazon,Facebook,Google,Apple,eBay,ByteDance</t>
  </si>
  <si>
    <t>Bloomberg,Adobe,Uber,Snapchat,Microsoft,Amazon,Facebook,Google,Apple,eBay,ByteDance</t>
  </si>
  <si>
    <t>SAP,Oracle,Goldman Sachs,Bloomberg,Adobe,Uber,Snapchat,Microsoft,Amazon,Facebook,Google,Apple,eBay,ByteDance</t>
  </si>
  <si>
    <t>Merge k Sorted Lists</t>
  </si>
  <si>
    <t>Heap,Divide and Conquer,Linked List</t>
  </si>
  <si>
    <t>Palantir Technologies,Tesla,Databricks,Nutanix,Nvidia,Goldman Sachs,Cohesity,IXL,Cruise Automation,Atlassian,Audible,ByteDance,Tableau,Salesforce,VMware,Box,Walmart Labs,Indeed,Zillow,Twitter,Wish,Oracle,Lyft,Cisco,Mathworks,Yandex,EBay,Apple,Airbnb,Uber,Yahoo,Tencent,SAP,Bloomberg,Adobe,Facebook,Amazon,LinkedIn,Microsoft,Alibaba,Google</t>
  </si>
  <si>
    <t>Amazon,Facebook,Databricks,Bloomberg,Microsoft,Apple,Oracle,Google,Twitter,Wish,ByteDance,Uber,Adobe,Palantir Technologies,Tesla</t>
  </si>
  <si>
    <t>eBay,Walmart Labs,VMware,Lyft,Nutanix,Goldman Sachs,SAP,Amazon,Facebook,Databricks,Bloomberg,Microsoft,Apple,Oracle,Google,Twitter,Wish,ByteDance,Uber,Adobe,Palantir Technologies,Tesla</t>
  </si>
  <si>
    <t>IXL,Yahoo,Yandex,Indeed,Atlassian,LinkedIn,Cohesity,Cisco,Zillow,Box,Salesforce,Cruise Automation,Nvidia,Airbnb,eBay,Walmart Labs,VMware,Lyft,Nutanix,Goldman Sachs,SAP,Amazon,Facebook,Databricks,Bloomberg,Microsoft,Apple,Oracle,Google,Twitter,Wish,ByteDance,Uber,Adobe,Palantir Technologies,Tesla</t>
  </si>
  <si>
    <t>Generate Parentheses</t>
  </si>
  <si>
    <t>Wish,Paypal,Oracle,EBay,Nutanix,Zenefits,Atlassian,ByteDance,Salesforce,Walmart Labs,Snapchat,Yelp,Nvidia,Spotify,Lyft,Cisco,Yandex,Apple,Uber,Yahoo,Samsung,SAP,Bloomberg,Adobe,Facebook,Amazon,Microsoft,Alibaba,Google</t>
  </si>
  <si>
    <t>Microsoft,Google,Bloomberg,Facebook,Apple,Amazon,Adobe,Walmart Labs,ByteDance,Nvidia,Paypal</t>
  </si>
  <si>
    <t>Uber,Yandex,Salesforce,Spotify,Cisco,Oracle,Atlassian,Microsoft,Google,Bloomberg,Facebook,Apple,Amazon,Adobe,Walmart Labs,ByteDance,Nvidia,Paypal</t>
  </si>
  <si>
    <t>Lyft,Yahoo,eBay,Nutanix,Samsung,Wish,Zenefits,Uber,Yandex,Salesforce,Spotify,Cisco,Oracle,Atlassian,Microsoft,Google,Bloomberg,Facebook,Apple,Amazon,Adobe,Walmart Labs,ByteDance,Nvidia,Paypal</t>
  </si>
  <si>
    <t>Merge Two Sorted Lists</t>
  </si>
  <si>
    <t>Wish,IBM,Arista Networks,Atlassian,ByteDance,Capital One,Intel,Visa,VMware,Walmart Labs,Indeed,Paypal,Oracle,Lyft,Cisco,Yandex,Huawei,EBay,Apple,Airbnb,Uber,Yahoo,Samsung,Tencent,Bloomberg,Adobe,Facebook,Amazon,LinkedIn,Microsoft,Alibaba,Google</t>
  </si>
  <si>
    <t>Amazon,Capital One,Adobe,Facebook,Bloomberg,Microsoft,Oracle,LinkedIn,Uber,VMware,Google,IBM,ByteDance</t>
  </si>
  <si>
    <t>Apple,Yandex,Yahoo,Samsung,eBay,Amazon,Capital One,Adobe,Facebook,Bloomberg,Microsoft,Oracle,LinkedIn,Uber,VMware,Google,IBM,ByteDance</t>
  </si>
  <si>
    <t>Tencent,Arista Networks,Indeed,Intel,Cisco,Lyft,Atlassian,Wish,Apple,Yandex,Yahoo,Samsung,eBay,Amazon,Capital One,Adobe,Facebook,Bloomberg,Microsoft,Oracle,LinkedIn,Uber,VMware,Google,IBM,ByteDance</t>
  </si>
  <si>
    <t>Valid Parentheses</t>
  </si>
  <si>
    <t>Flipkart,Splunk,ByteDance,Qualcomm,LiveRamp,Netflix,Epic Systems,Riot Games,Tesla,Blizzard,DoorDash,Postmates,Akuna Capital,Barclays,Zenefits,Atlassian,Audible,Twilio,Salesforce,Intel,Visa,VMware,Citadel,Walmart Labs,GoDaddy,JPMorgan,Zillow,Paypal,Twitter,ServiceNow,Expedia,Oracle,Spotify,Intuit,IBM,Lyft,Cisco,Mathworks,Yandex,EBay,Apple,Airbnb,Uber,Yahoo,Samsung,Tencent,SAP,Morgan Stanley,Bloomberg,Adobe,Facebook,Amazon,LinkedIn,Microsoft,Goldman Sachs,Google</t>
  </si>
  <si>
    <t>Amazon,Bloomberg,Apple,Facebook,Microsoft,Expedia,Google,Oracle,Spotify,IBM,LinkedIn,Goldman Sachs,Intuit,Paypal,eBay,ServiceNow,Qualcomm,Zillow,JPMorgan,ByteDance</t>
  </si>
  <si>
    <t>Citadel,Tesla,VMware,Adobe,Yahoo,Lyft,Flipkart,Blizzard,Barclays,Atlassian,Mathworks,Morgan Stanley,Visa,Salesforce,Amazon,Bloomberg,Apple,Facebook,Microsoft,Expedia,Google,Oracle,Spotify,IBM,LinkedIn,Goldman Sachs,Intuit,Paypal,eBay,ServiceNow,Qualcomm,Zillow,JPMorgan,ByteDance</t>
  </si>
  <si>
    <t>Uber,Yandex,Cisco,Intel,Twitter,Riot Games,GoDaddy,Walmart Labs,Audible,Epic Systems,SAP,LiveRamp,Splunk,Airbnb,Zenefits,Citadel,Tesla,VMware,Adobe,Yahoo,Lyft,Flipkart,Blizzard,Barclays,Atlassian,Mathworks,Morgan Stanley,Visa,Salesforce,Amazon,Bloomberg,Apple,Facebook,Microsoft,Expedia,Google,Oracle,Spotify,IBM,LinkedIn,Goldman Sachs,Intuit,Paypal,eBay,ServiceNow,Qualcomm,Zillow,JPMorgan,ByteDance</t>
  </si>
  <si>
    <t>Remove Nth Node From End of List</t>
  </si>
  <si>
    <t>ByteDance,VMware,Oracle,Cisco,Yandex,Apple,Bloomberg,Adobe,Facebook,Amazon,Microsoft,Goldman Sachs,Google</t>
  </si>
  <si>
    <t>Facebook,Amazon,Microsoft,Bloomberg,Apple</t>
  </si>
  <si>
    <t>ByteDance,Goldman Sachs,Facebook,Amazon,Microsoft,Bloomberg,Apple</t>
  </si>
  <si>
    <t>Oracle,Yandex,Google,Adobe,ByteDance,Goldman Sachs,Facebook,Amazon,Microsoft,Bloomberg,Apple</t>
  </si>
  <si>
    <t>4Sum</t>
  </si>
  <si>
    <t>Goldman Sachs,Apple,Yahoo,Bloomberg,Adobe,Facebook,Amazon,Microsoft,Google</t>
  </si>
  <si>
    <t>Adobe,Apple,Goldman Sachs,Amazon,Bloomberg</t>
  </si>
  <si>
    <t>Google,Microsoft,Yahoo,Adobe,Apple,Goldman Sachs,Amazon,Bloomberg</t>
  </si>
  <si>
    <t>Letter Combinations of a Phone Number</t>
  </si>
  <si>
    <t>Recursion,Depth First Search,Backtracking,String</t>
  </si>
  <si>
    <t>Duolingo,Tesla,Snapchat,Twilio,Qualtrics,Databricks,Capital One,Samsung,Nutanix,Quip (Salesforce),Square,Pinterest,Atlassian,Roblox,Salesforce,VMware,Walmart Labs,Dropbox,JPMorgan,ServiceNow,Oracle,Lyft,Cisco,EBay,Apple,Airbnb,Uber,Yahoo,Morgan Stanley,Bloomberg,Facebook,Amazon,Microsoft,Goldman Sachs,Google</t>
  </si>
  <si>
    <t>Amazon,Microsoft,Capital One,Twilio,Facebook,eBay,Google,Uber,Apple,Oracle,Qualtrics,JPMorgan,Morgan Stanley,Tesla,Samsung,Bloomberg,VMware</t>
  </si>
  <si>
    <t>Atlassian,Walmart Labs,Databricks,Goldman Sachs,ServiceNow,Amazon,Microsoft,Capital One,Twilio,Facebook,eBay,Google,Uber,Apple,Oracle,Qualtrics,JPMorgan,Morgan Stanley,Tesla,Samsung,Bloomberg,VMware</t>
  </si>
  <si>
    <t>Salesforce,Dropbox,Roblox,Nutanix,Snapchat,Lyft,Square,Yahoo,Quip (Salesforce),Duolingo,Atlassian,Walmart Labs,Databricks,Goldman Sachs,ServiceNow,Amazon,Microsoft,Capital One,Twilio,Facebook,eBay,Google,Uber,Apple,Oracle,Qualtrics,JPMorgan,Morgan Stanley,Tesla,Samsung,Bloomberg,VMware</t>
  </si>
  <si>
    <t>3Sum Closest</t>
  </si>
  <si>
    <t>VMware,Yandex,Apple,Uber,SAP,Bloomberg,Adobe,Facebook,Amazon,Microsoft,Goldman Sachs,Google</t>
  </si>
  <si>
    <t>Amazon,Apple,Facebook,Google,Bloomberg</t>
  </si>
  <si>
    <t>Adobe,Uber,Amazon,Apple,Facebook,Google,Bloomberg</t>
  </si>
  <si>
    <t>Microsoft,Goldman Sachs,Adobe,Uber,Amazon,Apple,Facebook,Google,Bloomberg</t>
  </si>
  <si>
    <t>3Sum</t>
  </si>
  <si>
    <t>Akamai,Tesla,Hulu,Infosys,ServiceNow,Samsung,DoorDash,Postmates,Akuna Capital,Square,Qualtrics,Coursera,Citrix,Splunk,ByteDance,Salesforce,Groupon,Visa,VMware,Citadel,Quora,Walmart Labs,Snapchat,Works Applications,Paypal,Expedia,Zoho,Oracle,IBM,Cisco,Mathworks,Yandex,EBay,Baidu,Apple,Uber,Yahoo,Tencent,Bloomberg,Adobe,Facebook,Amazon,Microsoft,Alibaba,Goldman Sachs,Google</t>
  </si>
  <si>
    <t>Amazon,Facebook,Microsoft,Bloomberg,Apple,Adobe,VMware,Google,Tesla,Goldman Sachs,Cisco,Oracle</t>
  </si>
  <si>
    <t>Uber,Qualtrics,Walmart Labs,ByteDance,Citrix,Amazon,Facebook,Microsoft,Bloomberg,Apple,Adobe,VMware,Google,Tesla,Goldman Sachs,Cisco,Oracle</t>
  </si>
  <si>
    <t>Visa,eBay,Yahoo,Mathworks,IBM,DoorDash,Citadel,Akamai,Alibaba,Tencent,Samsung,Square,Paypal,ServiceNow,Hulu,Splunk,Postmates,Groupon,Zoho,Infosys,Works Applications,Uber,Qualtrics,Walmart Labs,ByteDance,Citrix,Amazon,Facebook,Microsoft,Bloomberg,Apple,Adobe,VMware,Google,Tesla,Goldman Sachs,Cisco,Oracle</t>
  </si>
  <si>
    <t>Longest Common Prefix</t>
  </si>
  <si>
    <t>Paypal,EBay,Yahoo,Pinterest,IXL,Citrix,Splunk,Twilio,Visa,Quora,Snapchat,Yelp,Oracle,IBM,Cisco,Apple,Bloomberg,Adobe,Facebook,Amazon,Microsoft,Alibaba,Google</t>
  </si>
  <si>
    <t>Facebook,Amazon,Apple,Bloomberg,Microsoft,Adobe,Yahoo,Google</t>
  </si>
  <si>
    <t>eBay,Oracle,Facebook,Amazon,Apple,Bloomberg,Microsoft,Adobe,Yahoo,Google</t>
  </si>
  <si>
    <t>Quora,IXL,Cisco,Snapchat,IBM,Splunk,Paypal,Twilio,Yelp,eBay,Oracle,Facebook,Amazon,Apple,Bloomberg,Microsoft,Adobe,Yahoo,Google</t>
  </si>
  <si>
    <t>Roman to Integer</t>
  </si>
  <si>
    <t>Tcs,Roblox,EBay,Qualtrics,Zillow,Oracle,Apple,Uber,Yahoo,Bloomberg,Adobe,Facebook,Amazon,LinkedIn,Microsoft,Goldman Sachs,Google</t>
  </si>
  <si>
    <t>Roblox,Amazon,Microsoft,Adobe,Apple,Qualtrics,Oracle,Google,Uber,Goldman Sachs,eBay</t>
  </si>
  <si>
    <t>Facebook,Yahoo,Bloomberg,Roblox,Amazon,Microsoft,Adobe,Apple,Qualtrics,Oracle,Google,Uber,Goldman Sachs,eBay</t>
  </si>
  <si>
    <t>LinkedIn,tcs,Facebook,Yahoo,Bloomberg,Roblox,Amazon,Microsoft,Adobe,Apple,Qualtrics,Oracle,Google,Uber,Goldman Sachs,eBay</t>
  </si>
  <si>
    <t>Integer to Roman</t>
  </si>
  <si>
    <t>Evernote,Opendoor,Salesforce,Paypal,Twitter,Oracle,BlackRock,Apple,Yahoo,SAP,Bloomberg,Adobe,Facebook,Amazon,LinkedIn,Microsoft,Google</t>
  </si>
  <si>
    <t>Amazon,Microsoft,Bloomberg,Adobe,Google,Apple,Oracle</t>
  </si>
  <si>
    <t>Yahoo,Amazon,Microsoft,Bloomberg,Adobe,Google,Apple,Oracle</t>
  </si>
  <si>
    <t>LinkedIn,Evernote,Paypal,Facebook,BlackRock,Twitter,Yahoo,Amazon,Microsoft,Bloomberg,Adobe,Google,Apple,Oracle</t>
  </si>
  <si>
    <t>Container With Most Water</t>
  </si>
  <si>
    <t>Flipkart,Tcs,Salesforce,Walmart Labs,ByteDance,VMware,Oracle,Lyft,Apple,Airbnb,Uber,Yahoo,Bloomberg,Adobe,Facebook,Amazon,Microsoft,Goldman Sachs,Google</t>
  </si>
  <si>
    <t>Amazon,Facebook,Microsoft,Goldman Sachs,Adobe,Google,Apple,Yahoo,Salesforce,tcs</t>
  </si>
  <si>
    <t>Walmart Labs,ByteDance,Flipkart,Bloomberg,Amazon,Facebook,Microsoft,Goldman Sachs,Adobe,Google,Apple,Yahoo,Salesforce,tcs</t>
  </si>
  <si>
    <t>VMware,Walmart Labs,ByteDance,Flipkart,Bloomberg,Amazon,Facebook,Microsoft,Goldman Sachs,Adobe,Google,Apple,Yahoo,Salesforce,tcs</t>
  </si>
  <si>
    <t>Regular Expression Matching</t>
  </si>
  <si>
    <t>Backtracking,Dynamic Programming,String</t>
  </si>
  <si>
    <t>Cloudera,Goldman Sachs,Databricks,Pocket Gems,Palantir Technologies,Coursera,Cruise Automation,Zulily,Houzz,Flipkart,ByteDance,Twitter,Oracle,Lyft,EBay,Apple,Airbnb,Uber,Bloomberg,Adobe,Facebook,Amazon,Microsoft,Alibaba,Google</t>
  </si>
  <si>
    <t>Facebook,Amazon,Coursera,Microsoft,Apple,Google,Adobe,Goldman Sachs</t>
  </si>
  <si>
    <t>Bloomberg,Uber,eBay,Databricks,Facebook,Amazon,Coursera,Microsoft,Apple,Google,Adobe,Goldman Sachs</t>
  </si>
  <si>
    <t>Lyft,Oracle,Twitter,Pocket Gems,Cloudera,Airbnb,Bloomberg,Uber,eBay,Databricks,Facebook,Amazon,Coursera,Microsoft,Apple,Google,Adobe,Goldman Sachs</t>
  </si>
  <si>
    <t>Palindrome Number</t>
  </si>
  <si>
    <t>SAP,JPMorgan,Oracle,Apple,Yahoo,Bloomberg,Adobe,Facebook,Amazon,Microsoft,Goldman Sachs,Google</t>
  </si>
  <si>
    <t>Microsoft,Adobe,Bloomberg,Facebook,Google,Yahoo</t>
  </si>
  <si>
    <t>Apple,Microsoft,Adobe,Bloomberg,Facebook,Google,Yahoo</t>
  </si>
  <si>
    <t>Amazon,Oracle,SAP,Apple,Microsoft,Adobe,Bloomberg,Facebook,Google,Yahoo</t>
  </si>
  <si>
    <t>String to Integer (atoi)</t>
  </si>
  <si>
    <t>Salesforce,Intel,Citrix,Redfin,VMware,Citadel,Zillow,Nvidia,Oracle,Cisco,EBay,Apple,Uber,Tencent,SAP,Bloomberg,Adobe,Facebook,Amazon,LinkedIn,Microsoft,Goldman Sachs,Google</t>
  </si>
  <si>
    <t>Facebook,Amazon,Microsoft,Apple,Google,Goldman Sachs,Adobe,Bloomberg,Intel</t>
  </si>
  <si>
    <t>Cisco,eBay,VMware,Oracle,Facebook,Amazon,Microsoft,Apple,Google,Goldman Sachs,Adobe,Bloomberg,Intel</t>
  </si>
  <si>
    <t>LinkedIn,SAP,Uber,Salesforce,Cisco,eBay,VMware,Oracle,Facebook,Amazon,Microsoft,Apple,Google,Goldman Sachs,Adobe,Bloomberg,Intel</t>
  </si>
  <si>
    <t>Reverse Integer</t>
  </si>
  <si>
    <t>American Express,ByteDance,EBay,Barclays,JPMorgan,Oracle,NetEase,Lyft,Cisco,Apple,Uber,Yahoo,Bloomberg,Adobe,Facebook,Amazon,Microsoft,Google</t>
  </si>
  <si>
    <t>Amazon,Google,Facebook,Apple,American Express,Microsoft,Adobe,Uber,Bloomberg</t>
  </si>
  <si>
    <t>Yahoo,ByteDance,Amazon,Google,Facebook,Apple,American Express,Microsoft,Adobe,Uber,Bloomberg</t>
  </si>
  <si>
    <t>Oracle,eBay,Lyft,Cisco,Yahoo,ByteDance,Amazon,Google,Facebook,Apple,American Express,Microsoft,Adobe,Uber,Bloomberg</t>
  </si>
  <si>
    <t>ZigZag Conversion</t>
  </si>
  <si>
    <t>EBay,Uber,Paypal,Wish,Apple,Bloomberg,Adobe,Facebook,Amazon,Microsoft,Google</t>
  </si>
  <si>
    <t>Adobe,Bloomberg</t>
  </si>
  <si>
    <t>Amazon,Paypal,Facebook,eBay,Microsoft,Adobe,Bloomberg</t>
  </si>
  <si>
    <t>Apple,Google,Uber,Wish,Amazon,Paypal,Facebook,eBay,Microsoft,Adobe,Bloomberg</t>
  </si>
  <si>
    <t>Longest Palindromic Substring</t>
  </si>
  <si>
    <t>Nutanix,Robinhood,Tcs,Infosys,ByteDance,Qualcomm,Morgan Stanley,Goldman Sachs,Wayfair,Pure Storage,Roblox,VMware,Walmart Labs,GoDaddy,JPMorgan,Paypal,ServiceNow,Oracle,Cisco,Mathworks,Yandex,Huawei,EBay,Apple,Airbnb,Uber,Yahoo,Samsung,Tencent,SAP,Bloomberg,Adobe,Facebook,Amazon,Microsoft,Alibaba,Google</t>
  </si>
  <si>
    <t>Amazon,Microsoft,Wayfair,Facebook,Google,Adobe,eBay,Oracle,Bloomberg,Goldman Sachs,Apple,Yandex,Qualcomm</t>
  </si>
  <si>
    <t>Cisco,Nutanix,Uber,Walmart Labs,Paypal,Morgan Stanley,Infosys,tcs,Amazon,Microsoft,Wayfair,Facebook,Google,Adobe,eBay,Oracle,Bloomberg,Goldman Sachs,Apple,Yandex,Qualcomm</t>
  </si>
  <si>
    <t>Yahoo,SAP,ServiceNow,Samsung,Tencent,VMware,Huawei,Airbnb,Mathworks,ByteDance,Robinhood,Cisco,Nutanix,Uber,Walmart Labs,Paypal,Morgan Stanley,Infosys,tcs,Amazon,Microsoft,Wayfair,Facebook,Google,Adobe,eBay,Oracle,Bloomberg,Goldman Sachs,Apple,Yandex,Qualcomm</t>
  </si>
  <si>
    <t>Median of Two Sorted Arrays</t>
  </si>
  <si>
    <t>Divide and Conquer,Binary Search,Array</t>
  </si>
  <si>
    <t>Wish,Reddit,Flipkart,Paypal,Intuit,Zulily,Garena,Rubrik,Houzz,Two Sigma,Zenefits,ByteDance,Visa,VMware,Walmart Labs,Dropbox,GoDaddy,JPMorgan,Zillow,Oracle,DiDi,Yandex,Huawei,EBay,Baidu,Apple,Airbnb,Uber,Yahoo,Tencent,Bloomberg,Adobe,Facebook,Amazon,Microsoft,Alibaba,Goldman Sachs,Google</t>
  </si>
  <si>
    <t>Amazon,Goldman Sachs,Apple,Adobe,Microsoft,Facebook,Bloomberg,Uber,Zillow,Flipkart,Wish</t>
  </si>
  <si>
    <t>Google,ByteDance,Paypal,Amazon,Goldman Sachs,Apple,Adobe,Microsoft,Facebook,Bloomberg,Uber,Zillow,Flipkart,Wish</t>
  </si>
  <si>
    <t>Oracle,Yahoo,eBay,Visa,VMware,Yandex,GoDaddy,Zulily,Reddit,Intuit,Zenefits,Dropbox,Google,ByteDance,Paypal,Amazon,Goldman Sachs,Apple,Adobe,Microsoft,Facebook,Bloomberg,Uber,Zillow,Flipkart,Wish</t>
  </si>
  <si>
    <t>Longest Substring Without Repeating Characters</t>
  </si>
  <si>
    <t>American Express,Tcs,PayTM,Infosys,Splunk,Nagarro,Intuit,Morgan Stanley,Coupang,Atlassian,Twitch,Alation,ByteDance,Salesforce,VMware,Walmart Labs,Snapchat,Zillow,Paypal,Expedia,Yelp,Zoho,Oracle,Spotify,Cisco,Yandex,Huawei,EBay,Baidu,Apple,Uber,Yahoo,Samsung,Tencent,SAP,Bloomberg,Adobe,Facebook,Amazon,Microsoft,Alibaba,Goldman Sachs,Google</t>
  </si>
  <si>
    <t>Amazon,Bloomberg,Microsoft,Facebook,Goldman Sachs,Google,Adobe,eBay,Apple,Alation,Uber,VMware,Oracle,ByteDance,PayTM,Yahoo,Salesforce,Splunk,Nagarro</t>
  </si>
  <si>
    <t>Spotify,Cisco,Coupang,Morgan Stanley,Expedia,Walmart Labs,SAP,Yandex,Atlassian,tcs,Amazon,Bloomberg,Microsoft,Facebook,Goldman Sachs,Google,Adobe,eBay,Apple,Alation,Uber,VMware,Oracle,ByteDance,PayTM,Yahoo,Salesforce,Splunk,Nagarro</t>
  </si>
  <si>
    <t>Huawei,Zillow,Samsung,Zoho,Infosys,Alibaba,Paypal,Intuit,American Express,Yelp,Spotify,Cisco,Coupang,Morgan Stanley,Expedia,Walmart Labs,SAP,Yandex,Atlassian,tcs,Amazon,Bloomberg,Microsoft,Facebook,Goldman Sachs,Google,Adobe,eBay,Apple,Alation,Uber,VMware,Oracle,ByteDance,PayTM,Yahoo,Salesforce,Splunk,Nagarro</t>
  </si>
  <si>
    <t>Add Two Numbers</t>
  </si>
  <si>
    <t>Recursion,Math,Linked List</t>
  </si>
  <si>
    <t>Coupang,Docusign,Tcs,PayTM,Walmart Labs,Dell,Redfin,Flipkart,Grab,ByteDance,Qualcomm,Capital One,Salesforce,Intel,VMware,GoDaddy,Paypal,ServiceNow,Wish,Nvidia,Zoho,Oracle,IBM,Lyft,Cisco,Mathworks,Yandex,Huawei,EBay,Baidu,Apple,Airbnb,Uber,Yahoo,SAP,Aetion,Bloomberg,Adobe,Facebook,Amazon,Microsoft,Alibaba,Google</t>
  </si>
  <si>
    <t>Bloomberg,Microsoft,Amazon,Adobe,Facebook,Apple,Google,Uber,Oracle,Coupang,VMware,Paypal</t>
  </si>
  <si>
    <t>Yahoo,Docusign,ByteDance,eBay,Walmart Labs,tcs,Bloomberg,Microsoft,Amazon,Adobe,Facebook,Apple,Google,Uber,Oracle,Coupang,VMware,Paypal</t>
  </si>
  <si>
    <t>Cisco,Yandex,ServiceNow,Qualcomm,Zoho,Huawei,Salesforce,Lyft,Capital One,Grab,PayTM,Airbnb,Yahoo,Docusign,ByteDance,eBay,Walmart Labs,tcs,Bloomberg,Microsoft,Amazon,Adobe,Facebook,Apple,Google,Uber,Oracle,Coupang,VMware,Paypal</t>
  </si>
  <si>
    <t>Two Sum</t>
  </si>
  <si>
    <t>Tcs,Directi,Hotstar,Accolite,Poshmark,PayTM,Infosys,Zulily,HBO,Cloudera,Citrix,Nagarro,Roblox,Audible,Splunk,ByteDance,FactSet,Twilio,Qualcomm,GE Digital,Capital One,EMC,Deutsche Bank,Tableau,Salesforce,Groupon,Zynga,Intel,Booking.com,Drawbridge,Visa,VMware,Box,Citadel,Quora,Affirm,Walmart Labs,Dropbox,GoDaddy,Snapchat,MAQ Software,Indeed,Radius,Works Applications,JPMorgan,Zillow,Paypal,Twitter,ServiceNow,Expedia,Wish,Yelp,Nvidia,Zoho,Oracle,NetEase,Spotify,Intuit,IBM,Lyft,Cisco,Mathworks,DiDi,Yandex,Huawei,EBay,BlackRock,Baidu,Valve,Apple,Airbnb,Uber,Yahoo,Samsung,Tencent,SAP,Morgan Stanley,Aetion,Bloomberg,Adobe,Facebook,Amazon,LinkedIn,Microsoft,Alibaba,Goldman Sachs,Google</t>
  </si>
  <si>
    <t>Amazon,Google,Apple,Microsoft,Adobe,Bloomberg,Facebook,Oracle,Uber,Expedia,Twitter,Yahoo,Cisco,Nagarro,Goldman Sachs,SAP,Yandex,Intuit,Qualcomm,ByteDance,HBO,tcs</t>
  </si>
  <si>
    <t>eBay,Paypal,Walmart Labs,VMware,Samsung,ServiceNow,Infosys,Accolite,Alibaba,Airbnb,Citrix,Cloudera,Intel,Groupon,Salesforce,PayTM,Poshmark,Amazon,Google,Apple,Microsoft,Adobe,Bloomberg,Facebook,Oracle,Uber,Expedia,Twitter,Yahoo,Cisco,Nagarro,Goldman Sachs,SAP,Yandex,Intuit,Qualcomm,ByteDance,HBO,tcs</t>
  </si>
  <si>
    <t>LinkedIn,Splunk,Huawei,Nvidia,Visa,Morgan Stanley,JPMorgan,FactSet,Hotstar,Tencent,Mathworks,IBM,Zillow,GoDaddy,Audible,Spotify,Zoho,Citadel,Tableau,Roblox,Zulily,Directi,Yelp,Dropbox,eBay,Paypal,Walmart Labs,VMware,Samsung,ServiceNow,Infosys,Accolite,Alibaba,Airbnb,Citrix,Cloudera,Intel,Groupon,Salesforce,PayTM,Poshmark,Amazon,Google,Apple,Microsoft,Adobe,Bloomberg,Facebook,Oracle,Uber,Expedia,Twitter,Yahoo,Cisco,Nagarro,Goldman Sachs,SAP,Yandex,Intuit,Qualcomm,ByteDance,HBO,tcs</t>
  </si>
  <si>
    <t>分类类别</t>
  </si>
  <si>
    <t>顺序</t>
  </si>
  <si>
    <t>此分类表来源：https://cspiration.com/leetcodeClassification</t>
  </si>
  <si>
    <t>LinkedList</t>
  </si>
  <si>
    <t>Matrix</t>
  </si>
  <si>
    <t>DFS &amp; BFS</t>
  </si>
  <si>
    <t>PriorityQueue</t>
  </si>
  <si>
    <t>Topological Sort</t>
  </si>
  <si>
    <t>备注</t>
  </si>
  <si>
    <t>此分类表来源：https://github.com/wisdompeak/LeetCode</t>
  </si>
  <si>
    <t>Distinct Characters</t>
  </si>
  <si>
    <t>Binary Search by Value</t>
  </si>
  <si>
    <t>Hash+Prefix</t>
  </si>
  <si>
    <t>LCA</t>
  </si>
  <si>
    <t>N-ary Tree</t>
  </si>
  <si>
    <t>似树非树</t>
  </si>
  <si>
    <t>Binary Index Tree</t>
  </si>
  <si>
    <t>monotonic stack</t>
  </si>
  <si>
    <t>parse expression</t>
  </si>
  <si>
    <t>Deque</t>
  </si>
  <si>
    <t>Priority Queue</t>
  </si>
  <si>
    <t>Sort+PQ</t>
  </si>
  <si>
    <t>Arrangement</t>
  </si>
  <si>
    <t>DFS</t>
  </si>
  <si>
    <t>search in an array</t>
  </si>
  <si>
    <t>memorization</t>
  </si>
  <si>
    <t>BFS</t>
  </si>
  <si>
    <t>拓扑排序</t>
  </si>
  <si>
    <t>Dijkstra (BFS+PQ)</t>
  </si>
  <si>
    <t>LIS</t>
  </si>
  <si>
    <t>Left/Right/Merge</t>
  </si>
  <si>
    <t>Indexing Sort</t>
  </si>
  <si>
    <t>Parenthesis</t>
  </si>
  <si>
    <t>Intervals</t>
  </si>
  <si>
    <t>基本型 I</t>
  </si>
  <si>
    <t>基本型 II</t>
  </si>
  <si>
    <t>走迷宫型</t>
  </si>
  <si>
    <t>背包型</t>
  </si>
  <si>
    <t>键盘型</t>
  </si>
  <si>
    <t>区间型 I</t>
  </si>
  <si>
    <t>区间型 II</t>
  </si>
  <si>
    <t>双序列型</t>
  </si>
  <si>
    <t>状态压缩DP</t>
  </si>
  <si>
    <t>Catalan</t>
  </si>
  <si>
    <t>XOR</t>
  </si>
  <si>
    <t>Bit Mask</t>
  </si>
  <si>
    <t>Rolling Hash</t>
  </si>
  <si>
    <t>KMP</t>
  </si>
  <si>
    <t>MST</t>
  </si>
  <si>
    <t>Min-Max Strategy</t>
  </si>
  <si>
    <t>Distances</t>
  </si>
  <si>
    <t>Random Pick</t>
  </si>
  <si>
    <t>Combinatorics</t>
  </si>
  <si>
    <t>Others</t>
  </si>
  <si>
    <t>扫描线 / 差分数组</t>
  </si>
  <si>
    <t>Brute Force</t>
  </si>
  <si>
    <t>A-1</t>
  </si>
  <si>
    <t>Two Number Sum</t>
  </si>
  <si>
    <t>A-2</t>
  </si>
  <si>
    <t>Validate Subsequence</t>
  </si>
  <si>
    <t>A-3</t>
  </si>
  <si>
    <t>Three Number Sum</t>
  </si>
  <si>
    <t>A-4</t>
  </si>
  <si>
    <t>Smallest Difference</t>
  </si>
  <si>
    <t>A-5</t>
  </si>
  <si>
    <t>Move Element To End</t>
  </si>
  <si>
    <t>A-6</t>
  </si>
  <si>
    <t>A-7</t>
  </si>
  <si>
    <t>Spiral Traverse</t>
  </si>
  <si>
    <t>A-8</t>
  </si>
  <si>
    <t>Longest Peak</t>
  </si>
  <si>
    <t>A-9</t>
  </si>
  <si>
    <t>Four Number Sum</t>
  </si>
  <si>
    <t>A-10</t>
  </si>
  <si>
    <t>Subarray Sort</t>
  </si>
  <si>
    <t>A-11</t>
  </si>
  <si>
    <t>Largest Range</t>
  </si>
  <si>
    <t>A-12</t>
  </si>
  <si>
    <t>Min Rewards</t>
  </si>
  <si>
    <t>A-13</t>
  </si>
  <si>
    <t>Zigzag Traverse</t>
  </si>
  <si>
    <t>A-14</t>
  </si>
  <si>
    <t>Very Hard</t>
  </si>
  <si>
    <t>Apartment Hunting</t>
  </si>
  <si>
    <t>A-15</t>
  </si>
  <si>
    <t>Calendar Matching</t>
  </si>
  <si>
    <t>A-16</t>
  </si>
  <si>
    <t>Binary Search Trees</t>
  </si>
  <si>
    <t>Find Closest Value In BST</t>
  </si>
  <si>
    <t>A-17</t>
  </si>
  <si>
    <t>BST Construction</t>
  </si>
  <si>
    <t>A-18</t>
  </si>
  <si>
    <t>Validate BST</t>
  </si>
  <si>
    <t>A-19</t>
  </si>
  <si>
    <t>BST Traversal</t>
  </si>
  <si>
    <t>A-20</t>
  </si>
  <si>
    <t>Min Height BST</t>
  </si>
  <si>
    <t>A-21</t>
  </si>
  <si>
    <t>Same BSTs</t>
  </si>
  <si>
    <t>A-22</t>
  </si>
  <si>
    <t>Extremely Hard</t>
  </si>
  <si>
    <t>Right Smaller Than</t>
  </si>
  <si>
    <t>A-23</t>
  </si>
  <si>
    <t>Binary Trees</t>
  </si>
  <si>
    <t>Branch Sums</t>
  </si>
  <si>
    <t>A-24</t>
  </si>
  <si>
    <t>Node Depths</t>
  </si>
  <si>
    <t>A-25</t>
  </si>
  <si>
    <t>A-26</t>
  </si>
  <si>
    <t>Max Path Sum In Binary Tree</t>
  </si>
  <si>
    <t>A-27</t>
  </si>
  <si>
    <t>Iterative In-order Traversal</t>
  </si>
  <si>
    <t>A-28</t>
  </si>
  <si>
    <t>Flatten Binary Tree</t>
  </si>
  <si>
    <t>A-29</t>
  </si>
  <si>
    <t>Right Sibling Tree</t>
  </si>
  <si>
    <t>A-30</t>
  </si>
  <si>
    <t>All Kinds Of Node Depths</t>
  </si>
  <si>
    <t>A-31</t>
  </si>
  <si>
    <t>Max Subset Sum No Adjacent</t>
  </si>
  <si>
    <t>A-32</t>
  </si>
  <si>
    <t>Number Of Ways To Make Change</t>
  </si>
  <si>
    <t>A-33</t>
  </si>
  <si>
    <t>Min Number Of Coins For Change</t>
  </si>
  <si>
    <t>A-34</t>
  </si>
  <si>
    <t>Levenshtein Distance</t>
  </si>
  <si>
    <t>A-35</t>
  </si>
  <si>
    <t>Max Sum Increasing Subsequence</t>
  </si>
  <si>
    <t>A-36</t>
  </si>
  <si>
    <t>A-37</t>
  </si>
  <si>
    <t>Min Number Of Jumps</t>
  </si>
  <si>
    <t>A-38</t>
  </si>
  <si>
    <t>Water Area</t>
  </si>
  <si>
    <t>A-39</t>
  </si>
  <si>
    <t>Knapsack Problem</t>
  </si>
  <si>
    <t>A-40</t>
  </si>
  <si>
    <t>Disk Stacking</t>
  </si>
  <si>
    <t>A-41</t>
  </si>
  <si>
    <t>Numbers In Pi</t>
  </si>
  <si>
    <t>A-42</t>
  </si>
  <si>
    <t>Max Profit With K Transactions</t>
  </si>
  <si>
    <t>A-43</t>
  </si>
  <si>
    <t>Palindrome Partitioning Min Cuts</t>
  </si>
  <si>
    <t>A-44</t>
  </si>
  <si>
    <t>A-45</t>
  </si>
  <si>
    <t>A-46</t>
  </si>
  <si>
    <t>Square of Zeroes</t>
  </si>
  <si>
    <t>A-47</t>
  </si>
  <si>
    <t>Famous Algorithms</t>
  </si>
  <si>
    <t>Kadane's Algorithm</t>
  </si>
  <si>
    <t>A-48</t>
  </si>
  <si>
    <t>A-49</t>
  </si>
  <si>
    <t>Knuth—Morris—Pratt Algorithm</t>
  </si>
  <si>
    <t>A-50</t>
  </si>
  <si>
    <t>Graphs</t>
  </si>
  <si>
    <t>Depth-first Search</t>
  </si>
  <si>
    <t>A-51</t>
  </si>
  <si>
    <t>Single Cycle Check</t>
  </si>
  <si>
    <t>A-52</t>
  </si>
  <si>
    <t>Breadth-first Search</t>
  </si>
  <si>
    <t>A-53</t>
  </si>
  <si>
    <t>River Sizes</t>
  </si>
  <si>
    <t>A-54</t>
  </si>
  <si>
    <t>Youngest Common Ancestor</t>
  </si>
  <si>
    <t>A-55</t>
  </si>
  <si>
    <t>Boggle Board</t>
  </si>
  <si>
    <t>A-56</t>
  </si>
  <si>
    <t>Rectangle Mania</t>
  </si>
  <si>
    <t>A-57</t>
  </si>
  <si>
    <t>Airport Connections</t>
  </si>
  <si>
    <t>A-58</t>
  </si>
  <si>
    <t>Heaps</t>
  </si>
  <si>
    <t>Min Heap Construction</t>
  </si>
  <si>
    <t>A-59</t>
  </si>
  <si>
    <t>Continuous Median</t>
  </si>
  <si>
    <t>A-60</t>
  </si>
  <si>
    <t>Merge Sorted Arrays</t>
  </si>
  <si>
    <t>A-61</t>
  </si>
  <si>
    <t>Linked Lists</t>
  </si>
  <si>
    <t>Linked List Construction</t>
  </si>
  <si>
    <t>A-62</t>
  </si>
  <si>
    <t>Remove Kth Node From End</t>
  </si>
  <si>
    <t>A-63</t>
  </si>
  <si>
    <t>Find Loop</t>
  </si>
  <si>
    <t>A-64</t>
  </si>
  <si>
    <t>A-65</t>
  </si>
  <si>
    <t>Merge Linked Lists</t>
  </si>
  <si>
    <t>A-66</t>
  </si>
  <si>
    <t>Shift Linked List</t>
  </si>
  <si>
    <t>A-67</t>
  </si>
  <si>
    <t>A-68</t>
  </si>
  <si>
    <t>Rearrange Linked List</t>
  </si>
  <si>
    <t>A-69</t>
  </si>
  <si>
    <t>Nth Fibonacci</t>
  </si>
  <si>
    <t>A-70</t>
  </si>
  <si>
    <t>Product Sum</t>
  </si>
  <si>
    <t>A-71</t>
  </si>
  <si>
    <t>A-72</t>
  </si>
  <si>
    <t>Powerset</t>
  </si>
  <si>
    <t>A-73</t>
  </si>
  <si>
    <t>Lowest Common Manager</t>
  </si>
  <si>
    <t>A-74</t>
  </si>
  <si>
    <t>Interweaving Strings</t>
  </si>
  <si>
    <t>A-75</t>
  </si>
  <si>
    <t>Number Of Binary Tree Topologies</t>
  </si>
  <si>
    <t>A-76</t>
  </si>
  <si>
    <t>Searching</t>
  </si>
  <si>
    <t>A-77</t>
  </si>
  <si>
    <t>Find Three Largest Numbers</t>
  </si>
  <si>
    <t>A-78</t>
  </si>
  <si>
    <t>Search In Sorted Matrix</t>
  </si>
  <si>
    <t>A-79</t>
  </si>
  <si>
    <t>Shifted Binary Search</t>
  </si>
  <si>
    <t>A-80</t>
  </si>
  <si>
    <t>Search For Range</t>
  </si>
  <si>
    <t>A-81</t>
  </si>
  <si>
    <t>Quickselect</t>
  </si>
  <si>
    <t>A-82</t>
  </si>
  <si>
    <t>Sorting</t>
  </si>
  <si>
    <t>Bubble Sort</t>
  </si>
  <si>
    <t>A-83</t>
  </si>
  <si>
    <t>Insertion Sort</t>
  </si>
  <si>
    <t>A-84</t>
  </si>
  <si>
    <t>Selection Sort</t>
  </si>
  <si>
    <t>A-85</t>
  </si>
  <si>
    <t>Quick Sort</t>
  </si>
  <si>
    <t>A-86</t>
  </si>
  <si>
    <t>Heap Sort</t>
  </si>
  <si>
    <t>A-87</t>
  </si>
  <si>
    <t>Merge Sort</t>
  </si>
  <si>
    <t>A-88</t>
  </si>
  <si>
    <t>Stacks</t>
  </si>
  <si>
    <t>Min Max Stack Construction</t>
  </si>
  <si>
    <t>A-89</t>
  </si>
  <si>
    <t>Balanced Brackets</t>
  </si>
  <si>
    <t>A-90</t>
  </si>
  <si>
    <t>Shorten Path</t>
  </si>
  <si>
    <t>A-91</t>
  </si>
  <si>
    <t>Strings</t>
  </si>
  <si>
    <t>Palindrome Check</t>
  </si>
  <si>
    <t>A-92</t>
  </si>
  <si>
    <t>Caesar Cipher Encryptor</t>
  </si>
  <si>
    <t>A-93</t>
  </si>
  <si>
    <t>A-94</t>
  </si>
  <si>
    <t>A-95</t>
  </si>
  <si>
    <t>Longest Substring Without Duplication</t>
  </si>
  <si>
    <t>A-96</t>
  </si>
  <si>
    <t>Underscorify Substring</t>
  </si>
  <si>
    <t>A-97</t>
  </si>
  <si>
    <t>Pattern Matcher</t>
  </si>
  <si>
    <t>A-98</t>
  </si>
  <si>
    <t>Smallest Substring Containing</t>
  </si>
  <si>
    <t>A-99</t>
  </si>
  <si>
    <t>Tries</t>
  </si>
  <si>
    <t>Suffix Trie Construction</t>
  </si>
  <si>
    <t>A-100</t>
  </si>
  <si>
    <t>Multi String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</si>
</sst>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-d"/>
    <numFmt numFmtId="165" formatCode="yyyy-M-d"/>
    <numFmt numFmtId="166" formatCode="yyyy/mm/dd"/>
  </numFmts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212529"/>
      <name val="-apple-system"/>
    </font>
    <font>
      <b/>
      <sz val="24.0"/>
      <color theme="1"/>
      <name val="Arial"/>
      <scheme val="minor"/>
    </font>
    <font/>
    <font>
      <sz val="12.0"/>
      <color theme="1"/>
      <name val="Arial"/>
      <scheme val="minor"/>
    </font>
    <font>
      <color rgb="FF212529"/>
      <name val="Arial"/>
    </font>
    <font>
      <b/>
      <color rgb="FF212529"/>
      <name val="Arial"/>
    </font>
    <font>
      <b/>
      <sz val="11.0"/>
      <color rgb="FF000000"/>
      <name val="等线"/>
    </font>
    <font>
      <u/>
      <color rgb="FF0000FF"/>
    </font>
    <font>
      <b/>
      <sz val="11.0"/>
      <color rgb="FF000000"/>
      <name val="Arial"/>
    </font>
    <font>
      <sz val="11.0"/>
      <color rgb="FF000000"/>
      <name val="Arial"/>
    </font>
    <font>
      <u/>
      <sz val="12.0"/>
      <color rgb="FF000000"/>
      <name val="Calibri"/>
    </font>
    <font>
      <u/>
      <color rgb="FF1155CC"/>
      <name val="Arial"/>
    </font>
    <font>
      <u/>
      <color rgb="FF0000FF"/>
      <name val="Arial"/>
    </font>
    <font>
      <color rgb="FF212529"/>
      <name val="-apple-system"/>
    </font>
    <font>
      <u/>
      <color rgb="FF333333"/>
      <name val="-apple-system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1" fillId="0" fontId="6" numFmtId="0" xfId="0" applyAlignment="1" applyBorder="1" applyFont="1">
      <alignment horizontal="center" readingOrder="0" vertical="center"/>
    </xf>
    <xf borderId="2" fillId="0" fontId="7" numFmtId="0" xfId="0" applyBorder="1" applyFont="1"/>
    <xf borderId="3" fillId="0" fontId="7" numFmtId="0" xfId="0" applyBorder="1" applyFont="1"/>
    <xf borderId="0" fillId="0" fontId="8" numFmtId="0" xfId="0" applyAlignment="1" applyFont="1">
      <alignment horizontal="center" readingOrder="0" vertical="center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Alignment="1" applyBorder="1" applyFont="1">
      <alignment readingOrder="0"/>
    </xf>
    <xf borderId="13" fillId="2" fontId="2" numFmtId="0" xfId="0" applyBorder="1" applyFont="1"/>
    <xf borderId="14" fillId="0" fontId="1" numFmtId="0" xfId="0" applyAlignment="1" applyBorder="1" applyFont="1">
      <alignment readingOrder="0"/>
    </xf>
    <xf borderId="15" fillId="2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readingOrder="0"/>
    </xf>
    <xf borderId="13" fillId="2" fontId="2" numFmtId="0" xfId="0" applyAlignment="1" applyBorder="1" applyFont="1">
      <alignment horizontal="left" readingOrder="0" vertical="center"/>
    </xf>
    <xf borderId="13" fillId="2" fontId="2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Alignment="1" applyBorder="1" applyFont="1">
      <alignment horizontal="left" vertical="center"/>
    </xf>
    <xf borderId="0" fillId="0" fontId="9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0"/>
    </xf>
    <xf borderId="0" fillId="0" fontId="12" numFmtId="0" xfId="0" applyFont="1"/>
    <xf borderId="17" fillId="0" fontId="1" numFmtId="0" xfId="0" applyAlignment="1" applyBorder="1" applyFont="1">
      <alignment readingOrder="0"/>
    </xf>
    <xf borderId="17" fillId="2" fontId="2" numFmtId="0" xfId="0" applyAlignment="1" applyBorder="1" applyFont="1">
      <alignment readingOrder="0"/>
    </xf>
    <xf borderId="16" fillId="2" fontId="2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0" fillId="0" fontId="10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166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14" numFmtId="0" xfId="0" applyAlignment="1" applyFont="1">
      <alignment horizontal="right" readingOrder="0" vertical="bottom"/>
    </xf>
    <xf borderId="0" fillId="0" fontId="1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8" fillId="0" fontId="4" numFmtId="0" xfId="0" applyAlignment="1" applyBorder="1" applyFont="1">
      <alignment readingOrder="0" vertical="bottom"/>
    </xf>
    <xf borderId="18" fillId="0" fontId="4" numFmtId="0" xfId="0" applyAlignment="1" applyBorder="1" applyFont="1">
      <alignment readingOrder="0" vertical="bottom"/>
    </xf>
    <xf borderId="0" fillId="0" fontId="16" numFmtId="0" xfId="0" applyAlignment="1" applyFont="1">
      <alignment readingOrder="0" vertical="bottom"/>
    </xf>
    <xf borderId="18" fillId="0" fontId="4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0" fillId="0" fontId="17" numFmtId="0" xfId="0" applyAlignment="1" applyFont="1">
      <alignment readingOrder="0" vertical="bottom"/>
    </xf>
    <xf borderId="18" fillId="0" fontId="4" numFmtId="0" xfId="0" applyAlignment="1" applyBorder="1" applyFont="1">
      <alignment readingOrder="0" shrinkToFit="0" vertical="bottom" wrapText="0"/>
    </xf>
    <xf borderId="18" fillId="0" fontId="4" numFmtId="0" xfId="0" applyAlignment="1" applyBorder="1" applyFont="1">
      <alignment vertical="bottom"/>
    </xf>
    <xf borderId="0" fillId="0" fontId="18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19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20" numFmtId="0" xfId="0" applyAlignment="1" applyFont="1">
      <alignment horizontal="left" readingOrder="0" shrinkToFit="0" vertical="center" wrapText="0"/>
    </xf>
    <xf borderId="0" fillId="0" fontId="21" numFmtId="0" xfId="0" applyAlignment="1" applyFont="1">
      <alignment horizontal="center" vertical="center"/>
    </xf>
    <xf borderId="0" fillId="0" fontId="5" numFmtId="0" xfId="0" applyAlignment="1" applyFon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0" fillId="0" fontId="2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water-and-jug-problem/description/" TargetMode="External"/><Relationship Id="rId42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longest-palindrome/description/" TargetMode="External"/><Relationship Id="rId44" Type="http://schemas.openxmlformats.org/officeDocument/2006/relationships/hyperlink" Target="https://leetcode.com/problems/string-compression/description/" TargetMode="External"/><Relationship Id="rId43" Type="http://schemas.openxmlformats.org/officeDocument/2006/relationships/hyperlink" Target="https://leetcode.com/problems/find-all-duplicates-in-an-array/description/" TargetMode="External"/><Relationship Id="rId46" Type="http://schemas.openxmlformats.org/officeDocument/2006/relationships/hyperlink" Target="https://leetcode.com/problems/smallest-range-covering-elements-from-k-lists/description/" TargetMode="External"/><Relationship Id="rId45" Type="http://schemas.openxmlformats.org/officeDocument/2006/relationships/hyperlink" Target="https://leetcode.com/problems/permutation-in-string/description/" TargetMode="External"/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add-two-numbers/description/" TargetMode="External"/><Relationship Id="rId3" Type="http://schemas.openxmlformats.org/officeDocument/2006/relationships/hyperlink" Target="https://leetcode.com/problems/reverse-integer/description/" TargetMode="External"/><Relationship Id="rId4" Type="http://schemas.openxmlformats.org/officeDocument/2006/relationships/hyperlink" Target="https://leetcode.com/problems/regular-expression-matching/description/" TargetMode="External"/><Relationship Id="rId9" Type="http://schemas.openxmlformats.org/officeDocument/2006/relationships/hyperlink" Target="https://leetcode.com/problems/generate-parentheses/description/" TargetMode="External"/><Relationship Id="rId48" Type="http://schemas.openxmlformats.org/officeDocument/2006/relationships/hyperlink" Target="https://leetcode.com/problems/find-duplicate-subtrees/description/" TargetMode="External"/><Relationship Id="rId47" Type="http://schemas.openxmlformats.org/officeDocument/2006/relationships/hyperlink" Target="https://leetcode.com/problems/design-search-autocomplete-system/description/" TargetMode="External"/><Relationship Id="rId49" Type="http://schemas.openxmlformats.org/officeDocument/2006/relationships/hyperlink" Target="https://leetcode.com/problems/top-k-frequent-words/description/" TargetMode="External"/><Relationship Id="rId5" Type="http://schemas.openxmlformats.org/officeDocument/2006/relationships/hyperlink" Target="https://leetcode.com/problems/container-with-most-water/description/" TargetMode="External"/><Relationship Id="rId6" Type="http://schemas.openxmlformats.org/officeDocument/2006/relationships/hyperlink" Target="https://leetcode.com/problems/letter-combinations-of-a-phone-number/description/" TargetMode="External"/><Relationship Id="rId7" Type="http://schemas.openxmlformats.org/officeDocument/2006/relationships/hyperlink" Target="https://leetcode.com/problems/valid-parentheses/description/" TargetMode="External"/><Relationship Id="rId8" Type="http://schemas.openxmlformats.org/officeDocument/2006/relationships/hyperlink" Target="https://leetcode.com/problems/merge-two-sorted-lists/description/" TargetMode="External"/><Relationship Id="rId31" Type="http://schemas.openxmlformats.org/officeDocument/2006/relationships/hyperlink" Target="https://leetcode.com/problems/product-of-array-except-self/description/" TargetMode="External"/><Relationship Id="rId30" Type="http://schemas.openxmlformats.org/officeDocument/2006/relationships/hyperlink" Target="https://leetcode.com/problems/number-of-islands/description/" TargetMode="External"/><Relationship Id="rId33" Type="http://schemas.openxmlformats.org/officeDocument/2006/relationships/hyperlink" Target="https://leetcode.com/problems/meeting-rooms-ii/description/" TargetMode="External"/><Relationship Id="rId32" Type="http://schemas.openxmlformats.org/officeDocument/2006/relationships/hyperlink" Target="https://leetcode.com/problems/sliding-window-maximum/description/" TargetMode="External"/><Relationship Id="rId35" Type="http://schemas.openxmlformats.org/officeDocument/2006/relationships/hyperlink" Target="https://leetcode.com/problems/move-zeroes/description/" TargetMode="External"/><Relationship Id="rId34" Type="http://schemas.openxmlformats.org/officeDocument/2006/relationships/hyperlink" Target="https://leetcode.com/problems/perfect-squares/description/" TargetMode="External"/><Relationship Id="rId37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range-sum-query-2d-immutable/description/" TargetMode="External"/><Relationship Id="rId39" Type="http://schemas.openxmlformats.org/officeDocument/2006/relationships/hyperlink" Target="https://leetcode.com/problems/intersection-of-two-arrays/description/" TargetMode="External"/><Relationship Id="rId38" Type="http://schemas.openxmlformats.org/officeDocument/2006/relationships/hyperlink" Target="https://leetcode.com/problems/flatten-nested-list-iterator/description/" TargetMode="External"/><Relationship Id="rId20" Type="http://schemas.openxmlformats.org/officeDocument/2006/relationships/hyperlink" Target="https://leetcode.com/problems/merge-sorted-array/description/" TargetMode="External"/><Relationship Id="rId22" Type="http://schemas.openxmlformats.org/officeDocument/2006/relationships/hyperlink" Target="https://leetcode.com/problems/convert-sorted-list-to-binary-search-tree/description/" TargetMode="External"/><Relationship Id="rId21" Type="http://schemas.openxmlformats.org/officeDocument/2006/relationships/hyperlink" Target="https://leetcode.com/problems/decode-ways/description/" TargetMode="External"/><Relationship Id="rId24" Type="http://schemas.openxmlformats.org/officeDocument/2006/relationships/hyperlink" Target="https://leetcode.com/problems/word-ladder-ii/description/" TargetMode="External"/><Relationship Id="rId23" Type="http://schemas.openxmlformats.org/officeDocument/2006/relationships/hyperlink" Target="https://leetcode.com/problems/best-time-to-buy-and-sell-stock/description/" TargetMode="External"/><Relationship Id="rId26" Type="http://schemas.openxmlformats.org/officeDocument/2006/relationships/hyperlink" Target="https://leetcode.com/problems/lru-cache/description/" TargetMode="External"/><Relationship Id="rId25" Type="http://schemas.openxmlformats.org/officeDocument/2006/relationships/hyperlink" Target="https://leetcode.com/problems/word-ladder/description/" TargetMode="External"/><Relationship Id="rId28" Type="http://schemas.openxmlformats.org/officeDocument/2006/relationships/hyperlink" Target="https://leetcode.com/problems/read-n-characters-given-read4-ii-call-multiple-times/description/" TargetMode="External"/><Relationship Id="rId27" Type="http://schemas.openxmlformats.org/officeDocument/2006/relationships/hyperlink" Target="https://leetcode.com/problems/min-stack/description/" TargetMode="External"/><Relationship Id="rId29" Type="http://schemas.openxmlformats.org/officeDocument/2006/relationships/hyperlink" Target="https://leetcode.com/problems/find-peak-element/description/" TargetMode="External"/><Relationship Id="rId51" Type="http://schemas.openxmlformats.org/officeDocument/2006/relationships/hyperlink" Target="https://leetcode.com/problems/max-stack/description/" TargetMode="External"/><Relationship Id="rId50" Type="http://schemas.openxmlformats.org/officeDocument/2006/relationships/hyperlink" Target="https://leetcode.com/problems/number-of-distinct-islands/description/" TargetMode="External"/><Relationship Id="rId53" Type="http://schemas.openxmlformats.org/officeDocument/2006/relationships/hyperlink" Target="https://leetcode.com/problems/time-based-key-value-store/description/" TargetMode="External"/><Relationship Id="rId52" Type="http://schemas.openxmlformats.org/officeDocument/2006/relationships/hyperlink" Target="https://leetcode.com/problems/asteroid-collision/description/" TargetMode="External"/><Relationship Id="rId11" Type="http://schemas.openxmlformats.org/officeDocument/2006/relationships/hyperlink" Target="https://leetcode.com/problems/swap-nodes-in-pairs/description/" TargetMode="External"/><Relationship Id="rId55" Type="http://schemas.openxmlformats.org/officeDocument/2006/relationships/drawing" Target="../drawings/drawing6.xml"/><Relationship Id="rId10" Type="http://schemas.openxmlformats.org/officeDocument/2006/relationships/hyperlink" Target="https://leetcode.com/problems/merge-k-sorted-lists/description/" TargetMode="External"/><Relationship Id="rId54" Type="http://schemas.openxmlformats.org/officeDocument/2006/relationships/hyperlink" Target="https://leetcode.com/problems/missing-element-in-sorted-array/description/" TargetMode="External"/><Relationship Id="rId13" Type="http://schemas.openxmlformats.org/officeDocument/2006/relationships/hyperlink" Target="https://leetcode.com/problems/rotate-image/description/" TargetMode="External"/><Relationship Id="rId12" Type="http://schemas.openxmlformats.org/officeDocument/2006/relationships/hyperlink" Target="https://leetcode.com/problems/trapping-rain-water/description/" TargetMode="External"/><Relationship Id="rId15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ext-justification/description/" TargetMode="External"/><Relationship Id="rId17" Type="http://schemas.openxmlformats.org/officeDocument/2006/relationships/hyperlink" Target="https://leetcode.com/problems/subsets/description/" TargetMode="External"/><Relationship Id="rId16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argest-rectangle-in-histogram/description/" TargetMode="External"/><Relationship Id="rId18" Type="http://schemas.openxmlformats.org/officeDocument/2006/relationships/hyperlink" Target="https://leetcode.com/problems/word-search/description/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word-search-ii/description/" TargetMode="External"/><Relationship Id="rId194" Type="http://schemas.openxmlformats.org/officeDocument/2006/relationships/hyperlink" Target="https://leetcode.com/problems/combination-sum-iii/description/" TargetMode="External"/><Relationship Id="rId193" Type="http://schemas.openxmlformats.org/officeDocument/2006/relationships/hyperlink" Target="https://leetcode.com/problems/kth-largest-element-in-an-array/description/" TargetMode="External"/><Relationship Id="rId192" Type="http://schemas.openxmlformats.org/officeDocument/2006/relationships/hyperlink" Target="https://leetcode.com/problems/shortest-palindrome/description/" TargetMode="External"/><Relationship Id="rId191" Type="http://schemas.openxmlformats.org/officeDocument/2006/relationships/hyperlink" Target="https://leetcode.com/problems/house-robber-ii/description/" TargetMode="External"/><Relationship Id="rId187" Type="http://schemas.openxmlformats.org/officeDocument/2006/relationships/hyperlink" Target="https://leetcode.com/problems/minimum-size-subarray-sum/description/" TargetMode="External"/><Relationship Id="rId186" Type="http://schemas.openxmlformats.org/officeDocument/2006/relationships/hyperlink" Target="https://leetcode.com/problems/implement-trie-prefix-tree/description/" TargetMode="External"/><Relationship Id="rId185" Type="http://schemas.openxmlformats.org/officeDocument/2006/relationships/hyperlink" Target="https://leetcode.com/problems/course-schedule/description/" TargetMode="External"/><Relationship Id="rId184" Type="http://schemas.openxmlformats.org/officeDocument/2006/relationships/hyperlink" Target="https://leetcode.com/problems/reverse-linked-list/description/" TargetMode="External"/><Relationship Id="rId189" Type="http://schemas.openxmlformats.org/officeDocument/2006/relationships/hyperlink" Target="https://leetcode.com/problems/design-add-and-search-words-data-structure/description/" TargetMode="External"/><Relationship Id="rId188" Type="http://schemas.openxmlformats.org/officeDocument/2006/relationships/hyperlink" Target="https://leetcode.com/problems/course-schedule-ii/description/" TargetMode="External"/><Relationship Id="rId183" Type="http://schemas.openxmlformats.org/officeDocument/2006/relationships/hyperlink" Target="https://leetcode.com/problems/isomorphic-strings/description/" TargetMode="External"/><Relationship Id="rId182" Type="http://schemas.openxmlformats.org/officeDocument/2006/relationships/hyperlink" Target="https://leetcode.com/problems/count-primes/description/" TargetMode="External"/><Relationship Id="rId181" Type="http://schemas.openxmlformats.org/officeDocument/2006/relationships/hyperlink" Target="https://leetcode.com/problems/remove-linked-list-elements/description/" TargetMode="External"/><Relationship Id="rId180" Type="http://schemas.openxmlformats.org/officeDocument/2006/relationships/hyperlink" Target="https://leetcode.com/problems/happy-number/description/" TargetMode="External"/><Relationship Id="rId176" Type="http://schemas.openxmlformats.org/officeDocument/2006/relationships/hyperlink" Target="https://leetcode.com/problems/tenth-line/description/" TargetMode="External"/><Relationship Id="rId175" Type="http://schemas.openxmlformats.org/officeDocument/2006/relationships/hyperlink" Target="https://leetcode.com/problems/word-frequency/description/" TargetMode="External"/><Relationship Id="rId174" Type="http://schemas.openxmlformats.org/officeDocument/2006/relationships/hyperlink" Target="https://leetcode.com/problems/number-of-1-bits/description/" TargetMode="External"/><Relationship Id="rId173" Type="http://schemas.openxmlformats.org/officeDocument/2006/relationships/hyperlink" Target="https://leetcode.com/problems/reverse-bits/description/" TargetMode="External"/><Relationship Id="rId179" Type="http://schemas.openxmlformats.org/officeDocument/2006/relationships/hyperlink" Target="https://leetcode.com/problems/number-of-islands/description/" TargetMode="External"/><Relationship Id="rId178" Type="http://schemas.openxmlformats.org/officeDocument/2006/relationships/hyperlink" Target="https://leetcode.com/problems/binary-tree-right-side-view/description/" TargetMode="External"/><Relationship Id="rId177" Type="http://schemas.openxmlformats.org/officeDocument/2006/relationships/hyperlink" Target="https://leetcode.com/problems/house-robber/description/" TargetMode="External"/><Relationship Id="rId198" Type="http://schemas.openxmlformats.org/officeDocument/2006/relationships/hyperlink" Target="https://leetcode.com/problems/contains-duplicate-iii/description/" TargetMode="External"/><Relationship Id="rId197" Type="http://schemas.openxmlformats.org/officeDocument/2006/relationships/hyperlink" Target="https://leetcode.com/problems/contains-duplicate-ii/description/" TargetMode="External"/><Relationship Id="rId196" Type="http://schemas.openxmlformats.org/officeDocument/2006/relationships/hyperlink" Target="https://leetcode.com/problems/the-skyline-problem/description/" TargetMode="External"/><Relationship Id="rId195" Type="http://schemas.openxmlformats.org/officeDocument/2006/relationships/hyperlink" Target="https://leetcode.com/problems/contains-duplicate/description/" TargetMode="External"/><Relationship Id="rId199" Type="http://schemas.openxmlformats.org/officeDocument/2006/relationships/hyperlink" Target="https://leetcode.com/problems/maximal-square/description/" TargetMode="External"/><Relationship Id="rId150" Type="http://schemas.openxmlformats.org/officeDocument/2006/relationships/hyperlink" Target="https://leetcode.com/problems/read-n-characters-given-read4-ii-call-multiple-times/description/" TargetMode="External"/><Relationship Id="rId392" Type="http://schemas.openxmlformats.org/officeDocument/2006/relationships/hyperlink" Target="https://leetcode.com/problems/sequence-reconstruction/description/" TargetMode="External"/><Relationship Id="rId391" Type="http://schemas.openxmlformats.org/officeDocument/2006/relationships/hyperlink" Target="https://leetcode.com/problems/string-compression/description/" TargetMode="External"/><Relationship Id="rId390" Type="http://schemas.openxmlformats.org/officeDocument/2006/relationships/hyperlink" Target="https://leetcode.com/problems/find-all-duplicates-in-an-array/description/" TargetMode="External"/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add-two-numbers/description/" TargetMode="External"/><Relationship Id="rId3" Type="http://schemas.openxmlformats.org/officeDocument/2006/relationships/hyperlink" Target="https://leetcode.com/problems/longest-substring-without-repeating-characters/description/" TargetMode="External"/><Relationship Id="rId149" Type="http://schemas.openxmlformats.org/officeDocument/2006/relationships/hyperlink" Target="https://leetcode.com/problems/read-n-characters-given-read4/description/" TargetMode="External"/><Relationship Id="rId4" Type="http://schemas.openxmlformats.org/officeDocument/2006/relationships/hyperlink" Target="https://leetcode.com/problems/median-of-two-sorted-arrays/description/" TargetMode="External"/><Relationship Id="rId148" Type="http://schemas.openxmlformats.org/officeDocument/2006/relationships/hyperlink" Target="https://leetcode.com/problems/binary-tree-upside-down/description/" TargetMode="External"/><Relationship Id="rId9" Type="http://schemas.openxmlformats.org/officeDocument/2006/relationships/hyperlink" Target="https://leetcode.com/problems/palindrome-number/description/" TargetMode="External"/><Relationship Id="rId143" Type="http://schemas.openxmlformats.org/officeDocument/2006/relationships/hyperlink" Target="https://leetcode.com/problems/reverse-words-in-a-string/description/" TargetMode="External"/><Relationship Id="rId385" Type="http://schemas.openxmlformats.org/officeDocument/2006/relationships/hyperlink" Target="https://leetcode.com/problems/all-oone-data-structure/description/" TargetMode="External"/><Relationship Id="rId142" Type="http://schemas.openxmlformats.org/officeDocument/2006/relationships/hyperlink" Target="https://leetcode.com/problems/evaluate-reverse-polish-notation/description/" TargetMode="External"/><Relationship Id="rId384" Type="http://schemas.openxmlformats.org/officeDocument/2006/relationships/hyperlink" Target="https://leetcode.com/problems/encode-n-ary-tree-to-binary-tree/description/" TargetMode="External"/><Relationship Id="rId141" Type="http://schemas.openxmlformats.org/officeDocument/2006/relationships/hyperlink" Target="https://leetcode.com/problems/max-points-on-a-line/description/" TargetMode="External"/><Relationship Id="rId383" Type="http://schemas.openxmlformats.org/officeDocument/2006/relationships/hyperlink" Target="https://leetcode.com/problems/flatten-a-multilevel-doubly-linked-list/description/" TargetMode="External"/><Relationship Id="rId140" Type="http://schemas.openxmlformats.org/officeDocument/2006/relationships/hyperlink" Target="https://leetcode.com/problems/sort-list/description/" TargetMode="External"/><Relationship Id="rId382" Type="http://schemas.openxmlformats.org/officeDocument/2006/relationships/hyperlink" Target="https://leetcode.com/problems/n-ary-tree-level-order-traversal/description/" TargetMode="External"/><Relationship Id="rId5" Type="http://schemas.openxmlformats.org/officeDocument/2006/relationships/hyperlink" Target="https://leetcode.com/problems/longest-palindromic-substring/description/" TargetMode="External"/><Relationship Id="rId147" Type="http://schemas.openxmlformats.org/officeDocument/2006/relationships/hyperlink" Target="https://leetcode.com/problems/min-stack/description/" TargetMode="External"/><Relationship Id="rId389" Type="http://schemas.openxmlformats.org/officeDocument/2006/relationships/hyperlink" Target="https://leetcode.com/problems/k-th-smallest-in-lexicographical-order/description/" TargetMode="External"/><Relationship Id="rId6" Type="http://schemas.openxmlformats.org/officeDocument/2006/relationships/hyperlink" Target="https://leetcode.com/problems/zigzag-conversion/description/" TargetMode="External"/><Relationship Id="rId146" Type="http://schemas.openxmlformats.org/officeDocument/2006/relationships/hyperlink" Target="https://leetcode.com/problems/find-minimum-in-rotated-sorted-array-ii/description/" TargetMode="External"/><Relationship Id="rId388" Type="http://schemas.openxmlformats.org/officeDocument/2006/relationships/hyperlink" Target="https://leetcode.com/problems/find-all-anagrams-in-a-string/description/" TargetMode="External"/><Relationship Id="rId7" Type="http://schemas.openxmlformats.org/officeDocument/2006/relationships/hyperlink" Target="https://leetcode.com/problems/reverse-integer/description/" TargetMode="External"/><Relationship Id="rId145" Type="http://schemas.openxmlformats.org/officeDocument/2006/relationships/hyperlink" Target="https://leetcode.com/problems/find-minimum-in-rotated-sorted-array/description/" TargetMode="External"/><Relationship Id="rId387" Type="http://schemas.openxmlformats.org/officeDocument/2006/relationships/hyperlink" Target="https://leetcode.com/problems/non-overlapping-intervals/description/" TargetMode="External"/><Relationship Id="rId8" Type="http://schemas.openxmlformats.org/officeDocument/2006/relationships/hyperlink" Target="https://leetcode.com/problems/string-to-integer-atoi/description/" TargetMode="External"/><Relationship Id="rId144" Type="http://schemas.openxmlformats.org/officeDocument/2006/relationships/hyperlink" Target="https://leetcode.com/problems/maximum-product-subarray/description/" TargetMode="External"/><Relationship Id="rId386" Type="http://schemas.openxmlformats.org/officeDocument/2006/relationships/hyperlink" Target="https://leetcode.com/problems/minimum-genetic-mutation/description/" TargetMode="External"/><Relationship Id="rId381" Type="http://schemas.openxmlformats.org/officeDocument/2006/relationships/hyperlink" Target="https://leetcode.com/problems/serialize-and-deserialize-n-ary-tree/description/" TargetMode="External"/><Relationship Id="rId380" Type="http://schemas.openxmlformats.org/officeDocument/2006/relationships/hyperlink" Target="https://leetcode.com/problems/construct-quad-tree/description/" TargetMode="External"/><Relationship Id="rId139" Type="http://schemas.openxmlformats.org/officeDocument/2006/relationships/hyperlink" Target="https://leetcode.com/problems/lru-cache/description/" TargetMode="External"/><Relationship Id="rId138" Type="http://schemas.openxmlformats.org/officeDocument/2006/relationships/hyperlink" Target="https://leetcode.com/problems/binary-tree-postorder-traversal/description/" TargetMode="External"/><Relationship Id="rId137" Type="http://schemas.openxmlformats.org/officeDocument/2006/relationships/hyperlink" Target="https://leetcode.com/problems/binary-tree-preorder-traversal/description/" TargetMode="External"/><Relationship Id="rId379" Type="http://schemas.openxmlformats.org/officeDocument/2006/relationships/hyperlink" Target="https://leetcode.com/problems/convert-binary-search-tree-to-sorted-doubly-linked-list/description/" TargetMode="External"/><Relationship Id="rId132" Type="http://schemas.openxmlformats.org/officeDocument/2006/relationships/hyperlink" Target="https://leetcode.com/problems/word-break/description/" TargetMode="External"/><Relationship Id="rId374" Type="http://schemas.openxmlformats.org/officeDocument/2006/relationships/hyperlink" Target="https://leetcode.com/problems/strong-password-checker/description/" TargetMode="External"/><Relationship Id="rId131" Type="http://schemas.openxmlformats.org/officeDocument/2006/relationships/hyperlink" Target="https://leetcode.com/problems/copy-list-with-random-pointer/description/" TargetMode="External"/><Relationship Id="rId373" Type="http://schemas.openxmlformats.org/officeDocument/2006/relationships/hyperlink" Target="https://leetcode.com/problems/battleships-in-a-board/description/" TargetMode="External"/><Relationship Id="rId130" Type="http://schemas.openxmlformats.org/officeDocument/2006/relationships/hyperlink" Target="https://leetcode.com/problems/single-number-ii/description/" TargetMode="External"/><Relationship Id="rId372" Type="http://schemas.openxmlformats.org/officeDocument/2006/relationships/hyperlink" Target="https://leetcode.com/problems/sentence-screen-fitting/description/" TargetMode="External"/><Relationship Id="rId371" Type="http://schemas.openxmlformats.org/officeDocument/2006/relationships/hyperlink" Target="https://leetcode.com/problems/pacific-atlantic-water-flow/description/" TargetMode="External"/><Relationship Id="rId136" Type="http://schemas.openxmlformats.org/officeDocument/2006/relationships/hyperlink" Target="https://leetcode.com/problems/reorder-list/description/" TargetMode="External"/><Relationship Id="rId378" Type="http://schemas.openxmlformats.org/officeDocument/2006/relationships/hyperlink" Target="https://leetcode.com/problems/word-squares/description/" TargetMode="External"/><Relationship Id="rId135" Type="http://schemas.openxmlformats.org/officeDocument/2006/relationships/hyperlink" Target="https://leetcode.com/problems/linked-list-cycle-ii/description/" TargetMode="External"/><Relationship Id="rId377" Type="http://schemas.openxmlformats.org/officeDocument/2006/relationships/hyperlink" Target="https://leetcode.com/problems/longest-repeating-character-replacement/description/" TargetMode="External"/><Relationship Id="rId134" Type="http://schemas.openxmlformats.org/officeDocument/2006/relationships/hyperlink" Target="https://leetcode.com/problems/linked-list-cycle/description/" TargetMode="External"/><Relationship Id="rId376" Type="http://schemas.openxmlformats.org/officeDocument/2006/relationships/hyperlink" Target="https://leetcode.com/problems/valid-word-square/description/" TargetMode="External"/><Relationship Id="rId133" Type="http://schemas.openxmlformats.org/officeDocument/2006/relationships/hyperlink" Target="https://leetcode.com/problems/word-break-ii/description/" TargetMode="External"/><Relationship Id="rId375" Type="http://schemas.openxmlformats.org/officeDocument/2006/relationships/hyperlink" Target="https://leetcode.com/problems/maximum-xor-of-two-numbers-in-an-array/description/" TargetMode="External"/><Relationship Id="rId172" Type="http://schemas.openxmlformats.org/officeDocument/2006/relationships/hyperlink" Target="https://leetcode.com/problems/rotate-array/description/" TargetMode="External"/><Relationship Id="rId171" Type="http://schemas.openxmlformats.org/officeDocument/2006/relationships/hyperlink" Target="https://leetcode.com/problems/best-time-to-buy-and-sell-stock-iv/description/" TargetMode="External"/><Relationship Id="rId170" Type="http://schemas.openxmlformats.org/officeDocument/2006/relationships/hyperlink" Target="https://leetcode.com/problems/repeated-dna-sequences/description/" TargetMode="External"/><Relationship Id="rId165" Type="http://schemas.openxmlformats.org/officeDocument/2006/relationships/hyperlink" Target="https://leetcode.com/problems/second-highest-salary/description/" TargetMode="External"/><Relationship Id="rId164" Type="http://schemas.openxmlformats.org/officeDocument/2006/relationships/hyperlink" Target="https://leetcode.com/problems/combine-two-tables/description/" TargetMode="External"/><Relationship Id="rId163" Type="http://schemas.openxmlformats.org/officeDocument/2006/relationships/hyperlink" Target="https://leetcode.com/problems/dungeon-game/description/" TargetMode="External"/><Relationship Id="rId162" Type="http://schemas.openxmlformats.org/officeDocument/2006/relationships/hyperlink" Target="https://leetcode.com/problems/binary-search-tree-iterator/description/" TargetMode="External"/><Relationship Id="rId169" Type="http://schemas.openxmlformats.org/officeDocument/2006/relationships/hyperlink" Target="https://leetcode.com/problems/department-top-three-salaries/description/" TargetMode="External"/><Relationship Id="rId168" Type="http://schemas.openxmlformats.org/officeDocument/2006/relationships/hyperlink" Target="https://leetcode.com/problems/employees-earning-more-than-their-managers/description/" TargetMode="External"/><Relationship Id="rId167" Type="http://schemas.openxmlformats.org/officeDocument/2006/relationships/hyperlink" Target="https://leetcode.com/problems/largest-number/description/" TargetMode="External"/><Relationship Id="rId166" Type="http://schemas.openxmlformats.org/officeDocument/2006/relationships/hyperlink" Target="https://leetcode.com/problems/nth-highest-salary/description/" TargetMode="External"/><Relationship Id="rId161" Type="http://schemas.openxmlformats.org/officeDocument/2006/relationships/hyperlink" Target="https://leetcode.com/problems/excel-sheet-column-number/description/" TargetMode="External"/><Relationship Id="rId160" Type="http://schemas.openxmlformats.org/officeDocument/2006/relationships/hyperlink" Target="https://leetcode.com/problems/majority-element/description/" TargetMode="External"/><Relationship Id="rId159" Type="http://schemas.openxmlformats.org/officeDocument/2006/relationships/hyperlink" Target="https://leetcode.com/problems/excel-sheet-column-title/description/" TargetMode="External"/><Relationship Id="rId154" Type="http://schemas.openxmlformats.org/officeDocument/2006/relationships/hyperlink" Target="https://leetcode.com/problems/find-peak-element/description/" TargetMode="External"/><Relationship Id="rId396" Type="http://schemas.openxmlformats.org/officeDocument/2006/relationships/hyperlink" Target="https://leetcode.com/problems/find-all-numbers-disappeared-in-an-array/description/" TargetMode="External"/><Relationship Id="rId153" Type="http://schemas.openxmlformats.org/officeDocument/2006/relationships/hyperlink" Target="https://leetcode.com/problems/one-edit-distance/description/" TargetMode="External"/><Relationship Id="rId395" Type="http://schemas.openxmlformats.org/officeDocument/2006/relationships/hyperlink" Target="https://leetcode.com/problems/number-of-boomerangs/description/" TargetMode="External"/><Relationship Id="rId152" Type="http://schemas.openxmlformats.org/officeDocument/2006/relationships/hyperlink" Target="https://leetcode.com/problems/intersection-of-two-linked-lists/description/" TargetMode="External"/><Relationship Id="rId394" Type="http://schemas.openxmlformats.org/officeDocument/2006/relationships/hyperlink" Target="https://leetcode.com/problems/arithmetic-slices-ii-subsequence/description/" TargetMode="External"/><Relationship Id="rId151" Type="http://schemas.openxmlformats.org/officeDocument/2006/relationships/hyperlink" Target="https://leetcode.com/problems/longest-substring-with-at-most-two-distinct-characters/description/" TargetMode="External"/><Relationship Id="rId393" Type="http://schemas.openxmlformats.org/officeDocument/2006/relationships/hyperlink" Target="https://leetcode.com/problems/add-two-numbers-ii/description/" TargetMode="External"/><Relationship Id="rId158" Type="http://schemas.openxmlformats.org/officeDocument/2006/relationships/hyperlink" Target="https://leetcode.com/problems/two-sum-ii-input-array-is-sorted/description/" TargetMode="External"/><Relationship Id="rId157" Type="http://schemas.openxmlformats.org/officeDocument/2006/relationships/hyperlink" Target="https://leetcode.com/problems/fraction-to-recurring-decimal/description/" TargetMode="External"/><Relationship Id="rId399" Type="http://schemas.openxmlformats.org/officeDocument/2006/relationships/hyperlink" Target="https://leetcode.com/problems/sort-characters-by-frequency/description/" TargetMode="External"/><Relationship Id="rId156" Type="http://schemas.openxmlformats.org/officeDocument/2006/relationships/hyperlink" Target="https://leetcode.com/problems/compare-version-numbers/description/" TargetMode="External"/><Relationship Id="rId398" Type="http://schemas.openxmlformats.org/officeDocument/2006/relationships/hyperlink" Target="https://leetcode.com/problems/delete-node-in-a-bst/description/" TargetMode="External"/><Relationship Id="rId155" Type="http://schemas.openxmlformats.org/officeDocument/2006/relationships/hyperlink" Target="https://leetcode.com/problems/missing-ranges/description/" TargetMode="External"/><Relationship Id="rId397" Type="http://schemas.openxmlformats.org/officeDocument/2006/relationships/hyperlink" Target="https://leetcode.com/problems/serialize-and-deserialize-bst/description/" TargetMode="External"/><Relationship Id="rId808" Type="http://schemas.openxmlformats.org/officeDocument/2006/relationships/hyperlink" Target="https://leetcode.com/problems/online-majority-element-in-subarray/description/" TargetMode="External"/><Relationship Id="rId807" Type="http://schemas.openxmlformats.org/officeDocument/2006/relationships/hyperlink" Target="https://leetcode.com/problems/number-of-dice-rolls-with-target-sum/description/" TargetMode="External"/><Relationship Id="rId806" Type="http://schemas.openxmlformats.org/officeDocument/2006/relationships/hyperlink" Target="https://leetcode.com/problems/string-transforms-into-another-string/description/" TargetMode="External"/><Relationship Id="rId805" Type="http://schemas.openxmlformats.org/officeDocument/2006/relationships/hyperlink" Target="https://leetcode.com/problems/longest-chunked-palindrome-decomposition/description/" TargetMode="External"/><Relationship Id="rId809" Type="http://schemas.openxmlformats.org/officeDocument/2006/relationships/hyperlink" Target="https://leetcode.com/problems/maximum-level-sum-of-a-binary-tree/description/" TargetMode="External"/><Relationship Id="rId800" Type="http://schemas.openxmlformats.org/officeDocument/2006/relationships/hyperlink" Target="https://leetcode.com/problems/stone-game-ii/description/" TargetMode="External"/><Relationship Id="rId804" Type="http://schemas.openxmlformats.org/officeDocument/2006/relationships/hyperlink" Target="https://leetcode.com/problems/snapshot-array/description/" TargetMode="External"/><Relationship Id="rId803" Type="http://schemas.openxmlformats.org/officeDocument/2006/relationships/hyperlink" Target="https://leetcode.com/problems/binary-tree-coloring-game/description/" TargetMode="External"/><Relationship Id="rId802" Type="http://schemas.openxmlformats.org/officeDocument/2006/relationships/hyperlink" Target="https://leetcode.com/problems/decrease-elements-to-make-array-zigzag/description/" TargetMode="External"/><Relationship Id="rId801" Type="http://schemas.openxmlformats.org/officeDocument/2006/relationships/hyperlink" Target="https://leetcode.com/problems/longest-common-subsequence/description/" TargetMode="External"/><Relationship Id="rId40" Type="http://schemas.openxmlformats.org/officeDocument/2006/relationships/hyperlink" Target="https://leetcode.com/problems/combination-sum-ii/description/" TargetMode="External"/><Relationship Id="rId42" Type="http://schemas.openxmlformats.org/officeDocument/2006/relationships/hyperlink" Target="https://leetcode.com/problems/trapping-rain-water/description/" TargetMode="External"/><Relationship Id="rId41" Type="http://schemas.openxmlformats.org/officeDocument/2006/relationships/hyperlink" Target="https://leetcode.com/problems/first-missing-positive/description/" TargetMode="External"/><Relationship Id="rId44" Type="http://schemas.openxmlformats.org/officeDocument/2006/relationships/hyperlink" Target="https://leetcode.com/problems/wildcard-matching/description/" TargetMode="External"/><Relationship Id="rId43" Type="http://schemas.openxmlformats.org/officeDocument/2006/relationships/hyperlink" Target="https://leetcode.com/problems/multiply-strings/description/" TargetMode="External"/><Relationship Id="rId46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jump-game-ii/description/" TargetMode="External"/><Relationship Id="rId509" Type="http://schemas.openxmlformats.org/officeDocument/2006/relationships/hyperlink" Target="https://leetcode.com/problems/robot-return-to-origin/description/" TargetMode="External"/><Relationship Id="rId508" Type="http://schemas.openxmlformats.org/officeDocument/2006/relationships/hyperlink" Target="https://leetcode.com/problems/coin-path/description/" TargetMode="External"/><Relationship Id="rId503" Type="http://schemas.openxmlformats.org/officeDocument/2006/relationships/hyperlink" Target="https://leetcode.com/problems/palindromic-substrings/description/" TargetMode="External"/><Relationship Id="rId745" Type="http://schemas.openxmlformats.org/officeDocument/2006/relationships/hyperlink" Target="https://leetcode.com/problems/capacity-to-ship-packages-within-d-days/description/" TargetMode="External"/><Relationship Id="rId502" Type="http://schemas.openxmlformats.org/officeDocument/2006/relationships/hyperlink" Target="https://leetcode.com/problems/maximum-average-subarray-ii/description/" TargetMode="External"/><Relationship Id="rId744" Type="http://schemas.openxmlformats.org/officeDocument/2006/relationships/hyperlink" Target="https://leetcode.com/problems/pairs-of-songs-with-total-durations-divisible-by-60/description/" TargetMode="External"/><Relationship Id="rId986" Type="http://schemas.openxmlformats.org/officeDocument/2006/relationships/drawing" Target="../drawings/drawing7.xml"/><Relationship Id="rId501" Type="http://schemas.openxmlformats.org/officeDocument/2006/relationships/hyperlink" Target="https://leetcode.com/problems/maximum-average-subarray-i/description/" TargetMode="External"/><Relationship Id="rId743" Type="http://schemas.openxmlformats.org/officeDocument/2006/relationships/hyperlink" Target="https://leetcode.com/problems/minimum-domino-rotations-for-equal-row/description/" TargetMode="External"/><Relationship Id="rId985" Type="http://schemas.openxmlformats.org/officeDocument/2006/relationships/hyperlink" Target="https://leetcode.com/problems/maximum-score-of-a-good-subarray/description/" TargetMode="External"/><Relationship Id="rId500" Type="http://schemas.openxmlformats.org/officeDocument/2006/relationships/hyperlink" Target="https://leetcode.com/problems/design-search-autocomplete-system/description/" TargetMode="External"/><Relationship Id="rId742" Type="http://schemas.openxmlformats.org/officeDocument/2006/relationships/hyperlink" Target="https://leetcode.com/problems/max-consecutive-ones-iii/description/" TargetMode="External"/><Relationship Id="rId984" Type="http://schemas.openxmlformats.org/officeDocument/2006/relationships/hyperlink" Target="https://leetcode.com/problems/number-of-restricted-paths-from-first-to-last-node/description/" TargetMode="External"/><Relationship Id="rId507" Type="http://schemas.openxmlformats.org/officeDocument/2006/relationships/hyperlink" Target="https://leetcode.com/problems/maximum-binary-tree/description/" TargetMode="External"/><Relationship Id="rId749" Type="http://schemas.openxmlformats.org/officeDocument/2006/relationships/hyperlink" Target="https://leetcode.com/problems/next-greater-node-in-linked-list/description/" TargetMode="External"/><Relationship Id="rId506" Type="http://schemas.openxmlformats.org/officeDocument/2006/relationships/hyperlink" Target="https://leetcode.com/problems/two-sum-iv-input-is-a-bst/description/" TargetMode="External"/><Relationship Id="rId748" Type="http://schemas.openxmlformats.org/officeDocument/2006/relationships/hyperlink" Target="https://leetcode.com/problems/binary-string-with-substrings-representing-1-to-n/description/" TargetMode="External"/><Relationship Id="rId505" Type="http://schemas.openxmlformats.org/officeDocument/2006/relationships/hyperlink" Target="https://leetcode.com/problems/find-duplicate-subtrees/description/" TargetMode="External"/><Relationship Id="rId747" Type="http://schemas.openxmlformats.org/officeDocument/2006/relationships/hyperlink" Target="https://leetcode.com/problems/smallest-integer-divisible-by-k/description/" TargetMode="External"/><Relationship Id="rId504" Type="http://schemas.openxmlformats.org/officeDocument/2006/relationships/hyperlink" Target="https://leetcode.com/problems/4-keys-keyboard/description/" TargetMode="External"/><Relationship Id="rId746" Type="http://schemas.openxmlformats.org/officeDocument/2006/relationships/hyperlink" Target="https://leetcode.com/problems/numbers-with-repeated-digits/description/" TargetMode="External"/><Relationship Id="rId48" Type="http://schemas.openxmlformats.org/officeDocument/2006/relationships/hyperlink" Target="https://leetcode.com/problems/group-anagrams/description/" TargetMode="External"/><Relationship Id="rId47" Type="http://schemas.openxmlformats.org/officeDocument/2006/relationships/hyperlink" Target="https://leetcode.com/problems/rotate-image/description/" TargetMode="External"/><Relationship Id="rId49" Type="http://schemas.openxmlformats.org/officeDocument/2006/relationships/hyperlink" Target="https://leetcode.com/problems/powx-n/description/" TargetMode="External"/><Relationship Id="rId741" Type="http://schemas.openxmlformats.org/officeDocument/2006/relationships/hyperlink" Target="https://leetcode.com/problems/minimum-cost-to-merge-stones/description/" TargetMode="External"/><Relationship Id="rId983" Type="http://schemas.openxmlformats.org/officeDocument/2006/relationships/hyperlink" Target="https://leetcode.com/problems/count-pairs-of-nodes/description/" TargetMode="External"/><Relationship Id="rId740" Type="http://schemas.openxmlformats.org/officeDocument/2006/relationships/hyperlink" Target="https://leetcode.com/problems/find-the-town-judge/description/" TargetMode="External"/><Relationship Id="rId982" Type="http://schemas.openxmlformats.org/officeDocument/2006/relationships/hyperlink" Target="https://leetcode.com/problems/sum-of-beauty-of-all-substrings/description/" TargetMode="External"/><Relationship Id="rId981" Type="http://schemas.openxmlformats.org/officeDocument/2006/relationships/hyperlink" Target="https://leetcode.com/problems/shortest-path-in-a-hidden-grid/description/" TargetMode="External"/><Relationship Id="rId980" Type="http://schemas.openxmlformats.org/officeDocument/2006/relationships/hyperlink" Target="https://leetcode.com/problems/car-fleet-ii/description/" TargetMode="External"/><Relationship Id="rId31" Type="http://schemas.openxmlformats.org/officeDocument/2006/relationships/hyperlink" Target="https://leetcode.com/problems/next-permutation/description/" TargetMode="External"/><Relationship Id="rId30" Type="http://schemas.openxmlformats.org/officeDocument/2006/relationships/hyperlink" Target="https://leetcode.com/problems/substring-with-concatenation-of-all-words/description/" TargetMode="External"/><Relationship Id="rId33" Type="http://schemas.openxmlformats.org/officeDocument/2006/relationships/hyperlink" Target="https://leetcode.com/problems/search-in-rotated-sorted-array/description/" TargetMode="External"/><Relationship Id="rId32" Type="http://schemas.openxmlformats.org/officeDocument/2006/relationships/hyperlink" Target="https://leetcode.com/problems/longest-valid-parentheses/description/" TargetMode="External"/><Relationship Id="rId35" Type="http://schemas.openxmlformats.org/officeDocument/2006/relationships/hyperlink" Target="https://leetcode.com/problems/search-insert-position/description/" TargetMode="External"/><Relationship Id="rId34" Type="http://schemas.openxmlformats.org/officeDocument/2006/relationships/hyperlink" Target="https://leetcode.com/problems/find-first-and-last-position-of-element-in-sorted-array/description/" TargetMode="External"/><Relationship Id="rId739" Type="http://schemas.openxmlformats.org/officeDocument/2006/relationships/hyperlink" Target="https://leetcode.com/problems/minimum-number-of-k-consecutive-bit-flips/description/" TargetMode="External"/><Relationship Id="rId734" Type="http://schemas.openxmlformats.org/officeDocument/2006/relationships/hyperlink" Target="https://leetcode.com/problems/vertical-order-traversal-of-a-binary-tree/description/" TargetMode="External"/><Relationship Id="rId976" Type="http://schemas.openxmlformats.org/officeDocument/2006/relationships/hyperlink" Target="https://leetcode.com/problems/find-the-subtasks-that-did-not-execute/description/" TargetMode="External"/><Relationship Id="rId733" Type="http://schemas.openxmlformats.org/officeDocument/2006/relationships/hyperlink" Target="https://leetcode.com/problems/interval-list-intersections/description/" TargetMode="External"/><Relationship Id="rId975" Type="http://schemas.openxmlformats.org/officeDocument/2006/relationships/hyperlink" Target="https://leetcode.com/problems/tree-of-coprimes/description/" TargetMode="External"/><Relationship Id="rId732" Type="http://schemas.openxmlformats.org/officeDocument/2006/relationships/hyperlink" Target="https://leetcode.com/problems/minimum-cost-for-tickets/description/" TargetMode="External"/><Relationship Id="rId974" Type="http://schemas.openxmlformats.org/officeDocument/2006/relationships/hyperlink" Target="https://leetcode.com/problems/map-of-highest-peak/description/" TargetMode="External"/><Relationship Id="rId731" Type="http://schemas.openxmlformats.org/officeDocument/2006/relationships/hyperlink" Target="https://leetcode.com/problems/triples-with-bitwise-and-equal-to-zero/description/" TargetMode="External"/><Relationship Id="rId973" Type="http://schemas.openxmlformats.org/officeDocument/2006/relationships/hyperlink" Target="https://leetcode.com/problems/design-most-recently-used-queue/description/" TargetMode="External"/><Relationship Id="rId738" Type="http://schemas.openxmlformats.org/officeDocument/2006/relationships/hyperlink" Target="https://leetcode.com/problems/rotting-oranges/description/" TargetMode="External"/><Relationship Id="rId737" Type="http://schemas.openxmlformats.org/officeDocument/2006/relationships/hyperlink" Target="https://leetcode.com/problems/subarrays-with-k-different-integers/description/" TargetMode="External"/><Relationship Id="rId979" Type="http://schemas.openxmlformats.org/officeDocument/2006/relationships/hyperlink" Target="https://leetcode.com/problems/closest-dessert-cost/description/" TargetMode="External"/><Relationship Id="rId736" Type="http://schemas.openxmlformats.org/officeDocument/2006/relationships/hyperlink" Target="https://leetcode.com/problems/add-to-array-form-of-integer/description/" TargetMode="External"/><Relationship Id="rId978" Type="http://schemas.openxmlformats.org/officeDocument/2006/relationships/hyperlink" Target="https://leetcode.com/problems/maximum-score-from-performing-multiplication-operations/description/" TargetMode="External"/><Relationship Id="rId735" Type="http://schemas.openxmlformats.org/officeDocument/2006/relationships/hyperlink" Target="https://leetcode.com/problems/smallest-string-starting-from-leaf/description/" TargetMode="External"/><Relationship Id="rId977" Type="http://schemas.openxmlformats.org/officeDocument/2006/relationships/hyperlink" Target="https://leetcode.com/problems/minimum-number-of-operations-to-move-all-balls-to-each-box/description/" TargetMode="External"/><Relationship Id="rId37" Type="http://schemas.openxmlformats.org/officeDocument/2006/relationships/hyperlink" Target="https://leetcode.com/problems/sudoku-solver/description/" TargetMode="External"/><Relationship Id="rId36" Type="http://schemas.openxmlformats.org/officeDocument/2006/relationships/hyperlink" Target="https://leetcode.com/problems/valid-sudoku/description/" TargetMode="External"/><Relationship Id="rId39" Type="http://schemas.openxmlformats.org/officeDocument/2006/relationships/hyperlink" Target="https://leetcode.com/problems/combination-sum/description/" TargetMode="External"/><Relationship Id="rId38" Type="http://schemas.openxmlformats.org/officeDocument/2006/relationships/hyperlink" Target="https://leetcode.com/problems/count-and-say/description/" TargetMode="External"/><Relationship Id="rId730" Type="http://schemas.openxmlformats.org/officeDocument/2006/relationships/hyperlink" Target="https://leetcode.com/problems/time-based-key-value-store/description/" TargetMode="External"/><Relationship Id="rId972" Type="http://schemas.openxmlformats.org/officeDocument/2006/relationships/hyperlink" Target="https://leetcode.com/problems/maximum-score-from-removing-stones/description/" TargetMode="External"/><Relationship Id="rId971" Type="http://schemas.openxmlformats.org/officeDocument/2006/relationships/hyperlink" Target="https://leetcode.com/problems/find-kth-largest-xor-coordinate-value/description/" TargetMode="External"/><Relationship Id="rId970" Type="http://schemas.openxmlformats.org/officeDocument/2006/relationships/hyperlink" Target="https://leetcode.com/problems/change-minimum-characters-to-satisfy-one-of-three-conditions/description/" TargetMode="External"/><Relationship Id="rId20" Type="http://schemas.openxmlformats.org/officeDocument/2006/relationships/hyperlink" Target="https://leetcode.com/problems/valid-parentheses/description/" TargetMode="External"/><Relationship Id="rId22" Type="http://schemas.openxmlformats.org/officeDocument/2006/relationships/hyperlink" Target="https://leetcode.com/problems/generate-parentheses/description/" TargetMode="External"/><Relationship Id="rId21" Type="http://schemas.openxmlformats.org/officeDocument/2006/relationships/hyperlink" Target="https://leetcode.com/problems/merge-two-sorted-lists/description/" TargetMode="External"/><Relationship Id="rId24" Type="http://schemas.openxmlformats.org/officeDocument/2006/relationships/hyperlink" Target="https://leetcode.com/problems/swap-nodes-in-pairs/description/" TargetMode="External"/><Relationship Id="rId23" Type="http://schemas.openxmlformats.org/officeDocument/2006/relationships/hyperlink" Target="https://leetcode.com/problems/merge-k-sorted-lists/description/" TargetMode="External"/><Relationship Id="rId525" Type="http://schemas.openxmlformats.org/officeDocument/2006/relationships/hyperlink" Target="https://leetcode.com/problems/baseball-game/description/" TargetMode="External"/><Relationship Id="rId767" Type="http://schemas.openxmlformats.org/officeDocument/2006/relationships/hyperlink" Target="https://leetcode.com/problems/height-checker/description/" TargetMode="External"/><Relationship Id="rId524" Type="http://schemas.openxmlformats.org/officeDocument/2006/relationships/hyperlink" Target="https://leetcode.com/problems/next-closest-time/description/" TargetMode="External"/><Relationship Id="rId766" Type="http://schemas.openxmlformats.org/officeDocument/2006/relationships/hyperlink" Target="https://leetcode.com/problems/longest-string-chain/description/" TargetMode="External"/><Relationship Id="rId523" Type="http://schemas.openxmlformats.org/officeDocument/2006/relationships/hyperlink" Target="https://leetcode.com/problems/valid-palindrome-ii/description/" TargetMode="External"/><Relationship Id="rId765" Type="http://schemas.openxmlformats.org/officeDocument/2006/relationships/hyperlink" Target="https://leetcode.com/problems/remove-all-adjacent-duplicates-in-string/description/" TargetMode="External"/><Relationship Id="rId522" Type="http://schemas.openxmlformats.org/officeDocument/2006/relationships/hyperlink" Target="https://leetcode.com/problems/24-game/description/" TargetMode="External"/><Relationship Id="rId764" Type="http://schemas.openxmlformats.org/officeDocument/2006/relationships/hyperlink" Target="https://leetcode.com/problems/last-stone-weight/description/" TargetMode="External"/><Relationship Id="rId529" Type="http://schemas.openxmlformats.org/officeDocument/2006/relationships/hyperlink" Target="https://leetcode.com/problems/repeated-string-match/description/" TargetMode="External"/><Relationship Id="rId528" Type="http://schemas.openxmlformats.org/officeDocument/2006/relationships/hyperlink" Target="https://leetcode.com/problems/redundant-connection-ii/description/" TargetMode="External"/><Relationship Id="rId527" Type="http://schemas.openxmlformats.org/officeDocument/2006/relationships/hyperlink" Target="https://leetcode.com/problems/redundant-connection/description/" TargetMode="External"/><Relationship Id="rId769" Type="http://schemas.openxmlformats.org/officeDocument/2006/relationships/hyperlink" Target="https://leetcode.com/problems/confusing-number/description/" TargetMode="External"/><Relationship Id="rId526" Type="http://schemas.openxmlformats.org/officeDocument/2006/relationships/hyperlink" Target="https://leetcode.com/problems/k-empty-slots/description/" TargetMode="External"/><Relationship Id="rId768" Type="http://schemas.openxmlformats.org/officeDocument/2006/relationships/hyperlink" Target="https://leetcode.com/problems/shortest-way-to-form-string/description/" TargetMode="External"/><Relationship Id="rId26" Type="http://schemas.openxmlformats.org/officeDocument/2006/relationships/hyperlink" Target="https://leetcode.com/problems/remove-duplicates-from-sorted-array/description/" TargetMode="External"/><Relationship Id="rId25" Type="http://schemas.openxmlformats.org/officeDocument/2006/relationships/hyperlink" Target="https://leetcode.com/problems/reverse-nodes-in-k-group/description/" TargetMode="External"/><Relationship Id="rId28" Type="http://schemas.openxmlformats.org/officeDocument/2006/relationships/hyperlink" Target="https://leetcode.com/problems/implement-strstr/description/" TargetMode="External"/><Relationship Id="rId27" Type="http://schemas.openxmlformats.org/officeDocument/2006/relationships/hyperlink" Target="https://leetcode.com/problems/remove-element/description/" TargetMode="External"/><Relationship Id="rId521" Type="http://schemas.openxmlformats.org/officeDocument/2006/relationships/hyperlink" Target="https://leetcode.com/problems/valid-parenthesis-string/description/" TargetMode="External"/><Relationship Id="rId763" Type="http://schemas.openxmlformats.org/officeDocument/2006/relationships/hyperlink" Target="https://leetcode.com/problems/longest-duplicate-substring/description/" TargetMode="External"/><Relationship Id="rId29" Type="http://schemas.openxmlformats.org/officeDocument/2006/relationships/hyperlink" Target="https://leetcode.com/problems/divide-two-integers/description/" TargetMode="External"/><Relationship Id="rId520" Type="http://schemas.openxmlformats.org/officeDocument/2006/relationships/hyperlink" Target="https://leetcode.com/problems/implement-magic-dictionary/description/" TargetMode="External"/><Relationship Id="rId762" Type="http://schemas.openxmlformats.org/officeDocument/2006/relationships/hyperlink" Target="https://leetcode.com/problems/robot-bounded-in-circle/description/" TargetMode="External"/><Relationship Id="rId761" Type="http://schemas.openxmlformats.org/officeDocument/2006/relationships/hyperlink" Target="https://leetcode.com/problems/valid-boomerang/description/" TargetMode="External"/><Relationship Id="rId760" Type="http://schemas.openxmlformats.org/officeDocument/2006/relationships/hyperlink" Target="https://leetcode.com/problems/escape-a-large-maze/description/" TargetMode="External"/><Relationship Id="rId11" Type="http://schemas.openxmlformats.org/officeDocument/2006/relationships/hyperlink" Target="https://leetcode.com/problems/container-with-most-water/description/" TargetMode="External"/><Relationship Id="rId10" Type="http://schemas.openxmlformats.org/officeDocument/2006/relationships/hyperlink" Target="https://leetcode.com/problems/regular-expression-matching/description/" TargetMode="External"/><Relationship Id="rId13" Type="http://schemas.openxmlformats.org/officeDocument/2006/relationships/hyperlink" Target="https://leetcode.com/problems/roman-to-integer/description/" TargetMode="External"/><Relationship Id="rId12" Type="http://schemas.openxmlformats.org/officeDocument/2006/relationships/hyperlink" Target="https://leetcode.com/problems/integer-to-roman/description/" TargetMode="External"/><Relationship Id="rId519" Type="http://schemas.openxmlformats.org/officeDocument/2006/relationships/hyperlink" Target="https://leetcode.com/problems/longest-continuous-increasing-subsequence/description/" TargetMode="External"/><Relationship Id="rId514" Type="http://schemas.openxmlformats.org/officeDocument/2006/relationships/hyperlink" Target="https://leetcode.com/problems/non-decreasing-array/description/" TargetMode="External"/><Relationship Id="rId756" Type="http://schemas.openxmlformats.org/officeDocument/2006/relationships/hyperlink" Target="https://leetcode.com/problems/longest-arithmetic-subsequence/description/" TargetMode="External"/><Relationship Id="rId513" Type="http://schemas.openxmlformats.org/officeDocument/2006/relationships/hyperlink" Target="https://leetcode.com/problems/maximum-width-of-binary-tree/description/" TargetMode="External"/><Relationship Id="rId755" Type="http://schemas.openxmlformats.org/officeDocument/2006/relationships/hyperlink" Target="https://leetcode.com/problems/maximum-difference-between-node-and-ancestor/description/" TargetMode="External"/><Relationship Id="rId512" Type="http://schemas.openxmlformats.org/officeDocument/2006/relationships/hyperlink" Target="https://leetcode.com/problems/remove-9/description/" TargetMode="External"/><Relationship Id="rId754" Type="http://schemas.openxmlformats.org/officeDocument/2006/relationships/hyperlink" Target="https://leetcode.com/problems/divisor-game/description/" TargetMode="External"/><Relationship Id="rId511" Type="http://schemas.openxmlformats.org/officeDocument/2006/relationships/hyperlink" Target="https://leetcode.com/problems/split-array-into-consecutive-subsequences/description/" TargetMode="External"/><Relationship Id="rId753" Type="http://schemas.openxmlformats.org/officeDocument/2006/relationships/hyperlink" Target="https://leetcode.com/problems/video-stitching/description/" TargetMode="External"/><Relationship Id="rId518" Type="http://schemas.openxmlformats.org/officeDocument/2006/relationships/hyperlink" Target="https://leetcode.com/problems/second-minimum-node-in-a-binary-tree/description/" TargetMode="External"/><Relationship Id="rId517" Type="http://schemas.openxmlformats.org/officeDocument/2006/relationships/hyperlink" Target="https://leetcode.com/problems/trim-a-binary-search-tree/description/" TargetMode="External"/><Relationship Id="rId759" Type="http://schemas.openxmlformats.org/officeDocument/2006/relationships/hyperlink" Target="https://leetcode.com/problems/stream-of-characters/description/" TargetMode="External"/><Relationship Id="rId516" Type="http://schemas.openxmlformats.org/officeDocument/2006/relationships/hyperlink" Target="https://leetcode.com/problems/kth-smallest-number-in-multiplication-table/description/" TargetMode="External"/><Relationship Id="rId758" Type="http://schemas.openxmlformats.org/officeDocument/2006/relationships/hyperlink" Target="https://leetcode.com/problems/maximum-sum-of-two-non-overlapping-subarrays/description/" TargetMode="External"/><Relationship Id="rId515" Type="http://schemas.openxmlformats.org/officeDocument/2006/relationships/hyperlink" Target="https://leetcode.com/problems/beautiful-arrangement-ii/description/" TargetMode="External"/><Relationship Id="rId757" Type="http://schemas.openxmlformats.org/officeDocument/2006/relationships/hyperlink" Target="https://leetcode.com/problems/two-city-scheduling/description/" TargetMode="External"/><Relationship Id="rId15" Type="http://schemas.openxmlformats.org/officeDocument/2006/relationships/hyperlink" Target="https://leetcode.com/problems/3sum/description/" TargetMode="External"/><Relationship Id="rId14" Type="http://schemas.openxmlformats.org/officeDocument/2006/relationships/hyperlink" Target="https://leetcode.com/problems/longest-common-prefix/description/" TargetMode="External"/><Relationship Id="rId17" Type="http://schemas.openxmlformats.org/officeDocument/2006/relationships/hyperlink" Target="https://leetcode.com/problems/letter-combinations-of-a-phone-number/description/" TargetMode="External"/><Relationship Id="rId16" Type="http://schemas.openxmlformats.org/officeDocument/2006/relationships/hyperlink" Target="https://leetcode.com/problems/3sum-closest/description/" TargetMode="External"/><Relationship Id="rId19" Type="http://schemas.openxmlformats.org/officeDocument/2006/relationships/hyperlink" Target="https://leetcode.com/problems/remove-nth-node-from-end-of-list/description/" TargetMode="External"/><Relationship Id="rId510" Type="http://schemas.openxmlformats.org/officeDocument/2006/relationships/hyperlink" Target="https://leetcode.com/problems/find-k-closest-elements/description/" TargetMode="External"/><Relationship Id="rId752" Type="http://schemas.openxmlformats.org/officeDocument/2006/relationships/hyperlink" Target="https://leetcode.com/problems/camelcase-matching/description/" TargetMode="External"/><Relationship Id="rId18" Type="http://schemas.openxmlformats.org/officeDocument/2006/relationships/hyperlink" Target="https://leetcode.com/problems/4sum/description/" TargetMode="External"/><Relationship Id="rId751" Type="http://schemas.openxmlformats.org/officeDocument/2006/relationships/hyperlink" Target="https://leetcode.com/problems/remove-outermost-parentheses/description/" TargetMode="External"/><Relationship Id="rId750" Type="http://schemas.openxmlformats.org/officeDocument/2006/relationships/hyperlink" Target="https://leetcode.com/problems/number-of-enclaves/description/" TargetMode="External"/><Relationship Id="rId84" Type="http://schemas.openxmlformats.org/officeDocument/2006/relationships/hyperlink" Target="https://leetcode.com/problems/merge-sorted-array/description/" TargetMode="External"/><Relationship Id="rId83" Type="http://schemas.openxmlformats.org/officeDocument/2006/relationships/hyperlink" Target="https://leetcode.com/problems/scramble-string/description/" TargetMode="External"/><Relationship Id="rId86" Type="http://schemas.openxmlformats.org/officeDocument/2006/relationships/hyperlink" Target="https://leetcode.com/problems/reverse-linked-list-ii/description/" TargetMode="External"/><Relationship Id="rId85" Type="http://schemas.openxmlformats.org/officeDocument/2006/relationships/hyperlink" Target="https://leetcode.com/problems/decode-ways/description/" TargetMode="External"/><Relationship Id="rId88" Type="http://schemas.openxmlformats.org/officeDocument/2006/relationships/hyperlink" Target="https://leetcode.com/problems/binary-tree-inorder-traversal/description/" TargetMode="External"/><Relationship Id="rId87" Type="http://schemas.openxmlformats.org/officeDocument/2006/relationships/hyperlink" Target="https://leetcode.com/problems/restore-ip-addresses/description/" TargetMode="External"/><Relationship Id="rId89" Type="http://schemas.openxmlformats.org/officeDocument/2006/relationships/hyperlink" Target="https://leetcode.com/problems/unique-binary-search-trees-ii/description/" TargetMode="External"/><Relationship Id="rId709" Type="http://schemas.openxmlformats.org/officeDocument/2006/relationships/hyperlink" Target="https://leetcode.com/problems/minimum-increment-to-make-array-unique/description/" TargetMode="External"/><Relationship Id="rId708" Type="http://schemas.openxmlformats.org/officeDocument/2006/relationships/hyperlink" Target="https://leetcode.com/problems/delete-columns-to-make-sorted/description/" TargetMode="External"/><Relationship Id="rId707" Type="http://schemas.openxmlformats.org/officeDocument/2006/relationships/hyperlink" Target="https://leetcode.com/problems/find-the-shortest-superstring/description/" TargetMode="External"/><Relationship Id="rId949" Type="http://schemas.openxmlformats.org/officeDocument/2006/relationships/hyperlink" Target="https://leetcode.com/problems/furthest-building-you-can-reach/description/" TargetMode="External"/><Relationship Id="rId706" Type="http://schemas.openxmlformats.org/officeDocument/2006/relationships/hyperlink" Target="https://leetcode.com/problems/di-string-match/description/" TargetMode="External"/><Relationship Id="rId948" Type="http://schemas.openxmlformats.org/officeDocument/2006/relationships/hyperlink" Target="https://leetcode.com/problems/rank-transform-of-a-matrix/description/" TargetMode="External"/><Relationship Id="rId80" Type="http://schemas.openxmlformats.org/officeDocument/2006/relationships/hyperlink" Target="https://leetcode.com/problems/remove-duplicates-from-sorted-list/description/" TargetMode="External"/><Relationship Id="rId82" Type="http://schemas.openxmlformats.org/officeDocument/2006/relationships/hyperlink" Target="https://leetcode.com/problems/maximal-rectangle/description/" TargetMode="External"/><Relationship Id="rId81" Type="http://schemas.openxmlformats.org/officeDocument/2006/relationships/hyperlink" Target="https://leetcode.com/problems/largest-rectangle-in-histogram/description/" TargetMode="External"/><Relationship Id="rId701" Type="http://schemas.openxmlformats.org/officeDocument/2006/relationships/hyperlink" Target="https://leetcode.com/problems/reorder-data-in-log-files/description/" TargetMode="External"/><Relationship Id="rId943" Type="http://schemas.openxmlformats.org/officeDocument/2006/relationships/hyperlink" Target="https://leetcode.com/problems/maximum-font-to-fit-a-sentence-in-a-screen/description/" TargetMode="External"/><Relationship Id="rId700" Type="http://schemas.openxmlformats.org/officeDocument/2006/relationships/hyperlink" Target="https://leetcode.com/problems/stamping-the-sequence/description/" TargetMode="External"/><Relationship Id="rId942" Type="http://schemas.openxmlformats.org/officeDocument/2006/relationships/hyperlink" Target="https://leetcode.com/problems/split-two-strings-to-make-palindrome/description/" TargetMode="External"/><Relationship Id="rId941" Type="http://schemas.openxmlformats.org/officeDocument/2006/relationships/hyperlink" Target="https://leetcode.com/problems/check-if-two-expression-trees-are-equivalent/description/" TargetMode="External"/><Relationship Id="rId940" Type="http://schemas.openxmlformats.org/officeDocument/2006/relationships/hyperlink" Target="https://leetcode.com/problems/maximum-number-of-visible-points/description/" TargetMode="External"/><Relationship Id="rId705" Type="http://schemas.openxmlformats.org/officeDocument/2006/relationships/hyperlink" Target="https://leetcode.com/problems/valid-mountain-array/description/" TargetMode="External"/><Relationship Id="rId947" Type="http://schemas.openxmlformats.org/officeDocument/2006/relationships/hyperlink" Target="https://leetcode.com/problems/path-with-minimum-effort/description/" TargetMode="External"/><Relationship Id="rId704" Type="http://schemas.openxmlformats.org/officeDocument/2006/relationships/hyperlink" Target="https://leetcode.com/problems/distinct-subsequences-ii/description/" TargetMode="External"/><Relationship Id="rId946" Type="http://schemas.openxmlformats.org/officeDocument/2006/relationships/hyperlink" Target="https://leetcode.com/problems/arithmetic-subarrays/description/" TargetMode="External"/><Relationship Id="rId703" Type="http://schemas.openxmlformats.org/officeDocument/2006/relationships/hyperlink" Target="https://leetcode.com/problems/minimum-area-rectangle/description/" TargetMode="External"/><Relationship Id="rId945" Type="http://schemas.openxmlformats.org/officeDocument/2006/relationships/hyperlink" Target="https://leetcode.com/problems/fancy-sequence/description/" TargetMode="External"/><Relationship Id="rId702" Type="http://schemas.openxmlformats.org/officeDocument/2006/relationships/hyperlink" Target="https://leetcode.com/problems/range-sum-of-bst/description/" TargetMode="External"/><Relationship Id="rId944" Type="http://schemas.openxmlformats.org/officeDocument/2006/relationships/hyperlink" Target="https://leetcode.com/problems/mean-of-array-after-removing-some-elements/description/" TargetMode="External"/><Relationship Id="rId73" Type="http://schemas.openxmlformats.org/officeDocument/2006/relationships/hyperlink" Target="https://leetcode.com/problems/minimum-window-substring/description/" TargetMode="External"/><Relationship Id="rId72" Type="http://schemas.openxmlformats.org/officeDocument/2006/relationships/hyperlink" Target="https://leetcode.com/problems/sort-colors/description/" TargetMode="External"/><Relationship Id="rId75" Type="http://schemas.openxmlformats.org/officeDocument/2006/relationships/hyperlink" Target="https://leetcode.com/problems/subsets/description/" TargetMode="External"/><Relationship Id="rId74" Type="http://schemas.openxmlformats.org/officeDocument/2006/relationships/hyperlink" Target="https://leetcode.com/problems/combinations/description/" TargetMode="External"/><Relationship Id="rId77" Type="http://schemas.openxmlformats.org/officeDocument/2006/relationships/hyperlink" Target="https://leetcode.com/problems/remove-duplicates-from-sorted-array-ii/description/" TargetMode="External"/><Relationship Id="rId76" Type="http://schemas.openxmlformats.org/officeDocument/2006/relationships/hyperlink" Target="https://leetcode.com/problems/word-search/description/" TargetMode="External"/><Relationship Id="rId79" Type="http://schemas.openxmlformats.org/officeDocument/2006/relationships/hyperlink" Target="https://leetcode.com/problems/remove-duplicates-from-sorted-list-ii/description/" TargetMode="External"/><Relationship Id="rId78" Type="http://schemas.openxmlformats.org/officeDocument/2006/relationships/hyperlink" Target="https://leetcode.com/problems/search-in-rotated-sorted-array-ii/description/" TargetMode="External"/><Relationship Id="rId939" Type="http://schemas.openxmlformats.org/officeDocument/2006/relationships/hyperlink" Target="https://leetcode.com/problems/special-array-with-x-elements-greater-than-or-equal-x/description/" TargetMode="External"/><Relationship Id="rId938" Type="http://schemas.openxmlformats.org/officeDocument/2006/relationships/hyperlink" Target="https://leetcode.com/problems/find-valid-matrix-given-row-and-column-sums/description/" TargetMode="External"/><Relationship Id="rId937" Type="http://schemas.openxmlformats.org/officeDocument/2006/relationships/hyperlink" Target="https://leetcode.com/problems/find-nearest-right-node-in-binary-tree/description/" TargetMode="External"/><Relationship Id="rId71" Type="http://schemas.openxmlformats.org/officeDocument/2006/relationships/hyperlink" Target="https://leetcode.com/problems/search-a-2d-matrix/description/" TargetMode="External"/><Relationship Id="rId70" Type="http://schemas.openxmlformats.org/officeDocument/2006/relationships/hyperlink" Target="https://leetcode.com/problems/set-matrix-zeroes/description/" TargetMode="External"/><Relationship Id="rId932" Type="http://schemas.openxmlformats.org/officeDocument/2006/relationships/hyperlink" Target="https://leetcode.com/problems/rearrange-spaces-between-words/description/" TargetMode="External"/><Relationship Id="rId931" Type="http://schemas.openxmlformats.org/officeDocument/2006/relationships/hyperlink" Target="https://leetcode.com/problems/strange-printer-ii/description/" TargetMode="External"/><Relationship Id="rId930" Type="http://schemas.openxmlformats.org/officeDocument/2006/relationships/hyperlink" Target="https://leetcode.com/problems/check-if-string-is-transformable-with-substring-sort-operations/description/" TargetMode="External"/><Relationship Id="rId936" Type="http://schemas.openxmlformats.org/officeDocument/2006/relationships/hyperlink" Target="https://leetcode.com/problems/throne-inheritance/description/" TargetMode="External"/><Relationship Id="rId935" Type="http://schemas.openxmlformats.org/officeDocument/2006/relationships/hyperlink" Target="https://leetcode.com/problems/minimum-cost-to-connect-two-groups-of-points/description/" TargetMode="External"/><Relationship Id="rId934" Type="http://schemas.openxmlformats.org/officeDocument/2006/relationships/hyperlink" Target="https://leetcode.com/problems/maximum-non-negative-product-in-a-matrix/description/" TargetMode="External"/><Relationship Id="rId933" Type="http://schemas.openxmlformats.org/officeDocument/2006/relationships/hyperlink" Target="https://leetcode.com/problems/split-a-string-into-the-max-number-of-unique-substrings/description/" TargetMode="External"/><Relationship Id="rId62" Type="http://schemas.openxmlformats.org/officeDocument/2006/relationships/hyperlink" Target="https://leetcode.com/problems/valid-number/description/" TargetMode="External"/><Relationship Id="rId61" Type="http://schemas.openxmlformats.org/officeDocument/2006/relationships/hyperlink" Target="https://leetcode.com/problems/minimum-path-sum/description/" TargetMode="External"/><Relationship Id="rId64" Type="http://schemas.openxmlformats.org/officeDocument/2006/relationships/hyperlink" Target="https://leetcode.com/problems/add-binary/description/" TargetMode="External"/><Relationship Id="rId63" Type="http://schemas.openxmlformats.org/officeDocument/2006/relationships/hyperlink" Target="https://leetcode.com/problems/plus-one/description/" TargetMode="External"/><Relationship Id="rId66" Type="http://schemas.openxmlformats.org/officeDocument/2006/relationships/hyperlink" Target="https://leetcode.com/problems/sqrtx/description/" TargetMode="External"/><Relationship Id="rId65" Type="http://schemas.openxmlformats.org/officeDocument/2006/relationships/hyperlink" Target="https://leetcode.com/problems/text-justification/description/" TargetMode="External"/><Relationship Id="rId68" Type="http://schemas.openxmlformats.org/officeDocument/2006/relationships/hyperlink" Target="https://leetcode.com/problems/simplify-path/description/" TargetMode="External"/><Relationship Id="rId67" Type="http://schemas.openxmlformats.org/officeDocument/2006/relationships/hyperlink" Target="https://leetcode.com/problems/climbing-stairs/description/" TargetMode="External"/><Relationship Id="rId729" Type="http://schemas.openxmlformats.org/officeDocument/2006/relationships/hyperlink" Target="https://leetcode.com/problems/unique-paths-iii/description/" TargetMode="External"/><Relationship Id="rId728" Type="http://schemas.openxmlformats.org/officeDocument/2006/relationships/hyperlink" Target="https://leetcode.com/problems/distribute-coins-in-binary-tree/description/" TargetMode="External"/><Relationship Id="rId60" Type="http://schemas.openxmlformats.org/officeDocument/2006/relationships/hyperlink" Target="https://leetcode.com/problems/unique-paths-ii/description/" TargetMode="External"/><Relationship Id="rId723" Type="http://schemas.openxmlformats.org/officeDocument/2006/relationships/hyperlink" Target="https://leetcode.com/problems/univalued-binary-tree/description/" TargetMode="External"/><Relationship Id="rId965" Type="http://schemas.openxmlformats.org/officeDocument/2006/relationships/hyperlink" Target="https://leetcode.com/problems/checking-existence-of-edge-length-limited-paths-ii/description/" TargetMode="External"/><Relationship Id="rId722" Type="http://schemas.openxmlformats.org/officeDocument/2006/relationships/hyperlink" Target="https://leetcode.com/problems/minimum-area-rectangle-ii/description/" TargetMode="External"/><Relationship Id="rId964" Type="http://schemas.openxmlformats.org/officeDocument/2006/relationships/hyperlink" Target="https://leetcode.com/problems/minimize-hamming-distance-after-swap-operations/description/" TargetMode="External"/><Relationship Id="rId721" Type="http://schemas.openxmlformats.org/officeDocument/2006/relationships/hyperlink" Target="https://leetcode.com/problems/maximum-width-ramp/description/" TargetMode="External"/><Relationship Id="rId963" Type="http://schemas.openxmlformats.org/officeDocument/2006/relationships/hyperlink" Target="https://leetcode.com/problems/maximum-score-from-removing-substrings/description/" TargetMode="External"/><Relationship Id="rId720" Type="http://schemas.openxmlformats.org/officeDocument/2006/relationships/hyperlink" Target="https://leetcode.com/problems/delete-columns-to-make-sorted-iii/description/" TargetMode="External"/><Relationship Id="rId962" Type="http://schemas.openxmlformats.org/officeDocument/2006/relationships/hyperlink" Target="https://leetcode.com/problems/minimum-operations-to-make-a-subsequence/description/" TargetMode="External"/><Relationship Id="rId727" Type="http://schemas.openxmlformats.org/officeDocument/2006/relationships/hyperlink" Target="https://leetcode.com/problems/squares-of-a-sorted-array/description/" TargetMode="External"/><Relationship Id="rId969" Type="http://schemas.openxmlformats.org/officeDocument/2006/relationships/hyperlink" Target="https://leetcode.com/problems/latest-time-by-replacing-hidden-digits/description/" TargetMode="External"/><Relationship Id="rId726" Type="http://schemas.openxmlformats.org/officeDocument/2006/relationships/hyperlink" Target="https://leetcode.com/problems/odd-even-jump/description/" TargetMode="External"/><Relationship Id="rId968" Type="http://schemas.openxmlformats.org/officeDocument/2006/relationships/hyperlink" Target="https://leetcode.com/problems/cat-and-mouse-ii/description/" TargetMode="External"/><Relationship Id="rId725" Type="http://schemas.openxmlformats.org/officeDocument/2006/relationships/hyperlink" Target="https://leetcode.com/problems/k-closest-points-to-origin/description/" TargetMode="External"/><Relationship Id="rId967" Type="http://schemas.openxmlformats.org/officeDocument/2006/relationships/hyperlink" Target="https://leetcode.com/problems/largest-submatrix-with-rearrangements/description/" TargetMode="External"/><Relationship Id="rId724" Type="http://schemas.openxmlformats.org/officeDocument/2006/relationships/hyperlink" Target="https://leetcode.com/problems/binary-tree-cameras/description/" TargetMode="External"/><Relationship Id="rId966" Type="http://schemas.openxmlformats.org/officeDocument/2006/relationships/hyperlink" Target="https://leetcode.com/problems/tuple-with-same-product/description/" TargetMode="External"/><Relationship Id="rId69" Type="http://schemas.openxmlformats.org/officeDocument/2006/relationships/hyperlink" Target="https://leetcode.com/problems/edit-distance/description/" TargetMode="External"/><Relationship Id="rId961" Type="http://schemas.openxmlformats.org/officeDocument/2006/relationships/hyperlink" Target="https://leetcode.com/problems/largest-subarray-length-k/description/" TargetMode="External"/><Relationship Id="rId960" Type="http://schemas.openxmlformats.org/officeDocument/2006/relationships/hyperlink" Target="https://leetcode.com/problems/maximum-xor-with-an-element-from-array/description/" TargetMode="External"/><Relationship Id="rId51" Type="http://schemas.openxmlformats.org/officeDocument/2006/relationships/hyperlink" Target="https://leetcode.com/problems/maximum-subarray/description/" TargetMode="External"/><Relationship Id="rId50" Type="http://schemas.openxmlformats.org/officeDocument/2006/relationships/hyperlink" Target="https://leetcode.com/problems/n-queens/description/" TargetMode="External"/><Relationship Id="rId53" Type="http://schemas.openxmlformats.org/officeDocument/2006/relationships/hyperlink" Target="https://leetcode.com/problems/jump-game/description/" TargetMode="External"/><Relationship Id="rId52" Type="http://schemas.openxmlformats.org/officeDocument/2006/relationships/hyperlink" Target="https://leetcode.com/problems/spiral-matrix/description/" TargetMode="External"/><Relationship Id="rId55" Type="http://schemas.openxmlformats.org/officeDocument/2006/relationships/hyperlink" Target="https://leetcode.com/problems/insert-interval/description/" TargetMode="External"/><Relationship Id="rId54" Type="http://schemas.openxmlformats.org/officeDocument/2006/relationships/hyperlink" Target="https://leetcode.com/problems/merge-intervals/description/" TargetMode="External"/><Relationship Id="rId57" Type="http://schemas.openxmlformats.org/officeDocument/2006/relationships/hyperlink" Target="https://leetcode.com/problems/spiral-matrix-ii/description/" TargetMode="External"/><Relationship Id="rId56" Type="http://schemas.openxmlformats.org/officeDocument/2006/relationships/hyperlink" Target="https://leetcode.com/problems/length-of-last-word/description/" TargetMode="External"/><Relationship Id="rId719" Type="http://schemas.openxmlformats.org/officeDocument/2006/relationships/hyperlink" Target="https://leetcode.com/problems/check-completeness-of-a-binary-tree/description/" TargetMode="External"/><Relationship Id="rId718" Type="http://schemas.openxmlformats.org/officeDocument/2006/relationships/hyperlink" Target="https://leetcode.com/problems/delete-columns-to-make-sorted-ii/description/" TargetMode="External"/><Relationship Id="rId717" Type="http://schemas.openxmlformats.org/officeDocument/2006/relationships/hyperlink" Target="https://leetcode.com/problems/array-of-doubled-pairs/description/" TargetMode="External"/><Relationship Id="rId959" Type="http://schemas.openxmlformats.org/officeDocument/2006/relationships/hyperlink" Target="https://leetcode.com/problems/where-will-the-ball-fall/description/" TargetMode="External"/><Relationship Id="rId712" Type="http://schemas.openxmlformats.org/officeDocument/2006/relationships/hyperlink" Target="https://leetcode.com/problems/bag-of-tokens/description/" TargetMode="External"/><Relationship Id="rId954" Type="http://schemas.openxmlformats.org/officeDocument/2006/relationships/hyperlink" Target="https://leetcode.com/problems/richest-customer-wealth/description/" TargetMode="External"/><Relationship Id="rId711" Type="http://schemas.openxmlformats.org/officeDocument/2006/relationships/hyperlink" Target="https://leetcode.com/problems/most-stones-removed-with-same-row-or-column/description/" TargetMode="External"/><Relationship Id="rId953" Type="http://schemas.openxmlformats.org/officeDocument/2006/relationships/hyperlink" Target="https://leetcode.com/problems/change-the-root-of-a-binary-tree/description/" TargetMode="External"/><Relationship Id="rId710" Type="http://schemas.openxmlformats.org/officeDocument/2006/relationships/hyperlink" Target="https://leetcode.com/problems/validate-stack-sequences/description/" TargetMode="External"/><Relationship Id="rId952" Type="http://schemas.openxmlformats.org/officeDocument/2006/relationships/hyperlink" Target="https://leetcode.com/problems/correct-a-binary-tree/description/" TargetMode="External"/><Relationship Id="rId951" Type="http://schemas.openxmlformats.org/officeDocument/2006/relationships/hyperlink" Target="https://leetcode.com/problems/minimum-operations-to-reduce-x-to-zero/description/" TargetMode="External"/><Relationship Id="rId716" Type="http://schemas.openxmlformats.org/officeDocument/2006/relationships/hyperlink" Target="https://leetcode.com/problems/largest-component-size-by-common-factor/description/" TargetMode="External"/><Relationship Id="rId958" Type="http://schemas.openxmlformats.org/officeDocument/2006/relationships/hyperlink" Target="https://leetcode.com/problems/minimum-adjacent-swaps-for-k-consecutive-ones/description/" TargetMode="External"/><Relationship Id="rId715" Type="http://schemas.openxmlformats.org/officeDocument/2006/relationships/hyperlink" Target="https://leetcode.com/problems/flip-equivalent-binary-trees/description/" TargetMode="External"/><Relationship Id="rId957" Type="http://schemas.openxmlformats.org/officeDocument/2006/relationships/hyperlink" Target="https://leetcode.com/problems/checking-existence-of-edge-length-limited-paths/description/" TargetMode="External"/><Relationship Id="rId714" Type="http://schemas.openxmlformats.org/officeDocument/2006/relationships/hyperlink" Target="https://leetcode.com/problems/reveal-cards-in-increasing-order/description/" TargetMode="External"/><Relationship Id="rId956" Type="http://schemas.openxmlformats.org/officeDocument/2006/relationships/hyperlink" Target="https://leetcode.com/problems/count-ways-to-distribute-candies/description/" TargetMode="External"/><Relationship Id="rId713" Type="http://schemas.openxmlformats.org/officeDocument/2006/relationships/hyperlink" Target="https://leetcode.com/problems/largest-time-for-given-digits/description/" TargetMode="External"/><Relationship Id="rId955" Type="http://schemas.openxmlformats.org/officeDocument/2006/relationships/hyperlink" Target="https://leetcode.com/problems/find-the-most-competitive-subsequence/description/" TargetMode="External"/><Relationship Id="rId59" Type="http://schemas.openxmlformats.org/officeDocument/2006/relationships/hyperlink" Target="https://leetcode.com/problems/unique-paths/description/" TargetMode="External"/><Relationship Id="rId58" Type="http://schemas.openxmlformats.org/officeDocument/2006/relationships/hyperlink" Target="https://leetcode.com/problems/permutation-sequence/description/" TargetMode="External"/><Relationship Id="rId950" Type="http://schemas.openxmlformats.org/officeDocument/2006/relationships/hyperlink" Target="https://leetcode.com/problems/distribute-repeating-integers/description/" TargetMode="External"/><Relationship Id="rId590" Type="http://schemas.openxmlformats.org/officeDocument/2006/relationships/hyperlink" Target="https://leetcode.com/problems/max-chunks-to-make-sorted-ii/description/" TargetMode="External"/><Relationship Id="rId107" Type="http://schemas.openxmlformats.org/officeDocument/2006/relationships/hyperlink" Target="https://leetcode.com/problems/flatten-binary-tree-to-linked-list/description/" TargetMode="External"/><Relationship Id="rId349" Type="http://schemas.openxmlformats.org/officeDocument/2006/relationships/hyperlink" Target="https://leetcode.com/problems/is-subsequence/description/" TargetMode="External"/><Relationship Id="rId106" Type="http://schemas.openxmlformats.org/officeDocument/2006/relationships/hyperlink" Target="https://leetcode.com/problems/path-sum-ii/description/" TargetMode="External"/><Relationship Id="rId348" Type="http://schemas.openxmlformats.org/officeDocument/2006/relationships/hyperlink" Target="https://leetcode.com/problems/perfect-rectangle/description/" TargetMode="External"/><Relationship Id="rId105" Type="http://schemas.openxmlformats.org/officeDocument/2006/relationships/hyperlink" Target="https://leetcode.com/problems/path-sum/description/" TargetMode="External"/><Relationship Id="rId347" Type="http://schemas.openxmlformats.org/officeDocument/2006/relationships/hyperlink" Target="https://leetcode.com/problems/find-the-difference/description/" TargetMode="External"/><Relationship Id="rId589" Type="http://schemas.openxmlformats.org/officeDocument/2006/relationships/hyperlink" Target="https://leetcode.com/problems/reorganize-string/description/" TargetMode="External"/><Relationship Id="rId104" Type="http://schemas.openxmlformats.org/officeDocument/2006/relationships/hyperlink" Target="https://leetcode.com/problems/minimum-depth-of-binary-tree/description/" TargetMode="External"/><Relationship Id="rId346" Type="http://schemas.openxmlformats.org/officeDocument/2006/relationships/hyperlink" Target="https://leetcode.com/problems/longest-absolute-file-path/description/" TargetMode="External"/><Relationship Id="rId588" Type="http://schemas.openxmlformats.org/officeDocument/2006/relationships/hyperlink" Target="https://leetcode.com/problems/toeplitz-matrix/description/" TargetMode="External"/><Relationship Id="rId109" Type="http://schemas.openxmlformats.org/officeDocument/2006/relationships/hyperlink" Target="https://leetcode.com/problems/populating-next-right-pointers-in-each-node/description/" TargetMode="External"/><Relationship Id="rId108" Type="http://schemas.openxmlformats.org/officeDocument/2006/relationships/hyperlink" Target="https://leetcode.com/problems/distinct-subsequences/description/" TargetMode="External"/><Relationship Id="rId341" Type="http://schemas.openxmlformats.org/officeDocument/2006/relationships/hyperlink" Target="https://leetcode.com/problems/linked-list-random-node/description/" TargetMode="External"/><Relationship Id="rId583" Type="http://schemas.openxmlformats.org/officeDocument/2006/relationships/hyperlink" Target="https://leetcode.com/problems/bold-words-in-string/description/" TargetMode="External"/><Relationship Id="rId340" Type="http://schemas.openxmlformats.org/officeDocument/2006/relationships/hyperlink" Target="https://leetcode.com/problems/insert-delete-getrandom-o1-duplicates-allowed/description/" TargetMode="External"/><Relationship Id="rId582" Type="http://schemas.openxmlformats.org/officeDocument/2006/relationships/hyperlink" Target="https://leetcode.com/problems/pyramid-transition-matrix/description/" TargetMode="External"/><Relationship Id="rId581" Type="http://schemas.openxmlformats.org/officeDocument/2006/relationships/hyperlink" Target="https://leetcode.com/problems/cracking-the-safe/description/" TargetMode="External"/><Relationship Id="rId580" Type="http://schemas.openxmlformats.org/officeDocument/2006/relationships/hyperlink" Target="https://leetcode.com/problems/open-the-lock/description/" TargetMode="External"/><Relationship Id="rId103" Type="http://schemas.openxmlformats.org/officeDocument/2006/relationships/hyperlink" Target="https://leetcode.com/problems/balanced-binary-tree/description/" TargetMode="External"/><Relationship Id="rId345" Type="http://schemas.openxmlformats.org/officeDocument/2006/relationships/hyperlink" Target="https://leetcode.com/problems/first-unique-character-in-a-string/description/" TargetMode="External"/><Relationship Id="rId587" Type="http://schemas.openxmlformats.org/officeDocument/2006/relationships/hyperlink" Target="https://leetcode.com/problems/couples-holding-hands/description/" TargetMode="External"/><Relationship Id="rId102" Type="http://schemas.openxmlformats.org/officeDocument/2006/relationships/hyperlink" Target="https://leetcode.com/problems/convert-sorted-list-to-binary-search-tree/description/" TargetMode="External"/><Relationship Id="rId344" Type="http://schemas.openxmlformats.org/officeDocument/2006/relationships/hyperlink" Target="https://leetcode.com/problems/lexicographical-numbers/description/" TargetMode="External"/><Relationship Id="rId586" Type="http://schemas.openxmlformats.org/officeDocument/2006/relationships/hyperlink" Target="https://leetcode.com/problems/largest-plus-sign/description/" TargetMode="External"/><Relationship Id="rId101" Type="http://schemas.openxmlformats.org/officeDocument/2006/relationships/hyperlink" Target="https://leetcode.com/problems/convert-sorted-array-to-binary-search-tree/description/" TargetMode="External"/><Relationship Id="rId343" Type="http://schemas.openxmlformats.org/officeDocument/2006/relationships/hyperlink" Target="https://leetcode.com/problems/mini-parser/description/" TargetMode="External"/><Relationship Id="rId585" Type="http://schemas.openxmlformats.org/officeDocument/2006/relationships/hyperlink" Target="https://leetcode.com/problems/find-anagram-mappings/description/" TargetMode="External"/><Relationship Id="rId100" Type="http://schemas.openxmlformats.org/officeDocument/2006/relationships/hyperlink" Target="https://leetcode.com/problems/construct-binary-tree-from-inorder-and-postorder-traversal/description/" TargetMode="External"/><Relationship Id="rId342" Type="http://schemas.openxmlformats.org/officeDocument/2006/relationships/hyperlink" Target="https://leetcode.com/problems/shuffle-an-array/description/" TargetMode="External"/><Relationship Id="rId584" Type="http://schemas.openxmlformats.org/officeDocument/2006/relationships/hyperlink" Target="https://leetcode.com/problems/employee-free-time/description/" TargetMode="External"/><Relationship Id="rId338" Type="http://schemas.openxmlformats.org/officeDocument/2006/relationships/hyperlink" Target="https://leetcode.com/problems/design-phone-directory/description/" TargetMode="External"/><Relationship Id="rId337" Type="http://schemas.openxmlformats.org/officeDocument/2006/relationships/hyperlink" Target="https://leetcode.com/problems/kth-smallest-element-in-a-sorted-matrix/description/" TargetMode="External"/><Relationship Id="rId579" Type="http://schemas.openxmlformats.org/officeDocument/2006/relationships/hyperlink" Target="https://leetcode.com/problems/number-of-corner-rectangles/description/" TargetMode="External"/><Relationship Id="rId336" Type="http://schemas.openxmlformats.org/officeDocument/2006/relationships/hyperlink" Target="https://leetcode.com/problems/combination-sum-iv/description/" TargetMode="External"/><Relationship Id="rId578" Type="http://schemas.openxmlformats.org/officeDocument/2006/relationships/hyperlink" Target="https://leetcode.com/problems/shortest-completing-word/description/" TargetMode="External"/><Relationship Id="rId335" Type="http://schemas.openxmlformats.org/officeDocument/2006/relationships/hyperlink" Target="https://leetcode.com/problems/guess-number-higher-or-lower-ii/description/" TargetMode="External"/><Relationship Id="rId577" Type="http://schemas.openxmlformats.org/officeDocument/2006/relationships/hyperlink" Target="https://leetcode.com/problems/largest-number-at-least-twice-of-others/description/" TargetMode="External"/><Relationship Id="rId339" Type="http://schemas.openxmlformats.org/officeDocument/2006/relationships/hyperlink" Target="https://leetcode.com/problems/insert-delete-getrandom-o1/description/" TargetMode="External"/><Relationship Id="rId330" Type="http://schemas.openxmlformats.org/officeDocument/2006/relationships/hyperlink" Target="https://leetcode.com/problems/plus-one-linked-list/description/" TargetMode="External"/><Relationship Id="rId572" Type="http://schemas.openxmlformats.org/officeDocument/2006/relationships/hyperlink" Target="https://leetcode.com/problems/daily-temperatures/description/" TargetMode="External"/><Relationship Id="rId571" Type="http://schemas.openxmlformats.org/officeDocument/2006/relationships/hyperlink" Target="https://leetcode.com/problems/sentence-similarity-ii/description/" TargetMode="External"/><Relationship Id="rId570" Type="http://schemas.openxmlformats.org/officeDocument/2006/relationships/hyperlink" Target="https://leetcode.com/problems/parse-lisp-expression/description/" TargetMode="External"/><Relationship Id="rId334" Type="http://schemas.openxmlformats.org/officeDocument/2006/relationships/hyperlink" Target="https://leetcode.com/problems/guess-number-higher-or-lower/description/" TargetMode="External"/><Relationship Id="rId576" Type="http://schemas.openxmlformats.org/officeDocument/2006/relationships/hyperlink" Target="https://leetcode.com/problems/prefix-and-suffix-search/description/" TargetMode="External"/><Relationship Id="rId333" Type="http://schemas.openxmlformats.org/officeDocument/2006/relationships/hyperlink" Target="https://leetcode.com/problems/find-k-pairs-with-smallest-sums/description/" TargetMode="External"/><Relationship Id="rId575" Type="http://schemas.openxmlformats.org/officeDocument/2006/relationships/hyperlink" Target="https://leetcode.com/problems/network-delay-time/description/" TargetMode="External"/><Relationship Id="rId332" Type="http://schemas.openxmlformats.org/officeDocument/2006/relationships/hyperlink" Target="https://leetcode.com/problems/sum-of-two-integers/description/" TargetMode="External"/><Relationship Id="rId574" Type="http://schemas.openxmlformats.org/officeDocument/2006/relationships/hyperlink" Target="https://leetcode.com/problems/closest-leaf-in-a-binary-tree/description/" TargetMode="External"/><Relationship Id="rId331" Type="http://schemas.openxmlformats.org/officeDocument/2006/relationships/hyperlink" Target="https://leetcode.com/problems/range-addition/description/" TargetMode="External"/><Relationship Id="rId573" Type="http://schemas.openxmlformats.org/officeDocument/2006/relationships/hyperlink" Target="https://leetcode.com/problems/cherry-pickup/description/" TargetMode="External"/><Relationship Id="rId370" Type="http://schemas.openxmlformats.org/officeDocument/2006/relationships/hyperlink" Target="https://leetcode.com/problems/partition-equal-subset-sum/description/" TargetMode="External"/><Relationship Id="rId129" Type="http://schemas.openxmlformats.org/officeDocument/2006/relationships/hyperlink" Target="https://leetcode.com/problems/single-number/description/" TargetMode="External"/><Relationship Id="rId128" Type="http://schemas.openxmlformats.org/officeDocument/2006/relationships/hyperlink" Target="https://leetcode.com/problems/candy/description/" TargetMode="External"/><Relationship Id="rId127" Type="http://schemas.openxmlformats.org/officeDocument/2006/relationships/hyperlink" Target="https://leetcode.com/problems/gas-station/description/" TargetMode="External"/><Relationship Id="rId369" Type="http://schemas.openxmlformats.org/officeDocument/2006/relationships/hyperlink" Target="https://leetcode.com/problems/add-strings/description/" TargetMode="External"/><Relationship Id="rId126" Type="http://schemas.openxmlformats.org/officeDocument/2006/relationships/hyperlink" Target="https://leetcode.com/problems/clone-graph/description/" TargetMode="External"/><Relationship Id="rId368" Type="http://schemas.openxmlformats.org/officeDocument/2006/relationships/hyperlink" Target="https://leetcode.com/problems/third-maximum-number/description/" TargetMode="External"/><Relationship Id="rId121" Type="http://schemas.openxmlformats.org/officeDocument/2006/relationships/hyperlink" Target="https://leetcode.com/problems/longest-consecutive-sequence/description/" TargetMode="External"/><Relationship Id="rId363" Type="http://schemas.openxmlformats.org/officeDocument/2006/relationships/hyperlink" Target="https://leetcode.com/problems/valid-word-abbreviation/description/" TargetMode="External"/><Relationship Id="rId120" Type="http://schemas.openxmlformats.org/officeDocument/2006/relationships/hyperlink" Target="https://leetcode.com/problems/word-ladder/description/" TargetMode="External"/><Relationship Id="rId362" Type="http://schemas.openxmlformats.org/officeDocument/2006/relationships/hyperlink" Target="https://leetcode.com/problems/trapping-rain-water-ii/description/" TargetMode="External"/><Relationship Id="rId361" Type="http://schemas.openxmlformats.org/officeDocument/2006/relationships/hyperlink" Target="https://leetcode.com/problems/queue-reconstruction-by-height/description/" TargetMode="External"/><Relationship Id="rId360" Type="http://schemas.openxmlformats.org/officeDocument/2006/relationships/hyperlink" Target="https://leetcode.com/problems/sum-of-left-leaves/description/" TargetMode="External"/><Relationship Id="rId125" Type="http://schemas.openxmlformats.org/officeDocument/2006/relationships/hyperlink" Target="https://leetcode.com/problems/palindrome-partitioning-ii/description/" TargetMode="External"/><Relationship Id="rId367" Type="http://schemas.openxmlformats.org/officeDocument/2006/relationships/hyperlink" Target="https://leetcode.com/problems/fizz-buzz/description/" TargetMode="External"/><Relationship Id="rId124" Type="http://schemas.openxmlformats.org/officeDocument/2006/relationships/hyperlink" Target="https://leetcode.com/problems/palindrome-partitioning/description/" TargetMode="External"/><Relationship Id="rId366" Type="http://schemas.openxmlformats.org/officeDocument/2006/relationships/hyperlink" Target="https://leetcode.com/problems/minimum-unique-word-abbreviation/description/" TargetMode="External"/><Relationship Id="rId123" Type="http://schemas.openxmlformats.org/officeDocument/2006/relationships/hyperlink" Target="https://leetcode.com/problems/surrounded-regions/description/" TargetMode="External"/><Relationship Id="rId365" Type="http://schemas.openxmlformats.org/officeDocument/2006/relationships/hyperlink" Target="https://leetcode.com/problems/split-array-largest-sum/description/" TargetMode="External"/><Relationship Id="rId122" Type="http://schemas.openxmlformats.org/officeDocument/2006/relationships/hyperlink" Target="https://leetcode.com/problems/sum-root-to-leaf-numbers/description/" TargetMode="External"/><Relationship Id="rId364" Type="http://schemas.openxmlformats.org/officeDocument/2006/relationships/hyperlink" Target="https://leetcode.com/problems/longest-palindrome/description/" TargetMode="External"/><Relationship Id="rId95" Type="http://schemas.openxmlformats.org/officeDocument/2006/relationships/hyperlink" Target="https://leetcode.com/problems/symmetric-tree/description/" TargetMode="External"/><Relationship Id="rId94" Type="http://schemas.openxmlformats.org/officeDocument/2006/relationships/hyperlink" Target="https://leetcode.com/problems/same-tree/description/" TargetMode="External"/><Relationship Id="rId97" Type="http://schemas.openxmlformats.org/officeDocument/2006/relationships/hyperlink" Target="https://leetcode.com/problems/binary-tree-zigzag-level-order-traversal/description/" TargetMode="External"/><Relationship Id="rId96" Type="http://schemas.openxmlformats.org/officeDocument/2006/relationships/hyperlink" Target="https://leetcode.com/problems/binary-tree-level-order-traversal/description/" TargetMode="External"/><Relationship Id="rId99" Type="http://schemas.openxmlformats.org/officeDocument/2006/relationships/hyperlink" Target="https://leetcode.com/problems/construct-binary-tree-from-preorder-and-inorder-traversal/description/" TargetMode="External"/><Relationship Id="rId98" Type="http://schemas.openxmlformats.org/officeDocument/2006/relationships/hyperlink" Target="https://leetcode.com/problems/maximum-depth-of-binary-tree/description/" TargetMode="External"/><Relationship Id="rId91" Type="http://schemas.openxmlformats.org/officeDocument/2006/relationships/hyperlink" Target="https://leetcode.com/problems/interleaving-string/description/" TargetMode="External"/><Relationship Id="rId90" Type="http://schemas.openxmlformats.org/officeDocument/2006/relationships/hyperlink" Target="https://leetcode.com/problems/unique-binary-search-trees/description/" TargetMode="External"/><Relationship Id="rId93" Type="http://schemas.openxmlformats.org/officeDocument/2006/relationships/hyperlink" Target="https://leetcode.com/problems/recover-binary-search-tree/description/" TargetMode="External"/><Relationship Id="rId92" Type="http://schemas.openxmlformats.org/officeDocument/2006/relationships/hyperlink" Target="https://leetcode.com/problems/validate-binary-search-tree/description/" TargetMode="External"/><Relationship Id="rId118" Type="http://schemas.openxmlformats.org/officeDocument/2006/relationships/hyperlink" Target="https://leetcode.com/problems/valid-palindrome/description/" TargetMode="External"/><Relationship Id="rId117" Type="http://schemas.openxmlformats.org/officeDocument/2006/relationships/hyperlink" Target="https://leetcode.com/problems/binary-tree-maximum-path-sum/description/" TargetMode="External"/><Relationship Id="rId359" Type="http://schemas.openxmlformats.org/officeDocument/2006/relationships/hyperlink" Target="https://leetcode.com/problems/frog-jump/description/" TargetMode="External"/><Relationship Id="rId116" Type="http://schemas.openxmlformats.org/officeDocument/2006/relationships/hyperlink" Target="https://leetcode.com/problems/best-time-to-buy-and-sell-stock-iii/description/" TargetMode="External"/><Relationship Id="rId358" Type="http://schemas.openxmlformats.org/officeDocument/2006/relationships/hyperlink" Target="https://leetcode.com/problems/remove-k-digits/description/" TargetMode="External"/><Relationship Id="rId115" Type="http://schemas.openxmlformats.org/officeDocument/2006/relationships/hyperlink" Target="https://leetcode.com/problems/best-time-to-buy-and-sell-stock-ii/description/" TargetMode="External"/><Relationship Id="rId357" Type="http://schemas.openxmlformats.org/officeDocument/2006/relationships/hyperlink" Target="https://leetcode.com/problems/binary-watch/description/" TargetMode="External"/><Relationship Id="rId599" Type="http://schemas.openxmlformats.org/officeDocument/2006/relationships/hyperlink" Target="https://leetcode.com/problems/swim-in-rising-water/description/" TargetMode="External"/><Relationship Id="rId119" Type="http://schemas.openxmlformats.org/officeDocument/2006/relationships/hyperlink" Target="https://leetcode.com/problems/word-ladder-ii/description/" TargetMode="External"/><Relationship Id="rId110" Type="http://schemas.openxmlformats.org/officeDocument/2006/relationships/hyperlink" Target="https://leetcode.com/problems/populating-next-right-pointers-in-each-node-ii/description/" TargetMode="External"/><Relationship Id="rId352" Type="http://schemas.openxmlformats.org/officeDocument/2006/relationships/hyperlink" Target="https://leetcode.com/problems/longest-substring-with-at-least-k-repeating-characters/description/" TargetMode="External"/><Relationship Id="rId594" Type="http://schemas.openxmlformats.org/officeDocument/2006/relationships/hyperlink" Target="https://leetcode.com/problems/basic-calculator-iii/description/" TargetMode="External"/><Relationship Id="rId351" Type="http://schemas.openxmlformats.org/officeDocument/2006/relationships/hyperlink" Target="https://leetcode.com/problems/decode-string/description/" TargetMode="External"/><Relationship Id="rId593" Type="http://schemas.openxmlformats.org/officeDocument/2006/relationships/hyperlink" Target="https://leetcode.com/problems/jewels-and-stones/description/" TargetMode="External"/><Relationship Id="rId350" Type="http://schemas.openxmlformats.org/officeDocument/2006/relationships/hyperlink" Target="https://leetcode.com/problems/utf-8-validation/description/" TargetMode="External"/><Relationship Id="rId592" Type="http://schemas.openxmlformats.org/officeDocument/2006/relationships/hyperlink" Target="https://leetcode.com/problems/basic-calculator-iv/description/" TargetMode="External"/><Relationship Id="rId591" Type="http://schemas.openxmlformats.org/officeDocument/2006/relationships/hyperlink" Target="https://leetcode.com/problems/max-chunks-to-make-sorted/description/" TargetMode="External"/><Relationship Id="rId114" Type="http://schemas.openxmlformats.org/officeDocument/2006/relationships/hyperlink" Target="https://leetcode.com/problems/best-time-to-buy-and-sell-stock/description/" TargetMode="External"/><Relationship Id="rId356" Type="http://schemas.openxmlformats.org/officeDocument/2006/relationships/hyperlink" Target="https://leetcode.com/problems/nth-digit/description/" TargetMode="External"/><Relationship Id="rId598" Type="http://schemas.openxmlformats.org/officeDocument/2006/relationships/hyperlink" Target="https://leetcode.com/problems/swap-adjacent-in-lr-string/description/" TargetMode="External"/><Relationship Id="rId113" Type="http://schemas.openxmlformats.org/officeDocument/2006/relationships/hyperlink" Target="https://leetcode.com/problems/triangle/description/" TargetMode="External"/><Relationship Id="rId355" Type="http://schemas.openxmlformats.org/officeDocument/2006/relationships/hyperlink" Target="https://leetcode.com/problems/evaluate-division/description/" TargetMode="External"/><Relationship Id="rId597" Type="http://schemas.openxmlformats.org/officeDocument/2006/relationships/hyperlink" Target="https://leetcode.com/problems/split-bst/description/" TargetMode="External"/><Relationship Id="rId112" Type="http://schemas.openxmlformats.org/officeDocument/2006/relationships/hyperlink" Target="https://leetcode.com/problems/pascals-triangle-ii/description/" TargetMode="External"/><Relationship Id="rId354" Type="http://schemas.openxmlformats.org/officeDocument/2006/relationships/hyperlink" Target="https://leetcode.com/problems/random-pick-index/description/" TargetMode="External"/><Relationship Id="rId596" Type="http://schemas.openxmlformats.org/officeDocument/2006/relationships/hyperlink" Target="https://leetcode.com/problems/minimize-max-distance-to-gas-station/description/" TargetMode="External"/><Relationship Id="rId111" Type="http://schemas.openxmlformats.org/officeDocument/2006/relationships/hyperlink" Target="https://leetcode.com/problems/pascals-triangle/description/" TargetMode="External"/><Relationship Id="rId353" Type="http://schemas.openxmlformats.org/officeDocument/2006/relationships/hyperlink" Target="https://leetcode.com/problems/integer-replacement/description/" TargetMode="External"/><Relationship Id="rId595" Type="http://schemas.openxmlformats.org/officeDocument/2006/relationships/hyperlink" Target="https://leetcode.com/problems/sliding-puzzle/description/" TargetMode="External"/><Relationship Id="rId305" Type="http://schemas.openxmlformats.org/officeDocument/2006/relationships/hyperlink" Target="https://leetcode.com/problems/flatten-nested-list-iterator/description/" TargetMode="External"/><Relationship Id="rId547" Type="http://schemas.openxmlformats.org/officeDocument/2006/relationships/hyperlink" Target="https://leetcode.com/problems/random-pick-with-blacklist/description/" TargetMode="External"/><Relationship Id="rId789" Type="http://schemas.openxmlformats.org/officeDocument/2006/relationships/hyperlink" Target="https://leetcode.com/problems/filling-bookcase-shelves/description/" TargetMode="External"/><Relationship Id="rId304" Type="http://schemas.openxmlformats.org/officeDocument/2006/relationships/hyperlink" Target="https://leetcode.com/problems/longest-substring-with-at-most-k-distinct-characters/description/" TargetMode="External"/><Relationship Id="rId546" Type="http://schemas.openxmlformats.org/officeDocument/2006/relationships/hyperlink" Target="https://leetcode.com/problems/to-lower-case/description/" TargetMode="External"/><Relationship Id="rId788" Type="http://schemas.openxmlformats.org/officeDocument/2006/relationships/hyperlink" Target="https://leetcode.com/problems/path-with-maximum-minimum-value/description/" TargetMode="External"/><Relationship Id="rId303" Type="http://schemas.openxmlformats.org/officeDocument/2006/relationships/hyperlink" Target="https://leetcode.com/problems/house-robber-iii/description/" TargetMode="External"/><Relationship Id="rId545" Type="http://schemas.openxmlformats.org/officeDocument/2006/relationships/hyperlink" Target="https://leetcode.com/problems/insert-into-a-sorted-circular-linked-list/description/" TargetMode="External"/><Relationship Id="rId787" Type="http://schemas.openxmlformats.org/officeDocument/2006/relationships/hyperlink" Target="https://leetcode.com/problems/the-earliest-moment-when-everyone-become-friends/description/" TargetMode="External"/><Relationship Id="rId302" Type="http://schemas.openxmlformats.org/officeDocument/2006/relationships/hyperlink" Target="https://leetcode.com/problems/palindrome-pairs/description/" TargetMode="External"/><Relationship Id="rId544" Type="http://schemas.openxmlformats.org/officeDocument/2006/relationships/hyperlink" Target="https://leetcode.com/problems/design-hashmap/description/" TargetMode="External"/><Relationship Id="rId786" Type="http://schemas.openxmlformats.org/officeDocument/2006/relationships/hyperlink" Target="https://leetcode.com/problems/two-sum-less-than-k/description/" TargetMode="External"/><Relationship Id="rId309" Type="http://schemas.openxmlformats.org/officeDocument/2006/relationships/hyperlink" Target="https://leetcode.com/problems/moving-average-from-data-stream/description/" TargetMode="External"/><Relationship Id="rId308" Type="http://schemas.openxmlformats.org/officeDocument/2006/relationships/hyperlink" Target="https://leetcode.com/problems/reverse-vowels-of-a-string/description/" TargetMode="External"/><Relationship Id="rId307" Type="http://schemas.openxmlformats.org/officeDocument/2006/relationships/hyperlink" Target="https://leetcode.com/problems/reverse-string/description/" TargetMode="External"/><Relationship Id="rId549" Type="http://schemas.openxmlformats.org/officeDocument/2006/relationships/hyperlink" Target="https://leetcode.com/problems/best-time-to-buy-and-sell-stock-with-transaction-fee/description/" TargetMode="External"/><Relationship Id="rId306" Type="http://schemas.openxmlformats.org/officeDocument/2006/relationships/hyperlink" Target="https://leetcode.com/problems/integer-break/description/" TargetMode="External"/><Relationship Id="rId548" Type="http://schemas.openxmlformats.org/officeDocument/2006/relationships/hyperlink" Target="https://leetcode.com/problems/subarray-product-less-than-k/description/" TargetMode="External"/><Relationship Id="rId781" Type="http://schemas.openxmlformats.org/officeDocument/2006/relationships/hyperlink" Target="https://leetcode.com/problems/duplicate-zeros/description/" TargetMode="External"/><Relationship Id="rId780" Type="http://schemas.openxmlformats.org/officeDocument/2006/relationships/hyperlink" Target="https://leetcode.com/problems/confusing-number-ii/description/" TargetMode="External"/><Relationship Id="rId301" Type="http://schemas.openxmlformats.org/officeDocument/2006/relationships/hyperlink" Target="https://leetcode.com/problems/self-crossing/description/" TargetMode="External"/><Relationship Id="rId543" Type="http://schemas.openxmlformats.org/officeDocument/2006/relationships/hyperlink" Target="https://leetcode.com/problems/design-hashset/description/" TargetMode="External"/><Relationship Id="rId785" Type="http://schemas.openxmlformats.org/officeDocument/2006/relationships/hyperlink" Target="https://leetcode.com/problems/brace-expansion-ii/description/" TargetMode="External"/><Relationship Id="rId300" Type="http://schemas.openxmlformats.org/officeDocument/2006/relationships/hyperlink" Target="https://leetcode.com/problems/increasing-triplet-subsequence/description/" TargetMode="External"/><Relationship Id="rId542" Type="http://schemas.openxmlformats.org/officeDocument/2006/relationships/hyperlink" Target="https://leetcode.com/problems/binary-search/description/" TargetMode="External"/><Relationship Id="rId784" Type="http://schemas.openxmlformats.org/officeDocument/2006/relationships/hyperlink" Target="https://leetcode.com/problems/find-in-mountain-array/description/" TargetMode="External"/><Relationship Id="rId541" Type="http://schemas.openxmlformats.org/officeDocument/2006/relationships/hyperlink" Target="https://leetcode.com/problems/kth-largest-element-in-a-stream/description/" TargetMode="External"/><Relationship Id="rId783" Type="http://schemas.openxmlformats.org/officeDocument/2006/relationships/hyperlink" Target="https://leetcode.com/problems/shortest-path-in-binary-matrix/description/" TargetMode="External"/><Relationship Id="rId540" Type="http://schemas.openxmlformats.org/officeDocument/2006/relationships/hyperlink" Target="https://leetcode.com/problems/search-in-a-sorted-array-of-unknown-size/description/" TargetMode="External"/><Relationship Id="rId782" Type="http://schemas.openxmlformats.org/officeDocument/2006/relationships/hyperlink" Target="https://leetcode.com/problems/largest-values-from-labels/description/" TargetMode="External"/><Relationship Id="rId536" Type="http://schemas.openxmlformats.org/officeDocument/2006/relationships/hyperlink" Target="https://leetcode.com/problems/max-area-of-island/description/" TargetMode="External"/><Relationship Id="rId778" Type="http://schemas.openxmlformats.org/officeDocument/2006/relationships/hyperlink" Target="https://leetcode.com/problems/smallest-subsequence-of-distinct-characters/description/" TargetMode="External"/><Relationship Id="rId535" Type="http://schemas.openxmlformats.org/officeDocument/2006/relationships/hyperlink" Target="https://leetcode.com/problems/number-of-distinct-islands/description/" TargetMode="External"/><Relationship Id="rId777" Type="http://schemas.openxmlformats.org/officeDocument/2006/relationships/hyperlink" Target="https://leetcode.com/problems/letter-tile-possibilities/description/" TargetMode="External"/><Relationship Id="rId534" Type="http://schemas.openxmlformats.org/officeDocument/2006/relationships/hyperlink" Target="https://leetcode.com/problems/top-k-frequent-words/description/" TargetMode="External"/><Relationship Id="rId776" Type="http://schemas.openxmlformats.org/officeDocument/2006/relationships/hyperlink" Target="https://leetcode.com/problems/occurrences-after-bigram/description/" TargetMode="External"/><Relationship Id="rId533" Type="http://schemas.openxmlformats.org/officeDocument/2006/relationships/hyperlink" Target="https://leetcode.com/problems/employee-importance/description/" TargetMode="External"/><Relationship Id="rId775" Type="http://schemas.openxmlformats.org/officeDocument/2006/relationships/hyperlink" Target="https://leetcode.com/problems/number-of-submatrices-that-sum-to-target/description/" TargetMode="External"/><Relationship Id="rId539" Type="http://schemas.openxmlformats.org/officeDocument/2006/relationships/hyperlink" Target="https://leetcode.com/problems/insert-into-a-binary-search-tree/description/" TargetMode="External"/><Relationship Id="rId538" Type="http://schemas.openxmlformats.org/officeDocument/2006/relationships/hyperlink" Target="https://leetcode.com/problems/search-in-a-binary-search-tree/description/" TargetMode="External"/><Relationship Id="rId537" Type="http://schemas.openxmlformats.org/officeDocument/2006/relationships/hyperlink" Target="https://leetcode.com/problems/partition-to-k-equal-sum-subsets/description/" TargetMode="External"/><Relationship Id="rId779" Type="http://schemas.openxmlformats.org/officeDocument/2006/relationships/hyperlink" Target="https://leetcode.com/problems/brace-expansion/description/" TargetMode="External"/><Relationship Id="rId770" Type="http://schemas.openxmlformats.org/officeDocument/2006/relationships/hyperlink" Target="https://leetcode.com/problems/campus-bikes/description/" TargetMode="External"/><Relationship Id="rId532" Type="http://schemas.openxmlformats.org/officeDocument/2006/relationships/hyperlink" Target="https://leetcode.com/problems/maximum-sum-of-3-non-overlapping-subarrays/description/" TargetMode="External"/><Relationship Id="rId774" Type="http://schemas.openxmlformats.org/officeDocument/2006/relationships/hyperlink" Target="https://leetcode.com/problems/campus-bikes-ii/description/" TargetMode="External"/><Relationship Id="rId531" Type="http://schemas.openxmlformats.org/officeDocument/2006/relationships/hyperlink" Target="https://leetcode.com/problems/knight-probability-in-chessboard/description/" TargetMode="External"/><Relationship Id="rId773" Type="http://schemas.openxmlformats.org/officeDocument/2006/relationships/hyperlink" Target="https://leetcode.com/problems/longest-repeating-substring/description/" TargetMode="External"/><Relationship Id="rId530" Type="http://schemas.openxmlformats.org/officeDocument/2006/relationships/hyperlink" Target="https://leetcode.com/problems/longest-univalue-path/description/" TargetMode="External"/><Relationship Id="rId772" Type="http://schemas.openxmlformats.org/officeDocument/2006/relationships/hyperlink" Target="https://leetcode.com/problems/missing-element-in-sorted-array/description/" TargetMode="External"/><Relationship Id="rId771" Type="http://schemas.openxmlformats.org/officeDocument/2006/relationships/hyperlink" Target="https://leetcode.com/problems/all-paths-from-source-lead-to-destination/description/" TargetMode="External"/><Relationship Id="rId327" Type="http://schemas.openxmlformats.org/officeDocument/2006/relationships/hyperlink" Target="https://leetcode.com/problems/find-leaves-of-binary-tree/description/" TargetMode="External"/><Relationship Id="rId569" Type="http://schemas.openxmlformats.org/officeDocument/2006/relationships/hyperlink" Target="https://leetcode.com/problems/asteroid-collision/description/" TargetMode="External"/><Relationship Id="rId326" Type="http://schemas.openxmlformats.org/officeDocument/2006/relationships/hyperlink" Target="https://leetcode.com/problems/water-and-jug-problem/description/" TargetMode="External"/><Relationship Id="rId568" Type="http://schemas.openxmlformats.org/officeDocument/2006/relationships/hyperlink" Target="https://leetcode.com/problems/sentence-similarity/description/" TargetMode="External"/><Relationship Id="rId325" Type="http://schemas.openxmlformats.org/officeDocument/2006/relationships/hyperlink" Target="https://leetcode.com/problems/max-sum-of-rectangle-no-larger-than-k/description/" TargetMode="External"/><Relationship Id="rId567" Type="http://schemas.openxmlformats.org/officeDocument/2006/relationships/hyperlink" Target="https://leetcode.com/problems/flood-fill/description/" TargetMode="External"/><Relationship Id="rId324" Type="http://schemas.openxmlformats.org/officeDocument/2006/relationships/hyperlink" Target="https://leetcode.com/problems/design-hit-counter/description/" TargetMode="External"/><Relationship Id="rId566" Type="http://schemas.openxmlformats.org/officeDocument/2006/relationships/hyperlink" Target="https://leetcode.com/problems/my-calendar-iii/description/" TargetMode="External"/><Relationship Id="rId329" Type="http://schemas.openxmlformats.org/officeDocument/2006/relationships/hyperlink" Target="https://leetcode.com/problems/largest-divisible-subset/description/" TargetMode="External"/><Relationship Id="rId328" Type="http://schemas.openxmlformats.org/officeDocument/2006/relationships/hyperlink" Target="https://leetcode.com/problems/valid-perfect-square/description/" TargetMode="External"/><Relationship Id="rId561" Type="http://schemas.openxmlformats.org/officeDocument/2006/relationships/hyperlink" Target="https://leetcode.com/problems/number-of-atoms/description/" TargetMode="External"/><Relationship Id="rId560" Type="http://schemas.openxmlformats.org/officeDocument/2006/relationships/hyperlink" Target="https://leetcode.com/problems/split-linked-list-in-parts/description/" TargetMode="External"/><Relationship Id="rId323" Type="http://schemas.openxmlformats.org/officeDocument/2006/relationships/hyperlink" Target="https://leetcode.com/problems/bomb-enemy/description/" TargetMode="External"/><Relationship Id="rId565" Type="http://schemas.openxmlformats.org/officeDocument/2006/relationships/hyperlink" Target="https://leetcode.com/problems/my-calendar-ii/description/" TargetMode="External"/><Relationship Id="rId322" Type="http://schemas.openxmlformats.org/officeDocument/2006/relationships/hyperlink" Target="https://leetcode.com/problems/sort-transformed-array/description/" TargetMode="External"/><Relationship Id="rId564" Type="http://schemas.openxmlformats.org/officeDocument/2006/relationships/hyperlink" Target="https://leetcode.com/problems/count-different-palindromic-subsequences/description/" TargetMode="External"/><Relationship Id="rId321" Type="http://schemas.openxmlformats.org/officeDocument/2006/relationships/hyperlink" Target="https://leetcode.com/problems/logger-rate-limiter/description/" TargetMode="External"/><Relationship Id="rId563" Type="http://schemas.openxmlformats.org/officeDocument/2006/relationships/hyperlink" Target="https://leetcode.com/problems/my-calendar-i/description/" TargetMode="External"/><Relationship Id="rId320" Type="http://schemas.openxmlformats.org/officeDocument/2006/relationships/hyperlink" Target="https://leetcode.com/problems/rearrange-string-k-distance-apart/description/" TargetMode="External"/><Relationship Id="rId562" Type="http://schemas.openxmlformats.org/officeDocument/2006/relationships/hyperlink" Target="https://leetcode.com/problems/minimum-window-subsequence/description/" TargetMode="External"/><Relationship Id="rId316" Type="http://schemas.openxmlformats.org/officeDocument/2006/relationships/hyperlink" Target="https://leetcode.com/problems/design-snake-game/description/" TargetMode="External"/><Relationship Id="rId558" Type="http://schemas.openxmlformats.org/officeDocument/2006/relationships/hyperlink" Target="https://leetcode.com/problems/candy-crush/description/" TargetMode="External"/><Relationship Id="rId315" Type="http://schemas.openxmlformats.org/officeDocument/2006/relationships/hyperlink" Target="https://leetcode.com/problems/data-stream-as-disjoint-intervals/description/" TargetMode="External"/><Relationship Id="rId557" Type="http://schemas.openxmlformats.org/officeDocument/2006/relationships/hyperlink" Target="https://leetcode.com/problems/remove-comments/description/" TargetMode="External"/><Relationship Id="rId799" Type="http://schemas.openxmlformats.org/officeDocument/2006/relationships/hyperlink" Target="https://leetcode.com/problems/alphabet-board-path/description/" TargetMode="External"/><Relationship Id="rId314" Type="http://schemas.openxmlformats.org/officeDocument/2006/relationships/hyperlink" Target="https://leetcode.com/problems/android-unlock-patterns/description/" TargetMode="External"/><Relationship Id="rId556" Type="http://schemas.openxmlformats.org/officeDocument/2006/relationships/hyperlink" Target="https://leetcode.com/problems/accounts-merge/description/" TargetMode="External"/><Relationship Id="rId798" Type="http://schemas.openxmlformats.org/officeDocument/2006/relationships/hyperlink" Target="https://leetcode.com/problems/parallel-courses/description/" TargetMode="External"/><Relationship Id="rId313" Type="http://schemas.openxmlformats.org/officeDocument/2006/relationships/hyperlink" Target="https://leetcode.com/problems/intersection-of-two-arrays-ii/description/" TargetMode="External"/><Relationship Id="rId555" Type="http://schemas.openxmlformats.org/officeDocument/2006/relationships/hyperlink" Target="https://leetcode.com/problems/longest-word-in-dictionary/description/" TargetMode="External"/><Relationship Id="rId797" Type="http://schemas.openxmlformats.org/officeDocument/2006/relationships/hyperlink" Target="https://leetcode.com/problems/connecting-cities-with-minimum-cost/description/" TargetMode="External"/><Relationship Id="rId319" Type="http://schemas.openxmlformats.org/officeDocument/2006/relationships/hyperlink" Target="https://leetcode.com/problems/count-numbers-with-unique-digits/description/" TargetMode="External"/><Relationship Id="rId318" Type="http://schemas.openxmlformats.org/officeDocument/2006/relationships/hyperlink" Target="https://leetcode.com/problems/line-reflection/description/" TargetMode="External"/><Relationship Id="rId317" Type="http://schemas.openxmlformats.org/officeDocument/2006/relationships/hyperlink" Target="https://leetcode.com/problems/russian-doll-envelopes/description/" TargetMode="External"/><Relationship Id="rId559" Type="http://schemas.openxmlformats.org/officeDocument/2006/relationships/hyperlink" Target="https://leetcode.com/problems/find-pivot-index/description/" TargetMode="External"/><Relationship Id="rId550" Type="http://schemas.openxmlformats.org/officeDocument/2006/relationships/hyperlink" Target="https://leetcode.com/problems/range-module/description/" TargetMode="External"/><Relationship Id="rId792" Type="http://schemas.openxmlformats.org/officeDocument/2006/relationships/hyperlink" Target="https://leetcode.com/problems/divide-array-into-increasing-sequences/description/" TargetMode="External"/><Relationship Id="rId791" Type="http://schemas.openxmlformats.org/officeDocument/2006/relationships/hyperlink" Target="https://leetcode.com/problems/delete-nodes-and-return-forest/description/" TargetMode="External"/><Relationship Id="rId790" Type="http://schemas.openxmlformats.org/officeDocument/2006/relationships/hyperlink" Target="https://leetcode.com/problems/defanging-an-ip-address/description/" TargetMode="External"/><Relationship Id="rId312" Type="http://schemas.openxmlformats.org/officeDocument/2006/relationships/hyperlink" Target="https://leetcode.com/problems/intersection-of-two-arrays/description/" TargetMode="External"/><Relationship Id="rId554" Type="http://schemas.openxmlformats.org/officeDocument/2006/relationships/hyperlink" Target="https://leetcode.com/problems/find-k-th-smallest-pair-distance/description/" TargetMode="External"/><Relationship Id="rId796" Type="http://schemas.openxmlformats.org/officeDocument/2006/relationships/hyperlink" Target="https://leetcode.com/problems/maximum-of-absolute-value-expression/description/" TargetMode="External"/><Relationship Id="rId311" Type="http://schemas.openxmlformats.org/officeDocument/2006/relationships/hyperlink" Target="https://leetcode.com/problems/design-tic-tac-toe/description/" TargetMode="External"/><Relationship Id="rId553" Type="http://schemas.openxmlformats.org/officeDocument/2006/relationships/hyperlink" Target="https://leetcode.com/problems/maximum-length-of-repeated-subarray/description/" TargetMode="External"/><Relationship Id="rId795" Type="http://schemas.openxmlformats.org/officeDocument/2006/relationships/hyperlink" Target="https://leetcode.com/problems/smallest-sufficient-team/description/" TargetMode="External"/><Relationship Id="rId310" Type="http://schemas.openxmlformats.org/officeDocument/2006/relationships/hyperlink" Target="https://leetcode.com/problems/top-k-frequent-elements/description/" TargetMode="External"/><Relationship Id="rId552" Type="http://schemas.openxmlformats.org/officeDocument/2006/relationships/hyperlink" Target="https://leetcode.com/problems/1-bit-and-2-bit-characters/description/" TargetMode="External"/><Relationship Id="rId794" Type="http://schemas.openxmlformats.org/officeDocument/2006/relationships/hyperlink" Target="https://leetcode.com/problems/lowest-common-ancestor-of-deepest-leaves/description/" TargetMode="External"/><Relationship Id="rId551" Type="http://schemas.openxmlformats.org/officeDocument/2006/relationships/hyperlink" Target="https://leetcode.com/problems/max-stack/description/" TargetMode="External"/><Relationship Id="rId793" Type="http://schemas.openxmlformats.org/officeDocument/2006/relationships/hyperlink" Target="https://leetcode.com/problems/relative-sort-array/description/" TargetMode="External"/><Relationship Id="rId297" Type="http://schemas.openxmlformats.org/officeDocument/2006/relationships/hyperlink" Target="https://leetcode.com/problems/verify-preorder-serialization-of-a-binary-tree/description/" TargetMode="External"/><Relationship Id="rId296" Type="http://schemas.openxmlformats.org/officeDocument/2006/relationships/hyperlink" Target="https://leetcode.com/problems/patching-array/description/" TargetMode="External"/><Relationship Id="rId295" Type="http://schemas.openxmlformats.org/officeDocument/2006/relationships/hyperlink" Target="https://leetcode.com/problems/longest-increasing-path-in-a-matrix/description/" TargetMode="External"/><Relationship Id="rId294" Type="http://schemas.openxmlformats.org/officeDocument/2006/relationships/hyperlink" Target="https://leetcode.com/problems/odd-even-linked-list/description/" TargetMode="External"/><Relationship Id="rId299" Type="http://schemas.openxmlformats.org/officeDocument/2006/relationships/hyperlink" Target="https://leetcode.com/problems/largest-bst-subtree/description/" TargetMode="External"/><Relationship Id="rId298" Type="http://schemas.openxmlformats.org/officeDocument/2006/relationships/hyperlink" Target="https://leetcode.com/problems/reconstruct-itinerary/description/" TargetMode="External"/><Relationship Id="rId271" Type="http://schemas.openxmlformats.org/officeDocument/2006/relationships/hyperlink" Target="https://leetcode.com/problems/range-sum-query-2d-immutable/description/" TargetMode="External"/><Relationship Id="rId270" Type="http://schemas.openxmlformats.org/officeDocument/2006/relationships/hyperlink" Target="https://leetcode.com/problems/range-sum-query-immutable/description/" TargetMode="External"/><Relationship Id="rId269" Type="http://schemas.openxmlformats.org/officeDocument/2006/relationships/hyperlink" Target="https://leetcode.com/problems/smallest-rectangle-enclosing-black-pixels/description/" TargetMode="External"/><Relationship Id="rId264" Type="http://schemas.openxmlformats.org/officeDocument/2006/relationships/hyperlink" Target="https://leetcode.com/problems/serialize-and-deserialize-binary-tree/description/" TargetMode="External"/><Relationship Id="rId263" Type="http://schemas.openxmlformats.org/officeDocument/2006/relationships/hyperlink" Target="https://leetcode.com/problems/best-meeting-point/description/" TargetMode="External"/><Relationship Id="rId262" Type="http://schemas.openxmlformats.org/officeDocument/2006/relationships/hyperlink" Target="https://leetcode.com/problems/find-median-from-data-stream/description/" TargetMode="External"/><Relationship Id="rId261" Type="http://schemas.openxmlformats.org/officeDocument/2006/relationships/hyperlink" Target="https://leetcode.com/problems/flip-game-ii/description/" TargetMode="External"/><Relationship Id="rId268" Type="http://schemas.openxmlformats.org/officeDocument/2006/relationships/hyperlink" Target="https://leetcode.com/problems/remove-invalid-parentheses/description/" TargetMode="External"/><Relationship Id="rId267" Type="http://schemas.openxmlformats.org/officeDocument/2006/relationships/hyperlink" Target="https://leetcode.com/problems/longest-increasing-subsequence/description/" TargetMode="External"/><Relationship Id="rId266" Type="http://schemas.openxmlformats.org/officeDocument/2006/relationships/hyperlink" Target="https://leetcode.com/problems/bulls-and-cows/description/" TargetMode="External"/><Relationship Id="rId265" Type="http://schemas.openxmlformats.org/officeDocument/2006/relationships/hyperlink" Target="https://leetcode.com/problems/binary-tree-longest-consecutive-sequence/description/" TargetMode="External"/><Relationship Id="rId260" Type="http://schemas.openxmlformats.org/officeDocument/2006/relationships/hyperlink" Target="https://leetcode.com/problems/flip-game/description/" TargetMode="External"/><Relationship Id="rId259" Type="http://schemas.openxmlformats.org/officeDocument/2006/relationships/hyperlink" Target="https://leetcode.com/problems/nim-game/description/" TargetMode="External"/><Relationship Id="rId258" Type="http://schemas.openxmlformats.org/officeDocument/2006/relationships/hyperlink" Target="https://leetcode.com/problems/word-pattern/description/" TargetMode="External"/><Relationship Id="rId253" Type="http://schemas.openxmlformats.org/officeDocument/2006/relationships/hyperlink" Target="https://leetcode.com/problems/inorder-successor-in-bst/description/" TargetMode="External"/><Relationship Id="rId495" Type="http://schemas.openxmlformats.org/officeDocument/2006/relationships/hyperlink" Target="https://leetcode.com/problems/design-log-storage-system/description/" TargetMode="External"/><Relationship Id="rId252" Type="http://schemas.openxmlformats.org/officeDocument/2006/relationships/hyperlink" Target="https://leetcode.com/problems/peeking-iterator/description/" TargetMode="External"/><Relationship Id="rId494" Type="http://schemas.openxmlformats.org/officeDocument/2006/relationships/hyperlink" Target="https://leetcode.com/problems/smallest-range-covering-elements-from-k-lists/description/" TargetMode="External"/><Relationship Id="rId251" Type="http://schemas.openxmlformats.org/officeDocument/2006/relationships/hyperlink" Target="https://leetcode.com/problems/move-zeroes/description/" TargetMode="External"/><Relationship Id="rId493" Type="http://schemas.openxmlformats.org/officeDocument/2006/relationships/hyperlink" Target="https://leetcode.com/problems/course-schedule-iii/description/" TargetMode="External"/><Relationship Id="rId250" Type="http://schemas.openxmlformats.org/officeDocument/2006/relationships/hyperlink" Target="https://leetcode.com/problems/expression-add-operators/description/" TargetMode="External"/><Relationship Id="rId492" Type="http://schemas.openxmlformats.org/officeDocument/2006/relationships/hyperlink" Target="https://leetcode.com/problems/design-circular-queue/description/" TargetMode="External"/><Relationship Id="rId257" Type="http://schemas.openxmlformats.org/officeDocument/2006/relationships/hyperlink" Target="https://leetcode.com/problems/game-of-life/description/" TargetMode="External"/><Relationship Id="rId499" Type="http://schemas.openxmlformats.org/officeDocument/2006/relationships/hyperlink" Target="https://leetcode.com/problems/solve-the-equation/description/" TargetMode="External"/><Relationship Id="rId256" Type="http://schemas.openxmlformats.org/officeDocument/2006/relationships/hyperlink" Target="https://leetcode.com/problems/unique-word-abbreviation/description/" TargetMode="External"/><Relationship Id="rId498" Type="http://schemas.openxmlformats.org/officeDocument/2006/relationships/hyperlink" Target="https://leetcode.com/problems/decode-ways-ii/description/" TargetMode="External"/><Relationship Id="rId255" Type="http://schemas.openxmlformats.org/officeDocument/2006/relationships/hyperlink" Target="https://leetcode.com/problems/find-the-duplicate-number/description/" TargetMode="External"/><Relationship Id="rId497" Type="http://schemas.openxmlformats.org/officeDocument/2006/relationships/hyperlink" Target="https://leetcode.com/problems/shopping-offers/description/" TargetMode="External"/><Relationship Id="rId254" Type="http://schemas.openxmlformats.org/officeDocument/2006/relationships/hyperlink" Target="https://leetcode.com/problems/walls-and-gates/description/" TargetMode="External"/><Relationship Id="rId496" Type="http://schemas.openxmlformats.org/officeDocument/2006/relationships/hyperlink" Target="https://leetcode.com/problems/exclusive-time-of-functions/description/" TargetMode="External"/><Relationship Id="rId293" Type="http://schemas.openxmlformats.org/officeDocument/2006/relationships/hyperlink" Target="https://leetcode.com/problems/count-of-range-sum/description/" TargetMode="External"/><Relationship Id="rId292" Type="http://schemas.openxmlformats.org/officeDocument/2006/relationships/hyperlink" Target="https://leetcode.com/problems/power-of-three/description/" TargetMode="External"/><Relationship Id="rId291" Type="http://schemas.openxmlformats.org/officeDocument/2006/relationships/hyperlink" Target="https://leetcode.com/problems/maximum-size-subarray-sum-equals-k/description/" TargetMode="External"/><Relationship Id="rId290" Type="http://schemas.openxmlformats.org/officeDocument/2006/relationships/hyperlink" Target="https://leetcode.com/problems/wiggle-sort-ii/description/" TargetMode="External"/><Relationship Id="rId286" Type="http://schemas.openxmlformats.org/officeDocument/2006/relationships/hyperlink" Target="https://leetcode.com/problems/generalized-abbreviation/description/" TargetMode="External"/><Relationship Id="rId285" Type="http://schemas.openxmlformats.org/officeDocument/2006/relationships/hyperlink" Target="https://leetcode.com/problems/maximum-product-of-word-lengths/description/" TargetMode="External"/><Relationship Id="rId284" Type="http://schemas.openxmlformats.org/officeDocument/2006/relationships/hyperlink" Target="https://leetcode.com/problems/shortest-distance-from-all-buildings/description/" TargetMode="External"/><Relationship Id="rId283" Type="http://schemas.openxmlformats.org/officeDocument/2006/relationships/hyperlink" Target="https://leetcode.com/problems/remove-duplicate-letters/description/" TargetMode="External"/><Relationship Id="rId289" Type="http://schemas.openxmlformats.org/officeDocument/2006/relationships/hyperlink" Target="https://leetcode.com/problems/number-of-connected-components-in-an-undirected-graph/description/" TargetMode="External"/><Relationship Id="rId288" Type="http://schemas.openxmlformats.org/officeDocument/2006/relationships/hyperlink" Target="https://leetcode.com/problems/coin-change/description/" TargetMode="External"/><Relationship Id="rId287" Type="http://schemas.openxmlformats.org/officeDocument/2006/relationships/hyperlink" Target="https://leetcode.com/problems/create-maximum-number/description/" TargetMode="External"/><Relationship Id="rId282" Type="http://schemas.openxmlformats.org/officeDocument/2006/relationships/hyperlink" Target="https://leetcode.com/problems/count-of-smaller-numbers-after-self/description/" TargetMode="External"/><Relationship Id="rId281" Type="http://schemas.openxmlformats.org/officeDocument/2006/relationships/hyperlink" Target="https://leetcode.com/problems/binary-tree-vertical-order-traversal/description/" TargetMode="External"/><Relationship Id="rId280" Type="http://schemas.openxmlformats.org/officeDocument/2006/relationships/hyperlink" Target="https://leetcode.com/problems/super-ugly-number/description/" TargetMode="External"/><Relationship Id="rId275" Type="http://schemas.openxmlformats.org/officeDocument/2006/relationships/hyperlink" Target="https://leetcode.com/problems/range-sum-query-2d-mutable/description/" TargetMode="External"/><Relationship Id="rId274" Type="http://schemas.openxmlformats.org/officeDocument/2006/relationships/hyperlink" Target="https://leetcode.com/problems/range-sum-query-mutable/description/" TargetMode="External"/><Relationship Id="rId273" Type="http://schemas.openxmlformats.org/officeDocument/2006/relationships/hyperlink" Target="https://leetcode.com/problems/additive-number/description/" TargetMode="External"/><Relationship Id="rId272" Type="http://schemas.openxmlformats.org/officeDocument/2006/relationships/hyperlink" Target="https://leetcode.com/problems/number-of-islands-ii/description/" TargetMode="External"/><Relationship Id="rId279" Type="http://schemas.openxmlformats.org/officeDocument/2006/relationships/hyperlink" Target="https://leetcode.com/problems/burst-balloons/description/" TargetMode="External"/><Relationship Id="rId278" Type="http://schemas.openxmlformats.org/officeDocument/2006/relationships/hyperlink" Target="https://leetcode.com/problems/sparse-matrix-multiplication/description/" TargetMode="External"/><Relationship Id="rId277" Type="http://schemas.openxmlformats.org/officeDocument/2006/relationships/hyperlink" Target="https://leetcode.com/problems/minimum-height-trees/description/" TargetMode="External"/><Relationship Id="rId276" Type="http://schemas.openxmlformats.org/officeDocument/2006/relationships/hyperlink" Target="https://leetcode.com/problems/best-time-to-buy-and-sell-stock-with-cooldown/description/" TargetMode="External"/><Relationship Id="rId907" Type="http://schemas.openxmlformats.org/officeDocument/2006/relationships/hyperlink" Target="https://leetcode.com/problems/count-submatrices-with-all-ones/description/" TargetMode="External"/><Relationship Id="rId906" Type="http://schemas.openxmlformats.org/officeDocument/2006/relationships/hyperlink" Target="https://leetcode.com/problems/last-moment-before-all-ants-fall-out-of-a-plank/description/" TargetMode="External"/><Relationship Id="rId905" Type="http://schemas.openxmlformats.org/officeDocument/2006/relationships/hyperlink" Target="https://leetcode.com/problems/max-value-of-equation/description/" TargetMode="External"/><Relationship Id="rId904" Type="http://schemas.openxmlformats.org/officeDocument/2006/relationships/hyperlink" Target="https://leetcode.com/problems/number-of-subsequences-that-satisfy-the-given-sum-condition/description/" TargetMode="External"/><Relationship Id="rId909" Type="http://schemas.openxmlformats.org/officeDocument/2006/relationships/hyperlink" Target="https://leetcode.com/problems/range-sum-of-sorted-subarray-sums/description/" TargetMode="External"/><Relationship Id="rId908" Type="http://schemas.openxmlformats.org/officeDocument/2006/relationships/hyperlink" Target="https://leetcode.com/problems/find-root-of-n-ary-tree/description/" TargetMode="External"/><Relationship Id="rId903" Type="http://schemas.openxmlformats.org/officeDocument/2006/relationships/hyperlink" Target="https://leetcode.com/problems/parallel-courses-ii/description/" TargetMode="External"/><Relationship Id="rId902" Type="http://schemas.openxmlformats.org/officeDocument/2006/relationships/hyperlink" Target="https://leetcode.com/problems/avoid-flood-in-the-city/description/" TargetMode="External"/><Relationship Id="rId901" Type="http://schemas.openxmlformats.org/officeDocument/2006/relationships/hyperlink" Target="https://leetcode.com/problems/kth-ancestor-of-a-tree-node/description/" TargetMode="External"/><Relationship Id="rId900" Type="http://schemas.openxmlformats.org/officeDocument/2006/relationships/hyperlink" Target="https://leetcode.com/problems/minimum-number-of-days-to-make-m-bouquets/description/" TargetMode="External"/><Relationship Id="rId929" Type="http://schemas.openxmlformats.org/officeDocument/2006/relationships/hyperlink" Target="https://leetcode.com/problems/special-positions-in-a-binary-matrix/description/" TargetMode="External"/><Relationship Id="rId928" Type="http://schemas.openxmlformats.org/officeDocument/2006/relationships/hyperlink" Target="https://leetcode.com/problems/put-boxes-into-the-warehouse-ii/description/" TargetMode="External"/><Relationship Id="rId927" Type="http://schemas.openxmlformats.org/officeDocument/2006/relationships/hyperlink" Target="https://leetcode.com/problems/replace-all-s-to-avoid-consecutive-repeating-characters/description/" TargetMode="External"/><Relationship Id="rId926" Type="http://schemas.openxmlformats.org/officeDocument/2006/relationships/hyperlink" Target="https://leetcode.com/problems/number-of-ways-to-reorder-array-to-get-same-bst/description/" TargetMode="External"/><Relationship Id="rId921" Type="http://schemas.openxmlformats.org/officeDocument/2006/relationships/hyperlink" Target="https://leetcode.com/problems/the-most-similar-path-in-a-graph/description/" TargetMode="External"/><Relationship Id="rId920" Type="http://schemas.openxmlformats.org/officeDocument/2006/relationships/hyperlink" Target="https://leetcode.com/problems/minimum-cost-to-cut-a-stick/description/" TargetMode="External"/><Relationship Id="rId925" Type="http://schemas.openxmlformats.org/officeDocument/2006/relationships/hyperlink" Target="https://leetcode.com/problems/put-boxes-into-the-warehouse-i/description/" TargetMode="External"/><Relationship Id="rId924" Type="http://schemas.openxmlformats.org/officeDocument/2006/relationships/hyperlink" Target="https://leetcode.com/problems/find-latest-group-of-size-m/description/" TargetMode="External"/><Relationship Id="rId923" Type="http://schemas.openxmlformats.org/officeDocument/2006/relationships/hyperlink" Target="https://leetcode.com/problems/minimum-number-of-vertices-to-reach-all-nodes/description/" TargetMode="External"/><Relationship Id="rId922" Type="http://schemas.openxmlformats.org/officeDocument/2006/relationships/hyperlink" Target="https://leetcode.com/problems/minimum-number-of-days-to-eat-n-oranges/description/" TargetMode="External"/><Relationship Id="rId918" Type="http://schemas.openxmlformats.org/officeDocument/2006/relationships/hyperlink" Target="https://leetcode.com/problems/make-the-string-great/description/" TargetMode="External"/><Relationship Id="rId917" Type="http://schemas.openxmlformats.org/officeDocument/2006/relationships/hyperlink" Target="https://leetcode.com/problems/guess-the-majority-in-a-hidden-array/description/" TargetMode="External"/><Relationship Id="rId916" Type="http://schemas.openxmlformats.org/officeDocument/2006/relationships/hyperlink" Target="https://leetcode.com/problems/number-of-good-leaf-nodes-pairs/description/" TargetMode="External"/><Relationship Id="rId915" Type="http://schemas.openxmlformats.org/officeDocument/2006/relationships/hyperlink" Target="https://leetcode.com/problems/minimum-number-of-increments-on-subarrays-to-form-a-target-array/description/" TargetMode="External"/><Relationship Id="rId919" Type="http://schemas.openxmlformats.org/officeDocument/2006/relationships/hyperlink" Target="https://leetcode.com/problems/maximum-number-of-non-overlapping-subarrays-with-sum-equals-target/description/" TargetMode="External"/><Relationship Id="rId910" Type="http://schemas.openxmlformats.org/officeDocument/2006/relationships/hyperlink" Target="https://leetcode.com/problems/minimum-difference-between-largest-and-smallest-value-in-three-moves/description/" TargetMode="External"/><Relationship Id="rId914" Type="http://schemas.openxmlformats.org/officeDocument/2006/relationships/hyperlink" Target="https://leetcode.com/problems/number-of-good-ways-to-split-a-string/description/" TargetMode="External"/><Relationship Id="rId913" Type="http://schemas.openxmlformats.org/officeDocument/2006/relationships/hyperlink" Target="https://leetcode.com/problems/move-sub-tree-of-n-ary-tree/description/" TargetMode="External"/><Relationship Id="rId912" Type="http://schemas.openxmlformats.org/officeDocument/2006/relationships/hyperlink" Target="https://leetcode.com/problems/path-with-maximum-probability/description/" TargetMode="External"/><Relationship Id="rId911" Type="http://schemas.openxmlformats.org/officeDocument/2006/relationships/hyperlink" Target="https://leetcode.com/problems/number-of-substrings-with-only-1s/description/" TargetMode="External"/><Relationship Id="rId629" Type="http://schemas.openxmlformats.org/officeDocument/2006/relationships/hyperlink" Target="https://leetcode.com/problems/ambiguous-coordinates/description/" TargetMode="External"/><Relationship Id="rId624" Type="http://schemas.openxmlformats.org/officeDocument/2006/relationships/hyperlink" Target="https://leetcode.com/problems/subdomain-visit-count/description/" TargetMode="External"/><Relationship Id="rId866" Type="http://schemas.openxmlformats.org/officeDocument/2006/relationships/hyperlink" Target="https://leetcode.com/problems/sort-the-matrix-diagonally/description/" TargetMode="External"/><Relationship Id="rId623" Type="http://schemas.openxmlformats.org/officeDocument/2006/relationships/hyperlink" Target="https://leetcode.com/problems/expressive-words/description/" TargetMode="External"/><Relationship Id="rId865" Type="http://schemas.openxmlformats.org/officeDocument/2006/relationships/hyperlink" Target="https://leetcode.com/problems/minimum-number-of-taps-to-open-to-water-a-garden/description/" TargetMode="External"/><Relationship Id="rId622" Type="http://schemas.openxmlformats.org/officeDocument/2006/relationships/hyperlink" Target="https://leetcode.com/problems/soup-servings/description/" TargetMode="External"/><Relationship Id="rId864" Type="http://schemas.openxmlformats.org/officeDocument/2006/relationships/hyperlink" Target="https://leetcode.com/problems/delete-leaves-with-a-given-value/description/" TargetMode="External"/><Relationship Id="rId621" Type="http://schemas.openxmlformats.org/officeDocument/2006/relationships/hyperlink" Target="https://leetcode.com/problems/max-increase-to-keep-city-skyline/description/" TargetMode="External"/><Relationship Id="rId863" Type="http://schemas.openxmlformats.org/officeDocument/2006/relationships/hyperlink" Target="https://leetcode.com/problems/minimum-distance-to-type-a-word-using-two-fingers/description/" TargetMode="External"/><Relationship Id="rId628" Type="http://schemas.openxmlformats.org/officeDocument/2006/relationships/hyperlink" Target="https://leetcode.com/problems/bus-routes/description/" TargetMode="External"/><Relationship Id="rId627" Type="http://schemas.openxmlformats.org/officeDocument/2006/relationships/hyperlink" Target="https://leetcode.com/problems/binary-tree-pruning/description/" TargetMode="External"/><Relationship Id="rId869" Type="http://schemas.openxmlformats.org/officeDocument/2006/relationships/hyperlink" Target="https://leetcode.com/problems/jump-game-iv/description/" TargetMode="External"/><Relationship Id="rId626" Type="http://schemas.openxmlformats.org/officeDocument/2006/relationships/hyperlink" Target="https://leetcode.com/problems/largest-sum-of-averages/description/" TargetMode="External"/><Relationship Id="rId868" Type="http://schemas.openxmlformats.org/officeDocument/2006/relationships/hyperlink" Target="https://leetcode.com/problems/number-of-steps-to-reduce-a-number-to-zero/description/" TargetMode="External"/><Relationship Id="rId625" Type="http://schemas.openxmlformats.org/officeDocument/2006/relationships/hyperlink" Target="https://leetcode.com/problems/largest-triangle-area/description/" TargetMode="External"/><Relationship Id="rId867" Type="http://schemas.openxmlformats.org/officeDocument/2006/relationships/hyperlink" Target="https://leetcode.com/problems/rank-transform-of-an-array/description/" TargetMode="External"/><Relationship Id="rId620" Type="http://schemas.openxmlformats.org/officeDocument/2006/relationships/hyperlink" Target="https://leetcode.com/problems/number-of-lines-to-write-string/description/" TargetMode="External"/><Relationship Id="rId862" Type="http://schemas.openxmlformats.org/officeDocument/2006/relationships/hyperlink" Target="https://leetcode.com/problems/distinct-echo-substrings/description/" TargetMode="External"/><Relationship Id="rId861" Type="http://schemas.openxmlformats.org/officeDocument/2006/relationships/hyperlink" Target="https://leetcode.com/problems/matrix-block-sum/description/" TargetMode="External"/><Relationship Id="rId860" Type="http://schemas.openxmlformats.org/officeDocument/2006/relationships/hyperlink" Target="https://leetcode.com/problems/decompress-run-length-encoded-list/description/" TargetMode="External"/><Relationship Id="rId619" Type="http://schemas.openxmlformats.org/officeDocument/2006/relationships/hyperlink" Target="https://leetcode.com/problems/split-array-with-same-average/description/" TargetMode="External"/><Relationship Id="rId618" Type="http://schemas.openxmlformats.org/officeDocument/2006/relationships/hyperlink" Target="https://leetcode.com/problems/unique-morse-code-words/description/" TargetMode="External"/><Relationship Id="rId613" Type="http://schemas.openxmlformats.org/officeDocument/2006/relationships/hyperlink" Target="https://leetcode.com/problems/champagne-tower/description/" TargetMode="External"/><Relationship Id="rId855" Type="http://schemas.openxmlformats.org/officeDocument/2006/relationships/hyperlink" Target="https://leetcode.com/problems/shortest-path-in-a-grid-with-obstacles-elimination/description/" TargetMode="External"/><Relationship Id="rId612" Type="http://schemas.openxmlformats.org/officeDocument/2006/relationships/hyperlink" Target="https://leetcode.com/problems/all-paths-from-source-to-target/description/" TargetMode="External"/><Relationship Id="rId854" Type="http://schemas.openxmlformats.org/officeDocument/2006/relationships/hyperlink" Target="https://leetcode.com/problems/maximum-side-length-of-a-square-with-sum-less-than-or-equal-to-threshold/description/" TargetMode="External"/><Relationship Id="rId611" Type="http://schemas.openxmlformats.org/officeDocument/2006/relationships/hyperlink" Target="https://leetcode.com/problems/valid-tic-tac-toe-state/description/" TargetMode="External"/><Relationship Id="rId853" Type="http://schemas.openxmlformats.org/officeDocument/2006/relationships/hyperlink" Target="https://leetcode.com/problems/minimum-falling-path-sum-ii/description/" TargetMode="External"/><Relationship Id="rId610" Type="http://schemas.openxmlformats.org/officeDocument/2006/relationships/hyperlink" Target="https://leetcode.com/problems/number-of-matching-subsequences/description/" TargetMode="External"/><Relationship Id="rId852" Type="http://schemas.openxmlformats.org/officeDocument/2006/relationships/hyperlink" Target="https://leetcode.com/problems/element-appearing-more-than-25-in-sorted-array/description/" TargetMode="External"/><Relationship Id="rId617" Type="http://schemas.openxmlformats.org/officeDocument/2006/relationships/hyperlink" Target="https://leetcode.com/problems/bricks-falling-when-hit/description/" TargetMode="External"/><Relationship Id="rId859" Type="http://schemas.openxmlformats.org/officeDocument/2006/relationships/hyperlink" Target="https://leetcode.com/problems/minimum-insertion-steps-to-make-a-string-palindrome/description/" TargetMode="External"/><Relationship Id="rId616" Type="http://schemas.openxmlformats.org/officeDocument/2006/relationships/hyperlink" Target="https://leetcode.com/problems/find-eventual-safe-states/description/" TargetMode="External"/><Relationship Id="rId858" Type="http://schemas.openxmlformats.org/officeDocument/2006/relationships/hyperlink" Target="https://leetcode.com/problems/deepest-leaves-sum/description/" TargetMode="External"/><Relationship Id="rId615" Type="http://schemas.openxmlformats.org/officeDocument/2006/relationships/hyperlink" Target="https://leetcode.com/problems/minimum-swaps-to-make-sequences-increasing/description/" TargetMode="External"/><Relationship Id="rId857" Type="http://schemas.openxmlformats.org/officeDocument/2006/relationships/hyperlink" Target="https://leetcode.com/problems/sum-of-mutated-array-closest-to-target/description/" TargetMode="External"/><Relationship Id="rId614" Type="http://schemas.openxmlformats.org/officeDocument/2006/relationships/hyperlink" Target="https://leetcode.com/problems/similar-rgb-color/description/" TargetMode="External"/><Relationship Id="rId856" Type="http://schemas.openxmlformats.org/officeDocument/2006/relationships/hyperlink" Target="https://leetcode.com/problems/divide-array-in-sets-of-k-consecutive-numbers/description/" TargetMode="External"/><Relationship Id="rId851" Type="http://schemas.openxmlformats.org/officeDocument/2006/relationships/hyperlink" Target="https://leetcode.com/problems/iterator-for-combination/description/" TargetMode="External"/><Relationship Id="rId850" Type="http://schemas.openxmlformats.org/officeDocument/2006/relationships/hyperlink" Target="https://leetcode.com/problems/minimum-number-of-flips-to-convert-binary-matrix-to-zero-matrix/description/" TargetMode="External"/><Relationship Id="rId409" Type="http://schemas.openxmlformats.org/officeDocument/2006/relationships/hyperlink" Target="https://leetcode.com/problems/unique-substrings-in-wraparound-string/description/" TargetMode="External"/><Relationship Id="rId404" Type="http://schemas.openxmlformats.org/officeDocument/2006/relationships/hyperlink" Target="https://leetcode.com/problems/repeated-substring-pattern/description/" TargetMode="External"/><Relationship Id="rId646" Type="http://schemas.openxmlformats.org/officeDocument/2006/relationships/hyperlink" Target="https://leetcode.com/problems/keys-and-rooms/description/" TargetMode="External"/><Relationship Id="rId888" Type="http://schemas.openxmlformats.org/officeDocument/2006/relationships/hyperlink" Target="https://leetcode.com/problems/build-an-array-with-stack-operations/description/" TargetMode="External"/><Relationship Id="rId403" Type="http://schemas.openxmlformats.org/officeDocument/2006/relationships/hyperlink" Target="https://leetcode.com/problems/circular-array-loop/description/" TargetMode="External"/><Relationship Id="rId645" Type="http://schemas.openxmlformats.org/officeDocument/2006/relationships/hyperlink" Target="https://leetcode.com/problems/magic-squares-in-grid/description/" TargetMode="External"/><Relationship Id="rId887" Type="http://schemas.openxmlformats.org/officeDocument/2006/relationships/hyperlink" Target="https://leetcode.com/problems/longest-continuous-subarray-with-absolute-diff-less-than-or-equal-to-limit/description/" TargetMode="External"/><Relationship Id="rId402" Type="http://schemas.openxmlformats.org/officeDocument/2006/relationships/hyperlink" Target="https://leetcode.com/problems/132-pattern/description/" TargetMode="External"/><Relationship Id="rId644" Type="http://schemas.openxmlformats.org/officeDocument/2006/relationships/hyperlink" Target="https://leetcode.com/problems/similar-string-groups/description/" TargetMode="External"/><Relationship Id="rId886" Type="http://schemas.openxmlformats.org/officeDocument/2006/relationships/hyperlink" Target="https://leetcode.com/problems/diagonal-traverse-ii/description/" TargetMode="External"/><Relationship Id="rId401" Type="http://schemas.openxmlformats.org/officeDocument/2006/relationships/hyperlink" Target="https://leetcode.com/problems/4sum-ii/description/" TargetMode="External"/><Relationship Id="rId643" Type="http://schemas.openxmlformats.org/officeDocument/2006/relationships/hyperlink" Target="https://leetcode.com/problems/push-dominoes/description/" TargetMode="External"/><Relationship Id="rId885" Type="http://schemas.openxmlformats.org/officeDocument/2006/relationships/hyperlink" Target="https://leetcode.com/problems/maximum-points-you-can-obtain-from-cards/description/" TargetMode="External"/><Relationship Id="rId408" Type="http://schemas.openxmlformats.org/officeDocument/2006/relationships/hyperlink" Target="https://leetcode.com/problems/optimal-account-balancing/description/" TargetMode="External"/><Relationship Id="rId407" Type="http://schemas.openxmlformats.org/officeDocument/2006/relationships/hyperlink" Target="https://leetcode.com/problems/can-i-win/description/" TargetMode="External"/><Relationship Id="rId649" Type="http://schemas.openxmlformats.org/officeDocument/2006/relationships/hyperlink" Target="https://leetcode.com/problems/longest-mountain-in-array/description/" TargetMode="External"/><Relationship Id="rId406" Type="http://schemas.openxmlformats.org/officeDocument/2006/relationships/hyperlink" Target="https://leetcode.com/problems/island-perimeter/description/" TargetMode="External"/><Relationship Id="rId648" Type="http://schemas.openxmlformats.org/officeDocument/2006/relationships/hyperlink" Target="https://leetcode.com/problems/backspace-string-compare/description/" TargetMode="External"/><Relationship Id="rId405" Type="http://schemas.openxmlformats.org/officeDocument/2006/relationships/hyperlink" Target="https://leetcode.com/problems/lfu-cache/description/" TargetMode="External"/><Relationship Id="rId647" Type="http://schemas.openxmlformats.org/officeDocument/2006/relationships/hyperlink" Target="https://leetcode.com/problems/guess-the-word/description/" TargetMode="External"/><Relationship Id="rId889" Type="http://schemas.openxmlformats.org/officeDocument/2006/relationships/hyperlink" Target="https://leetcode.com/problems/number-of-ways-of-cutting-a-pizza/description/" TargetMode="External"/><Relationship Id="rId880" Type="http://schemas.openxmlformats.org/officeDocument/2006/relationships/hyperlink" Target="https://leetcode.com/problems/count-number-of-teams/description/" TargetMode="External"/><Relationship Id="rId400" Type="http://schemas.openxmlformats.org/officeDocument/2006/relationships/hyperlink" Target="https://leetcode.com/problems/minimum-number-of-arrows-to-burst-balloons/description/" TargetMode="External"/><Relationship Id="rId642" Type="http://schemas.openxmlformats.org/officeDocument/2006/relationships/hyperlink" Target="https://leetcode.com/problems/new-21-game/description/" TargetMode="External"/><Relationship Id="rId884" Type="http://schemas.openxmlformats.org/officeDocument/2006/relationships/hyperlink" Target="https://leetcode.com/problems/maximum-score-after-splitting-a-string/description/" TargetMode="External"/><Relationship Id="rId641" Type="http://schemas.openxmlformats.org/officeDocument/2006/relationships/hyperlink" Target="https://leetcode.com/problems/rectangle-overlap/description/" TargetMode="External"/><Relationship Id="rId883" Type="http://schemas.openxmlformats.org/officeDocument/2006/relationships/hyperlink" Target="https://leetcode.com/problems/find-the-minimum-number-of-fibonacci-numbers-whose-sum-is-k/description/" TargetMode="External"/><Relationship Id="rId640" Type="http://schemas.openxmlformats.org/officeDocument/2006/relationships/hyperlink" Target="https://leetcode.com/problems/image-overlap/description/" TargetMode="External"/><Relationship Id="rId882" Type="http://schemas.openxmlformats.org/officeDocument/2006/relationships/hyperlink" Target="https://leetcode.com/problems/stone-game-iii/description/" TargetMode="External"/><Relationship Id="rId881" Type="http://schemas.openxmlformats.org/officeDocument/2006/relationships/hyperlink" Target="https://leetcode.com/problems/circle-and-rectangle-overlapping/description/" TargetMode="External"/><Relationship Id="rId635" Type="http://schemas.openxmlformats.org/officeDocument/2006/relationships/hyperlink" Target="https://leetcode.com/problems/consecutive-numbers-sum/description/" TargetMode="External"/><Relationship Id="rId877" Type="http://schemas.openxmlformats.org/officeDocument/2006/relationships/hyperlink" Target="https://leetcode.com/problems/sort-integers-by-the-power-value/description/" TargetMode="External"/><Relationship Id="rId634" Type="http://schemas.openxmlformats.org/officeDocument/2006/relationships/hyperlink" Target="https://leetcode.com/problems/making-a-large-island/description/" TargetMode="External"/><Relationship Id="rId876" Type="http://schemas.openxmlformats.org/officeDocument/2006/relationships/hyperlink" Target="https://leetcode.com/problems/frog-position-after-t-seconds/description/" TargetMode="External"/><Relationship Id="rId633" Type="http://schemas.openxmlformats.org/officeDocument/2006/relationships/hyperlink" Target="https://leetcode.com/problems/shortest-distance-to-a-character/description/" TargetMode="External"/><Relationship Id="rId875" Type="http://schemas.openxmlformats.org/officeDocument/2006/relationships/hyperlink" Target="https://leetcode.com/problems/time-needed-to-inform-all-employees/description/" TargetMode="External"/><Relationship Id="rId632" Type="http://schemas.openxmlformats.org/officeDocument/2006/relationships/hyperlink" Target="https://leetcode.com/problems/most-common-word/description/" TargetMode="External"/><Relationship Id="rId874" Type="http://schemas.openxmlformats.org/officeDocument/2006/relationships/hyperlink" Target="https://leetcode.com/problems/minimum-cost-to-make-at-least-one-valid-path-in-a-grid/description/" TargetMode="External"/><Relationship Id="rId639" Type="http://schemas.openxmlformats.org/officeDocument/2006/relationships/hyperlink" Target="https://leetcode.com/problems/sum-of-distances-in-tree/description/" TargetMode="External"/><Relationship Id="rId638" Type="http://schemas.openxmlformats.org/officeDocument/2006/relationships/hyperlink" Target="https://leetcode.com/problems/find-and-replace-in-string/description/" TargetMode="External"/><Relationship Id="rId637" Type="http://schemas.openxmlformats.org/officeDocument/2006/relationships/hyperlink" Target="https://leetcode.com/problems/flipping-an-image/description/" TargetMode="External"/><Relationship Id="rId879" Type="http://schemas.openxmlformats.org/officeDocument/2006/relationships/hyperlink" Target="https://leetcode.com/problems/longest-happy-prefix/description/" TargetMode="External"/><Relationship Id="rId636" Type="http://schemas.openxmlformats.org/officeDocument/2006/relationships/hyperlink" Target="https://leetcode.com/problems/positions-of-large-groups/description/" TargetMode="External"/><Relationship Id="rId878" Type="http://schemas.openxmlformats.org/officeDocument/2006/relationships/hyperlink" Target="https://leetcode.com/problems/pizza-with-3n-slices/description/" TargetMode="External"/><Relationship Id="rId631" Type="http://schemas.openxmlformats.org/officeDocument/2006/relationships/hyperlink" Target="https://leetcode.com/problems/race-car/description/" TargetMode="External"/><Relationship Id="rId873" Type="http://schemas.openxmlformats.org/officeDocument/2006/relationships/hyperlink" Target="https://leetcode.com/problems/rank-teams-by-votes/description/" TargetMode="External"/><Relationship Id="rId630" Type="http://schemas.openxmlformats.org/officeDocument/2006/relationships/hyperlink" Target="https://leetcode.com/problems/linked-list-components/description/" TargetMode="External"/><Relationship Id="rId872" Type="http://schemas.openxmlformats.org/officeDocument/2006/relationships/hyperlink" Target="https://leetcode.com/problems/how-many-numbers-are-smaller-than-the-current-number/description/" TargetMode="External"/><Relationship Id="rId871" Type="http://schemas.openxmlformats.org/officeDocument/2006/relationships/hyperlink" Target="https://leetcode.com/problems/product-of-the-last-k-numbers/description/" TargetMode="External"/><Relationship Id="rId870" Type="http://schemas.openxmlformats.org/officeDocument/2006/relationships/hyperlink" Target="https://leetcode.com/problems/check-if-n-and-its-double-exist/description/" TargetMode="External"/><Relationship Id="rId829" Type="http://schemas.openxmlformats.org/officeDocument/2006/relationships/hyperlink" Target="https://leetcode.com/problems/meeting-scheduler/description/" TargetMode="External"/><Relationship Id="rId828" Type="http://schemas.openxmlformats.org/officeDocument/2006/relationships/hyperlink" Target="https://leetcode.com/problems/dice-roll-simulation/description/" TargetMode="External"/><Relationship Id="rId827" Type="http://schemas.openxmlformats.org/officeDocument/2006/relationships/hyperlink" Target="https://leetcode.com/problems/path-with-maximum-gold/description/" TargetMode="External"/><Relationship Id="rId822" Type="http://schemas.openxmlformats.org/officeDocument/2006/relationships/hyperlink" Target="https://leetcode.com/problems/sort-items-by-groups-respecting-dependencies/description/" TargetMode="External"/><Relationship Id="rId821" Type="http://schemas.openxmlformats.org/officeDocument/2006/relationships/hyperlink" Target="https://leetcode.com/problems/minimum-time-to-build-blocks/description/" TargetMode="External"/><Relationship Id="rId820" Type="http://schemas.openxmlformats.org/officeDocument/2006/relationships/hyperlink" Target="https://leetcode.com/problems/minimum-knight-moves/description/" TargetMode="External"/><Relationship Id="rId826" Type="http://schemas.openxmlformats.org/officeDocument/2006/relationships/hyperlink" Target="https://leetcode.com/problems/longest-arithmetic-subsequence-of-given-difference/description/" TargetMode="External"/><Relationship Id="rId825" Type="http://schemas.openxmlformats.org/officeDocument/2006/relationships/hyperlink" Target="https://leetcode.com/problems/remove-all-adjacent-duplicates-in-string-ii/description/" TargetMode="External"/><Relationship Id="rId824" Type="http://schemas.openxmlformats.org/officeDocument/2006/relationships/hyperlink" Target="https://leetcode.com/problems/unique-number-of-occurrences/description/" TargetMode="External"/><Relationship Id="rId823" Type="http://schemas.openxmlformats.org/officeDocument/2006/relationships/hyperlink" Target="https://leetcode.com/problems/design-skiplist/description/" TargetMode="External"/><Relationship Id="rId819" Type="http://schemas.openxmlformats.org/officeDocument/2006/relationships/hyperlink" Target="https://leetcode.com/problems/critical-connections-in-a-network/description/" TargetMode="External"/><Relationship Id="rId818" Type="http://schemas.openxmlformats.org/officeDocument/2006/relationships/hyperlink" Target="https://leetcode.com/problems/distance-between-bus-stops/description/" TargetMode="External"/><Relationship Id="rId817" Type="http://schemas.openxmlformats.org/officeDocument/2006/relationships/hyperlink" Target="https://leetcode.com/problems/shortest-distance-to-target-color/description/" TargetMode="External"/><Relationship Id="rId816" Type="http://schemas.openxmlformats.org/officeDocument/2006/relationships/hyperlink" Target="https://leetcode.com/problems/reformat-department-table/description/" TargetMode="External"/><Relationship Id="rId811" Type="http://schemas.openxmlformats.org/officeDocument/2006/relationships/hyperlink" Target="https://leetcode.com/problems/single-row-keyboard/description/" TargetMode="External"/><Relationship Id="rId810" Type="http://schemas.openxmlformats.org/officeDocument/2006/relationships/hyperlink" Target="https://leetcode.com/problems/as-far-from-land-as-possible/description/" TargetMode="External"/><Relationship Id="rId815" Type="http://schemas.openxmlformats.org/officeDocument/2006/relationships/hyperlink" Target="https://leetcode.com/problems/compare-strings-by-frequency-of-the-smallest-character/description/" TargetMode="External"/><Relationship Id="rId814" Type="http://schemas.openxmlformats.org/officeDocument/2006/relationships/hyperlink" Target="https://leetcode.com/problems/optimize-water-distribution-in-a-village/description/" TargetMode="External"/><Relationship Id="rId813" Type="http://schemas.openxmlformats.org/officeDocument/2006/relationships/hyperlink" Target="https://leetcode.com/problems/minimum-cost-to-connect-sticks/description/" TargetMode="External"/><Relationship Id="rId812" Type="http://schemas.openxmlformats.org/officeDocument/2006/relationships/hyperlink" Target="https://leetcode.com/problems/design-file-system/description/" TargetMode="External"/><Relationship Id="rId609" Type="http://schemas.openxmlformats.org/officeDocument/2006/relationships/hyperlink" Target="https://leetcode.com/problems/custom-sort-string/description/" TargetMode="External"/><Relationship Id="rId608" Type="http://schemas.openxmlformats.org/officeDocument/2006/relationships/hyperlink" Target="https://leetcode.com/problems/domino-and-tromino-tiling/description/" TargetMode="External"/><Relationship Id="rId607" Type="http://schemas.openxmlformats.org/officeDocument/2006/relationships/hyperlink" Target="https://leetcode.com/problems/escape-the-ghosts/description/" TargetMode="External"/><Relationship Id="rId849" Type="http://schemas.openxmlformats.org/officeDocument/2006/relationships/hyperlink" Target="https://leetcode.com/problems/find-the-smallest-divisor-given-a-threshold/description/" TargetMode="External"/><Relationship Id="rId602" Type="http://schemas.openxmlformats.org/officeDocument/2006/relationships/hyperlink" Target="https://leetcode.com/problems/transform-to-chessboard/description/" TargetMode="External"/><Relationship Id="rId844" Type="http://schemas.openxmlformats.org/officeDocument/2006/relationships/hyperlink" Target="https://leetcode.com/problems/number-of-ways-to-stay-in-the-same-place-after-some-steps/description/" TargetMode="External"/><Relationship Id="rId601" Type="http://schemas.openxmlformats.org/officeDocument/2006/relationships/hyperlink" Target="https://leetcode.com/problems/reaching-points/description/" TargetMode="External"/><Relationship Id="rId843" Type="http://schemas.openxmlformats.org/officeDocument/2006/relationships/hyperlink" Target="https://leetcode.com/problems/search-suggestions-system/description/" TargetMode="External"/><Relationship Id="rId600" Type="http://schemas.openxmlformats.org/officeDocument/2006/relationships/hyperlink" Target="https://leetcode.com/problems/k-th-symbol-in-grammar/description/" TargetMode="External"/><Relationship Id="rId842" Type="http://schemas.openxmlformats.org/officeDocument/2006/relationships/hyperlink" Target="https://leetcode.com/problems/count-servers-that-communicate/description/" TargetMode="External"/><Relationship Id="rId841" Type="http://schemas.openxmlformats.org/officeDocument/2006/relationships/hyperlink" Target="https://leetcode.com/problems/print-immutable-linked-list-in-reverse/description/" TargetMode="External"/><Relationship Id="rId606" Type="http://schemas.openxmlformats.org/officeDocument/2006/relationships/hyperlink" Target="https://leetcode.com/problems/rotated-digits/description/" TargetMode="External"/><Relationship Id="rId848" Type="http://schemas.openxmlformats.org/officeDocument/2006/relationships/hyperlink" Target="https://leetcode.com/problems/subtract-the-product-and-sum-of-digits-of-an-integer/description/" TargetMode="External"/><Relationship Id="rId605" Type="http://schemas.openxmlformats.org/officeDocument/2006/relationships/hyperlink" Target="https://leetcode.com/problems/cheapest-flights-within-k-stops/description/" TargetMode="External"/><Relationship Id="rId847" Type="http://schemas.openxmlformats.org/officeDocument/2006/relationships/hyperlink" Target="https://leetcode.com/problems/count-square-submatrices-with-all-ones/description/" TargetMode="External"/><Relationship Id="rId604" Type="http://schemas.openxmlformats.org/officeDocument/2006/relationships/hyperlink" Target="https://leetcode.com/problems/is-graph-bipartite/description/" TargetMode="External"/><Relationship Id="rId846" Type="http://schemas.openxmlformats.org/officeDocument/2006/relationships/hyperlink" Target="https://leetcode.com/problems/remove-interval/description/" TargetMode="External"/><Relationship Id="rId603" Type="http://schemas.openxmlformats.org/officeDocument/2006/relationships/hyperlink" Target="https://leetcode.com/problems/minimum-distance-between-bst-nodes/description/" TargetMode="External"/><Relationship Id="rId845" Type="http://schemas.openxmlformats.org/officeDocument/2006/relationships/hyperlink" Target="https://leetcode.com/problems/all-people-report-to-the-given-manager/description/" TargetMode="External"/><Relationship Id="rId840" Type="http://schemas.openxmlformats.org/officeDocument/2006/relationships/hyperlink" Target="https://leetcode.com/problems/find-elements-in-a-contaminated-binary-tree/description/" TargetMode="External"/><Relationship Id="rId839" Type="http://schemas.openxmlformats.org/officeDocument/2006/relationships/hyperlink" Target="https://leetcode.com/problems/maximum-score-words-formed-by-letters/description/" TargetMode="External"/><Relationship Id="rId838" Type="http://schemas.openxmlformats.org/officeDocument/2006/relationships/hyperlink" Target="https://leetcode.com/problems/number-of-closed-islands/description/" TargetMode="External"/><Relationship Id="rId833" Type="http://schemas.openxmlformats.org/officeDocument/2006/relationships/hyperlink" Target="https://leetcode.com/problems/web-crawler/description/" TargetMode="External"/><Relationship Id="rId832" Type="http://schemas.openxmlformats.org/officeDocument/2006/relationships/hyperlink" Target="https://leetcode.com/problems/maximum-profit-in-job-scheduling/description/" TargetMode="External"/><Relationship Id="rId831" Type="http://schemas.openxmlformats.org/officeDocument/2006/relationships/hyperlink" Target="https://leetcode.com/problems/remove-sub-folders-from-the-filesystem/description/" TargetMode="External"/><Relationship Id="rId830" Type="http://schemas.openxmlformats.org/officeDocument/2006/relationships/hyperlink" Target="https://leetcode.com/problems/divide-chocolate/description/" TargetMode="External"/><Relationship Id="rId837" Type="http://schemas.openxmlformats.org/officeDocument/2006/relationships/hyperlink" Target="https://leetcode.com/problems/tree-diameter/description/" TargetMode="External"/><Relationship Id="rId836" Type="http://schemas.openxmlformats.org/officeDocument/2006/relationships/hyperlink" Target="https://leetcode.com/problems/design-a-leaderboard/description/" TargetMode="External"/><Relationship Id="rId835" Type="http://schemas.openxmlformats.org/officeDocument/2006/relationships/hyperlink" Target="https://leetcode.com/problems/tiling-a-rectangle-with-the-fewest-squares/description/" TargetMode="External"/><Relationship Id="rId834" Type="http://schemas.openxmlformats.org/officeDocument/2006/relationships/hyperlink" Target="https://leetcode.com/problems/find-positive-integer-solution-for-a-given-equation/description/" TargetMode="External"/><Relationship Id="rId228" Type="http://schemas.openxmlformats.org/officeDocument/2006/relationships/hyperlink" Target="https://leetcode.com/problems/paint-house/description/" TargetMode="External"/><Relationship Id="rId227" Type="http://schemas.openxmlformats.org/officeDocument/2006/relationships/hyperlink" Target="https://leetcode.com/problems/factor-combinations/description/" TargetMode="External"/><Relationship Id="rId469" Type="http://schemas.openxmlformats.org/officeDocument/2006/relationships/hyperlink" Target="https://leetcode.com/problems/brick-wall/description/" TargetMode="External"/><Relationship Id="rId226" Type="http://schemas.openxmlformats.org/officeDocument/2006/relationships/hyperlink" Target="https://leetcode.com/problems/meeting-rooms-ii/description/" TargetMode="External"/><Relationship Id="rId468" Type="http://schemas.openxmlformats.org/officeDocument/2006/relationships/hyperlink" Target="https://leetcode.com/problems/student-attendance-record-ii/description/" TargetMode="External"/><Relationship Id="rId225" Type="http://schemas.openxmlformats.org/officeDocument/2006/relationships/hyperlink" Target="https://leetcode.com/problems/meeting-rooms/description/" TargetMode="External"/><Relationship Id="rId467" Type="http://schemas.openxmlformats.org/officeDocument/2006/relationships/hyperlink" Target="https://leetcode.com/problems/student-attendance-record-i/description/" TargetMode="External"/><Relationship Id="rId229" Type="http://schemas.openxmlformats.org/officeDocument/2006/relationships/hyperlink" Target="https://leetcode.com/problems/binary-tree-paths/description/" TargetMode="External"/><Relationship Id="rId220" Type="http://schemas.openxmlformats.org/officeDocument/2006/relationships/hyperlink" Target="https://leetcode.com/problems/strobogrammatic-number-ii/description/" TargetMode="External"/><Relationship Id="rId462" Type="http://schemas.openxmlformats.org/officeDocument/2006/relationships/hyperlink" Target="https://leetcode.com/problems/diameter-of-binary-tree/description/" TargetMode="External"/><Relationship Id="rId461" Type="http://schemas.openxmlformats.org/officeDocument/2006/relationships/hyperlink" Target="https://leetcode.com/problems/01-matrix/description/" TargetMode="External"/><Relationship Id="rId460" Type="http://schemas.openxmlformats.org/officeDocument/2006/relationships/hyperlink" Target="https://leetcode.com/problems/reverse-string-ii/description/" TargetMode="External"/><Relationship Id="rId224" Type="http://schemas.openxmlformats.org/officeDocument/2006/relationships/hyperlink" Target="https://leetcode.com/problems/flatten-2d-vector/description/" TargetMode="External"/><Relationship Id="rId466" Type="http://schemas.openxmlformats.org/officeDocument/2006/relationships/hyperlink" Target="https://leetcode.com/problems/binary-tree-longest-consecutive-sequence-ii/description/" TargetMode="External"/><Relationship Id="rId223" Type="http://schemas.openxmlformats.org/officeDocument/2006/relationships/hyperlink" Target="https://leetcode.com/problems/count-univalue-subtrees/description/" TargetMode="External"/><Relationship Id="rId465" Type="http://schemas.openxmlformats.org/officeDocument/2006/relationships/hyperlink" Target="https://leetcode.com/problems/number-of-provinces/description/" TargetMode="External"/><Relationship Id="rId222" Type="http://schemas.openxmlformats.org/officeDocument/2006/relationships/hyperlink" Target="https://leetcode.com/problems/group-shifted-strings/description/" TargetMode="External"/><Relationship Id="rId464" Type="http://schemas.openxmlformats.org/officeDocument/2006/relationships/hyperlink" Target="https://leetcode.com/problems/boundary-of-binary-tree/description/" TargetMode="External"/><Relationship Id="rId221" Type="http://schemas.openxmlformats.org/officeDocument/2006/relationships/hyperlink" Target="https://leetcode.com/problems/strobogrammatic-number-iii/description/" TargetMode="External"/><Relationship Id="rId463" Type="http://schemas.openxmlformats.org/officeDocument/2006/relationships/hyperlink" Target="https://leetcode.com/problems/output-contest-matches/description/" TargetMode="External"/><Relationship Id="rId217" Type="http://schemas.openxmlformats.org/officeDocument/2006/relationships/hyperlink" Target="https://leetcode.com/problems/valid-anagram/description/" TargetMode="External"/><Relationship Id="rId459" Type="http://schemas.openxmlformats.org/officeDocument/2006/relationships/hyperlink" Target="https://leetcode.com/problems/single-element-in-a-sorted-array/description/" TargetMode="External"/><Relationship Id="rId216" Type="http://schemas.openxmlformats.org/officeDocument/2006/relationships/hyperlink" Target="https://leetcode.com/problems/different-ways-to-add-parentheses/description/" TargetMode="External"/><Relationship Id="rId458" Type="http://schemas.openxmlformats.org/officeDocument/2006/relationships/hyperlink" Target="https://leetcode.com/problems/encode-and-decode-tinyurl/description/" TargetMode="External"/><Relationship Id="rId215" Type="http://schemas.openxmlformats.org/officeDocument/2006/relationships/hyperlink" Target="https://leetcode.com/problems/search-a-2d-matrix-ii/description/" TargetMode="External"/><Relationship Id="rId457" Type="http://schemas.openxmlformats.org/officeDocument/2006/relationships/hyperlink" Target="https://leetcode.com/problems/lonely-pixel-ii/description/" TargetMode="External"/><Relationship Id="rId699" Type="http://schemas.openxmlformats.org/officeDocument/2006/relationships/hyperlink" Target="https://leetcode.com/problems/knight-dialer/description/" TargetMode="External"/><Relationship Id="rId214" Type="http://schemas.openxmlformats.org/officeDocument/2006/relationships/hyperlink" Target="https://leetcode.com/problems/sliding-window-maximum/description/" TargetMode="External"/><Relationship Id="rId456" Type="http://schemas.openxmlformats.org/officeDocument/2006/relationships/hyperlink" Target="https://leetcode.com/problems/lonely-pixel-i/description/" TargetMode="External"/><Relationship Id="rId698" Type="http://schemas.openxmlformats.org/officeDocument/2006/relationships/hyperlink" Target="https://leetcode.com/problems/shortest-bridge/description/" TargetMode="External"/><Relationship Id="rId219" Type="http://schemas.openxmlformats.org/officeDocument/2006/relationships/hyperlink" Target="https://leetcode.com/problems/strobogrammatic-number/description/" TargetMode="External"/><Relationship Id="rId218" Type="http://schemas.openxmlformats.org/officeDocument/2006/relationships/hyperlink" Target="https://leetcode.com/problems/shortest-word-distance/description/" TargetMode="External"/><Relationship Id="rId451" Type="http://schemas.openxmlformats.org/officeDocument/2006/relationships/hyperlink" Target="https://leetcode.com/problems/beautiful-arrangement/description/" TargetMode="External"/><Relationship Id="rId693" Type="http://schemas.openxmlformats.org/officeDocument/2006/relationships/hyperlink" Target="https://leetcode.com/problems/flip-string-to-monotone-increasing/description/" TargetMode="External"/><Relationship Id="rId450" Type="http://schemas.openxmlformats.org/officeDocument/2006/relationships/hyperlink" Target="https://leetcode.com/problems/contiguous-array/description/" TargetMode="External"/><Relationship Id="rId692" Type="http://schemas.openxmlformats.org/officeDocument/2006/relationships/hyperlink" Target="https://leetcode.com/problems/long-pressed-name/description/" TargetMode="External"/><Relationship Id="rId691" Type="http://schemas.openxmlformats.org/officeDocument/2006/relationships/hyperlink" Target="https://leetcode.com/problems/minimize-malware-spread/description/" TargetMode="External"/><Relationship Id="rId690" Type="http://schemas.openxmlformats.org/officeDocument/2006/relationships/hyperlink" Target="https://leetcode.com/problems/number-of-music-playlists/description/" TargetMode="External"/><Relationship Id="rId213" Type="http://schemas.openxmlformats.org/officeDocument/2006/relationships/hyperlink" Target="https://leetcode.com/problems/product-of-array-except-self/description/" TargetMode="External"/><Relationship Id="rId455" Type="http://schemas.openxmlformats.org/officeDocument/2006/relationships/hyperlink" Target="https://leetcode.com/problems/minimum-absolute-difference-in-bst/description/" TargetMode="External"/><Relationship Id="rId697" Type="http://schemas.openxmlformats.org/officeDocument/2006/relationships/hyperlink" Target="https://leetcode.com/problems/number-of-recent-calls/description/" TargetMode="External"/><Relationship Id="rId212" Type="http://schemas.openxmlformats.org/officeDocument/2006/relationships/hyperlink" Target="https://leetcode.com/problems/delete-node-in-a-linked-list/description/" TargetMode="External"/><Relationship Id="rId454" Type="http://schemas.openxmlformats.org/officeDocument/2006/relationships/hyperlink" Target="https://leetcode.com/problems/minesweeper/description/" TargetMode="External"/><Relationship Id="rId696" Type="http://schemas.openxmlformats.org/officeDocument/2006/relationships/hyperlink" Target="https://leetcode.com/problems/beautiful-array/description/" TargetMode="External"/><Relationship Id="rId211" Type="http://schemas.openxmlformats.org/officeDocument/2006/relationships/hyperlink" Target="https://leetcode.com/problems/lowest-common-ancestor-of-a-binary-tree/description/" TargetMode="External"/><Relationship Id="rId453" Type="http://schemas.openxmlformats.org/officeDocument/2006/relationships/hyperlink" Target="https://leetcode.com/problems/random-pick-with-weight/description/" TargetMode="External"/><Relationship Id="rId695" Type="http://schemas.openxmlformats.org/officeDocument/2006/relationships/hyperlink" Target="https://leetcode.com/problems/minimum-falling-path-sum/description/" TargetMode="External"/><Relationship Id="rId210" Type="http://schemas.openxmlformats.org/officeDocument/2006/relationships/hyperlink" Target="https://leetcode.com/problems/lowest-common-ancestor-of-a-binary-search-tree/description/" TargetMode="External"/><Relationship Id="rId452" Type="http://schemas.openxmlformats.org/officeDocument/2006/relationships/hyperlink" Target="https://leetcode.com/problems/word-abbreviation/description/" TargetMode="External"/><Relationship Id="rId694" Type="http://schemas.openxmlformats.org/officeDocument/2006/relationships/hyperlink" Target="https://leetcode.com/problems/unique-email-addresses/description/" TargetMode="External"/><Relationship Id="rId491" Type="http://schemas.openxmlformats.org/officeDocument/2006/relationships/hyperlink" Target="https://leetcode.com/problems/task-scheduler/description/" TargetMode="External"/><Relationship Id="rId490" Type="http://schemas.openxmlformats.org/officeDocument/2006/relationships/hyperlink" Target="https://leetcode.com/problems/merge-two-binary-trees/description/" TargetMode="External"/><Relationship Id="rId249" Type="http://schemas.openxmlformats.org/officeDocument/2006/relationships/hyperlink" Target="https://leetcode.com/problems/zigzag-iterator/description/" TargetMode="External"/><Relationship Id="rId248" Type="http://schemas.openxmlformats.org/officeDocument/2006/relationships/hyperlink" Target="https://leetcode.com/problems/wiggle-sort/description/" TargetMode="External"/><Relationship Id="rId247" Type="http://schemas.openxmlformats.org/officeDocument/2006/relationships/hyperlink" Target="https://leetcode.com/problems/perfect-squares/description/" TargetMode="External"/><Relationship Id="rId489" Type="http://schemas.openxmlformats.org/officeDocument/2006/relationships/hyperlink" Target="https://leetcode.com/problems/add-bold-tag-in-string/description/" TargetMode="External"/><Relationship Id="rId242" Type="http://schemas.openxmlformats.org/officeDocument/2006/relationships/hyperlink" Target="https://leetcode.com/problems/integer-to-english-words/description/" TargetMode="External"/><Relationship Id="rId484" Type="http://schemas.openxmlformats.org/officeDocument/2006/relationships/hyperlink" Target="https://leetcode.com/problems/n-ary-tree-postorder-traversal/description/" TargetMode="External"/><Relationship Id="rId241" Type="http://schemas.openxmlformats.org/officeDocument/2006/relationships/hyperlink" Target="https://leetcode.com/problems/closest-binary-search-tree-value-ii/description/" TargetMode="External"/><Relationship Id="rId483" Type="http://schemas.openxmlformats.org/officeDocument/2006/relationships/hyperlink" Target="https://leetcode.com/problems/design-in-memory-file-system/description/" TargetMode="External"/><Relationship Id="rId240" Type="http://schemas.openxmlformats.org/officeDocument/2006/relationships/hyperlink" Target="https://leetcode.com/problems/encode-and-decode-strings/description/" TargetMode="External"/><Relationship Id="rId482" Type="http://schemas.openxmlformats.org/officeDocument/2006/relationships/hyperlink" Target="https://leetcode.com/problems/erect-the-fence/description/" TargetMode="External"/><Relationship Id="rId481" Type="http://schemas.openxmlformats.org/officeDocument/2006/relationships/hyperlink" Target="https://leetcode.com/problems/delete-operation-for-two-strings/description/" TargetMode="External"/><Relationship Id="rId246" Type="http://schemas.openxmlformats.org/officeDocument/2006/relationships/hyperlink" Target="https://leetcode.com/problems/first-bad-version/description/" TargetMode="External"/><Relationship Id="rId488" Type="http://schemas.openxmlformats.org/officeDocument/2006/relationships/hyperlink" Target="https://leetcode.com/problems/find-duplicate-file-in-system/description/" TargetMode="External"/><Relationship Id="rId245" Type="http://schemas.openxmlformats.org/officeDocument/2006/relationships/hyperlink" Target="https://leetcode.com/problems/find-the-celebrity/description/" TargetMode="External"/><Relationship Id="rId487" Type="http://schemas.openxmlformats.org/officeDocument/2006/relationships/hyperlink" Target="https://leetcode.com/problems/design-compressed-string-iterator/description/" TargetMode="External"/><Relationship Id="rId244" Type="http://schemas.openxmlformats.org/officeDocument/2006/relationships/hyperlink" Target="https://leetcode.com/problems/paint-fence/description/" TargetMode="External"/><Relationship Id="rId486" Type="http://schemas.openxmlformats.org/officeDocument/2006/relationships/hyperlink" Target="https://leetcode.com/problems/valid-square/description/" TargetMode="External"/><Relationship Id="rId243" Type="http://schemas.openxmlformats.org/officeDocument/2006/relationships/hyperlink" Target="https://leetcode.com/problems/h-index/description/" TargetMode="External"/><Relationship Id="rId485" Type="http://schemas.openxmlformats.org/officeDocument/2006/relationships/hyperlink" Target="https://leetcode.com/problems/tag-validator/description/" TargetMode="External"/><Relationship Id="rId480" Type="http://schemas.openxmlformats.org/officeDocument/2006/relationships/hyperlink" Target="https://leetcode.com/problems/kill-process/description/" TargetMode="External"/><Relationship Id="rId239" Type="http://schemas.openxmlformats.org/officeDocument/2006/relationships/hyperlink" Target="https://leetcode.com/problems/closest-binary-search-tree-value/description/" TargetMode="External"/><Relationship Id="rId238" Type="http://schemas.openxmlformats.org/officeDocument/2006/relationships/hyperlink" Target="https://leetcode.com/problems/alien-dictionary/description/" TargetMode="External"/><Relationship Id="rId237" Type="http://schemas.openxmlformats.org/officeDocument/2006/relationships/hyperlink" Target="https://leetcode.com/problems/missing-number/description/" TargetMode="External"/><Relationship Id="rId479" Type="http://schemas.openxmlformats.org/officeDocument/2006/relationships/hyperlink" Target="https://leetcode.com/problems/shortest-unsorted-continuous-subarray/description/" TargetMode="External"/><Relationship Id="rId236" Type="http://schemas.openxmlformats.org/officeDocument/2006/relationships/hyperlink" Target="https://leetcode.com/problems/palindrome-permutation-ii/description/" TargetMode="External"/><Relationship Id="rId478" Type="http://schemas.openxmlformats.org/officeDocument/2006/relationships/hyperlink" Target="https://leetcode.com/problems/subtree-of-another-tree/description/" TargetMode="External"/><Relationship Id="rId231" Type="http://schemas.openxmlformats.org/officeDocument/2006/relationships/hyperlink" Target="https://leetcode.com/problems/3sum-smaller/description/" TargetMode="External"/><Relationship Id="rId473" Type="http://schemas.openxmlformats.org/officeDocument/2006/relationships/hyperlink" Target="https://leetcode.com/problems/longest-line-of-consecutive-one-in-matrix/description/" TargetMode="External"/><Relationship Id="rId230" Type="http://schemas.openxmlformats.org/officeDocument/2006/relationships/hyperlink" Target="https://leetcode.com/problems/add-digits/description/" TargetMode="External"/><Relationship Id="rId472" Type="http://schemas.openxmlformats.org/officeDocument/2006/relationships/hyperlink" Target="https://leetcode.com/problems/subarray-sum-equals-k/description/" TargetMode="External"/><Relationship Id="rId471" Type="http://schemas.openxmlformats.org/officeDocument/2006/relationships/hyperlink" Target="https://leetcode.com/problems/maximum-depth-of-n-ary-tree/description/" TargetMode="External"/><Relationship Id="rId470" Type="http://schemas.openxmlformats.org/officeDocument/2006/relationships/hyperlink" Target="https://leetcode.com/problems/logical-or-of-two-binary-grids-represented-as-quad-trees/description/" TargetMode="External"/><Relationship Id="rId235" Type="http://schemas.openxmlformats.org/officeDocument/2006/relationships/hyperlink" Target="https://leetcode.com/problems/palindrome-permutation/description/" TargetMode="External"/><Relationship Id="rId477" Type="http://schemas.openxmlformats.org/officeDocument/2006/relationships/hyperlink" Target="https://leetcode.com/problems/median-employee-salary/description/" TargetMode="External"/><Relationship Id="rId234" Type="http://schemas.openxmlformats.org/officeDocument/2006/relationships/hyperlink" Target="https://leetcode.com/problems/paint-house-ii/description/" TargetMode="External"/><Relationship Id="rId476" Type="http://schemas.openxmlformats.org/officeDocument/2006/relationships/hyperlink" Target="https://leetcode.com/problems/maximum-vacation-days/description/" TargetMode="External"/><Relationship Id="rId233" Type="http://schemas.openxmlformats.org/officeDocument/2006/relationships/hyperlink" Target="https://leetcode.com/problems/ugly-number-ii/description/" TargetMode="External"/><Relationship Id="rId475" Type="http://schemas.openxmlformats.org/officeDocument/2006/relationships/hyperlink" Target="https://leetcode.com/problems/permutation-in-string/description/" TargetMode="External"/><Relationship Id="rId232" Type="http://schemas.openxmlformats.org/officeDocument/2006/relationships/hyperlink" Target="https://leetcode.com/problems/graph-valid-tree/description/" TargetMode="External"/><Relationship Id="rId474" Type="http://schemas.openxmlformats.org/officeDocument/2006/relationships/hyperlink" Target="https://leetcode.com/problems/find-the-closest-palindrome/description/" TargetMode="External"/><Relationship Id="rId426" Type="http://schemas.openxmlformats.org/officeDocument/2006/relationships/hyperlink" Target="https://leetcode.com/problems/robot-room-cleaner/description/" TargetMode="External"/><Relationship Id="rId668" Type="http://schemas.openxmlformats.org/officeDocument/2006/relationships/hyperlink" Target="https://leetcode.com/problems/stone-game/description/" TargetMode="External"/><Relationship Id="rId425" Type="http://schemas.openxmlformats.org/officeDocument/2006/relationships/hyperlink" Target="https://leetcode.com/problems/max-consecutive-ones-ii/description/" TargetMode="External"/><Relationship Id="rId667" Type="http://schemas.openxmlformats.org/officeDocument/2006/relationships/hyperlink" Target="https://leetcode.com/problems/koko-eating-bananas/description/" TargetMode="External"/><Relationship Id="rId424" Type="http://schemas.openxmlformats.org/officeDocument/2006/relationships/hyperlink" Target="https://leetcode.com/problems/predict-the-winner/description/" TargetMode="External"/><Relationship Id="rId666" Type="http://schemas.openxmlformats.org/officeDocument/2006/relationships/hyperlink" Target="https://leetcode.com/problems/leaf-similar-trees/description/" TargetMode="External"/><Relationship Id="rId423" Type="http://schemas.openxmlformats.org/officeDocument/2006/relationships/hyperlink" Target="https://leetcode.com/problems/max-consecutive-ones/description/" TargetMode="External"/><Relationship Id="rId665" Type="http://schemas.openxmlformats.org/officeDocument/2006/relationships/hyperlink" Target="https://leetcode.com/problems/minimum-number-of-refueling-stops/description/" TargetMode="External"/><Relationship Id="rId429" Type="http://schemas.openxmlformats.org/officeDocument/2006/relationships/hyperlink" Target="https://leetcode.com/problems/reverse-pairs/description/" TargetMode="External"/><Relationship Id="rId428" Type="http://schemas.openxmlformats.org/officeDocument/2006/relationships/hyperlink" Target="https://leetcode.com/problems/increasing-subsequences/description/" TargetMode="External"/><Relationship Id="rId427" Type="http://schemas.openxmlformats.org/officeDocument/2006/relationships/hyperlink" Target="https://leetcode.com/problems/the-maze/description/" TargetMode="External"/><Relationship Id="rId669" Type="http://schemas.openxmlformats.org/officeDocument/2006/relationships/hyperlink" Target="https://leetcode.com/problems/profitable-schemes/description/" TargetMode="External"/><Relationship Id="rId660" Type="http://schemas.openxmlformats.org/officeDocument/2006/relationships/hyperlink" Target="https://leetcode.com/problems/mirror-reflection/description/" TargetMode="External"/><Relationship Id="rId422" Type="http://schemas.openxmlformats.org/officeDocument/2006/relationships/hyperlink" Target="https://leetcode.com/problems/find-permutation/description/" TargetMode="External"/><Relationship Id="rId664" Type="http://schemas.openxmlformats.org/officeDocument/2006/relationships/hyperlink" Target="https://leetcode.com/problems/shortest-path-to-get-all-keys/description/" TargetMode="External"/><Relationship Id="rId421" Type="http://schemas.openxmlformats.org/officeDocument/2006/relationships/hyperlink" Target="https://leetcode.com/problems/smallest-good-base/description/" TargetMode="External"/><Relationship Id="rId663" Type="http://schemas.openxmlformats.org/officeDocument/2006/relationships/hyperlink" Target="https://leetcode.com/problems/all-nodes-distance-k-in-binary-tree/description/" TargetMode="External"/><Relationship Id="rId420" Type="http://schemas.openxmlformats.org/officeDocument/2006/relationships/hyperlink" Target="https://leetcode.com/problems/license-key-formatting/description/" TargetMode="External"/><Relationship Id="rId662" Type="http://schemas.openxmlformats.org/officeDocument/2006/relationships/hyperlink" Target="https://leetcode.com/problems/shortest-subarray-with-sum-at-least-k/description/" TargetMode="External"/><Relationship Id="rId661" Type="http://schemas.openxmlformats.org/officeDocument/2006/relationships/hyperlink" Target="https://leetcode.com/problems/buddy-strings/description/" TargetMode="External"/><Relationship Id="rId415" Type="http://schemas.openxmlformats.org/officeDocument/2006/relationships/hyperlink" Target="https://leetcode.com/problems/ones-and-zeroes/description/" TargetMode="External"/><Relationship Id="rId657" Type="http://schemas.openxmlformats.org/officeDocument/2006/relationships/hyperlink" Target="https://leetcode.com/problems/exam-room/description/" TargetMode="External"/><Relationship Id="rId899" Type="http://schemas.openxmlformats.org/officeDocument/2006/relationships/hyperlink" Target="https://leetcode.com/problems/running-sum-of-1d-array/description/" TargetMode="External"/><Relationship Id="rId414" Type="http://schemas.openxmlformats.org/officeDocument/2006/relationships/hyperlink" Target="https://leetcode.com/problems/concatenated-words/description/" TargetMode="External"/><Relationship Id="rId656" Type="http://schemas.openxmlformats.org/officeDocument/2006/relationships/hyperlink" Target="https://leetcode.com/problems/k-similar-strings/description/" TargetMode="External"/><Relationship Id="rId898" Type="http://schemas.openxmlformats.org/officeDocument/2006/relationships/hyperlink" Target="https://leetcode.com/problems/find-two-non-overlapping-sub-arrays-each-with-target-sum/description/" TargetMode="External"/><Relationship Id="rId413" Type="http://schemas.openxmlformats.org/officeDocument/2006/relationships/hyperlink" Target="https://leetcode.com/problems/encode-string-with-shortest-length/description/" TargetMode="External"/><Relationship Id="rId655" Type="http://schemas.openxmlformats.org/officeDocument/2006/relationships/hyperlink" Target="https://leetcode.com/problems/car-fleet/description/" TargetMode="External"/><Relationship Id="rId897" Type="http://schemas.openxmlformats.org/officeDocument/2006/relationships/hyperlink" Target="https://leetcode.com/problems/the-k-strongest-values-in-an-array/description/" TargetMode="External"/><Relationship Id="rId412" Type="http://schemas.openxmlformats.org/officeDocument/2006/relationships/hyperlink" Target="https://leetcode.com/problems/implement-rand10-using-rand7/description/" TargetMode="External"/><Relationship Id="rId654" Type="http://schemas.openxmlformats.org/officeDocument/2006/relationships/hyperlink" Target="https://leetcode.com/problems/peak-index-in-a-mountain-array/description/" TargetMode="External"/><Relationship Id="rId896" Type="http://schemas.openxmlformats.org/officeDocument/2006/relationships/hyperlink" Target="https://leetcode.com/problems/shuffle-the-array/description/" TargetMode="External"/><Relationship Id="rId419" Type="http://schemas.openxmlformats.org/officeDocument/2006/relationships/hyperlink" Target="https://leetcode.com/problems/magical-string/description/" TargetMode="External"/><Relationship Id="rId418" Type="http://schemas.openxmlformats.org/officeDocument/2006/relationships/hyperlink" Target="https://leetcode.com/problems/sliding-window-median/description/" TargetMode="External"/><Relationship Id="rId417" Type="http://schemas.openxmlformats.org/officeDocument/2006/relationships/hyperlink" Target="https://leetcode.com/problems/total-hamming-distance/description/" TargetMode="External"/><Relationship Id="rId659" Type="http://schemas.openxmlformats.org/officeDocument/2006/relationships/hyperlink" Target="https://leetcode.com/problems/minimum-cost-to-hire-k-workers/description/" TargetMode="External"/><Relationship Id="rId416" Type="http://schemas.openxmlformats.org/officeDocument/2006/relationships/hyperlink" Target="https://leetcode.com/problems/heaters/description/" TargetMode="External"/><Relationship Id="rId658" Type="http://schemas.openxmlformats.org/officeDocument/2006/relationships/hyperlink" Target="https://leetcode.com/problems/score-of-parentheses/description/" TargetMode="External"/><Relationship Id="rId891" Type="http://schemas.openxmlformats.org/officeDocument/2006/relationships/hyperlink" Target="https://leetcode.com/problems/form-largest-integer-with-digits-that-add-up-to-target/description/" TargetMode="External"/><Relationship Id="rId890" Type="http://schemas.openxmlformats.org/officeDocument/2006/relationships/hyperlink" Target="https://leetcode.com/problems/simplified-fractions/description/" TargetMode="External"/><Relationship Id="rId411" Type="http://schemas.openxmlformats.org/officeDocument/2006/relationships/hyperlink" Target="https://leetcode.com/problems/convex-polygon/description/" TargetMode="External"/><Relationship Id="rId653" Type="http://schemas.openxmlformats.org/officeDocument/2006/relationships/hyperlink" Target="https://leetcode.com/problems/rectangle-area-ii/description/" TargetMode="External"/><Relationship Id="rId895" Type="http://schemas.openxmlformats.org/officeDocument/2006/relationships/hyperlink" Target="https://leetcode.com/problems/reorder-routes-to-make-all-paths-lead-to-the-city-zero/description/" TargetMode="External"/><Relationship Id="rId410" Type="http://schemas.openxmlformats.org/officeDocument/2006/relationships/hyperlink" Target="https://leetcode.com/problems/validate-ip-address/description/" TargetMode="External"/><Relationship Id="rId652" Type="http://schemas.openxmlformats.org/officeDocument/2006/relationships/hyperlink" Target="https://leetcode.com/problems/maximize-distance-to-closest-person/description/" TargetMode="External"/><Relationship Id="rId894" Type="http://schemas.openxmlformats.org/officeDocument/2006/relationships/hyperlink" Target="https://leetcode.com/problems/cherry-pickup-ii/description/" TargetMode="External"/><Relationship Id="rId651" Type="http://schemas.openxmlformats.org/officeDocument/2006/relationships/hyperlink" Target="https://leetcode.com/problems/shortest-path-visiting-all-nodes/description/" TargetMode="External"/><Relationship Id="rId893" Type="http://schemas.openxmlformats.org/officeDocument/2006/relationships/hyperlink" Target="https://leetcode.com/problems/check-if-a-string-contains-all-binary-codes-of-size-k/description/" TargetMode="External"/><Relationship Id="rId650" Type="http://schemas.openxmlformats.org/officeDocument/2006/relationships/hyperlink" Target="https://leetcode.com/problems/hand-of-straights/description/" TargetMode="External"/><Relationship Id="rId892" Type="http://schemas.openxmlformats.org/officeDocument/2006/relationships/hyperlink" Target="https://leetcode.com/problems/people-whose-list-of-favorite-companies-is-not-a-subset-of-another-list/description/" TargetMode="External"/><Relationship Id="rId206" Type="http://schemas.openxmlformats.org/officeDocument/2006/relationships/hyperlink" Target="https://leetcode.com/problems/kth-smallest-element-in-a-bst/description/" TargetMode="External"/><Relationship Id="rId448" Type="http://schemas.openxmlformats.org/officeDocument/2006/relationships/hyperlink" Target="https://leetcode.com/problems/continuous-subarray-sum/description/" TargetMode="External"/><Relationship Id="rId205" Type="http://schemas.openxmlformats.org/officeDocument/2006/relationships/hyperlink" Target="https://leetcode.com/problems/majority-element-ii/description/" TargetMode="External"/><Relationship Id="rId447" Type="http://schemas.openxmlformats.org/officeDocument/2006/relationships/hyperlink" Target="https://leetcode.com/problems/longest-uncommon-subsequence-ii/description/" TargetMode="External"/><Relationship Id="rId689" Type="http://schemas.openxmlformats.org/officeDocument/2006/relationships/hyperlink" Target="https://leetcode.com/problems/complete-binary-tree-inserter/description/" TargetMode="External"/><Relationship Id="rId204" Type="http://schemas.openxmlformats.org/officeDocument/2006/relationships/hyperlink" Target="https://leetcode.com/problems/summary-ranges/description/" TargetMode="External"/><Relationship Id="rId446" Type="http://schemas.openxmlformats.org/officeDocument/2006/relationships/hyperlink" Target="https://leetcode.com/problems/longest-uncommon-subsequence-i/description/" TargetMode="External"/><Relationship Id="rId688" Type="http://schemas.openxmlformats.org/officeDocument/2006/relationships/hyperlink" Target="https://leetcode.com/problems/reverse-only-letters/description/" TargetMode="External"/><Relationship Id="rId203" Type="http://schemas.openxmlformats.org/officeDocument/2006/relationships/hyperlink" Target="https://leetcode.com/problems/basic-calculator-ii/description/" TargetMode="External"/><Relationship Id="rId445" Type="http://schemas.openxmlformats.org/officeDocument/2006/relationships/hyperlink" Target="https://leetcode.com/problems/detect-capital/description/" TargetMode="External"/><Relationship Id="rId687" Type="http://schemas.openxmlformats.org/officeDocument/2006/relationships/hyperlink" Target="https://leetcode.com/problems/word-subsets/description/" TargetMode="External"/><Relationship Id="rId209" Type="http://schemas.openxmlformats.org/officeDocument/2006/relationships/hyperlink" Target="https://leetcode.com/problems/palindrome-linked-list/description/" TargetMode="External"/><Relationship Id="rId208" Type="http://schemas.openxmlformats.org/officeDocument/2006/relationships/hyperlink" Target="https://leetcode.com/problems/implement-queue-using-stacks/description/" TargetMode="External"/><Relationship Id="rId207" Type="http://schemas.openxmlformats.org/officeDocument/2006/relationships/hyperlink" Target="https://leetcode.com/problems/power-of-two/description/" TargetMode="External"/><Relationship Id="rId449" Type="http://schemas.openxmlformats.org/officeDocument/2006/relationships/hyperlink" Target="https://leetcode.com/problems/longest-word-in-dictionary-through-deleting/description/" TargetMode="External"/><Relationship Id="rId440" Type="http://schemas.openxmlformats.org/officeDocument/2006/relationships/hyperlink" Target="https://leetcode.com/problems/fibonacci-number/description/" TargetMode="External"/><Relationship Id="rId682" Type="http://schemas.openxmlformats.org/officeDocument/2006/relationships/hyperlink" Target="https://leetcode.com/problems/sum-of-subarray-minimums/description/" TargetMode="External"/><Relationship Id="rId681" Type="http://schemas.openxmlformats.org/officeDocument/2006/relationships/hyperlink" Target="https://leetcode.com/problems/super-palindromes/description/" TargetMode="External"/><Relationship Id="rId680" Type="http://schemas.openxmlformats.org/officeDocument/2006/relationships/hyperlink" Target="https://leetcode.com/problems/sort-array-by-parity/description/" TargetMode="External"/><Relationship Id="rId202" Type="http://schemas.openxmlformats.org/officeDocument/2006/relationships/hyperlink" Target="https://leetcode.com/problems/invert-binary-tree/description/" TargetMode="External"/><Relationship Id="rId444" Type="http://schemas.openxmlformats.org/officeDocument/2006/relationships/hyperlink" Target="https://leetcode.com/problems/random-flip-matrix/description/" TargetMode="External"/><Relationship Id="rId686" Type="http://schemas.openxmlformats.org/officeDocument/2006/relationships/hyperlink" Target="https://leetcode.com/problems/x-of-a-kind-in-a-deck-of-cards/description/" TargetMode="External"/><Relationship Id="rId201" Type="http://schemas.openxmlformats.org/officeDocument/2006/relationships/hyperlink" Target="https://leetcode.com/problems/basic-calculator/description/" TargetMode="External"/><Relationship Id="rId443" Type="http://schemas.openxmlformats.org/officeDocument/2006/relationships/hyperlink" Target="https://leetcode.com/problems/coin-change-2/description/" TargetMode="External"/><Relationship Id="rId685" Type="http://schemas.openxmlformats.org/officeDocument/2006/relationships/hyperlink" Target="https://leetcode.com/problems/cat-and-mouse/description/" TargetMode="External"/><Relationship Id="rId200" Type="http://schemas.openxmlformats.org/officeDocument/2006/relationships/hyperlink" Target="https://leetcode.com/problems/count-complete-tree-nodes/description/" TargetMode="External"/><Relationship Id="rId442" Type="http://schemas.openxmlformats.org/officeDocument/2006/relationships/hyperlink" Target="https://leetcode.com/problems/freedom-trail/description/" TargetMode="External"/><Relationship Id="rId684" Type="http://schemas.openxmlformats.org/officeDocument/2006/relationships/hyperlink" Target="https://leetcode.com/problems/online-election/description/" TargetMode="External"/><Relationship Id="rId441" Type="http://schemas.openxmlformats.org/officeDocument/2006/relationships/hyperlink" Target="https://leetcode.com/problems/inorder-successor-in-bst-ii/description/" TargetMode="External"/><Relationship Id="rId683" Type="http://schemas.openxmlformats.org/officeDocument/2006/relationships/hyperlink" Target="https://leetcode.com/problems/snakes-and-ladders/description/" TargetMode="External"/><Relationship Id="rId437" Type="http://schemas.openxmlformats.org/officeDocument/2006/relationships/hyperlink" Target="https://leetcode.com/problems/base-7/description/" TargetMode="External"/><Relationship Id="rId679" Type="http://schemas.openxmlformats.org/officeDocument/2006/relationships/hyperlink" Target="https://leetcode.com/problems/fruit-into-baskets/description/" TargetMode="External"/><Relationship Id="rId436" Type="http://schemas.openxmlformats.org/officeDocument/2006/relationships/hyperlink" Target="https://leetcode.com/problems/next-greater-element-ii/description/" TargetMode="External"/><Relationship Id="rId678" Type="http://schemas.openxmlformats.org/officeDocument/2006/relationships/hyperlink" Target="https://leetcode.com/problems/online-stock-span/description/" TargetMode="External"/><Relationship Id="rId435" Type="http://schemas.openxmlformats.org/officeDocument/2006/relationships/hyperlink" Target="https://leetcode.com/problems/find-mode-in-binary-search-tree/description/" TargetMode="External"/><Relationship Id="rId677" Type="http://schemas.openxmlformats.org/officeDocument/2006/relationships/hyperlink" Target="https://leetcode.com/problems/rle-iterator/description/" TargetMode="External"/><Relationship Id="rId434" Type="http://schemas.openxmlformats.org/officeDocument/2006/relationships/hyperlink" Target="https://leetcode.com/problems/the-maze-iii/description/" TargetMode="External"/><Relationship Id="rId676" Type="http://schemas.openxmlformats.org/officeDocument/2006/relationships/hyperlink" Target="https://leetcode.com/problems/maximum-frequency-stack/description/" TargetMode="External"/><Relationship Id="rId439" Type="http://schemas.openxmlformats.org/officeDocument/2006/relationships/hyperlink" Target="https://leetcode.com/problems/relative-ranks/description/" TargetMode="External"/><Relationship Id="rId438" Type="http://schemas.openxmlformats.org/officeDocument/2006/relationships/hyperlink" Target="https://leetcode.com/problems/the-maze-ii/description/" TargetMode="External"/><Relationship Id="rId671" Type="http://schemas.openxmlformats.org/officeDocument/2006/relationships/hyperlink" Target="https://leetcode.com/problems/possible-bipartition/description/" TargetMode="External"/><Relationship Id="rId670" Type="http://schemas.openxmlformats.org/officeDocument/2006/relationships/hyperlink" Target="https://leetcode.com/problems/boats-to-save-people/description/" TargetMode="External"/><Relationship Id="rId433" Type="http://schemas.openxmlformats.org/officeDocument/2006/relationships/hyperlink" Target="https://leetcode.com/problems/diagonal-traverse/description/" TargetMode="External"/><Relationship Id="rId675" Type="http://schemas.openxmlformats.org/officeDocument/2006/relationships/hyperlink" Target="https://leetcode.com/problems/all-possible-full-binary-trees/description/" TargetMode="External"/><Relationship Id="rId432" Type="http://schemas.openxmlformats.org/officeDocument/2006/relationships/hyperlink" Target="https://leetcode.com/problems/random-point-in-non-overlapping-rectangles/description/" TargetMode="External"/><Relationship Id="rId674" Type="http://schemas.openxmlformats.org/officeDocument/2006/relationships/hyperlink" Target="https://leetcode.com/problems/find-and-replace-pattern/description/" TargetMode="External"/><Relationship Id="rId431" Type="http://schemas.openxmlformats.org/officeDocument/2006/relationships/hyperlink" Target="https://leetcode.com/problems/next-greater-element-i/description/" TargetMode="External"/><Relationship Id="rId673" Type="http://schemas.openxmlformats.org/officeDocument/2006/relationships/hyperlink" Target="https://leetcode.com/problems/construct-binary-tree-from-preorder-and-postorder-traversal/description/" TargetMode="External"/><Relationship Id="rId430" Type="http://schemas.openxmlformats.org/officeDocument/2006/relationships/hyperlink" Target="https://leetcode.com/problems/target-sum/description/" TargetMode="External"/><Relationship Id="rId672" Type="http://schemas.openxmlformats.org/officeDocument/2006/relationships/hyperlink" Target="https://leetcode.com/problems/super-egg-drop/description/" TargetMode="External"/></Relationships>
</file>

<file path=xl/worksheets/_rels/sheet8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longest-happy-string/description/" TargetMode="External"/><Relationship Id="rId391" Type="http://schemas.openxmlformats.org/officeDocument/2006/relationships/hyperlink" Target="https://leetcode.com/problems/stone-game-iii/description/" TargetMode="External"/><Relationship Id="rId390" Type="http://schemas.openxmlformats.org/officeDocument/2006/relationships/hyperlink" Target="https://leetcode.com/problems/top-travellers/description/" TargetMode="External"/><Relationship Id="rId1" Type="http://schemas.openxmlformats.org/officeDocument/2006/relationships/hyperlink" Target="https://leetcode.com/problems/count-pairs-of-equal-substrings-with-minimum-difference/description/" TargetMode="External"/><Relationship Id="rId2" Type="http://schemas.openxmlformats.org/officeDocument/2006/relationships/hyperlink" Target="https://leetcode.com/problems/maximum-score-of-a-good-subarray/description/" TargetMode="External"/><Relationship Id="rId3" Type="http://schemas.openxmlformats.org/officeDocument/2006/relationships/hyperlink" Target="https://leetcode.com/problems/maximum-average-pass-ratio/description/" TargetMode="External"/><Relationship Id="rId4" Type="http://schemas.openxmlformats.org/officeDocument/2006/relationships/hyperlink" Target="https://leetcode.com/problems/find-center-of-star-graph/description/" TargetMode="External"/><Relationship Id="rId9" Type="http://schemas.openxmlformats.org/officeDocument/2006/relationships/hyperlink" Target="https://leetcode.com/problems/number-of-restricted-paths-from-first-to-last-node/description/" TargetMode="External"/><Relationship Id="rId385" Type="http://schemas.openxmlformats.org/officeDocument/2006/relationships/hyperlink" Target="https://leetcode.com/problems/find-the-quiet-students-in-all-exams/description/" TargetMode="External"/><Relationship Id="rId384" Type="http://schemas.openxmlformats.org/officeDocument/2006/relationships/hyperlink" Target="https://leetcode.com/problems/minimum-value-to-get-positive-step-by-step-sum/description/" TargetMode="External"/><Relationship Id="rId383" Type="http://schemas.openxmlformats.org/officeDocument/2006/relationships/hyperlink" Target="https://leetcode.com/problems/find-the-minimum-number-of-fibonacci-numbers-whose-sum-is-k/description/" TargetMode="External"/><Relationship Id="rId382" Type="http://schemas.openxmlformats.org/officeDocument/2006/relationships/hyperlink" Target="https://leetcode.com/problems/the-k-th-lexicographical-string-of-all-happy-strings-of-length-n/description/" TargetMode="External"/><Relationship Id="rId5" Type="http://schemas.openxmlformats.org/officeDocument/2006/relationships/hyperlink" Target="https://leetcode.com/problems/check-if-one-string-swap-can-make-strings-equal/description/" TargetMode="External"/><Relationship Id="rId389" Type="http://schemas.openxmlformats.org/officeDocument/2006/relationships/hyperlink" Target="https://leetcode.com/problems/string-matching-in-an-array/description/" TargetMode="External"/><Relationship Id="rId6" Type="http://schemas.openxmlformats.org/officeDocument/2006/relationships/hyperlink" Target="https://leetcode.com/problems/primary-department-for-each-employee/description/" TargetMode="External"/><Relationship Id="rId388" Type="http://schemas.openxmlformats.org/officeDocument/2006/relationships/hyperlink" Target="https://leetcode.com/problems/queries-on-a-permutation-with-key/description/" TargetMode="External"/><Relationship Id="rId7" Type="http://schemas.openxmlformats.org/officeDocument/2006/relationships/hyperlink" Target="https://leetcode.com/problems/maximize-the-beauty-of-the-garden/description/" TargetMode="External"/><Relationship Id="rId387" Type="http://schemas.openxmlformats.org/officeDocument/2006/relationships/hyperlink" Target="https://leetcode.com/problems/html-entity-parser/description/" TargetMode="External"/><Relationship Id="rId8" Type="http://schemas.openxmlformats.org/officeDocument/2006/relationships/hyperlink" Target="https://leetcode.com/problems/make-the-xor-of-all-segments-equal-to-zero/description/" TargetMode="External"/><Relationship Id="rId386" Type="http://schemas.openxmlformats.org/officeDocument/2006/relationships/hyperlink" Target="https://leetcode.com/problems/number-of-ways-to-paint-n-3-grid/description/" TargetMode="External"/><Relationship Id="rId381" Type="http://schemas.openxmlformats.org/officeDocument/2006/relationships/hyperlink" Target="https://leetcode.com/problems/restore-the-array/description/" TargetMode="External"/><Relationship Id="rId380" Type="http://schemas.openxmlformats.org/officeDocument/2006/relationships/hyperlink" Target="https://leetcode.com/problems/reformat-the-string/description/" TargetMode="External"/><Relationship Id="rId379" Type="http://schemas.openxmlformats.org/officeDocument/2006/relationships/hyperlink" Target="https://leetcode.com/problems/display-table-of-food-orders-in-a-restaurant/description/" TargetMode="External"/><Relationship Id="rId374" Type="http://schemas.openxmlformats.org/officeDocument/2006/relationships/hyperlink" Target="https://leetcode.com/problems/npv-queries/description/" TargetMode="External"/><Relationship Id="rId373" Type="http://schemas.openxmlformats.org/officeDocument/2006/relationships/hyperlink" Target="https://leetcode.com/problems/maximum-score-after-splitting-a-string/description/" TargetMode="External"/><Relationship Id="rId372" Type="http://schemas.openxmlformats.org/officeDocument/2006/relationships/hyperlink" Target="https://leetcode.com/problems/maximum-points-you-can-obtain-from-cards/description/" TargetMode="External"/><Relationship Id="rId371" Type="http://schemas.openxmlformats.org/officeDocument/2006/relationships/hyperlink" Target="https://leetcode.com/problems/diagonal-traverse-ii/description/" TargetMode="External"/><Relationship Id="rId378" Type="http://schemas.openxmlformats.org/officeDocument/2006/relationships/hyperlink" Target="http://c3.ai" TargetMode="External"/><Relationship Id="rId377" Type="http://schemas.openxmlformats.org/officeDocument/2006/relationships/hyperlink" Target="http://c3.ai" TargetMode="External"/><Relationship Id="rId376" Type="http://schemas.openxmlformats.org/officeDocument/2006/relationships/hyperlink" Target="https://leetcode.com/problems/minimum-number-of-frogs-croaking/description/" TargetMode="External"/><Relationship Id="rId375" Type="http://schemas.openxmlformats.org/officeDocument/2006/relationships/hyperlink" Target="https://leetcode.com/problems/build-array-where-you-can-find-the-maximum-exactly-k-comparisons/description/" TargetMode="External"/><Relationship Id="rId396" Type="http://schemas.openxmlformats.org/officeDocument/2006/relationships/hyperlink" Target="https://leetcode.com/problems/circle-and-rectangle-overlapping/description/" TargetMode="External"/><Relationship Id="rId395" Type="http://schemas.openxmlformats.org/officeDocument/2006/relationships/hyperlink" Target="https://leetcode.com/problems/reducing-dishes/description/" TargetMode="External"/><Relationship Id="rId394" Type="http://schemas.openxmlformats.org/officeDocument/2006/relationships/hyperlink" Target="https://leetcode.com/problems/minimum-subsequence-in-non-increasing-order/description/" TargetMode="External"/><Relationship Id="rId393" Type="http://schemas.openxmlformats.org/officeDocument/2006/relationships/hyperlink" Target="https://leetcode.com/problems/number-of-steps-to-reduce-a-number-in-binary-representation-to-one/description/" TargetMode="External"/><Relationship Id="rId399" Type="http://schemas.openxmlformats.org/officeDocument/2006/relationships/hyperlink" Target="https://leetcode.com/problems/customers-who-bought-products-a-and-b-but-not-c/description/" TargetMode="External"/><Relationship Id="rId398" Type="http://schemas.openxmlformats.org/officeDocument/2006/relationships/hyperlink" Target="https://leetcode.com/problems/count-largest-group/description/" TargetMode="External"/><Relationship Id="rId397" Type="http://schemas.openxmlformats.org/officeDocument/2006/relationships/hyperlink" Target="https://leetcode.com/problems/construct-k-palindrome-strings/description/" TargetMode="External"/><Relationship Id="rId1730" Type="http://schemas.openxmlformats.org/officeDocument/2006/relationships/hyperlink" Target="https://leetcode.com/problems/permutation-sequence/description/" TargetMode="External"/><Relationship Id="rId1731" Type="http://schemas.openxmlformats.org/officeDocument/2006/relationships/hyperlink" Target="https://leetcode.com/problems/spiral-matrix-ii/description/" TargetMode="External"/><Relationship Id="rId1732" Type="http://schemas.openxmlformats.org/officeDocument/2006/relationships/hyperlink" Target="https://leetcode.com/problems/length-of-last-word/description/" TargetMode="External"/><Relationship Id="rId1733" Type="http://schemas.openxmlformats.org/officeDocument/2006/relationships/hyperlink" Target="https://leetcode.com/problems/insert-interval/description/" TargetMode="External"/><Relationship Id="rId1734" Type="http://schemas.openxmlformats.org/officeDocument/2006/relationships/hyperlink" Target="https://leetcode.com/problems/merge-intervals/description/" TargetMode="External"/><Relationship Id="rId1735" Type="http://schemas.openxmlformats.org/officeDocument/2006/relationships/hyperlink" Target="https://leetcode.com/problems/jump-game/description/" TargetMode="External"/><Relationship Id="rId1736" Type="http://schemas.openxmlformats.org/officeDocument/2006/relationships/hyperlink" Target="https://leetcode.com/problems/spiral-matrix/description/" TargetMode="External"/><Relationship Id="rId1737" Type="http://schemas.openxmlformats.org/officeDocument/2006/relationships/hyperlink" Target="https://leetcode.com/problems/maximum-subarray/description/" TargetMode="External"/><Relationship Id="rId1738" Type="http://schemas.openxmlformats.org/officeDocument/2006/relationships/hyperlink" Target="https://leetcode.com/problems/n-queens-ii/description/" TargetMode="External"/><Relationship Id="rId1739" Type="http://schemas.openxmlformats.org/officeDocument/2006/relationships/hyperlink" Target="https://leetcode.com/problems/n-queens/description/" TargetMode="External"/><Relationship Id="rId1720" Type="http://schemas.openxmlformats.org/officeDocument/2006/relationships/hyperlink" Target="https://leetcode.com/problems/climbing-stairs/description/" TargetMode="External"/><Relationship Id="rId1721" Type="http://schemas.openxmlformats.org/officeDocument/2006/relationships/hyperlink" Target="https://leetcode.com/problems/sqrtx/description/" TargetMode="External"/><Relationship Id="rId1722" Type="http://schemas.openxmlformats.org/officeDocument/2006/relationships/hyperlink" Target="https://leetcode.com/problems/text-justification/description/" TargetMode="External"/><Relationship Id="rId1723" Type="http://schemas.openxmlformats.org/officeDocument/2006/relationships/hyperlink" Target="https://leetcode.com/problems/add-binary/description/" TargetMode="External"/><Relationship Id="rId1724" Type="http://schemas.openxmlformats.org/officeDocument/2006/relationships/hyperlink" Target="https://leetcode.com/problems/plus-one/description/" TargetMode="External"/><Relationship Id="rId1725" Type="http://schemas.openxmlformats.org/officeDocument/2006/relationships/hyperlink" Target="https://leetcode.com/problems/valid-number/description/" TargetMode="External"/><Relationship Id="rId1726" Type="http://schemas.openxmlformats.org/officeDocument/2006/relationships/hyperlink" Target="https://leetcode.com/problems/minimum-path-sum/description/" TargetMode="External"/><Relationship Id="rId1727" Type="http://schemas.openxmlformats.org/officeDocument/2006/relationships/hyperlink" Target="https://leetcode.com/problems/unique-paths-ii/description/" TargetMode="External"/><Relationship Id="rId1728" Type="http://schemas.openxmlformats.org/officeDocument/2006/relationships/hyperlink" Target="https://leetcode.com/problems/unique-paths/description/" TargetMode="External"/><Relationship Id="rId1729" Type="http://schemas.openxmlformats.org/officeDocument/2006/relationships/hyperlink" Target="https://leetcode.com/problems/rotate-list/description/" TargetMode="External"/><Relationship Id="rId1752" Type="http://schemas.openxmlformats.org/officeDocument/2006/relationships/hyperlink" Target="https://leetcode.com/problems/count-and-say/description/" TargetMode="External"/><Relationship Id="rId1753" Type="http://schemas.openxmlformats.org/officeDocument/2006/relationships/hyperlink" Target="https://leetcode.com/problems/sudoku-solver/description/" TargetMode="External"/><Relationship Id="rId1754" Type="http://schemas.openxmlformats.org/officeDocument/2006/relationships/hyperlink" Target="https://leetcode.com/problems/valid-sudoku/description/" TargetMode="External"/><Relationship Id="rId1755" Type="http://schemas.openxmlformats.org/officeDocument/2006/relationships/hyperlink" Target="https://leetcode.com/problems/search-insert-position/description/" TargetMode="External"/><Relationship Id="rId1756" Type="http://schemas.openxmlformats.org/officeDocument/2006/relationships/hyperlink" Target="https://leetcode.com/problems/find-first-and-last-position-of-element-in-sorted-array/description/" TargetMode="External"/><Relationship Id="rId1757" Type="http://schemas.openxmlformats.org/officeDocument/2006/relationships/hyperlink" Target="https://leetcode.com/problems/search-in-rotated-sorted-array/description/" TargetMode="External"/><Relationship Id="rId1758" Type="http://schemas.openxmlformats.org/officeDocument/2006/relationships/hyperlink" Target="https://leetcode.com/problems/longest-valid-parentheses/description/" TargetMode="External"/><Relationship Id="rId1759" Type="http://schemas.openxmlformats.org/officeDocument/2006/relationships/hyperlink" Target="https://leetcode.com/problems/next-permutation/description/" TargetMode="External"/><Relationship Id="rId808" Type="http://schemas.openxmlformats.org/officeDocument/2006/relationships/hyperlink" Target="https://leetcode.com/problems/triples-with-bitwise-and-equal-to-zero/description/" TargetMode="External"/><Relationship Id="rId807" Type="http://schemas.openxmlformats.org/officeDocument/2006/relationships/hyperlink" Target="https://leetcode.com/problems/minimum-cost-for-tickets/description/" TargetMode="External"/><Relationship Id="rId806" Type="http://schemas.openxmlformats.org/officeDocument/2006/relationships/hyperlink" Target="https://leetcode.com/problems/string-without-aaa-or-bbb/description/" TargetMode="External"/><Relationship Id="rId805" Type="http://schemas.openxmlformats.org/officeDocument/2006/relationships/hyperlink" Target="https://leetcode.com/problems/sum-of-even-numbers-after-queries/description/" TargetMode="External"/><Relationship Id="rId809" Type="http://schemas.openxmlformats.org/officeDocument/2006/relationships/hyperlink" Target="https://leetcode.com/problems/time-based-key-value-store/description/" TargetMode="External"/><Relationship Id="rId800" Type="http://schemas.openxmlformats.org/officeDocument/2006/relationships/hyperlink" Target="https://leetcode.com/problems/satisfiability-of-equality-equations/description/" TargetMode="External"/><Relationship Id="rId804" Type="http://schemas.openxmlformats.org/officeDocument/2006/relationships/hyperlink" Target="https://leetcode.com/problems/interval-list-intersections/description/" TargetMode="External"/><Relationship Id="rId803" Type="http://schemas.openxmlformats.org/officeDocument/2006/relationships/hyperlink" Target="https://leetcode.com/problems/vertical-order-traversal-of-a-binary-tree/description/" TargetMode="External"/><Relationship Id="rId802" Type="http://schemas.openxmlformats.org/officeDocument/2006/relationships/hyperlink" Target="https://leetcode.com/problems/smallest-string-starting-from-leaf/description/" TargetMode="External"/><Relationship Id="rId801" Type="http://schemas.openxmlformats.org/officeDocument/2006/relationships/hyperlink" Target="https://leetcode.com/problems/add-to-array-form-of-integer/description/" TargetMode="External"/><Relationship Id="rId1750" Type="http://schemas.openxmlformats.org/officeDocument/2006/relationships/hyperlink" Target="https://leetcode.com/problems/combination-sum-ii/description/" TargetMode="External"/><Relationship Id="rId1751" Type="http://schemas.openxmlformats.org/officeDocument/2006/relationships/hyperlink" Target="https://leetcode.com/problems/combination-sum/description/" TargetMode="External"/><Relationship Id="rId1741" Type="http://schemas.openxmlformats.org/officeDocument/2006/relationships/hyperlink" Target="https://leetcode.com/problems/group-anagrams/description/" TargetMode="External"/><Relationship Id="rId1742" Type="http://schemas.openxmlformats.org/officeDocument/2006/relationships/hyperlink" Target="https://leetcode.com/problems/rotate-image/description/" TargetMode="External"/><Relationship Id="rId1743" Type="http://schemas.openxmlformats.org/officeDocument/2006/relationships/hyperlink" Target="https://leetcode.com/problems/permutations-ii/description/" TargetMode="External"/><Relationship Id="rId1744" Type="http://schemas.openxmlformats.org/officeDocument/2006/relationships/hyperlink" Target="https://leetcode.com/problems/permutations/description/" TargetMode="External"/><Relationship Id="rId1745" Type="http://schemas.openxmlformats.org/officeDocument/2006/relationships/hyperlink" Target="https://leetcode.com/problems/jump-game-ii/description/" TargetMode="External"/><Relationship Id="rId1746" Type="http://schemas.openxmlformats.org/officeDocument/2006/relationships/hyperlink" Target="https://leetcode.com/problems/wildcard-matching/description/" TargetMode="External"/><Relationship Id="rId1747" Type="http://schemas.openxmlformats.org/officeDocument/2006/relationships/hyperlink" Target="https://leetcode.com/problems/multiply-strings/description/" TargetMode="External"/><Relationship Id="rId1748" Type="http://schemas.openxmlformats.org/officeDocument/2006/relationships/hyperlink" Target="https://leetcode.com/problems/trapping-rain-water/description/" TargetMode="External"/><Relationship Id="rId1749" Type="http://schemas.openxmlformats.org/officeDocument/2006/relationships/hyperlink" Target="https://leetcode.com/problems/first-missing-positive/description/" TargetMode="External"/><Relationship Id="rId1740" Type="http://schemas.openxmlformats.org/officeDocument/2006/relationships/hyperlink" Target="https://leetcode.com/problems/powx-n/description/" TargetMode="External"/><Relationship Id="rId1710" Type="http://schemas.openxmlformats.org/officeDocument/2006/relationships/hyperlink" Target="https://leetcode.com/problems/remove-duplicates-from-sorted-array-ii/description/" TargetMode="External"/><Relationship Id="rId1711" Type="http://schemas.openxmlformats.org/officeDocument/2006/relationships/hyperlink" Target="https://leetcode.com/problems/word-search/description/" TargetMode="External"/><Relationship Id="rId1712" Type="http://schemas.openxmlformats.org/officeDocument/2006/relationships/hyperlink" Target="https://leetcode.com/problems/subsets/description/" TargetMode="External"/><Relationship Id="rId1713" Type="http://schemas.openxmlformats.org/officeDocument/2006/relationships/hyperlink" Target="https://leetcode.com/problems/combinations/description/" TargetMode="External"/><Relationship Id="rId1714" Type="http://schemas.openxmlformats.org/officeDocument/2006/relationships/hyperlink" Target="https://leetcode.com/problems/minimum-window-substring/description/" TargetMode="External"/><Relationship Id="rId1715" Type="http://schemas.openxmlformats.org/officeDocument/2006/relationships/hyperlink" Target="https://leetcode.com/problems/sort-colors/description/" TargetMode="External"/><Relationship Id="rId1716" Type="http://schemas.openxmlformats.org/officeDocument/2006/relationships/hyperlink" Target="https://leetcode.com/problems/search-a-2d-matrix/description/" TargetMode="External"/><Relationship Id="rId1717" Type="http://schemas.openxmlformats.org/officeDocument/2006/relationships/hyperlink" Target="https://leetcode.com/problems/set-matrix-zeroes/description/" TargetMode="External"/><Relationship Id="rId1718" Type="http://schemas.openxmlformats.org/officeDocument/2006/relationships/hyperlink" Target="https://leetcode.com/problems/edit-distance/description/" TargetMode="External"/><Relationship Id="rId1719" Type="http://schemas.openxmlformats.org/officeDocument/2006/relationships/hyperlink" Target="https://leetcode.com/problems/simplify-path/description/" TargetMode="External"/><Relationship Id="rId1700" Type="http://schemas.openxmlformats.org/officeDocument/2006/relationships/hyperlink" Target="https://leetcode.com/problems/subsets-ii/description/" TargetMode="External"/><Relationship Id="rId1701" Type="http://schemas.openxmlformats.org/officeDocument/2006/relationships/hyperlink" Target="https://leetcode.com/problems/gray-code/description/" TargetMode="External"/><Relationship Id="rId1702" Type="http://schemas.openxmlformats.org/officeDocument/2006/relationships/hyperlink" Target="https://leetcode.com/problems/merge-sorted-array/description/" TargetMode="External"/><Relationship Id="rId1703" Type="http://schemas.openxmlformats.org/officeDocument/2006/relationships/hyperlink" Target="https://leetcode.com/problems/scramble-string/description/" TargetMode="External"/><Relationship Id="rId1704" Type="http://schemas.openxmlformats.org/officeDocument/2006/relationships/hyperlink" Target="https://leetcode.com/problems/partition-list/description/" TargetMode="External"/><Relationship Id="rId1705" Type="http://schemas.openxmlformats.org/officeDocument/2006/relationships/hyperlink" Target="https://leetcode.com/problems/maximal-rectangle/description/" TargetMode="External"/><Relationship Id="rId1706" Type="http://schemas.openxmlformats.org/officeDocument/2006/relationships/hyperlink" Target="https://leetcode.com/problems/largest-rectangle-in-histogram/description/" TargetMode="External"/><Relationship Id="rId1707" Type="http://schemas.openxmlformats.org/officeDocument/2006/relationships/hyperlink" Target="https://leetcode.com/problems/remove-duplicates-from-sorted-list/description/" TargetMode="External"/><Relationship Id="rId1708" Type="http://schemas.openxmlformats.org/officeDocument/2006/relationships/hyperlink" Target="https://leetcode.com/problems/remove-duplicates-from-sorted-list-ii/description/" TargetMode="External"/><Relationship Id="rId1709" Type="http://schemas.openxmlformats.org/officeDocument/2006/relationships/hyperlink" Target="https://leetcode.com/problems/search-in-rotated-sorted-array-ii/description/" TargetMode="External"/><Relationship Id="rId40" Type="http://schemas.openxmlformats.org/officeDocument/2006/relationships/hyperlink" Target="https://leetcode.com/problems/closest-subsequence-sum/description/" TargetMode="External"/><Relationship Id="rId1334" Type="http://schemas.openxmlformats.org/officeDocument/2006/relationships/hyperlink" Target="https://leetcode.com/problems/132-pattern/description/" TargetMode="External"/><Relationship Id="rId1335" Type="http://schemas.openxmlformats.org/officeDocument/2006/relationships/hyperlink" Target="https://leetcode.com/problems/assign-cookies/description/" TargetMode="External"/><Relationship Id="rId42" Type="http://schemas.openxmlformats.org/officeDocument/2006/relationships/hyperlink" Target="https://leetcode.com/problems/maximum-score-from-removing-stones/description/" TargetMode="External"/><Relationship Id="rId1336" Type="http://schemas.openxmlformats.org/officeDocument/2006/relationships/hyperlink" Target="https://leetcode.com/problems/4sum-ii/description/" TargetMode="External"/><Relationship Id="rId41" Type="http://schemas.openxmlformats.org/officeDocument/2006/relationships/hyperlink" Target="https://leetcode.com/problems/largest-merge-of-two-strings/description/" TargetMode="External"/><Relationship Id="rId1337" Type="http://schemas.openxmlformats.org/officeDocument/2006/relationships/hyperlink" Target="https://leetcode.com/problems/minimum-moves-to-equal-array-elements/description/" TargetMode="External"/><Relationship Id="rId44" Type="http://schemas.openxmlformats.org/officeDocument/2006/relationships/hyperlink" Target="https://leetcode.com/problems/maximum-number-of-events-that-can-be-attended-ii/description/" TargetMode="External"/><Relationship Id="rId1338" Type="http://schemas.openxmlformats.org/officeDocument/2006/relationships/hyperlink" Target="https://leetcode.com/problems/minimum-number-of-arrows-to-burst-balloons/description/" TargetMode="External"/><Relationship Id="rId43" Type="http://schemas.openxmlformats.org/officeDocument/2006/relationships/hyperlink" Target="https://leetcode.com/problems/check-if-array-is-sorted-and-rotated/description/" TargetMode="External"/><Relationship Id="rId1339" Type="http://schemas.openxmlformats.org/officeDocument/2006/relationships/hyperlink" Target="https://leetcode.com/problems/sort-characters-by-frequency/description/" TargetMode="External"/><Relationship Id="rId46" Type="http://schemas.openxmlformats.org/officeDocument/2006/relationships/hyperlink" Target="https://leetcode.com/problems/maximum-absolute-sum-of-any-subarray/description/" TargetMode="External"/><Relationship Id="rId45" Type="http://schemas.openxmlformats.org/officeDocument/2006/relationships/hyperlink" Target="https://leetcode.com/problems/minimum-length-of-string-after-deleting-similar-ends/description/" TargetMode="External"/><Relationship Id="rId745" Type="http://schemas.openxmlformats.org/officeDocument/2006/relationships/hyperlink" Target="https://leetcode.com/problems/customers-who-bought-all-products/description/" TargetMode="External"/><Relationship Id="rId744" Type="http://schemas.openxmlformats.org/officeDocument/2006/relationships/hyperlink" Target="https://leetcode.com/problems/last-stone-weight/description/" TargetMode="External"/><Relationship Id="rId743" Type="http://schemas.openxmlformats.org/officeDocument/2006/relationships/hyperlink" Target="https://leetcode.com/problems/remove-all-adjacent-duplicates-in-string/description/" TargetMode="External"/><Relationship Id="rId742" Type="http://schemas.openxmlformats.org/officeDocument/2006/relationships/hyperlink" Target="https://leetcode.com/problems/longest-string-chain/description/" TargetMode="External"/><Relationship Id="rId749" Type="http://schemas.openxmlformats.org/officeDocument/2006/relationships/hyperlink" Target="https://leetcode.com/problems/robot-bounded-in-circle/description/" TargetMode="External"/><Relationship Id="rId748" Type="http://schemas.openxmlformats.org/officeDocument/2006/relationships/hyperlink" Target="https://leetcode.com/problems/flower-planting-with-no-adjacent/description/" TargetMode="External"/><Relationship Id="rId747" Type="http://schemas.openxmlformats.org/officeDocument/2006/relationships/hyperlink" Target="https://leetcode.com/problems/partition-array-for-maximum-sum/description/" TargetMode="External"/><Relationship Id="rId746" Type="http://schemas.openxmlformats.org/officeDocument/2006/relationships/hyperlink" Target="https://leetcode.com/problems/longest-duplicate-substring/description/" TargetMode="External"/><Relationship Id="rId48" Type="http://schemas.openxmlformats.org/officeDocument/2006/relationships/hyperlink" Target="https://leetcode.com/problems/leetflex-banned-accounts/description/" TargetMode="External"/><Relationship Id="rId47" Type="http://schemas.openxmlformats.org/officeDocument/2006/relationships/hyperlink" Target="https://leetcode.com/problems/sum-of-unique-elements/description/" TargetMode="External"/><Relationship Id="rId49" Type="http://schemas.openxmlformats.org/officeDocument/2006/relationships/hyperlink" Target="https://leetcode.com/problems/maximum-subarray-sum-after-one-operation/description/" TargetMode="External"/><Relationship Id="rId741" Type="http://schemas.openxmlformats.org/officeDocument/2006/relationships/hyperlink" Target="https://leetcode.com/problems/last-stone-weight-ii/description/" TargetMode="External"/><Relationship Id="rId1330" Type="http://schemas.openxmlformats.org/officeDocument/2006/relationships/hyperlink" Target="https://leetcode.com/problems/lfu-cache/description/" TargetMode="External"/><Relationship Id="rId740" Type="http://schemas.openxmlformats.org/officeDocument/2006/relationships/hyperlink" Target="https://leetcode.com/problems/actors-and-directors-who-cooperated-at-least-three-times/description/" TargetMode="External"/><Relationship Id="rId1331" Type="http://schemas.openxmlformats.org/officeDocument/2006/relationships/hyperlink" Target="https://leetcode.com/problems/repeated-substring-pattern/description/" TargetMode="External"/><Relationship Id="rId1332" Type="http://schemas.openxmlformats.org/officeDocument/2006/relationships/hyperlink" Target="https://leetcode.com/problems/poor-pigs/description/" TargetMode="External"/><Relationship Id="rId1333" Type="http://schemas.openxmlformats.org/officeDocument/2006/relationships/hyperlink" Target="https://leetcode.com/problems/circular-array-loop/description/" TargetMode="External"/><Relationship Id="rId1323" Type="http://schemas.openxmlformats.org/officeDocument/2006/relationships/hyperlink" Target="https://leetcode.com/problems/unique-substrings-in-wraparound-string/description/" TargetMode="External"/><Relationship Id="rId1324" Type="http://schemas.openxmlformats.org/officeDocument/2006/relationships/hyperlink" Target="https://leetcode.com/problems/count-the-repetitions/description/" TargetMode="External"/><Relationship Id="rId31" Type="http://schemas.openxmlformats.org/officeDocument/2006/relationships/hyperlink" Target="https://leetcode.com/problems/form-array-by-concatenating-subarrays-of-another-array/description/" TargetMode="External"/><Relationship Id="rId1325" Type="http://schemas.openxmlformats.org/officeDocument/2006/relationships/hyperlink" Target="https://leetcode.com/problems/optimal-account-balancing/description/" TargetMode="External"/><Relationship Id="rId30" Type="http://schemas.openxmlformats.org/officeDocument/2006/relationships/hyperlink" Target="https://leetcode.com/problems/map-of-highest-peak/description/" TargetMode="External"/><Relationship Id="rId1326" Type="http://schemas.openxmlformats.org/officeDocument/2006/relationships/hyperlink" Target="https://leetcode.com/problems/can-i-win/description/" TargetMode="External"/><Relationship Id="rId33" Type="http://schemas.openxmlformats.org/officeDocument/2006/relationships/hyperlink" Target="https://leetcode.com/problems/buildings-with-an-ocean-view/description/" TargetMode="External"/><Relationship Id="rId1327" Type="http://schemas.openxmlformats.org/officeDocument/2006/relationships/hyperlink" Target="https://leetcode.com/problems/island-perimeter/description/" TargetMode="External"/><Relationship Id="rId32" Type="http://schemas.openxmlformats.org/officeDocument/2006/relationships/hyperlink" Target="https://leetcode.com/problems/longest-nice-substring/description/" TargetMode="External"/><Relationship Id="rId1328" Type="http://schemas.openxmlformats.org/officeDocument/2006/relationships/hyperlink" Target="https://leetcode.com/problems/minimum-moves-to-equal-array-elements-ii/description/" TargetMode="External"/><Relationship Id="rId35" Type="http://schemas.openxmlformats.org/officeDocument/2006/relationships/hyperlink" Target="https://leetcode.com/problems/minimum-limit-of-balls-in-a-bag/description/" TargetMode="External"/><Relationship Id="rId1329" Type="http://schemas.openxmlformats.org/officeDocument/2006/relationships/hyperlink" Target="https://leetcode.com/problems/hamming-distance/description/" TargetMode="External"/><Relationship Id="rId34" Type="http://schemas.openxmlformats.org/officeDocument/2006/relationships/hyperlink" Target="https://leetcode.com/problems/minimum-degree-of-a-connected-trio-in-a-graph/description/" TargetMode="External"/><Relationship Id="rId739" Type="http://schemas.openxmlformats.org/officeDocument/2006/relationships/hyperlink" Target="https://leetcode.com/problems/height-checker/description/" TargetMode="External"/><Relationship Id="rId734" Type="http://schemas.openxmlformats.org/officeDocument/2006/relationships/hyperlink" Target="https://leetcode.com/problems/confusing-number/description/" TargetMode="External"/><Relationship Id="rId733" Type="http://schemas.openxmlformats.org/officeDocument/2006/relationships/hyperlink" Target="https://leetcode.com/problems/campus-bikes/description/" TargetMode="External"/><Relationship Id="rId732" Type="http://schemas.openxmlformats.org/officeDocument/2006/relationships/hyperlink" Target="https://leetcode.com/problems/minimize-rounding-error-to-meet-target/description/" TargetMode="External"/><Relationship Id="rId731" Type="http://schemas.openxmlformats.org/officeDocument/2006/relationships/hyperlink" Target="https://leetcode.com/problems/all-paths-from-source-lead-to-destination/description/" TargetMode="External"/><Relationship Id="rId738" Type="http://schemas.openxmlformats.org/officeDocument/2006/relationships/hyperlink" Target="https://leetcode.com/problems/grumpy-bookstore-owner/description/" TargetMode="External"/><Relationship Id="rId737" Type="http://schemas.openxmlformats.org/officeDocument/2006/relationships/hyperlink" Target="https://leetcode.com/problems/previous-permutation-with-one-swap/description/" TargetMode="External"/><Relationship Id="rId736" Type="http://schemas.openxmlformats.org/officeDocument/2006/relationships/hyperlink" Target="https://leetcode.com/problems/distant-barcodes/description/" TargetMode="External"/><Relationship Id="rId735" Type="http://schemas.openxmlformats.org/officeDocument/2006/relationships/hyperlink" Target="https://leetcode.com/problems/shortest-way-to-form-string/description/" TargetMode="External"/><Relationship Id="rId37" Type="http://schemas.openxmlformats.org/officeDocument/2006/relationships/hyperlink" Target="https://leetcode.com/problems/minimum-changes-to-make-alternating-binary-string/description/" TargetMode="External"/><Relationship Id="rId36" Type="http://schemas.openxmlformats.org/officeDocument/2006/relationships/hyperlink" Target="https://leetcode.com/problems/count-number-of-homogenous-substrings/description/" TargetMode="External"/><Relationship Id="rId39" Type="http://schemas.openxmlformats.org/officeDocument/2006/relationships/hyperlink" Target="https://leetcode.com/problems/design-most-recently-used-queue/description/" TargetMode="External"/><Relationship Id="rId38" Type="http://schemas.openxmlformats.org/officeDocument/2006/relationships/hyperlink" Target="https://leetcode.com/problems/recyclable-and-low-fat-products/description/" TargetMode="External"/><Relationship Id="rId730" Type="http://schemas.openxmlformats.org/officeDocument/2006/relationships/hyperlink" Target="https://leetcode.com/problems/missing-element-in-sorted-array/description/" TargetMode="External"/><Relationship Id="rId1320" Type="http://schemas.openxmlformats.org/officeDocument/2006/relationships/hyperlink" Target="https://leetcode.com/problems/implement-rand10-using-rand7/description/" TargetMode="External"/><Relationship Id="rId1321" Type="http://schemas.openxmlformats.org/officeDocument/2006/relationships/hyperlink" Target="https://leetcode.com/problems/convex-polygon/description/" TargetMode="External"/><Relationship Id="rId1322" Type="http://schemas.openxmlformats.org/officeDocument/2006/relationships/hyperlink" Target="https://leetcode.com/problems/validate-ip-address/description/" TargetMode="External"/><Relationship Id="rId1356" Type="http://schemas.openxmlformats.org/officeDocument/2006/relationships/hyperlink" Target="https://leetcode.com/problems/number-of-segments-in-a-string/description/" TargetMode="External"/><Relationship Id="rId1357" Type="http://schemas.openxmlformats.org/officeDocument/2006/relationships/hyperlink" Target="https://leetcode.com/problems/minimum-genetic-mutation/description/" TargetMode="External"/><Relationship Id="rId20" Type="http://schemas.openxmlformats.org/officeDocument/2006/relationships/hyperlink" Target="https://leetcode.com/problems/equal-sum-arrays-with-minimum-number-of-operations/description/" TargetMode="External"/><Relationship Id="rId1358" Type="http://schemas.openxmlformats.org/officeDocument/2006/relationships/hyperlink" Target="https://leetcode.com/problems/all-oone-data-structure/description/" TargetMode="External"/><Relationship Id="rId1359" Type="http://schemas.openxmlformats.org/officeDocument/2006/relationships/hyperlink" Target="https://leetcode.com/problems/encode-n-ary-tree-to-binary-tree/description/" TargetMode="External"/><Relationship Id="rId22" Type="http://schemas.openxmlformats.org/officeDocument/2006/relationships/hyperlink" Target="https://leetcode.com/problems/count-items-matching-a-rule/description/" TargetMode="External"/><Relationship Id="rId21" Type="http://schemas.openxmlformats.org/officeDocument/2006/relationships/hyperlink" Target="https://leetcode.com/problems/closest-dessert-cost/description/" TargetMode="External"/><Relationship Id="rId24" Type="http://schemas.openxmlformats.org/officeDocument/2006/relationships/hyperlink" Target="https://leetcode.com/problems/maximize-palindrome-length-from-subsequences/description/" TargetMode="External"/><Relationship Id="rId23" Type="http://schemas.openxmlformats.org/officeDocument/2006/relationships/hyperlink" Target="https://leetcode.com/problems/sort-features-by-popularity/description/" TargetMode="External"/><Relationship Id="rId767" Type="http://schemas.openxmlformats.org/officeDocument/2006/relationships/hyperlink" Target="https://leetcode.com/problems/camelcase-matching/description/" TargetMode="External"/><Relationship Id="rId766" Type="http://schemas.openxmlformats.org/officeDocument/2006/relationships/hyperlink" Target="https://leetcode.com/problems/video-stitching/description/" TargetMode="External"/><Relationship Id="rId765" Type="http://schemas.openxmlformats.org/officeDocument/2006/relationships/hyperlink" Target="https://leetcode.com/problems/divisor-game/description/" TargetMode="External"/><Relationship Id="rId764" Type="http://schemas.openxmlformats.org/officeDocument/2006/relationships/hyperlink" Target="https://leetcode.com/problems/maximum-difference-between-node-and-ancestor/description/" TargetMode="External"/><Relationship Id="rId769" Type="http://schemas.openxmlformats.org/officeDocument/2006/relationships/hyperlink" Target="https://leetcode.com/problems/remove-outermost-parentheses/description/" TargetMode="External"/><Relationship Id="rId768" Type="http://schemas.openxmlformats.org/officeDocument/2006/relationships/hyperlink" Target="https://leetcode.com/problems/sum-of-root-to-leaf-binary-numbers/description/" TargetMode="External"/><Relationship Id="rId26" Type="http://schemas.openxmlformats.org/officeDocument/2006/relationships/hyperlink" Target="https://leetcode.com/problems/minimum-number-of-operations-to-move-all-balls-to-each-box/description/" TargetMode="External"/><Relationship Id="rId25" Type="http://schemas.openxmlformats.org/officeDocument/2006/relationships/hyperlink" Target="https://leetcode.com/problems/maximum-score-from-performing-multiplication-operations/description/" TargetMode="External"/><Relationship Id="rId28" Type="http://schemas.openxmlformats.org/officeDocument/2006/relationships/hyperlink" Target="https://leetcode.com/problems/find-the-subtasks-that-did-not-execute/description/" TargetMode="External"/><Relationship Id="rId1350" Type="http://schemas.openxmlformats.org/officeDocument/2006/relationships/hyperlink" Target="https://leetcode.com/problems/k-th-smallest-in-lexicographical-order/description/" TargetMode="External"/><Relationship Id="rId27" Type="http://schemas.openxmlformats.org/officeDocument/2006/relationships/hyperlink" Target="https://leetcode.com/problems/merge-strings-alternately/description/" TargetMode="External"/><Relationship Id="rId1351" Type="http://schemas.openxmlformats.org/officeDocument/2006/relationships/hyperlink" Target="https://leetcode.com/problems/ternary-expression-parser/description/" TargetMode="External"/><Relationship Id="rId763" Type="http://schemas.openxmlformats.org/officeDocument/2006/relationships/hyperlink" Target="https://leetcode.com/problems/longest-arithmetic-subsequence/description/" TargetMode="External"/><Relationship Id="rId1352" Type="http://schemas.openxmlformats.org/officeDocument/2006/relationships/hyperlink" Target="https://leetcode.com/problems/find-all-anagrams-in-a-string/description/" TargetMode="External"/><Relationship Id="rId29" Type="http://schemas.openxmlformats.org/officeDocument/2006/relationships/hyperlink" Target="https://leetcode.com/problems/tree-of-coprimes/description/" TargetMode="External"/><Relationship Id="rId762" Type="http://schemas.openxmlformats.org/officeDocument/2006/relationships/hyperlink" Target="https://leetcode.com/problems/recover-a-tree-from-preorder-traversal/description/" TargetMode="External"/><Relationship Id="rId1353" Type="http://schemas.openxmlformats.org/officeDocument/2006/relationships/hyperlink" Target="https://leetcode.com/problems/path-sum-iii/description/" TargetMode="External"/><Relationship Id="rId761" Type="http://schemas.openxmlformats.org/officeDocument/2006/relationships/hyperlink" Target="https://leetcode.com/problems/two-city-scheduling/description/" TargetMode="External"/><Relationship Id="rId1354" Type="http://schemas.openxmlformats.org/officeDocument/2006/relationships/hyperlink" Target="https://leetcode.com/problems/find-right-interval/description/" TargetMode="External"/><Relationship Id="rId760" Type="http://schemas.openxmlformats.org/officeDocument/2006/relationships/hyperlink" Target="https://leetcode.com/problems/matrix-cells-in-distance-order/description/" TargetMode="External"/><Relationship Id="rId1355" Type="http://schemas.openxmlformats.org/officeDocument/2006/relationships/hyperlink" Target="https://leetcode.com/problems/non-overlapping-intervals/description/" TargetMode="External"/><Relationship Id="rId1345" Type="http://schemas.openxmlformats.org/officeDocument/2006/relationships/hyperlink" Target="https://leetcode.com/problems/add-two-numbers-ii/description/" TargetMode="External"/><Relationship Id="rId1346" Type="http://schemas.openxmlformats.org/officeDocument/2006/relationships/hyperlink" Target="https://leetcode.com/problems/sequence-reconstruction/description/" TargetMode="External"/><Relationship Id="rId1347" Type="http://schemas.openxmlformats.org/officeDocument/2006/relationships/hyperlink" Target="https://leetcode.com/problems/string-compression/description/" TargetMode="External"/><Relationship Id="rId1348" Type="http://schemas.openxmlformats.org/officeDocument/2006/relationships/hyperlink" Target="https://leetcode.com/problems/find-all-duplicates-in-an-array/description/" TargetMode="External"/><Relationship Id="rId11" Type="http://schemas.openxmlformats.org/officeDocument/2006/relationships/hyperlink" Target="https://leetcode.com/problems/check-if-binary-string-has-at-most-one-segment-of-ones/description/" TargetMode="External"/><Relationship Id="rId1349" Type="http://schemas.openxmlformats.org/officeDocument/2006/relationships/hyperlink" Target="https://leetcode.com/problems/arranging-coins/description/" TargetMode="External"/><Relationship Id="rId10" Type="http://schemas.openxmlformats.org/officeDocument/2006/relationships/hyperlink" Target="https://leetcode.com/problems/minimum-elements-to-add-to-form-a-given-sum/description/" TargetMode="External"/><Relationship Id="rId13" Type="http://schemas.openxmlformats.org/officeDocument/2006/relationships/hyperlink" Target="https://leetcode.com/problems/count-pairs-of-nodes/description/" TargetMode="External"/><Relationship Id="rId12" Type="http://schemas.openxmlformats.org/officeDocument/2006/relationships/hyperlink" Target="https://leetcode.com/problems/grand-slam-titles/description/" TargetMode="External"/><Relationship Id="rId756" Type="http://schemas.openxmlformats.org/officeDocument/2006/relationships/hyperlink" Target="https://leetcode.com/problems/coloring-a-border/description/" TargetMode="External"/><Relationship Id="rId755" Type="http://schemas.openxmlformats.org/officeDocument/2006/relationships/hyperlink" Target="https://leetcode.com/problems/uncrossed-lines/description/" TargetMode="External"/><Relationship Id="rId754" Type="http://schemas.openxmlformats.org/officeDocument/2006/relationships/hyperlink" Target="https://leetcode.com/problems/escape-a-large-maze/description/" TargetMode="External"/><Relationship Id="rId753" Type="http://schemas.openxmlformats.org/officeDocument/2006/relationships/hyperlink" Target="https://leetcode.com/problems/valid-boomerang/description/" TargetMode="External"/><Relationship Id="rId759" Type="http://schemas.openxmlformats.org/officeDocument/2006/relationships/hyperlink" Target="https://leetcode.com/problems/maximum-sum-of-two-non-overlapping-subarrays/description/" TargetMode="External"/><Relationship Id="rId758" Type="http://schemas.openxmlformats.org/officeDocument/2006/relationships/hyperlink" Target="https://leetcode.com/problems/stream-of-characters/description/" TargetMode="External"/><Relationship Id="rId757" Type="http://schemas.openxmlformats.org/officeDocument/2006/relationships/hyperlink" Target="https://leetcode.com/problems/moving-stones-until-consecutive/description/" TargetMode="External"/><Relationship Id="rId15" Type="http://schemas.openxmlformats.org/officeDocument/2006/relationships/hyperlink" Target="https://leetcode.com/problems/check-if-number-is-a-sum-of-powers-of-three/description/" TargetMode="External"/><Relationship Id="rId14" Type="http://schemas.openxmlformats.org/officeDocument/2006/relationships/hyperlink" Target="https://leetcode.com/problems/sum-of-beauty-of-all-substrings/description/" TargetMode="External"/><Relationship Id="rId17" Type="http://schemas.openxmlformats.org/officeDocument/2006/relationships/hyperlink" Target="https://leetcode.com/problems/shortest-path-in-a-hidden-grid/description/" TargetMode="External"/><Relationship Id="rId16" Type="http://schemas.openxmlformats.org/officeDocument/2006/relationships/hyperlink" Target="https://leetcode.com/problems/find-nearest-point-that-has-the-same-x-or-y-coordinate/description/" TargetMode="External"/><Relationship Id="rId1340" Type="http://schemas.openxmlformats.org/officeDocument/2006/relationships/hyperlink" Target="https://leetcode.com/problems/delete-node-in-a-bst/description/" TargetMode="External"/><Relationship Id="rId19" Type="http://schemas.openxmlformats.org/officeDocument/2006/relationships/hyperlink" Target="https://leetcode.com/problems/car-fleet-ii/description/" TargetMode="External"/><Relationship Id="rId752" Type="http://schemas.openxmlformats.org/officeDocument/2006/relationships/hyperlink" Target="https://leetcode.com/problems/binary-search-tree-to-greater-sum-tree/description/" TargetMode="External"/><Relationship Id="rId1341" Type="http://schemas.openxmlformats.org/officeDocument/2006/relationships/hyperlink" Target="https://leetcode.com/problems/serialize-and-deserialize-bst/description/" TargetMode="External"/><Relationship Id="rId18" Type="http://schemas.openxmlformats.org/officeDocument/2006/relationships/hyperlink" Target="https://leetcode.com/problems/products-price-for-each-store/description/" TargetMode="External"/><Relationship Id="rId751" Type="http://schemas.openxmlformats.org/officeDocument/2006/relationships/hyperlink" Target="https://leetcode.com/problems/minimum-score-triangulation-of-polygon/description/" TargetMode="External"/><Relationship Id="rId1342" Type="http://schemas.openxmlformats.org/officeDocument/2006/relationships/hyperlink" Target="https://leetcode.com/problems/find-all-numbers-disappeared-in-an-array/description/" TargetMode="External"/><Relationship Id="rId750" Type="http://schemas.openxmlformats.org/officeDocument/2006/relationships/hyperlink" Target="https://leetcode.com/problems/moving-stones-until-consecutive-ii/description/" TargetMode="External"/><Relationship Id="rId1343" Type="http://schemas.openxmlformats.org/officeDocument/2006/relationships/hyperlink" Target="https://leetcode.com/problems/number-of-boomerangs/description/" TargetMode="External"/><Relationship Id="rId1344" Type="http://schemas.openxmlformats.org/officeDocument/2006/relationships/hyperlink" Target="https://leetcode.com/problems/arithmetic-slices-ii-subsequence/description/" TargetMode="External"/><Relationship Id="rId84" Type="http://schemas.openxmlformats.org/officeDocument/2006/relationships/hyperlink" Target="https://leetcode.com/problems/count-good-meals/description/" TargetMode="External"/><Relationship Id="rId1774" Type="http://schemas.openxmlformats.org/officeDocument/2006/relationships/hyperlink" Target="https://leetcode.com/problems/3sum-closest/description/" TargetMode="External"/><Relationship Id="rId83" Type="http://schemas.openxmlformats.org/officeDocument/2006/relationships/hyperlink" Target="https://leetcode.com/problems/ways-to-split-array-into-three-subarrays/description/" TargetMode="External"/><Relationship Id="rId1775" Type="http://schemas.openxmlformats.org/officeDocument/2006/relationships/hyperlink" Target="https://leetcode.com/problems/3sum/description/" TargetMode="External"/><Relationship Id="rId86" Type="http://schemas.openxmlformats.org/officeDocument/2006/relationships/hyperlink" Target="https://leetcode.com/problems/biggest-window-between-visits/description/" TargetMode="External"/><Relationship Id="rId1776" Type="http://schemas.openxmlformats.org/officeDocument/2006/relationships/hyperlink" Target="https://leetcode.com/problems/longest-common-prefix/description/" TargetMode="External"/><Relationship Id="rId85" Type="http://schemas.openxmlformats.org/officeDocument/2006/relationships/hyperlink" Target="https://leetcode.com/problems/maximum-units-on-a-truck/description/" TargetMode="External"/><Relationship Id="rId1777" Type="http://schemas.openxmlformats.org/officeDocument/2006/relationships/hyperlink" Target="https://leetcode.com/problems/roman-to-integer/description/" TargetMode="External"/><Relationship Id="rId88" Type="http://schemas.openxmlformats.org/officeDocument/2006/relationships/hyperlink" Target="https://leetcode.com/problems/maximum-xor-with-an-element-from-array/description/" TargetMode="External"/><Relationship Id="rId1778" Type="http://schemas.openxmlformats.org/officeDocument/2006/relationships/hyperlink" Target="https://leetcode.com/problems/integer-to-roman/description/" TargetMode="External"/><Relationship Id="rId87" Type="http://schemas.openxmlformats.org/officeDocument/2006/relationships/hyperlink" Target="https://leetcode.com/problems/largest-subarray-length-k/description/" TargetMode="External"/><Relationship Id="rId1779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where-will-the-ball-fall/description/" TargetMode="External"/><Relationship Id="rId709" Type="http://schemas.openxmlformats.org/officeDocument/2006/relationships/hyperlink" Target="https://leetcode.com/problems/smallest-subsequence-of-distinct-characters/description/" TargetMode="External"/><Relationship Id="rId708" Type="http://schemas.openxmlformats.org/officeDocument/2006/relationships/hyperlink" Target="https://leetcode.com/problems/sales-analysis-i/description/" TargetMode="External"/><Relationship Id="rId707" Type="http://schemas.openxmlformats.org/officeDocument/2006/relationships/hyperlink" Target="https://leetcode.com/problems/sales-analysis-ii/description/" TargetMode="External"/><Relationship Id="rId706" Type="http://schemas.openxmlformats.org/officeDocument/2006/relationships/hyperlink" Target="https://leetcode.com/problems/sales-analysis-iii/description/" TargetMode="External"/><Relationship Id="rId80" Type="http://schemas.openxmlformats.org/officeDocument/2006/relationships/hyperlink" Target="https://leetcode.com/problems/count-apples-and-oranges/description/" TargetMode="External"/><Relationship Id="rId82" Type="http://schemas.openxmlformats.org/officeDocument/2006/relationships/hyperlink" Target="https://leetcode.com/problems/minimum-operations-to-make-a-subsequence/description/" TargetMode="External"/><Relationship Id="rId81" Type="http://schemas.openxmlformats.org/officeDocument/2006/relationships/hyperlink" Target="https://leetcode.com/problems/sum-of-special-evenly-spaced-elements-in-array/description/" TargetMode="External"/><Relationship Id="rId701" Type="http://schemas.openxmlformats.org/officeDocument/2006/relationships/hyperlink" Target="https://leetcode.com/problems/duplicate-zeros/description/" TargetMode="External"/><Relationship Id="rId700" Type="http://schemas.openxmlformats.org/officeDocument/2006/relationships/hyperlink" Target="https://leetcode.com/problems/largest-values-from-labels/description/" TargetMode="External"/><Relationship Id="rId705" Type="http://schemas.openxmlformats.org/officeDocument/2006/relationships/hyperlink" Target="https://leetcode.com/problems/sum-of-digits-in-the-minimum-number/description/" TargetMode="External"/><Relationship Id="rId704" Type="http://schemas.openxmlformats.org/officeDocument/2006/relationships/hyperlink" Target="https://leetcode.com/problems/high-five/description/" TargetMode="External"/><Relationship Id="rId703" Type="http://schemas.openxmlformats.org/officeDocument/2006/relationships/hyperlink" Target="https://leetcode.com/problems/brace-expansion/description/" TargetMode="External"/><Relationship Id="rId702" Type="http://schemas.openxmlformats.org/officeDocument/2006/relationships/hyperlink" Target="https://leetcode.com/problems/confusing-number-ii/description/" TargetMode="External"/><Relationship Id="rId1770" Type="http://schemas.openxmlformats.org/officeDocument/2006/relationships/hyperlink" Target="https://leetcode.com/problems/valid-parentheses/description/" TargetMode="External"/><Relationship Id="rId1771" Type="http://schemas.openxmlformats.org/officeDocument/2006/relationships/hyperlink" Target="https://leetcode.com/problems/remove-nth-node-from-end-of-list/description/" TargetMode="External"/><Relationship Id="rId1772" Type="http://schemas.openxmlformats.org/officeDocument/2006/relationships/hyperlink" Target="https://leetcode.com/problems/4sum/description/" TargetMode="External"/><Relationship Id="rId1773" Type="http://schemas.openxmlformats.org/officeDocument/2006/relationships/hyperlink" Target="https://leetcode.com/problems/letter-combinations-of-a-phone-number/description/" TargetMode="External"/><Relationship Id="rId73" Type="http://schemas.openxmlformats.org/officeDocument/2006/relationships/hyperlink" Target="https://leetcode.com/problems/minimize-hamming-distance-after-swap-operations/description/" TargetMode="External"/><Relationship Id="rId1763" Type="http://schemas.openxmlformats.org/officeDocument/2006/relationships/hyperlink" Target="https://leetcode.com/problems/remove-element/description/" TargetMode="External"/><Relationship Id="rId72" Type="http://schemas.openxmlformats.org/officeDocument/2006/relationships/hyperlink" Target="https://leetcode.com/problems/find-minimum-time-to-finish-all-jobs/description/" TargetMode="External"/><Relationship Id="rId1764" Type="http://schemas.openxmlformats.org/officeDocument/2006/relationships/hyperlink" Target="https://leetcode.com/problems/remove-duplicates-from-sorted-array/description/" TargetMode="External"/><Relationship Id="rId75" Type="http://schemas.openxmlformats.org/officeDocument/2006/relationships/hyperlink" Target="https://leetcode.com/problems/decode-xored-array/description/" TargetMode="External"/><Relationship Id="rId1765" Type="http://schemas.openxmlformats.org/officeDocument/2006/relationships/hyperlink" Target="https://leetcode.com/problems/reverse-nodes-in-k-group/description/" TargetMode="External"/><Relationship Id="rId74" Type="http://schemas.openxmlformats.org/officeDocument/2006/relationships/hyperlink" Target="https://leetcode.com/problems/swapping-nodes-in-a-linked-list/description/" TargetMode="External"/><Relationship Id="rId1766" Type="http://schemas.openxmlformats.org/officeDocument/2006/relationships/hyperlink" Target="https://leetcode.com/problems/swap-nodes-in-pairs/description/" TargetMode="External"/><Relationship Id="rId77" Type="http://schemas.openxmlformats.org/officeDocument/2006/relationships/hyperlink" Target="https://leetcode.com/problems/construct-the-lexicographically-largest-valid-sequence/description/" TargetMode="External"/><Relationship Id="rId1767" Type="http://schemas.openxmlformats.org/officeDocument/2006/relationships/hyperlink" Target="https://leetcode.com/problems/merge-k-sorted-lists/description/" TargetMode="External"/><Relationship Id="rId76" Type="http://schemas.openxmlformats.org/officeDocument/2006/relationships/hyperlink" Target="https://leetcode.com/problems/number-of-ways-to-reconstruct-a-tree/description/" TargetMode="External"/><Relationship Id="rId1768" Type="http://schemas.openxmlformats.org/officeDocument/2006/relationships/hyperlink" Target="https://leetcode.com/problems/generate-parentheses/description/" TargetMode="External"/><Relationship Id="rId79" Type="http://schemas.openxmlformats.org/officeDocument/2006/relationships/hyperlink" Target="https://leetcode.com/problems/calculate-money-in-leetcode-bank/description/" TargetMode="External"/><Relationship Id="rId1769" Type="http://schemas.openxmlformats.org/officeDocument/2006/relationships/hyperlink" Target="https://leetcode.com/problems/merge-two-sorted-lists/description/" TargetMode="External"/><Relationship Id="rId78" Type="http://schemas.openxmlformats.org/officeDocument/2006/relationships/hyperlink" Target="https://leetcode.com/problems/maximum-score-from-removing-substrings/description/" TargetMode="External"/><Relationship Id="rId71" Type="http://schemas.openxmlformats.org/officeDocument/2006/relationships/hyperlink" Target="https://leetcode.com/problems/checking-existence-of-edge-length-limited-paths-ii/description/" TargetMode="External"/><Relationship Id="rId70" Type="http://schemas.openxmlformats.org/officeDocument/2006/relationships/hyperlink" Target="https://leetcode.com/problems/number-of-rectangles-that-can-form-the-largest-square/description/" TargetMode="External"/><Relationship Id="rId1760" Type="http://schemas.openxmlformats.org/officeDocument/2006/relationships/hyperlink" Target="https://leetcode.com/problems/substring-with-concatenation-of-all-words/description/" TargetMode="External"/><Relationship Id="rId1761" Type="http://schemas.openxmlformats.org/officeDocument/2006/relationships/hyperlink" Target="https://leetcode.com/problems/divide-two-integers/description/" TargetMode="External"/><Relationship Id="rId1762" Type="http://schemas.openxmlformats.org/officeDocument/2006/relationships/hyperlink" Target="https://leetcode.com/problems/implement-strstr/description/" TargetMode="External"/><Relationship Id="rId62" Type="http://schemas.openxmlformats.org/officeDocument/2006/relationships/hyperlink" Target="https://leetcode.com/problems/minimum-number-of-people-to-teach/description/" TargetMode="External"/><Relationship Id="rId1312" Type="http://schemas.openxmlformats.org/officeDocument/2006/relationships/hyperlink" Target="https://leetcode.com/problems/generate-random-point-in-a-circle/description/" TargetMode="External"/><Relationship Id="rId61" Type="http://schemas.openxmlformats.org/officeDocument/2006/relationships/hyperlink" Target="https://leetcode.com/problems/decode-xored-permutation/description/" TargetMode="External"/><Relationship Id="rId1313" Type="http://schemas.openxmlformats.org/officeDocument/2006/relationships/hyperlink" Target="https://leetcode.com/problems/total-hamming-distance/description/" TargetMode="External"/><Relationship Id="rId64" Type="http://schemas.openxmlformats.org/officeDocument/2006/relationships/hyperlink" Target="https://leetcode.com/problems/the-number-of-employees-which-report-to-each-employee/description/" TargetMode="External"/><Relationship Id="rId1314" Type="http://schemas.openxmlformats.org/officeDocument/2006/relationships/hyperlink" Target="https://leetcode.com/problems/number-complement/description/" TargetMode="External"/><Relationship Id="rId63" Type="http://schemas.openxmlformats.org/officeDocument/2006/relationships/hyperlink" Target="https://leetcode.com/problems/find-the-highest-altitude/description/" TargetMode="External"/><Relationship Id="rId1315" Type="http://schemas.openxmlformats.org/officeDocument/2006/relationships/hyperlink" Target="https://leetcode.com/problems/heaters/description/" TargetMode="External"/><Relationship Id="rId66" Type="http://schemas.openxmlformats.org/officeDocument/2006/relationships/hyperlink" Target="https://leetcode.com/problems/find-followers-count/description/" TargetMode="External"/><Relationship Id="rId1316" Type="http://schemas.openxmlformats.org/officeDocument/2006/relationships/hyperlink" Target="https://leetcode.com/problems/ones-and-zeroes/description/" TargetMode="External"/><Relationship Id="rId65" Type="http://schemas.openxmlformats.org/officeDocument/2006/relationships/hyperlink" Target="https://leetcode.com/problems/shortest-path-to-get-food/description/" TargetMode="External"/><Relationship Id="rId1317" Type="http://schemas.openxmlformats.org/officeDocument/2006/relationships/hyperlink" Target="https://leetcode.com/problems/matchsticks-to-square/description/" TargetMode="External"/><Relationship Id="rId68" Type="http://schemas.openxmlformats.org/officeDocument/2006/relationships/hyperlink" Target="https://leetcode.com/problems/largest-submatrix-with-rearrangements/description/" TargetMode="External"/><Relationship Id="rId1318" Type="http://schemas.openxmlformats.org/officeDocument/2006/relationships/hyperlink" Target="https://leetcode.com/problems/concatenated-words/description/" TargetMode="External"/><Relationship Id="rId67" Type="http://schemas.openxmlformats.org/officeDocument/2006/relationships/hyperlink" Target="https://leetcode.com/problems/cat-and-mouse-ii/description/" TargetMode="External"/><Relationship Id="rId1319" Type="http://schemas.openxmlformats.org/officeDocument/2006/relationships/hyperlink" Target="https://leetcode.com/problems/encode-string-with-shortest-length/description/" TargetMode="External"/><Relationship Id="rId729" Type="http://schemas.openxmlformats.org/officeDocument/2006/relationships/hyperlink" Target="https://leetcode.com/problems/lexicographically-smallest-equivalent-string/description/" TargetMode="External"/><Relationship Id="rId728" Type="http://schemas.openxmlformats.org/officeDocument/2006/relationships/hyperlink" Target="https://leetcode.com/problems/longest-repeating-substring/description/" TargetMode="External"/><Relationship Id="rId60" Type="http://schemas.openxmlformats.org/officeDocument/2006/relationships/hyperlink" Target="https://leetcode.com/problems/count-ways-to-make-array-with-product/description/" TargetMode="External"/><Relationship Id="rId723" Type="http://schemas.openxmlformats.org/officeDocument/2006/relationships/hyperlink" Target="https://leetcode.com/problems/digit-count-in-range/description/" TargetMode="External"/><Relationship Id="rId722" Type="http://schemas.openxmlformats.org/officeDocument/2006/relationships/hyperlink" Target="https://leetcode.com/problems/product-sales-analysis-i/description/" TargetMode="External"/><Relationship Id="rId721" Type="http://schemas.openxmlformats.org/officeDocument/2006/relationships/hyperlink" Target="https://leetcode.com/problems/product-sales-analysis-ii/description/" TargetMode="External"/><Relationship Id="rId720" Type="http://schemas.openxmlformats.org/officeDocument/2006/relationships/hyperlink" Target="https://leetcode.com/problems/product-sales-analysis-iii/description/" TargetMode="External"/><Relationship Id="rId727" Type="http://schemas.openxmlformats.org/officeDocument/2006/relationships/hyperlink" Target="https://leetcode.com/problems/number-of-valid-subarrays/description/" TargetMode="External"/><Relationship Id="rId726" Type="http://schemas.openxmlformats.org/officeDocument/2006/relationships/hyperlink" Target="https://leetcode.com/problems/fixed-point/description/" TargetMode="External"/><Relationship Id="rId725" Type="http://schemas.openxmlformats.org/officeDocument/2006/relationships/hyperlink" Target="https://leetcode.com/problems/index-pairs-of-a-string/description/" TargetMode="External"/><Relationship Id="rId724" Type="http://schemas.openxmlformats.org/officeDocument/2006/relationships/hyperlink" Target="https://leetcode.com/problems/campus-bikes-ii/description/" TargetMode="External"/><Relationship Id="rId69" Type="http://schemas.openxmlformats.org/officeDocument/2006/relationships/hyperlink" Target="https://leetcode.com/problems/tuple-with-same-product/description/" TargetMode="External"/><Relationship Id="rId1790" Type="http://schemas.openxmlformats.org/officeDocument/2006/relationships/drawing" Target="../drawings/drawing8.xml"/><Relationship Id="rId1310" Type="http://schemas.openxmlformats.org/officeDocument/2006/relationships/hyperlink" Target="https://leetcode.com/problems/sliding-window-median/description/" TargetMode="External"/><Relationship Id="rId1311" Type="http://schemas.openxmlformats.org/officeDocument/2006/relationships/hyperlink" Target="https://leetcode.com/problems/largest-palindrome-product/description/" TargetMode="External"/><Relationship Id="rId51" Type="http://schemas.openxmlformats.org/officeDocument/2006/relationships/hyperlink" Target="https://leetcode.com/problems/can-you-eat-your-favorite-candy-on-your-favorite-day/description/" TargetMode="External"/><Relationship Id="rId1301" Type="http://schemas.openxmlformats.org/officeDocument/2006/relationships/hyperlink" Target="https://leetcode.com/problems/robot-room-cleaner/description/" TargetMode="External"/><Relationship Id="rId1785" Type="http://schemas.openxmlformats.org/officeDocument/2006/relationships/hyperlink" Target="https://leetcode.com/problems/longest-palindromic-substring/description/" TargetMode="External"/><Relationship Id="rId50" Type="http://schemas.openxmlformats.org/officeDocument/2006/relationships/hyperlink" Target="https://leetcode.com/problems/palindrome-partitioning-iv/description/" TargetMode="External"/><Relationship Id="rId1302" Type="http://schemas.openxmlformats.org/officeDocument/2006/relationships/hyperlink" Target="https://leetcode.com/problems/zuma-game/description/" TargetMode="External"/><Relationship Id="rId1786" Type="http://schemas.openxmlformats.org/officeDocument/2006/relationships/hyperlink" Target="https://leetcode.com/problems/median-of-two-sorted-arrays/description/" TargetMode="External"/><Relationship Id="rId53" Type="http://schemas.openxmlformats.org/officeDocument/2006/relationships/hyperlink" Target="https://leetcode.com/problems/maximum-number-of-balls-in-a-box/description/" TargetMode="External"/><Relationship Id="rId1303" Type="http://schemas.openxmlformats.org/officeDocument/2006/relationships/hyperlink" Target="https://leetcode.com/problems/max-consecutive-ones-ii/description/" TargetMode="External"/><Relationship Id="rId1787" Type="http://schemas.openxmlformats.org/officeDocument/2006/relationships/hyperlink" Target="https://leetcode.com/problems/longest-substring-without-repeating-characters/description/" TargetMode="External"/><Relationship Id="rId52" Type="http://schemas.openxmlformats.org/officeDocument/2006/relationships/hyperlink" Target="https://leetcode.com/problems/restore-the-array-from-adjacent-pairs/description/" TargetMode="External"/><Relationship Id="rId1304" Type="http://schemas.openxmlformats.org/officeDocument/2006/relationships/hyperlink" Target="https://leetcode.com/problems/predict-the-winner/description/" TargetMode="External"/><Relationship Id="rId1788" Type="http://schemas.openxmlformats.org/officeDocument/2006/relationships/hyperlink" Target="https://leetcode.com/problems/add-two-numbers/description/" TargetMode="External"/><Relationship Id="rId55" Type="http://schemas.openxmlformats.org/officeDocument/2006/relationships/hyperlink" Target="https://leetcode.com/problems/find-distance-in-a-binary-tree/description/" TargetMode="External"/><Relationship Id="rId1305" Type="http://schemas.openxmlformats.org/officeDocument/2006/relationships/hyperlink" Target="https://leetcode.com/problems/max-consecutive-ones/description/" TargetMode="External"/><Relationship Id="rId1789" Type="http://schemas.openxmlformats.org/officeDocument/2006/relationships/hyperlink" Target="https://leetcode.com/problems/two-sum/description/" TargetMode="External"/><Relationship Id="rId54" Type="http://schemas.openxmlformats.org/officeDocument/2006/relationships/hyperlink" Target="https://leetcode.com/problems/find-total-time-spent-by-each-employee/description/" TargetMode="External"/><Relationship Id="rId1306" Type="http://schemas.openxmlformats.org/officeDocument/2006/relationships/hyperlink" Target="https://leetcode.com/problems/find-permutation/description/" TargetMode="External"/><Relationship Id="rId57" Type="http://schemas.openxmlformats.org/officeDocument/2006/relationships/hyperlink" Target="https://leetcode.com/problems/find-kth-largest-xor-coordinate-value/description/" TargetMode="External"/><Relationship Id="rId1307" Type="http://schemas.openxmlformats.org/officeDocument/2006/relationships/hyperlink" Target="https://leetcode.com/problems/smallest-good-base/description/" TargetMode="External"/><Relationship Id="rId56" Type="http://schemas.openxmlformats.org/officeDocument/2006/relationships/hyperlink" Target="https://leetcode.com/problems/building-boxes/description/" TargetMode="External"/><Relationship Id="rId1308" Type="http://schemas.openxmlformats.org/officeDocument/2006/relationships/hyperlink" Target="https://leetcode.com/problems/license-key-formatting/description/" TargetMode="External"/><Relationship Id="rId1309" Type="http://schemas.openxmlformats.org/officeDocument/2006/relationships/hyperlink" Target="https://leetcode.com/problems/magical-string/description/" TargetMode="External"/><Relationship Id="rId719" Type="http://schemas.openxmlformats.org/officeDocument/2006/relationships/hyperlink" Target="https://leetcode.com/problems/greatest-common-divisor-of-strings/description/" TargetMode="External"/><Relationship Id="rId718" Type="http://schemas.openxmlformats.org/officeDocument/2006/relationships/hyperlink" Target="https://leetcode.com/problems/flip-columns-for-maximum-number-of-equal-rows/description/" TargetMode="External"/><Relationship Id="rId717" Type="http://schemas.openxmlformats.org/officeDocument/2006/relationships/hyperlink" Target="https://leetcode.com/problems/adding-two-negabinary-numbers/description/" TargetMode="External"/><Relationship Id="rId712" Type="http://schemas.openxmlformats.org/officeDocument/2006/relationships/hyperlink" Target="https://leetcode.com/problems/occurrences-after-bigram/description/" TargetMode="External"/><Relationship Id="rId711" Type="http://schemas.openxmlformats.org/officeDocument/2006/relationships/hyperlink" Target="https://leetcode.com/problems/letter-tile-possibilities/description/" TargetMode="External"/><Relationship Id="rId710" Type="http://schemas.openxmlformats.org/officeDocument/2006/relationships/hyperlink" Target="https://leetcode.com/problems/insufficient-nodes-in-root-to-leaf-paths/description/" TargetMode="External"/><Relationship Id="rId716" Type="http://schemas.openxmlformats.org/officeDocument/2006/relationships/hyperlink" Target="https://leetcode.com/problems/number-of-submatrices-that-sum-to-target/description/" TargetMode="External"/><Relationship Id="rId715" Type="http://schemas.openxmlformats.org/officeDocument/2006/relationships/hyperlink" Target="https://leetcode.com/problems/project-employees-i/description/" TargetMode="External"/><Relationship Id="rId714" Type="http://schemas.openxmlformats.org/officeDocument/2006/relationships/hyperlink" Target="https://leetcode.com/problems/project-employees-ii/description/" TargetMode="External"/><Relationship Id="rId713" Type="http://schemas.openxmlformats.org/officeDocument/2006/relationships/hyperlink" Target="https://leetcode.com/problems/project-employees-iii/description/" TargetMode="External"/><Relationship Id="rId59" Type="http://schemas.openxmlformats.org/officeDocument/2006/relationships/hyperlink" Target="https://leetcode.com/problems/latest-time-by-replacing-hidden-digits/description/" TargetMode="External"/><Relationship Id="rId58" Type="http://schemas.openxmlformats.org/officeDocument/2006/relationships/hyperlink" Target="https://leetcode.com/problems/change-minimum-characters-to-satisfy-one-of-three-conditions/description/" TargetMode="External"/><Relationship Id="rId1780" Type="http://schemas.openxmlformats.org/officeDocument/2006/relationships/hyperlink" Target="https://leetcode.com/problems/regular-expression-matching/description/" TargetMode="External"/><Relationship Id="rId1781" Type="http://schemas.openxmlformats.org/officeDocument/2006/relationships/hyperlink" Target="https://leetcode.com/problems/palindrome-number/description/" TargetMode="External"/><Relationship Id="rId1782" Type="http://schemas.openxmlformats.org/officeDocument/2006/relationships/hyperlink" Target="https://leetcode.com/problems/string-to-integer-atoi/description/" TargetMode="External"/><Relationship Id="rId1783" Type="http://schemas.openxmlformats.org/officeDocument/2006/relationships/hyperlink" Target="https://leetcode.com/problems/reverse-integer/description/" TargetMode="External"/><Relationship Id="rId1300" Type="http://schemas.openxmlformats.org/officeDocument/2006/relationships/hyperlink" Target="https://leetcode.com/problems/the-maze/description/" TargetMode="External"/><Relationship Id="rId1784" Type="http://schemas.openxmlformats.org/officeDocument/2006/relationships/hyperlink" Target="https://leetcode.com/problems/zigzag-conversion/description/" TargetMode="External"/><Relationship Id="rId349" Type="http://schemas.openxmlformats.org/officeDocument/2006/relationships/hyperlink" Target="https://leetcode.com/problems/consecutive-characters/description/" TargetMode="External"/><Relationship Id="rId348" Type="http://schemas.openxmlformats.org/officeDocument/2006/relationships/hyperlink" Target="https://leetcode.com/problems/simplified-fractions/description/" TargetMode="External"/><Relationship Id="rId347" Type="http://schemas.openxmlformats.org/officeDocument/2006/relationships/hyperlink" Target="https://leetcode.com/problems/count-good-nodes-in-binary-tree/description/" TargetMode="External"/><Relationship Id="rId346" Type="http://schemas.openxmlformats.org/officeDocument/2006/relationships/hyperlink" Target="https://leetcode.com/problems/form-largest-integer-with-digits-that-add-up-to-target/description/" TargetMode="External"/><Relationship Id="rId341" Type="http://schemas.openxmlformats.org/officeDocument/2006/relationships/hyperlink" Target="https://leetcode.com/problems/active-users/description/" TargetMode="External"/><Relationship Id="rId340" Type="http://schemas.openxmlformats.org/officeDocument/2006/relationships/hyperlink" Target="https://leetcode.com/problems/check-if-a-word-occurs-as-a-prefix-of-any-word-in-a-sentence/description/" TargetMode="External"/><Relationship Id="rId345" Type="http://schemas.openxmlformats.org/officeDocument/2006/relationships/hyperlink" Target="https://leetcode.com/problems/number-of-students-doing-homework-at-a-given-time/description/" TargetMode="External"/><Relationship Id="rId344" Type="http://schemas.openxmlformats.org/officeDocument/2006/relationships/hyperlink" Target="https://leetcode.com/problems/rearrange-words-in-a-sentence/description/" TargetMode="External"/><Relationship Id="rId343" Type="http://schemas.openxmlformats.org/officeDocument/2006/relationships/hyperlink" Target="https://leetcode.com/problems/people-whose-list-of-favorite-companies-is-not-a-subset-of-another-list/description/" TargetMode="External"/><Relationship Id="rId342" Type="http://schemas.openxmlformats.org/officeDocument/2006/relationships/hyperlink" Target="https://leetcode.com/problems/maximum-number-of-darts-inside-of-a-circular-dartboard/description/" TargetMode="External"/><Relationship Id="rId338" Type="http://schemas.openxmlformats.org/officeDocument/2006/relationships/hyperlink" Target="https://leetcode.com/problems/pseudo-palindromic-paths-in-a-binary-tree/description/" TargetMode="External"/><Relationship Id="rId337" Type="http://schemas.openxmlformats.org/officeDocument/2006/relationships/hyperlink" Target="https://leetcode.com/problems/max-dot-product-of-two-subsequences/description/" TargetMode="External"/><Relationship Id="rId336" Type="http://schemas.openxmlformats.org/officeDocument/2006/relationships/hyperlink" Target="https://leetcode.com/problems/rectangles-area/description/" TargetMode="External"/><Relationship Id="rId335" Type="http://schemas.openxmlformats.org/officeDocument/2006/relationships/hyperlink" Target="https://leetcode.com/problems/make-two-arrays-equal-by-reversing-sub-arrays/description/" TargetMode="External"/><Relationship Id="rId339" Type="http://schemas.openxmlformats.org/officeDocument/2006/relationships/hyperlink" Target="https://leetcode.com/problems/maximum-number-of-vowels-in-a-substring-of-given-length/description/" TargetMode="External"/><Relationship Id="rId330" Type="http://schemas.openxmlformats.org/officeDocument/2006/relationships/hyperlink" Target="https://leetcode.com/problems/maximum-area-of-a-piece-of-cake-after-horizontal-and-vertical-cuts/description/" TargetMode="External"/><Relationship Id="rId334" Type="http://schemas.openxmlformats.org/officeDocument/2006/relationships/hyperlink" Target="https://leetcode.com/problems/check-if-a-string-contains-all-binary-codes-of-size-k/description/" TargetMode="External"/><Relationship Id="rId333" Type="http://schemas.openxmlformats.org/officeDocument/2006/relationships/hyperlink" Target="https://leetcode.com/problems/course-schedule-iv/description/" TargetMode="External"/><Relationship Id="rId332" Type="http://schemas.openxmlformats.org/officeDocument/2006/relationships/hyperlink" Target="https://leetcode.com/problems/cherry-pickup-ii/description/" TargetMode="External"/><Relationship Id="rId331" Type="http://schemas.openxmlformats.org/officeDocument/2006/relationships/hyperlink" Target="https://leetcode.com/problems/maximum-product-of-two-elements-in-an-array/description/" TargetMode="External"/><Relationship Id="rId370" Type="http://schemas.openxmlformats.org/officeDocument/2006/relationships/hyperlink" Target="https://leetcode.com/problems/constrained-subsequence-sum/description/" TargetMode="External"/><Relationship Id="rId369" Type="http://schemas.openxmlformats.org/officeDocument/2006/relationships/hyperlink" Target="https://leetcode.com/problems/counting-elements/description/" TargetMode="External"/><Relationship Id="rId368" Type="http://schemas.openxmlformats.org/officeDocument/2006/relationships/hyperlink" Target="https://leetcode.com/problems/perform-string-shifts/description/" TargetMode="External"/><Relationship Id="rId363" Type="http://schemas.openxmlformats.org/officeDocument/2006/relationships/hyperlink" Target="https://leetcode.com/problems/max-difference-you-can-get-from-changing-an-integer/description/" TargetMode="External"/><Relationship Id="rId362" Type="http://schemas.openxmlformats.org/officeDocument/2006/relationships/hyperlink" Target="https://leetcode.com/problems/check-if-a-string-can-break-another-string/description/" TargetMode="External"/><Relationship Id="rId361" Type="http://schemas.openxmlformats.org/officeDocument/2006/relationships/hyperlink" Target="https://leetcode.com/problems/number-of-ways-to-wear-different-hats-to-each-other/description/" TargetMode="External"/><Relationship Id="rId360" Type="http://schemas.openxmlformats.org/officeDocument/2006/relationships/hyperlink" Target="https://leetcode.com/problems/create-a-session-bar-chart/description/" TargetMode="External"/><Relationship Id="rId367" Type="http://schemas.openxmlformats.org/officeDocument/2006/relationships/hyperlink" Target="https://leetcode.com/problems/leftmost-column-with-at-least-a-one/description/" TargetMode="External"/><Relationship Id="rId366" Type="http://schemas.openxmlformats.org/officeDocument/2006/relationships/hyperlink" Target="https://leetcode.com/problems/first-unique-number/description/" TargetMode="External"/><Relationship Id="rId365" Type="http://schemas.openxmlformats.org/officeDocument/2006/relationships/hyperlink" Target="https://leetcode.com/problems/check-if-a-string-is-a-valid-sequence-from-root-to-leaves-path-in-a-binary-tree/description/" TargetMode="External"/><Relationship Id="rId364" Type="http://schemas.openxmlformats.org/officeDocument/2006/relationships/hyperlink" Target="https://leetcode.com/problems/kids-with-the-greatest-number-of-candies/description/" TargetMode="External"/><Relationship Id="rId95" Type="http://schemas.openxmlformats.org/officeDocument/2006/relationships/hyperlink" Target="https://leetcode.com/problems/number-of-students-unable-to-eat-lunch/description/" TargetMode="External"/><Relationship Id="rId94" Type="http://schemas.openxmlformats.org/officeDocument/2006/relationships/hyperlink" Target="https://leetcode.com/problems/average-waiting-time/description/" TargetMode="External"/><Relationship Id="rId97" Type="http://schemas.openxmlformats.org/officeDocument/2006/relationships/hyperlink" Target="https://leetcode.com/problems/number-of-distinct-substrings-in-a-string/description/" TargetMode="External"/><Relationship Id="rId96" Type="http://schemas.openxmlformats.org/officeDocument/2006/relationships/hyperlink" Target="https://leetcode.com/problems/number-of-calls-between-two-persons/description/" TargetMode="External"/><Relationship Id="rId99" Type="http://schemas.openxmlformats.org/officeDocument/2006/relationships/hyperlink" Target="https://leetcode.com/problems/jump-game-vi/description/" TargetMode="External"/><Relationship Id="rId98" Type="http://schemas.openxmlformats.org/officeDocument/2006/relationships/hyperlink" Target="https://leetcode.com/problems/checking-existence-of-edge-length-limited-paths/description/" TargetMode="External"/><Relationship Id="rId91" Type="http://schemas.openxmlformats.org/officeDocument/2006/relationships/hyperlink" Target="https://leetcode.com/problems/determine-if-string-halves-are-alike/description/" TargetMode="External"/><Relationship Id="rId90" Type="http://schemas.openxmlformats.org/officeDocument/2006/relationships/hyperlink" Target="https://leetcode.com/problems/maximum-number-of-eaten-apples/description/" TargetMode="External"/><Relationship Id="rId93" Type="http://schemas.openxmlformats.org/officeDocument/2006/relationships/hyperlink" Target="https://leetcode.com/problems/maximum-binary-string-after-change/description/" TargetMode="External"/><Relationship Id="rId92" Type="http://schemas.openxmlformats.org/officeDocument/2006/relationships/hyperlink" Target="https://leetcode.com/problems/minimum-adjacent-swaps-for-k-consecutive-ones/description/" TargetMode="External"/><Relationship Id="rId359" Type="http://schemas.openxmlformats.org/officeDocument/2006/relationships/hyperlink" Target="https://leetcode.com/problems/destination-city/description/" TargetMode="External"/><Relationship Id="rId358" Type="http://schemas.openxmlformats.org/officeDocument/2006/relationships/hyperlink" Target="https://leetcode.com/problems/check-if-all-1s-are-at-least-length-k-places-away/description/" TargetMode="External"/><Relationship Id="rId357" Type="http://schemas.openxmlformats.org/officeDocument/2006/relationships/hyperlink" Target="https://leetcode.com/problems/longest-continuous-subarray-with-absolute-diff-less-than-or-equal-to-limit/description/" TargetMode="External"/><Relationship Id="rId352" Type="http://schemas.openxmlformats.org/officeDocument/2006/relationships/hyperlink" Target="https://leetcode.com/problems/minimum-time-to-collect-all-apples-in-a-tree/description/" TargetMode="External"/><Relationship Id="rId351" Type="http://schemas.openxmlformats.org/officeDocument/2006/relationships/hyperlink" Target="https://leetcode.com/problems/number-of-ways-of-cutting-a-pizza/description/" TargetMode="External"/><Relationship Id="rId350" Type="http://schemas.openxmlformats.org/officeDocument/2006/relationships/hyperlink" Target="https://leetcode.com/problems/apples-oranges/description/" TargetMode="External"/><Relationship Id="rId356" Type="http://schemas.openxmlformats.org/officeDocument/2006/relationships/hyperlink" Target="https://leetcode.com/problems/find-the-kth-smallest-sum-of-a-matrix-with-sorted-rows/description/" TargetMode="External"/><Relationship Id="rId355" Type="http://schemas.openxmlformats.org/officeDocument/2006/relationships/hyperlink" Target="https://leetcode.com/problems/evaluate-boolean-expression/description/" TargetMode="External"/><Relationship Id="rId354" Type="http://schemas.openxmlformats.org/officeDocument/2006/relationships/hyperlink" Target="https://leetcode.com/problems/build-an-array-with-stack-operations/description/" TargetMode="External"/><Relationship Id="rId353" Type="http://schemas.openxmlformats.org/officeDocument/2006/relationships/hyperlink" Target="https://leetcode.com/problems/count-triplets-that-can-form-two-arrays-of-equal-xor/description/" TargetMode="External"/><Relationship Id="rId1378" Type="http://schemas.openxmlformats.org/officeDocument/2006/relationships/hyperlink" Target="https://leetcode.com/problems/fizz-buzz/description/" TargetMode="External"/><Relationship Id="rId1379" Type="http://schemas.openxmlformats.org/officeDocument/2006/relationships/hyperlink" Target="https://leetcode.com/problems/minimum-unique-word-abbreviation/description/" TargetMode="External"/><Relationship Id="rId305" Type="http://schemas.openxmlformats.org/officeDocument/2006/relationships/hyperlink" Target="https://leetcode.com/problems/clone-n-ary-tree/description/" TargetMode="External"/><Relationship Id="rId789" Type="http://schemas.openxmlformats.org/officeDocument/2006/relationships/hyperlink" Target="https://leetcode.com/problems/grid-illumination/description/" TargetMode="External"/><Relationship Id="rId304" Type="http://schemas.openxmlformats.org/officeDocument/2006/relationships/hyperlink" Target="https://leetcode.com/problems/average-salary-excluding-the-minimum-and-maximum-salary/description/" TargetMode="External"/><Relationship Id="rId788" Type="http://schemas.openxmlformats.org/officeDocument/2006/relationships/hyperlink" Target="https://leetcode.com/problems/find-common-characters/description/" TargetMode="External"/><Relationship Id="rId303" Type="http://schemas.openxmlformats.org/officeDocument/2006/relationships/hyperlink" Target="https://leetcode.com/problems/the-kth-factor-of-n/description/" TargetMode="External"/><Relationship Id="rId787" Type="http://schemas.openxmlformats.org/officeDocument/2006/relationships/hyperlink" Target="https://leetcode.com/problems/check-if-word-is-valid-after-substitutions/description/" TargetMode="External"/><Relationship Id="rId302" Type="http://schemas.openxmlformats.org/officeDocument/2006/relationships/hyperlink" Target="https://leetcode.com/problems/longest-subarray-of-1s-after-deleting-one-element/description/" TargetMode="External"/><Relationship Id="rId786" Type="http://schemas.openxmlformats.org/officeDocument/2006/relationships/hyperlink" Target="https://leetcode.com/problems/max-consecutive-ones-iii/description/" TargetMode="External"/><Relationship Id="rId309" Type="http://schemas.openxmlformats.org/officeDocument/2006/relationships/hyperlink" Target="https://leetcode.com/problems/xor-operation-in-an-array/description/" TargetMode="External"/><Relationship Id="rId308" Type="http://schemas.openxmlformats.org/officeDocument/2006/relationships/hyperlink" Target="https://leetcode.com/problems/making-file-names-unique/description/" TargetMode="External"/><Relationship Id="rId307" Type="http://schemas.openxmlformats.org/officeDocument/2006/relationships/hyperlink" Target="https://leetcode.com/problems/avoid-flood-in-the-city/description/" TargetMode="External"/><Relationship Id="rId306" Type="http://schemas.openxmlformats.org/officeDocument/2006/relationships/hyperlink" Target="https://leetcode.com/problems/find-critical-and-pseudo-critical-edges-in-minimum-spanning-tree/description/" TargetMode="External"/><Relationship Id="rId781" Type="http://schemas.openxmlformats.org/officeDocument/2006/relationships/hyperlink" Target="https://leetcode.com/problems/complement-of-base-10-integer/description/" TargetMode="External"/><Relationship Id="rId1370" Type="http://schemas.openxmlformats.org/officeDocument/2006/relationships/hyperlink" Target="https://leetcode.com/problems/strong-password-checker/description/" TargetMode="External"/><Relationship Id="rId780" Type="http://schemas.openxmlformats.org/officeDocument/2006/relationships/hyperlink" Target="https://leetcode.com/problems/pairs-of-songs-with-total-durations-divisible-by-60/description/" TargetMode="External"/><Relationship Id="rId1371" Type="http://schemas.openxmlformats.org/officeDocument/2006/relationships/hyperlink" Target="https://leetcode.com/problems/battleships-in-a-board/description/" TargetMode="External"/><Relationship Id="rId1372" Type="http://schemas.openxmlformats.org/officeDocument/2006/relationships/hyperlink" Target="https://leetcode.com/problems/sentence-screen-fitting/description/" TargetMode="External"/><Relationship Id="rId1373" Type="http://schemas.openxmlformats.org/officeDocument/2006/relationships/hyperlink" Target="https://leetcode.com/problems/pacific-atlantic-water-flow/description/" TargetMode="External"/><Relationship Id="rId301" Type="http://schemas.openxmlformats.org/officeDocument/2006/relationships/hyperlink" Target="https://leetcode.com/problems/parallel-courses-ii/description/" TargetMode="External"/><Relationship Id="rId785" Type="http://schemas.openxmlformats.org/officeDocument/2006/relationships/hyperlink" Target="https://leetcode.com/problems/maximize-sum-of-array-after-k-negations/description/" TargetMode="External"/><Relationship Id="rId1374" Type="http://schemas.openxmlformats.org/officeDocument/2006/relationships/hyperlink" Target="https://leetcode.com/problems/partition-equal-subset-sum/description/" TargetMode="External"/><Relationship Id="rId300" Type="http://schemas.openxmlformats.org/officeDocument/2006/relationships/hyperlink" Target="https://leetcode.com/problems/friendly-movies-streamed-last-month/description/" TargetMode="External"/><Relationship Id="rId784" Type="http://schemas.openxmlformats.org/officeDocument/2006/relationships/hyperlink" Target="https://leetcode.com/problems/clumsy-factorial/description/" TargetMode="External"/><Relationship Id="rId1375" Type="http://schemas.openxmlformats.org/officeDocument/2006/relationships/hyperlink" Target="https://leetcode.com/problems/add-strings/description/" TargetMode="External"/><Relationship Id="rId783" Type="http://schemas.openxmlformats.org/officeDocument/2006/relationships/hyperlink" Target="https://leetcode.com/problems/minimum-domino-rotations-for-equal-row/description/" TargetMode="External"/><Relationship Id="rId1376" Type="http://schemas.openxmlformats.org/officeDocument/2006/relationships/hyperlink" Target="https://leetcode.com/problems/third-maximum-number/description/" TargetMode="External"/><Relationship Id="rId782" Type="http://schemas.openxmlformats.org/officeDocument/2006/relationships/hyperlink" Target="https://leetcode.com/problems/construct-binary-search-tree-from-preorder-traversal/description/" TargetMode="External"/><Relationship Id="rId1377" Type="http://schemas.openxmlformats.org/officeDocument/2006/relationships/hyperlink" Target="https://leetcode.com/problems/arithmetic-slices/description/" TargetMode="External"/><Relationship Id="rId1367" Type="http://schemas.openxmlformats.org/officeDocument/2006/relationships/hyperlink" Target="https://leetcode.com/problems/reconstruct-original-digits-from-english/description/" TargetMode="External"/><Relationship Id="rId1368" Type="http://schemas.openxmlformats.org/officeDocument/2006/relationships/hyperlink" Target="https://leetcode.com/problems/valid-word-square/description/" TargetMode="External"/><Relationship Id="rId1369" Type="http://schemas.openxmlformats.org/officeDocument/2006/relationships/hyperlink" Target="https://leetcode.com/problems/maximum-xor-of-two-numbers-in-an-array/description/" TargetMode="External"/><Relationship Id="rId778" Type="http://schemas.openxmlformats.org/officeDocument/2006/relationships/hyperlink" Target="https://leetcode.com/problems/numbers-with-repeated-digits/description/" TargetMode="External"/><Relationship Id="rId777" Type="http://schemas.openxmlformats.org/officeDocument/2006/relationships/hyperlink" Target="https://leetcode.com/problems/partition-array-into-three-parts-with-equal-sum/description/" TargetMode="External"/><Relationship Id="rId776" Type="http://schemas.openxmlformats.org/officeDocument/2006/relationships/hyperlink" Target="https://leetcode.com/problems/best-sightseeing-pair/description/" TargetMode="External"/><Relationship Id="rId775" Type="http://schemas.openxmlformats.org/officeDocument/2006/relationships/hyperlink" Target="https://leetcode.com/problems/smallest-integer-divisible-by-k/description/" TargetMode="External"/><Relationship Id="rId779" Type="http://schemas.openxmlformats.org/officeDocument/2006/relationships/hyperlink" Target="https://leetcode.com/problems/capacity-to-ship-packages-within-d-days/description/" TargetMode="External"/><Relationship Id="rId770" Type="http://schemas.openxmlformats.org/officeDocument/2006/relationships/hyperlink" Target="https://leetcode.com/problems/number-of-enclaves/description/" TargetMode="External"/><Relationship Id="rId1360" Type="http://schemas.openxmlformats.org/officeDocument/2006/relationships/hyperlink" Target="https://leetcode.com/problems/flatten-a-multilevel-doubly-linked-list/description/" TargetMode="External"/><Relationship Id="rId1361" Type="http://schemas.openxmlformats.org/officeDocument/2006/relationships/hyperlink" Target="https://leetcode.com/problems/n-ary-tree-level-order-traversal/description/" TargetMode="External"/><Relationship Id="rId1362" Type="http://schemas.openxmlformats.org/officeDocument/2006/relationships/hyperlink" Target="https://leetcode.com/problems/serialize-and-deserialize-n-ary-tree/description/" TargetMode="External"/><Relationship Id="rId774" Type="http://schemas.openxmlformats.org/officeDocument/2006/relationships/hyperlink" Target="https://leetcode.com/problems/binary-string-with-substrings-representing-1-to-n/description/" TargetMode="External"/><Relationship Id="rId1363" Type="http://schemas.openxmlformats.org/officeDocument/2006/relationships/hyperlink" Target="https://leetcode.com/problems/construct-quad-tree/description/" TargetMode="External"/><Relationship Id="rId773" Type="http://schemas.openxmlformats.org/officeDocument/2006/relationships/hyperlink" Target="https://leetcode.com/problems/convert-to-base-2/description/" TargetMode="External"/><Relationship Id="rId1364" Type="http://schemas.openxmlformats.org/officeDocument/2006/relationships/hyperlink" Target="https://leetcode.com/problems/convert-binary-search-tree-to-sorted-doubly-linked-list/description/" TargetMode="External"/><Relationship Id="rId772" Type="http://schemas.openxmlformats.org/officeDocument/2006/relationships/hyperlink" Target="https://leetcode.com/problems/binary-prefix-divisible-by-5/description/" TargetMode="External"/><Relationship Id="rId1365" Type="http://schemas.openxmlformats.org/officeDocument/2006/relationships/hyperlink" Target="https://leetcode.com/problems/word-squares/description/" TargetMode="External"/><Relationship Id="rId771" Type="http://schemas.openxmlformats.org/officeDocument/2006/relationships/hyperlink" Target="https://leetcode.com/problems/next-greater-node-in-linked-list/description/" TargetMode="External"/><Relationship Id="rId1366" Type="http://schemas.openxmlformats.org/officeDocument/2006/relationships/hyperlink" Target="https://leetcode.com/problems/longest-repeating-character-replacement/description/" TargetMode="External"/><Relationship Id="rId327" Type="http://schemas.openxmlformats.org/officeDocument/2006/relationships/hyperlink" Target="https://leetcode.com/problems/calculate-salaries/description/" TargetMode="External"/><Relationship Id="rId326" Type="http://schemas.openxmlformats.org/officeDocument/2006/relationships/hyperlink" Target="https://leetcode.com/problems/find-all-the-lonely-nodes/description/" TargetMode="External"/><Relationship Id="rId325" Type="http://schemas.openxmlformats.org/officeDocument/2006/relationships/hyperlink" Target="https://leetcode.com/problems/shuffle-the-array/description/" TargetMode="External"/><Relationship Id="rId324" Type="http://schemas.openxmlformats.org/officeDocument/2006/relationships/hyperlink" Target="https://leetcode.com/problems/the-k-strongest-values-in-an-array/description/" TargetMode="External"/><Relationship Id="rId329" Type="http://schemas.openxmlformats.org/officeDocument/2006/relationships/hyperlink" Target="https://leetcode.com/problems/reorder-routes-to-make-all-paths-lead-to-the-city-zero/description/" TargetMode="External"/><Relationship Id="rId1390" Type="http://schemas.openxmlformats.org/officeDocument/2006/relationships/hyperlink" Target="https://leetcode.com/problems/nth-digit/description/" TargetMode="External"/><Relationship Id="rId328" Type="http://schemas.openxmlformats.org/officeDocument/2006/relationships/hyperlink" Target="https://leetcode.com/problems/probability-of-a-two-boxes-having-the-same-number-of-distinct-balls/description/" TargetMode="External"/><Relationship Id="rId1391" Type="http://schemas.openxmlformats.org/officeDocument/2006/relationships/hyperlink" Target="https://leetcode.com/problems/evaluate-division/description/" TargetMode="External"/><Relationship Id="rId1392" Type="http://schemas.openxmlformats.org/officeDocument/2006/relationships/hyperlink" Target="https://leetcode.com/problems/random-pick-index/description/" TargetMode="External"/><Relationship Id="rId1393" Type="http://schemas.openxmlformats.org/officeDocument/2006/relationships/hyperlink" Target="https://leetcode.com/problems/integer-replacement/description/" TargetMode="External"/><Relationship Id="rId1394" Type="http://schemas.openxmlformats.org/officeDocument/2006/relationships/hyperlink" Target="https://leetcode.com/problems/rotate-function/description/" TargetMode="External"/><Relationship Id="rId1395" Type="http://schemas.openxmlformats.org/officeDocument/2006/relationships/hyperlink" Target="https://leetcode.com/problems/longest-substring-with-at-least-k-repeating-characters/description/" TargetMode="External"/><Relationship Id="rId323" Type="http://schemas.openxmlformats.org/officeDocument/2006/relationships/hyperlink" Target="https://leetcode.com/problems/design-browser-history/description/" TargetMode="External"/><Relationship Id="rId1396" Type="http://schemas.openxmlformats.org/officeDocument/2006/relationships/hyperlink" Target="https://leetcode.com/problems/decode-string/description/" TargetMode="External"/><Relationship Id="rId322" Type="http://schemas.openxmlformats.org/officeDocument/2006/relationships/hyperlink" Target="https://leetcode.com/problems/paint-house-iii/description/" TargetMode="External"/><Relationship Id="rId1397" Type="http://schemas.openxmlformats.org/officeDocument/2006/relationships/hyperlink" Target="https://leetcode.com/problems/utf-8-validation/description/" TargetMode="External"/><Relationship Id="rId321" Type="http://schemas.openxmlformats.org/officeDocument/2006/relationships/hyperlink" Target="https://leetcode.com/problems/delete-n-nodes-after-m-nodes-of-a-linked-list/description/" TargetMode="External"/><Relationship Id="rId1398" Type="http://schemas.openxmlformats.org/officeDocument/2006/relationships/hyperlink" Target="https://leetcode.com/problems/is-subsequence/description/" TargetMode="External"/><Relationship Id="rId320" Type="http://schemas.openxmlformats.org/officeDocument/2006/relationships/hyperlink" Target="https://leetcode.com/problems/final-prices-with-a-special-discount-in-a-shop/description/" TargetMode="External"/><Relationship Id="rId1399" Type="http://schemas.openxmlformats.org/officeDocument/2006/relationships/hyperlink" Target="https://leetcode.com/problems/perfect-rectangle/description/" TargetMode="External"/><Relationship Id="rId1389" Type="http://schemas.openxmlformats.org/officeDocument/2006/relationships/hyperlink" Target="https://leetcode.com/problems/binary-watch/description/" TargetMode="External"/><Relationship Id="rId316" Type="http://schemas.openxmlformats.org/officeDocument/2006/relationships/hyperlink" Target="https://leetcode.com/problems/sales-by-day-of-the-week/description/" TargetMode="External"/><Relationship Id="rId315" Type="http://schemas.openxmlformats.org/officeDocument/2006/relationships/hyperlink" Target="https://leetcode.com/problems/running-sum-of-1d-array/description/" TargetMode="External"/><Relationship Id="rId799" Type="http://schemas.openxmlformats.org/officeDocument/2006/relationships/hyperlink" Target="https://leetcode.com/problems/broken-calculator/description/" TargetMode="External"/><Relationship Id="rId314" Type="http://schemas.openxmlformats.org/officeDocument/2006/relationships/hyperlink" Target="https://leetcode.com/problems/least-number-of-unique-integers-after-k-removals/description/" TargetMode="External"/><Relationship Id="rId798" Type="http://schemas.openxmlformats.org/officeDocument/2006/relationships/hyperlink" Target="https://leetcode.com/problems/subarrays-with-k-different-integers/description/" TargetMode="External"/><Relationship Id="rId313" Type="http://schemas.openxmlformats.org/officeDocument/2006/relationships/hyperlink" Target="https://leetcode.com/problems/minimum-number-of-days-to-make-m-bouquets/description/" TargetMode="External"/><Relationship Id="rId797" Type="http://schemas.openxmlformats.org/officeDocument/2006/relationships/hyperlink" Target="https://leetcode.com/problems/cousins-in-binary-tree/description/" TargetMode="External"/><Relationship Id="rId319" Type="http://schemas.openxmlformats.org/officeDocument/2006/relationships/hyperlink" Target="https://leetcode.com/problems/subrectangle-queries/description/" TargetMode="External"/><Relationship Id="rId318" Type="http://schemas.openxmlformats.org/officeDocument/2006/relationships/hyperlink" Target="https://leetcode.com/problems/find-two-non-overlapping-sub-arrays-each-with-target-sum/description/" TargetMode="External"/><Relationship Id="rId317" Type="http://schemas.openxmlformats.org/officeDocument/2006/relationships/hyperlink" Target="https://leetcode.com/problems/allocate-mailboxes/description/" TargetMode="External"/><Relationship Id="rId1380" Type="http://schemas.openxmlformats.org/officeDocument/2006/relationships/hyperlink" Target="https://leetcode.com/problems/split-array-largest-sum/description/" TargetMode="External"/><Relationship Id="rId792" Type="http://schemas.openxmlformats.org/officeDocument/2006/relationships/hyperlink" Target="https://leetcode.com/problems/maximum-binary-tree-ii/description/" TargetMode="External"/><Relationship Id="rId1381" Type="http://schemas.openxmlformats.org/officeDocument/2006/relationships/hyperlink" Target="https://leetcode.com/problems/longest-palindrome/description/" TargetMode="External"/><Relationship Id="rId791" Type="http://schemas.openxmlformats.org/officeDocument/2006/relationships/hyperlink" Target="https://leetcode.com/problems/available-captures-for-rook/description/" TargetMode="External"/><Relationship Id="rId1382" Type="http://schemas.openxmlformats.org/officeDocument/2006/relationships/hyperlink" Target="https://leetcode.com/problems/valid-word-abbreviation/description/" TargetMode="External"/><Relationship Id="rId790" Type="http://schemas.openxmlformats.org/officeDocument/2006/relationships/hyperlink" Target="https://leetcode.com/problems/minimum-cost-to-merge-stones/description/" TargetMode="External"/><Relationship Id="rId1383" Type="http://schemas.openxmlformats.org/officeDocument/2006/relationships/hyperlink" Target="https://leetcode.com/problems/trapping-rain-water-ii/description/" TargetMode="External"/><Relationship Id="rId1384" Type="http://schemas.openxmlformats.org/officeDocument/2006/relationships/hyperlink" Target="https://leetcode.com/problems/queue-reconstruction-by-height/description/" TargetMode="External"/><Relationship Id="rId312" Type="http://schemas.openxmlformats.org/officeDocument/2006/relationships/hyperlink" Target="https://leetcode.com/problems/kth-ancestor-of-a-tree-node/description/" TargetMode="External"/><Relationship Id="rId796" Type="http://schemas.openxmlformats.org/officeDocument/2006/relationships/hyperlink" Target="https://leetcode.com/problems/rotting-oranges/description/" TargetMode="External"/><Relationship Id="rId1385" Type="http://schemas.openxmlformats.org/officeDocument/2006/relationships/hyperlink" Target="https://leetcode.com/problems/convert-a-number-to-hexadecimal/description/" TargetMode="External"/><Relationship Id="rId311" Type="http://schemas.openxmlformats.org/officeDocument/2006/relationships/hyperlink" Target="https://leetcode.com/problems/group-sold-products-by-the-date/description/" TargetMode="External"/><Relationship Id="rId795" Type="http://schemas.openxmlformats.org/officeDocument/2006/relationships/hyperlink" Target="https://leetcode.com/problems/minimum-number-of-k-consecutive-bit-flips/description/" TargetMode="External"/><Relationship Id="rId1386" Type="http://schemas.openxmlformats.org/officeDocument/2006/relationships/hyperlink" Target="https://leetcode.com/problems/sum-of-left-leaves/description/" TargetMode="External"/><Relationship Id="rId310" Type="http://schemas.openxmlformats.org/officeDocument/2006/relationships/hyperlink" Target="https://leetcode.com/problems/clone-binary-tree-with-random-pointer/description/" TargetMode="External"/><Relationship Id="rId794" Type="http://schemas.openxmlformats.org/officeDocument/2006/relationships/hyperlink" Target="https://leetcode.com/problems/number-of-squareful-arrays/description/" TargetMode="External"/><Relationship Id="rId1387" Type="http://schemas.openxmlformats.org/officeDocument/2006/relationships/hyperlink" Target="https://leetcode.com/problems/frog-jump/description/" TargetMode="External"/><Relationship Id="rId793" Type="http://schemas.openxmlformats.org/officeDocument/2006/relationships/hyperlink" Target="https://leetcode.com/problems/find-the-town-judge/description/" TargetMode="External"/><Relationship Id="rId1388" Type="http://schemas.openxmlformats.org/officeDocument/2006/relationships/hyperlink" Target="https://leetcode.com/problems/remove-k-digits/description/" TargetMode="External"/><Relationship Id="rId297" Type="http://schemas.openxmlformats.org/officeDocument/2006/relationships/hyperlink" Target="https://leetcode.com/problems/number-of-subsequences-that-satisfy-the-given-sum-condition/description/" TargetMode="External"/><Relationship Id="rId296" Type="http://schemas.openxmlformats.org/officeDocument/2006/relationships/hyperlink" Target="https://leetcode.com/problems/max-value-of-equation/description/" TargetMode="External"/><Relationship Id="rId295" Type="http://schemas.openxmlformats.org/officeDocument/2006/relationships/hyperlink" Target="https://leetcode.com/problems/design-a-file-sharing-system/description/" TargetMode="External"/><Relationship Id="rId294" Type="http://schemas.openxmlformats.org/officeDocument/2006/relationships/hyperlink" Target="https://leetcode.com/problems/countries-you-can-safely-invest-in/description/" TargetMode="External"/><Relationship Id="rId299" Type="http://schemas.openxmlformats.org/officeDocument/2006/relationships/hyperlink" Target="https://leetcode.com/problems/path-crossing/description/" TargetMode="External"/><Relationship Id="rId298" Type="http://schemas.openxmlformats.org/officeDocument/2006/relationships/hyperlink" Target="https://leetcode.com/problems/check-if-array-pairs-are-divisible-by-k/description/" TargetMode="External"/><Relationship Id="rId271" Type="http://schemas.openxmlformats.org/officeDocument/2006/relationships/hyperlink" Target="https://leetcode.com/problems/number-of-sub-arrays-with-odd-sum/description/" TargetMode="External"/><Relationship Id="rId270" Type="http://schemas.openxmlformats.org/officeDocument/2006/relationships/hyperlink" Target="https://leetcode.com/problems/number-of-good-ways-to-split-a-string/description/" TargetMode="External"/><Relationship Id="rId269" Type="http://schemas.openxmlformats.org/officeDocument/2006/relationships/hyperlink" Target="https://leetcode.com/problems/minimum-number-of-increments-on-subarrays-to-form-a-target-array/description/" TargetMode="External"/><Relationship Id="rId264" Type="http://schemas.openxmlformats.org/officeDocument/2006/relationships/hyperlink" Target="https://leetcode.com/problems/string-compression-ii/description/" TargetMode="External"/><Relationship Id="rId263" Type="http://schemas.openxmlformats.org/officeDocument/2006/relationships/hyperlink" Target="https://leetcode.com/problems/the-most-recent-three-orders/description/" TargetMode="External"/><Relationship Id="rId262" Type="http://schemas.openxmlformats.org/officeDocument/2006/relationships/hyperlink" Target="https://leetcode.com/problems/find-the-index-of-the-large-integer/description/" TargetMode="External"/><Relationship Id="rId261" Type="http://schemas.openxmlformats.org/officeDocument/2006/relationships/hyperlink" Target="https://leetcode.com/problems/count-good-triplets/description/" TargetMode="External"/><Relationship Id="rId268" Type="http://schemas.openxmlformats.org/officeDocument/2006/relationships/hyperlink" Target="https://leetcode.com/problems/patients-with-a-condition/description/" TargetMode="External"/><Relationship Id="rId267" Type="http://schemas.openxmlformats.org/officeDocument/2006/relationships/hyperlink" Target="https://leetcode.com/problems/shuffle-string/description/" TargetMode="External"/><Relationship Id="rId266" Type="http://schemas.openxmlformats.org/officeDocument/2006/relationships/hyperlink" Target="https://leetcode.com/problems/bulb-switcher-iv/description/" TargetMode="External"/><Relationship Id="rId265" Type="http://schemas.openxmlformats.org/officeDocument/2006/relationships/hyperlink" Target="https://leetcode.com/problems/number-of-good-leaf-nodes-pairs/description/" TargetMode="External"/><Relationship Id="rId260" Type="http://schemas.openxmlformats.org/officeDocument/2006/relationships/hyperlink" Target="https://leetcode.com/problems/find-the-winner-of-an-array-game/description/" TargetMode="External"/><Relationship Id="rId259" Type="http://schemas.openxmlformats.org/officeDocument/2006/relationships/hyperlink" Target="https://leetcode.com/problems/minimum-swaps-to-arrange-a-binary-grid/description/" TargetMode="External"/><Relationship Id="rId258" Type="http://schemas.openxmlformats.org/officeDocument/2006/relationships/hyperlink" Target="https://leetcode.com/problems/get-the-maximum-score/description/" TargetMode="External"/><Relationship Id="rId253" Type="http://schemas.openxmlformats.org/officeDocument/2006/relationships/hyperlink" Target="https://leetcode.com/problems/find-longest-awesome-substring/description/" TargetMode="External"/><Relationship Id="rId252" Type="http://schemas.openxmlformats.org/officeDocument/2006/relationships/hyperlink" Target="https://leetcode.com/problems/fix-product-name-format/description/" TargetMode="External"/><Relationship Id="rId251" Type="http://schemas.openxmlformats.org/officeDocument/2006/relationships/hyperlink" Target="https://leetcode.com/problems/make-the-string-great/description/" TargetMode="External"/><Relationship Id="rId250" Type="http://schemas.openxmlformats.org/officeDocument/2006/relationships/hyperlink" Target="https://leetcode.com/problems/find-kth-bit-in-nth-binary-string/description/" TargetMode="External"/><Relationship Id="rId257" Type="http://schemas.openxmlformats.org/officeDocument/2006/relationships/hyperlink" Target="https://leetcode.com/problems/guess-the-majority-in-a-hidden-array/description/" TargetMode="External"/><Relationship Id="rId256" Type="http://schemas.openxmlformats.org/officeDocument/2006/relationships/hyperlink" Target="https://leetcode.com/problems/kth-missing-positive-number/description/" TargetMode="External"/><Relationship Id="rId255" Type="http://schemas.openxmlformats.org/officeDocument/2006/relationships/hyperlink" Target="https://leetcode.com/problems/can-convert-string-in-k-moves/description/" TargetMode="External"/><Relationship Id="rId254" Type="http://schemas.openxmlformats.org/officeDocument/2006/relationships/hyperlink" Target="https://leetcode.com/problems/minimum-insertions-to-balance-a-parentheses-string/description/" TargetMode="External"/><Relationship Id="rId293" Type="http://schemas.openxmlformats.org/officeDocument/2006/relationships/hyperlink" Target="https://leetcode.com/problems/can-make-arithmetic-progression-from-sequence/description/" TargetMode="External"/><Relationship Id="rId292" Type="http://schemas.openxmlformats.org/officeDocument/2006/relationships/hyperlink" Target="https://leetcode.com/problems/last-moment-before-all-ants-fall-out-of-a-plank/description/" TargetMode="External"/><Relationship Id="rId291" Type="http://schemas.openxmlformats.org/officeDocument/2006/relationships/hyperlink" Target="https://leetcode.com/problems/count-submatrices-with-all-ones/description/" TargetMode="External"/><Relationship Id="rId290" Type="http://schemas.openxmlformats.org/officeDocument/2006/relationships/hyperlink" Target="https://leetcode.com/problems/minimum-possible-integer-after-at-most-k-adjacent-swaps-on-digits/description/" TargetMode="External"/><Relationship Id="rId286" Type="http://schemas.openxmlformats.org/officeDocument/2006/relationships/hyperlink" Target="https://leetcode.com/problems/minimum-difference-between-largest-and-smallest-value-in-three-moves/description/" TargetMode="External"/><Relationship Id="rId285" Type="http://schemas.openxmlformats.org/officeDocument/2006/relationships/hyperlink" Target="https://leetcode.com/problems/stone-game-iv/description/" TargetMode="External"/><Relationship Id="rId284" Type="http://schemas.openxmlformats.org/officeDocument/2006/relationships/hyperlink" Target="https://leetcode.com/problems/customer-order-frequency/description/" TargetMode="External"/><Relationship Id="rId283" Type="http://schemas.openxmlformats.org/officeDocument/2006/relationships/hyperlink" Target="https://leetcode.com/problems/number-of-good-pairs/description/" TargetMode="External"/><Relationship Id="rId289" Type="http://schemas.openxmlformats.org/officeDocument/2006/relationships/hyperlink" Target="https://leetcode.com/problems/find-root-of-n-ary-tree/description/" TargetMode="External"/><Relationship Id="rId288" Type="http://schemas.openxmlformats.org/officeDocument/2006/relationships/hyperlink" Target="https://leetcode.com/problems/reformat-date/description/" TargetMode="External"/><Relationship Id="rId287" Type="http://schemas.openxmlformats.org/officeDocument/2006/relationships/hyperlink" Target="https://leetcode.com/problems/range-sum-of-sorted-subarray-sums/description/" TargetMode="External"/><Relationship Id="rId282" Type="http://schemas.openxmlformats.org/officeDocument/2006/relationships/hyperlink" Target="https://leetcode.com/problems/number-of-substrings-with-only-1s/description/" TargetMode="External"/><Relationship Id="rId281" Type="http://schemas.openxmlformats.org/officeDocument/2006/relationships/hyperlink" Target="https://leetcode.com/problems/path-with-maximum-probability/description/" TargetMode="External"/><Relationship Id="rId280" Type="http://schemas.openxmlformats.org/officeDocument/2006/relationships/hyperlink" Target="https://leetcode.com/problems/best-position-for-a-service-centre/description/" TargetMode="External"/><Relationship Id="rId275" Type="http://schemas.openxmlformats.org/officeDocument/2006/relationships/hyperlink" Target="https://leetcode.com/problems/maximum-number-of-non-overlapping-substrings/description/" TargetMode="External"/><Relationship Id="rId274" Type="http://schemas.openxmlformats.org/officeDocument/2006/relationships/hyperlink" Target="https://leetcode.com/problems/find-a-value-of-a-mysterious-function-closest-to-target/description/" TargetMode="External"/><Relationship Id="rId273" Type="http://schemas.openxmlformats.org/officeDocument/2006/relationships/hyperlink" Target="https://leetcode.com/problems/diameter-of-n-ary-tree/description/" TargetMode="External"/><Relationship Id="rId272" Type="http://schemas.openxmlformats.org/officeDocument/2006/relationships/hyperlink" Target="https://leetcode.com/problems/count-odd-numbers-in-an-interval-range/description/" TargetMode="External"/><Relationship Id="rId279" Type="http://schemas.openxmlformats.org/officeDocument/2006/relationships/hyperlink" Target="https://leetcode.com/problems/move-sub-tree-of-n-ary-tree/description/" TargetMode="External"/><Relationship Id="rId278" Type="http://schemas.openxmlformats.org/officeDocument/2006/relationships/hyperlink" Target="https://leetcode.com/problems/find-users-with-valid-e-mails/description/" TargetMode="External"/><Relationship Id="rId277" Type="http://schemas.openxmlformats.org/officeDocument/2006/relationships/hyperlink" Target="https://leetcode.com/problems/water-bottles/description/" TargetMode="External"/><Relationship Id="rId276" Type="http://schemas.openxmlformats.org/officeDocument/2006/relationships/hyperlink" Target="https://leetcode.com/problems/number-of-nodes-in-the-sub-tree-with-the-same-label/description/" TargetMode="External"/><Relationship Id="rId1455" Type="http://schemas.openxmlformats.org/officeDocument/2006/relationships/hyperlink" Target="https://leetcode.com/problems/self-crossing/description/" TargetMode="External"/><Relationship Id="rId1456" Type="http://schemas.openxmlformats.org/officeDocument/2006/relationships/hyperlink" Target="https://leetcode.com/problems/increasing-triplet-subsequence/description/" TargetMode="External"/><Relationship Id="rId1457" Type="http://schemas.openxmlformats.org/officeDocument/2006/relationships/hyperlink" Target="https://leetcode.com/problems/largest-bst-subtree/description/" TargetMode="External"/><Relationship Id="rId1458" Type="http://schemas.openxmlformats.org/officeDocument/2006/relationships/hyperlink" Target="https://leetcode.com/problems/reconstruct-itinerary/description/" TargetMode="External"/><Relationship Id="rId1459" Type="http://schemas.openxmlformats.org/officeDocument/2006/relationships/hyperlink" Target="https://leetcode.com/problems/verify-preorder-serialization-of-a-binary-tree/description/" TargetMode="External"/><Relationship Id="rId629" Type="http://schemas.openxmlformats.org/officeDocument/2006/relationships/hyperlink" Target="https://leetcode.com/problems/single-row-keyboard/description/" TargetMode="External"/><Relationship Id="rId624" Type="http://schemas.openxmlformats.org/officeDocument/2006/relationships/hyperlink" Target="https://leetcode.com/problems/compare-strings-by-frequency-of-the-smallest-character/description/" TargetMode="External"/><Relationship Id="rId623" Type="http://schemas.openxmlformats.org/officeDocument/2006/relationships/hyperlink" Target="https://leetcode.com/problems/remove-zero-sum-consecutive-nodes-from-linked-list/description/" TargetMode="External"/><Relationship Id="rId622" Type="http://schemas.openxmlformats.org/officeDocument/2006/relationships/hyperlink" Target="https://leetcode.com/problems/dinner-plate-stacks/description/" TargetMode="External"/><Relationship Id="rId621" Type="http://schemas.openxmlformats.org/officeDocument/2006/relationships/hyperlink" Target="https://leetcode.com/problems/immediate-food-delivery-i/description/" TargetMode="External"/><Relationship Id="rId628" Type="http://schemas.openxmlformats.org/officeDocument/2006/relationships/hyperlink" Target="https://leetcode.com/problems/design-file-system/description/" TargetMode="External"/><Relationship Id="rId627" Type="http://schemas.openxmlformats.org/officeDocument/2006/relationships/hyperlink" Target="https://leetcode.com/problems/minimum-cost-to-connect-sticks/description/" TargetMode="External"/><Relationship Id="rId626" Type="http://schemas.openxmlformats.org/officeDocument/2006/relationships/hyperlink" Target="https://leetcode.com/problems/optimize-water-distribution-in-a-village/description/" TargetMode="External"/><Relationship Id="rId625" Type="http://schemas.openxmlformats.org/officeDocument/2006/relationships/hyperlink" Target="https://leetcode.com/problems/invalid-transactions/description/" TargetMode="External"/><Relationship Id="rId1450" Type="http://schemas.openxmlformats.org/officeDocument/2006/relationships/hyperlink" Target="https://leetcode.com/problems/longest-substring-with-at-most-k-distinct-characters/description/" TargetMode="External"/><Relationship Id="rId620" Type="http://schemas.openxmlformats.org/officeDocument/2006/relationships/hyperlink" Target="https://leetcode.com/problems/immediate-food-delivery-ii/description/" TargetMode="External"/><Relationship Id="rId1451" Type="http://schemas.openxmlformats.org/officeDocument/2006/relationships/hyperlink" Target="https://leetcode.com/problems/nested-list-weight-sum/description/" TargetMode="External"/><Relationship Id="rId1452" Type="http://schemas.openxmlformats.org/officeDocument/2006/relationships/hyperlink" Target="https://leetcode.com/problems/counting-bits/description/" TargetMode="External"/><Relationship Id="rId1453" Type="http://schemas.openxmlformats.org/officeDocument/2006/relationships/hyperlink" Target="https://leetcode.com/problems/house-robber-iii/description/" TargetMode="External"/><Relationship Id="rId1454" Type="http://schemas.openxmlformats.org/officeDocument/2006/relationships/hyperlink" Target="https://leetcode.com/problems/palindrome-pairs/description/" TargetMode="External"/><Relationship Id="rId1444" Type="http://schemas.openxmlformats.org/officeDocument/2006/relationships/hyperlink" Target="https://leetcode.com/problems/moving-average-from-data-stream/description/" TargetMode="External"/><Relationship Id="rId1445" Type="http://schemas.openxmlformats.org/officeDocument/2006/relationships/hyperlink" Target="https://leetcode.com/problems/reverse-vowels-of-a-string/description/" TargetMode="External"/><Relationship Id="rId1446" Type="http://schemas.openxmlformats.org/officeDocument/2006/relationships/hyperlink" Target="https://leetcode.com/problems/reverse-string/description/" TargetMode="External"/><Relationship Id="rId1447" Type="http://schemas.openxmlformats.org/officeDocument/2006/relationships/hyperlink" Target="https://leetcode.com/problems/integer-break/description/" TargetMode="External"/><Relationship Id="rId1448" Type="http://schemas.openxmlformats.org/officeDocument/2006/relationships/hyperlink" Target="https://leetcode.com/problems/power-of-four/description/" TargetMode="External"/><Relationship Id="rId1449" Type="http://schemas.openxmlformats.org/officeDocument/2006/relationships/hyperlink" Target="https://leetcode.com/problems/flatten-nested-list-iterator/description/" TargetMode="External"/><Relationship Id="rId619" Type="http://schemas.openxmlformats.org/officeDocument/2006/relationships/hyperlink" Target="https://leetcode.com/problems/prime-arrangements/description/" TargetMode="External"/><Relationship Id="rId618" Type="http://schemas.openxmlformats.org/officeDocument/2006/relationships/hyperlink" Target="https://leetcode.com/problems/diet-plan-performance/description/" TargetMode="External"/><Relationship Id="rId613" Type="http://schemas.openxmlformats.org/officeDocument/2006/relationships/hyperlink" Target="https://leetcode.com/problems/before-and-after-puzzle/description/" TargetMode="External"/><Relationship Id="rId612" Type="http://schemas.openxmlformats.org/officeDocument/2006/relationships/hyperlink" Target="https://leetcode.com/problems/shortest-distance-to-target-color/description/" TargetMode="External"/><Relationship Id="rId611" Type="http://schemas.openxmlformats.org/officeDocument/2006/relationships/hyperlink" Target="https://leetcode.com/problems/maximum-number-of-ones/description/" TargetMode="External"/><Relationship Id="rId610" Type="http://schemas.openxmlformats.org/officeDocument/2006/relationships/hyperlink" Target="https://leetcode.com/problems/distance-between-bus-stops/description/" TargetMode="External"/><Relationship Id="rId617" Type="http://schemas.openxmlformats.org/officeDocument/2006/relationships/hyperlink" Target="https://leetcode.com/problems/can-make-palindrome-from-substring/description/" TargetMode="External"/><Relationship Id="rId616" Type="http://schemas.openxmlformats.org/officeDocument/2006/relationships/hyperlink" Target="https://leetcode.com/problems/number-of-valid-words-for-each-puzzle/description/" TargetMode="External"/><Relationship Id="rId615" Type="http://schemas.openxmlformats.org/officeDocument/2006/relationships/hyperlink" Target="https://leetcode.com/problems/reformat-department-table/description/" TargetMode="External"/><Relationship Id="rId614" Type="http://schemas.openxmlformats.org/officeDocument/2006/relationships/hyperlink" Target="https://leetcode.com/problems/count-substrings-with-only-one-distinct-letter/description/" TargetMode="External"/><Relationship Id="rId1440" Type="http://schemas.openxmlformats.org/officeDocument/2006/relationships/hyperlink" Target="https://leetcode.com/problems/intersection-of-two-arrays-ii/description/" TargetMode="External"/><Relationship Id="rId1441" Type="http://schemas.openxmlformats.org/officeDocument/2006/relationships/hyperlink" Target="https://leetcode.com/problems/intersection-of-two-arrays/description/" TargetMode="External"/><Relationship Id="rId1442" Type="http://schemas.openxmlformats.org/officeDocument/2006/relationships/hyperlink" Target="https://leetcode.com/problems/design-tic-tac-toe/description/" TargetMode="External"/><Relationship Id="rId1443" Type="http://schemas.openxmlformats.org/officeDocument/2006/relationships/hyperlink" Target="https://leetcode.com/problems/top-k-frequent-elements/description/" TargetMode="External"/><Relationship Id="rId1477" Type="http://schemas.openxmlformats.org/officeDocument/2006/relationships/hyperlink" Target="https://leetcode.com/problems/super-ugly-number/description/" TargetMode="External"/><Relationship Id="rId1478" Type="http://schemas.openxmlformats.org/officeDocument/2006/relationships/hyperlink" Target="https://leetcode.com/problems/burst-balloons/description/" TargetMode="External"/><Relationship Id="rId1479" Type="http://schemas.openxmlformats.org/officeDocument/2006/relationships/hyperlink" Target="https://leetcode.com/problems/sparse-matrix-multiplication/description/" TargetMode="External"/><Relationship Id="rId646" Type="http://schemas.openxmlformats.org/officeDocument/2006/relationships/hyperlink" Target="https://leetcode.com/problems/article-views-i/description/" TargetMode="External"/><Relationship Id="rId645" Type="http://schemas.openxmlformats.org/officeDocument/2006/relationships/hyperlink" Target="https://leetcode.com/problems/article-views-ii/description/" TargetMode="External"/><Relationship Id="rId644" Type="http://schemas.openxmlformats.org/officeDocument/2006/relationships/hyperlink" Target="https://leetcode.com/problems/check-if-a-number-is-majority-element-in-a-sorted-array/description/" TargetMode="External"/><Relationship Id="rId643" Type="http://schemas.openxmlformats.org/officeDocument/2006/relationships/hyperlink" Target="https://leetcode.com/problems/minimum-swaps-to-group-all-1s-together/description/" TargetMode="External"/><Relationship Id="rId649" Type="http://schemas.openxmlformats.org/officeDocument/2006/relationships/hyperlink" Target="https://leetcode.com/problems/binary-tree-coloring-game/description/" TargetMode="External"/><Relationship Id="rId648" Type="http://schemas.openxmlformats.org/officeDocument/2006/relationships/hyperlink" Target="https://leetcode.com/problems/snapshot-array/description/" TargetMode="External"/><Relationship Id="rId647" Type="http://schemas.openxmlformats.org/officeDocument/2006/relationships/hyperlink" Target="https://leetcode.com/problems/longest-chunked-palindrome-decomposition/description/" TargetMode="External"/><Relationship Id="rId1470" Type="http://schemas.openxmlformats.org/officeDocument/2006/relationships/hyperlink" Target="https://leetcode.com/problems/generalized-abbreviation/description/" TargetMode="External"/><Relationship Id="rId1471" Type="http://schemas.openxmlformats.org/officeDocument/2006/relationships/hyperlink" Target="https://leetcode.com/problems/bulb-switcher/description/" TargetMode="External"/><Relationship Id="rId1472" Type="http://schemas.openxmlformats.org/officeDocument/2006/relationships/hyperlink" Target="https://leetcode.com/problems/maximum-product-of-word-lengths/description/" TargetMode="External"/><Relationship Id="rId642" Type="http://schemas.openxmlformats.org/officeDocument/2006/relationships/hyperlink" Target="https://leetcode.com/problems/analyze-user-website-visit-pattern/description/" TargetMode="External"/><Relationship Id="rId1473" Type="http://schemas.openxmlformats.org/officeDocument/2006/relationships/hyperlink" Target="https://leetcode.com/problems/shortest-distance-from-all-buildings/description/" TargetMode="External"/><Relationship Id="rId641" Type="http://schemas.openxmlformats.org/officeDocument/2006/relationships/hyperlink" Target="https://leetcode.com/problems/string-transforms-into-another-string/description/" TargetMode="External"/><Relationship Id="rId1474" Type="http://schemas.openxmlformats.org/officeDocument/2006/relationships/hyperlink" Target="https://leetcode.com/problems/remove-duplicate-letters/description/" TargetMode="External"/><Relationship Id="rId640" Type="http://schemas.openxmlformats.org/officeDocument/2006/relationships/hyperlink" Target="https://leetcode.com/problems/day-of-the-year/description/" TargetMode="External"/><Relationship Id="rId1475" Type="http://schemas.openxmlformats.org/officeDocument/2006/relationships/hyperlink" Target="https://leetcode.com/problems/count-of-smaller-numbers-after-self/description/" TargetMode="External"/><Relationship Id="rId1476" Type="http://schemas.openxmlformats.org/officeDocument/2006/relationships/hyperlink" Target="https://leetcode.com/problems/binary-tree-vertical-order-traversal/description/" TargetMode="External"/><Relationship Id="rId1466" Type="http://schemas.openxmlformats.org/officeDocument/2006/relationships/hyperlink" Target="https://leetcode.com/problems/wiggle-sort-ii/description/" TargetMode="External"/><Relationship Id="rId1467" Type="http://schemas.openxmlformats.org/officeDocument/2006/relationships/hyperlink" Target="https://leetcode.com/problems/number-of-connected-components-in-an-undirected-graph/description/" TargetMode="External"/><Relationship Id="rId1468" Type="http://schemas.openxmlformats.org/officeDocument/2006/relationships/hyperlink" Target="https://leetcode.com/problems/coin-change/description/" TargetMode="External"/><Relationship Id="rId1469" Type="http://schemas.openxmlformats.org/officeDocument/2006/relationships/hyperlink" Target="https://leetcode.com/problems/create-maximum-number/description/" TargetMode="External"/><Relationship Id="rId635" Type="http://schemas.openxmlformats.org/officeDocument/2006/relationships/hyperlink" Target="https://leetcode.com/problems/market-analysis-ii/description/" TargetMode="External"/><Relationship Id="rId634" Type="http://schemas.openxmlformats.org/officeDocument/2006/relationships/hyperlink" Target="https://leetcode.com/problems/find-words-that-can-be-formed-by-characters/description/" TargetMode="External"/><Relationship Id="rId633" Type="http://schemas.openxmlformats.org/officeDocument/2006/relationships/hyperlink" Target="https://leetcode.com/problems/maximum-level-sum-of-a-binary-tree/description/" TargetMode="External"/><Relationship Id="rId632" Type="http://schemas.openxmlformats.org/officeDocument/2006/relationships/hyperlink" Target="https://leetcode.com/problems/as-far-from-land-as-possible/description/" TargetMode="External"/><Relationship Id="rId639" Type="http://schemas.openxmlformats.org/officeDocument/2006/relationships/hyperlink" Target="https://leetcode.com/problems/number-of-dice-rolls-with-target-sum/description/" TargetMode="External"/><Relationship Id="rId638" Type="http://schemas.openxmlformats.org/officeDocument/2006/relationships/hyperlink" Target="https://leetcode.com/problems/swap-for-longest-repeated-character-substring/description/" TargetMode="External"/><Relationship Id="rId637" Type="http://schemas.openxmlformats.org/officeDocument/2006/relationships/hyperlink" Target="https://leetcode.com/problems/online-majority-element-in-subarray/description/" TargetMode="External"/><Relationship Id="rId636" Type="http://schemas.openxmlformats.org/officeDocument/2006/relationships/hyperlink" Target="https://leetcode.com/problems/market-analysis-i/description/" TargetMode="External"/><Relationship Id="rId1460" Type="http://schemas.openxmlformats.org/officeDocument/2006/relationships/hyperlink" Target="https://leetcode.com/problems/patching-array/description/" TargetMode="External"/><Relationship Id="rId1461" Type="http://schemas.openxmlformats.org/officeDocument/2006/relationships/hyperlink" Target="https://leetcode.com/problems/longest-increasing-path-in-a-matrix/description/" TargetMode="External"/><Relationship Id="rId631" Type="http://schemas.openxmlformats.org/officeDocument/2006/relationships/hyperlink" Target="https://leetcode.com/problems/last-substring-in-lexicographical-order/description/" TargetMode="External"/><Relationship Id="rId1462" Type="http://schemas.openxmlformats.org/officeDocument/2006/relationships/hyperlink" Target="https://leetcode.com/problems/odd-even-linked-list/description/" TargetMode="External"/><Relationship Id="rId630" Type="http://schemas.openxmlformats.org/officeDocument/2006/relationships/hyperlink" Target="https://leetcode.com/problems/product-price-at-a-given-date/description/" TargetMode="External"/><Relationship Id="rId1463" Type="http://schemas.openxmlformats.org/officeDocument/2006/relationships/hyperlink" Target="https://leetcode.com/problems/count-of-range-sum/description/" TargetMode="External"/><Relationship Id="rId1464" Type="http://schemas.openxmlformats.org/officeDocument/2006/relationships/hyperlink" Target="https://leetcode.com/problems/power-of-three/description/" TargetMode="External"/><Relationship Id="rId1465" Type="http://schemas.openxmlformats.org/officeDocument/2006/relationships/hyperlink" Target="https://leetcode.com/problems/maximum-size-subarray-sum-equals-k/description/" TargetMode="External"/><Relationship Id="rId1411" Type="http://schemas.openxmlformats.org/officeDocument/2006/relationships/hyperlink" Target="https://leetcode.com/problems/design-phone-directory/description/" TargetMode="External"/><Relationship Id="rId1412" Type="http://schemas.openxmlformats.org/officeDocument/2006/relationships/hyperlink" Target="https://leetcode.com/problems/kth-smallest-element-in-a-sorted-matrix/description/" TargetMode="External"/><Relationship Id="rId1413" Type="http://schemas.openxmlformats.org/officeDocument/2006/relationships/hyperlink" Target="https://leetcode.com/problems/combination-sum-iv/description/" TargetMode="External"/><Relationship Id="rId1414" Type="http://schemas.openxmlformats.org/officeDocument/2006/relationships/hyperlink" Target="https://leetcode.com/problems/wiggle-subsequence/description/" TargetMode="External"/><Relationship Id="rId1415" Type="http://schemas.openxmlformats.org/officeDocument/2006/relationships/hyperlink" Target="https://leetcode.com/problems/guess-number-higher-or-lower-ii/description/" TargetMode="External"/><Relationship Id="rId1416" Type="http://schemas.openxmlformats.org/officeDocument/2006/relationships/hyperlink" Target="https://leetcode.com/problems/guess-number-higher-or-lower/description/" TargetMode="External"/><Relationship Id="rId1417" Type="http://schemas.openxmlformats.org/officeDocument/2006/relationships/hyperlink" Target="https://leetcode.com/problems/find-k-pairs-with-smallest-sums/description/" TargetMode="External"/><Relationship Id="rId1418" Type="http://schemas.openxmlformats.org/officeDocument/2006/relationships/hyperlink" Target="https://leetcode.com/problems/super-pow/description/" TargetMode="External"/><Relationship Id="rId1419" Type="http://schemas.openxmlformats.org/officeDocument/2006/relationships/hyperlink" Target="https://leetcode.com/problems/sum-of-two-integers/description/" TargetMode="External"/><Relationship Id="rId1410" Type="http://schemas.openxmlformats.org/officeDocument/2006/relationships/hyperlink" Target="https://leetcode.com/problems/insert-delete-getrandom-o1/description/" TargetMode="External"/><Relationship Id="rId1400" Type="http://schemas.openxmlformats.org/officeDocument/2006/relationships/hyperlink" Target="https://leetcode.com/problems/elimination-game/description/" TargetMode="External"/><Relationship Id="rId1401" Type="http://schemas.openxmlformats.org/officeDocument/2006/relationships/hyperlink" Target="https://leetcode.com/problems/find-the-difference/description/" TargetMode="External"/><Relationship Id="rId1402" Type="http://schemas.openxmlformats.org/officeDocument/2006/relationships/hyperlink" Target="https://leetcode.com/problems/longest-absolute-file-path/description/" TargetMode="External"/><Relationship Id="rId1403" Type="http://schemas.openxmlformats.org/officeDocument/2006/relationships/hyperlink" Target="https://leetcode.com/problems/first-unique-character-in-a-string/description/" TargetMode="External"/><Relationship Id="rId1404" Type="http://schemas.openxmlformats.org/officeDocument/2006/relationships/hyperlink" Target="https://leetcode.com/problems/lexicographical-numbers/description/" TargetMode="External"/><Relationship Id="rId1405" Type="http://schemas.openxmlformats.org/officeDocument/2006/relationships/hyperlink" Target="https://leetcode.com/problems/mini-parser/description/" TargetMode="External"/><Relationship Id="rId1406" Type="http://schemas.openxmlformats.org/officeDocument/2006/relationships/hyperlink" Target="https://leetcode.com/problems/shuffle-an-array/description/" TargetMode="External"/><Relationship Id="rId1407" Type="http://schemas.openxmlformats.org/officeDocument/2006/relationships/hyperlink" Target="https://leetcode.com/problems/ransom-note/description/" TargetMode="External"/><Relationship Id="rId1408" Type="http://schemas.openxmlformats.org/officeDocument/2006/relationships/hyperlink" Target="https://leetcode.com/problems/linked-list-random-node/description/" TargetMode="External"/><Relationship Id="rId1409" Type="http://schemas.openxmlformats.org/officeDocument/2006/relationships/hyperlink" Target="https://leetcode.com/problems/insert-delete-getrandom-o1-duplicates-allowed/description/" TargetMode="External"/><Relationship Id="rId1433" Type="http://schemas.openxmlformats.org/officeDocument/2006/relationships/hyperlink" Target="https://leetcode.com/problems/count-numbers-with-unique-digits/description/" TargetMode="External"/><Relationship Id="rId1434" Type="http://schemas.openxmlformats.org/officeDocument/2006/relationships/hyperlink" Target="https://leetcode.com/problems/line-reflection/description/" TargetMode="External"/><Relationship Id="rId1435" Type="http://schemas.openxmlformats.org/officeDocument/2006/relationships/hyperlink" Target="https://leetcode.com/problems/design-twitter/description/" TargetMode="External"/><Relationship Id="rId1436" Type="http://schemas.openxmlformats.org/officeDocument/2006/relationships/hyperlink" Target="https://leetcode.com/problems/russian-doll-envelopes/description/" TargetMode="External"/><Relationship Id="rId1437" Type="http://schemas.openxmlformats.org/officeDocument/2006/relationships/hyperlink" Target="https://leetcode.com/problems/design-snake-game/description/" TargetMode="External"/><Relationship Id="rId1438" Type="http://schemas.openxmlformats.org/officeDocument/2006/relationships/hyperlink" Target="https://leetcode.com/problems/data-stream-as-disjoint-intervals/description/" TargetMode="External"/><Relationship Id="rId1439" Type="http://schemas.openxmlformats.org/officeDocument/2006/relationships/hyperlink" Target="https://leetcode.com/problems/android-unlock-patterns/description/" TargetMode="External"/><Relationship Id="rId609" Type="http://schemas.openxmlformats.org/officeDocument/2006/relationships/hyperlink" Target="https://leetcode.com/problems/day-of-the-week/description/" TargetMode="External"/><Relationship Id="rId608" Type="http://schemas.openxmlformats.org/officeDocument/2006/relationships/hyperlink" Target="https://leetcode.com/problems/maximum-subarray-sum-with-one-deletion/description/" TargetMode="External"/><Relationship Id="rId607" Type="http://schemas.openxmlformats.org/officeDocument/2006/relationships/hyperlink" Target="https://leetcode.com/problems/make-array-strictly-increasing/description/" TargetMode="External"/><Relationship Id="rId602" Type="http://schemas.openxmlformats.org/officeDocument/2006/relationships/hyperlink" Target="https://leetcode.com/problems/monthly-transactions-i/description/" TargetMode="External"/><Relationship Id="rId601" Type="http://schemas.openxmlformats.org/officeDocument/2006/relationships/hyperlink" Target="https://leetcode.com/problems/tournament-winners/description/" TargetMode="External"/><Relationship Id="rId600" Type="http://schemas.openxmlformats.org/officeDocument/2006/relationships/hyperlink" Target="https://leetcode.com/problems/how-many-apples-can-you-put-into-the-basket/description/" TargetMode="External"/><Relationship Id="rId606" Type="http://schemas.openxmlformats.org/officeDocument/2006/relationships/hyperlink" Target="https://leetcode.com/problems/maximum-number-of-balloons/description/" TargetMode="External"/><Relationship Id="rId605" Type="http://schemas.openxmlformats.org/officeDocument/2006/relationships/hyperlink" Target="https://leetcode.com/problems/reverse-substrings-between-each-pair-of-parentheses/description/" TargetMode="External"/><Relationship Id="rId604" Type="http://schemas.openxmlformats.org/officeDocument/2006/relationships/hyperlink" Target="https://leetcode.com/problems/k-concatenation-maximum-sum/description/" TargetMode="External"/><Relationship Id="rId603" Type="http://schemas.openxmlformats.org/officeDocument/2006/relationships/hyperlink" Target="https://leetcode.com/problems/critical-connections-in-a-network/description/" TargetMode="External"/><Relationship Id="rId1430" Type="http://schemas.openxmlformats.org/officeDocument/2006/relationships/hyperlink" Target="https://leetcode.com/problems/sort-transformed-array/description/" TargetMode="External"/><Relationship Id="rId1431" Type="http://schemas.openxmlformats.org/officeDocument/2006/relationships/hyperlink" Target="https://leetcode.com/problems/logger-rate-limiter/description/" TargetMode="External"/><Relationship Id="rId1432" Type="http://schemas.openxmlformats.org/officeDocument/2006/relationships/hyperlink" Target="https://leetcode.com/problems/rearrange-string-k-distance-apart/description/" TargetMode="External"/><Relationship Id="rId1422" Type="http://schemas.openxmlformats.org/officeDocument/2006/relationships/hyperlink" Target="https://leetcode.com/problems/largest-divisible-subset/description/" TargetMode="External"/><Relationship Id="rId1423" Type="http://schemas.openxmlformats.org/officeDocument/2006/relationships/hyperlink" Target="https://leetcode.com/problems/valid-perfect-square/description/" TargetMode="External"/><Relationship Id="rId1424" Type="http://schemas.openxmlformats.org/officeDocument/2006/relationships/hyperlink" Target="https://leetcode.com/problems/find-leaves-of-binary-tree/description/" TargetMode="External"/><Relationship Id="rId1425" Type="http://schemas.openxmlformats.org/officeDocument/2006/relationships/hyperlink" Target="https://leetcode.com/problems/water-and-jug-problem/description/" TargetMode="External"/><Relationship Id="rId1426" Type="http://schemas.openxmlformats.org/officeDocument/2006/relationships/hyperlink" Target="https://leetcode.com/problems/nested-list-weight-sum-ii/description/" TargetMode="External"/><Relationship Id="rId1427" Type="http://schemas.openxmlformats.org/officeDocument/2006/relationships/hyperlink" Target="https://leetcode.com/problems/max-sum-of-rectangle-no-larger-than-k/description/" TargetMode="External"/><Relationship Id="rId1428" Type="http://schemas.openxmlformats.org/officeDocument/2006/relationships/hyperlink" Target="https://leetcode.com/problems/design-hit-counter/description/" TargetMode="External"/><Relationship Id="rId1429" Type="http://schemas.openxmlformats.org/officeDocument/2006/relationships/hyperlink" Target="https://leetcode.com/problems/bomb-enemy/description/" TargetMode="External"/><Relationship Id="rId1420" Type="http://schemas.openxmlformats.org/officeDocument/2006/relationships/hyperlink" Target="https://leetcode.com/problems/range-addition/description/" TargetMode="External"/><Relationship Id="rId1421" Type="http://schemas.openxmlformats.org/officeDocument/2006/relationships/hyperlink" Target="https://leetcode.com/problems/plus-one-linked-list/description/" TargetMode="External"/><Relationship Id="rId1059" Type="http://schemas.openxmlformats.org/officeDocument/2006/relationships/hyperlink" Target="https://leetcode.com/problems/my-calendar-ii/description/" TargetMode="External"/><Relationship Id="rId228" Type="http://schemas.openxmlformats.org/officeDocument/2006/relationships/hyperlink" Target="https://leetcode.com/problems/maximum-length-of-subarray-with-positive-product/description/" TargetMode="External"/><Relationship Id="rId227" Type="http://schemas.openxmlformats.org/officeDocument/2006/relationships/hyperlink" Target="https://leetcode.com/problems/minimum-number-of-days-to-disconnect-island/description/" TargetMode="External"/><Relationship Id="rId226" Type="http://schemas.openxmlformats.org/officeDocument/2006/relationships/hyperlink" Target="https://leetcode.com/problems/number-of-ways-to-reorder-array-to-get-same-bst/description/" TargetMode="External"/><Relationship Id="rId225" Type="http://schemas.openxmlformats.org/officeDocument/2006/relationships/hyperlink" Target="https://leetcode.com/problems/dot-product-of-two-sparse-vectors/description/" TargetMode="External"/><Relationship Id="rId229" Type="http://schemas.openxmlformats.org/officeDocument/2006/relationships/hyperlink" Target="https://leetcode.com/problems/detect-pattern-of-length-m-repeated-k-or-more-times/description/" TargetMode="External"/><Relationship Id="rId1050" Type="http://schemas.openxmlformats.org/officeDocument/2006/relationships/hyperlink" Target="https://leetcode.com/problems/delete-and-earn/description/" TargetMode="External"/><Relationship Id="rId220" Type="http://schemas.openxmlformats.org/officeDocument/2006/relationships/hyperlink" Target="https://leetcode.com/problems/count-all-possible-routes/description/" TargetMode="External"/><Relationship Id="rId1051" Type="http://schemas.openxmlformats.org/officeDocument/2006/relationships/hyperlink" Target="https://leetcode.com/problems/daily-temperatures/description/" TargetMode="External"/><Relationship Id="rId1052" Type="http://schemas.openxmlformats.org/officeDocument/2006/relationships/hyperlink" Target="https://leetcode.com/problems/monotone-increasing-digits/description/" TargetMode="External"/><Relationship Id="rId1053" Type="http://schemas.openxmlformats.org/officeDocument/2006/relationships/hyperlink" Target="https://leetcode.com/problems/sentence-similarity-ii/description/" TargetMode="External"/><Relationship Id="rId1054" Type="http://schemas.openxmlformats.org/officeDocument/2006/relationships/hyperlink" Target="https://leetcode.com/problems/parse-lisp-expression/description/" TargetMode="External"/><Relationship Id="rId224" Type="http://schemas.openxmlformats.org/officeDocument/2006/relationships/hyperlink" Target="https://leetcode.com/problems/warehouse-manager/description/" TargetMode="External"/><Relationship Id="rId1055" Type="http://schemas.openxmlformats.org/officeDocument/2006/relationships/hyperlink" Target="https://leetcode.com/problems/asteroid-collision/description/" TargetMode="External"/><Relationship Id="rId223" Type="http://schemas.openxmlformats.org/officeDocument/2006/relationships/hyperlink" Target="https://leetcode.com/problems/matrix-diagonal-sum/description/" TargetMode="External"/><Relationship Id="rId1056" Type="http://schemas.openxmlformats.org/officeDocument/2006/relationships/hyperlink" Target="https://leetcode.com/problems/sentence-similarity/description/" TargetMode="External"/><Relationship Id="rId222" Type="http://schemas.openxmlformats.org/officeDocument/2006/relationships/hyperlink" Target="https://leetcode.com/problems/number-of-ways-to-split-a-string/description/" TargetMode="External"/><Relationship Id="rId1057" Type="http://schemas.openxmlformats.org/officeDocument/2006/relationships/hyperlink" Target="https://leetcode.com/problems/flood-fill/description/" TargetMode="External"/><Relationship Id="rId221" Type="http://schemas.openxmlformats.org/officeDocument/2006/relationships/hyperlink" Target="https://leetcode.com/problems/shortest-subarray-to-be-removed-to-make-array-sorted/description/" TargetMode="External"/><Relationship Id="rId1058" Type="http://schemas.openxmlformats.org/officeDocument/2006/relationships/hyperlink" Target="https://leetcode.com/problems/my-calendar-iii/description/" TargetMode="External"/><Relationship Id="rId1048" Type="http://schemas.openxmlformats.org/officeDocument/2006/relationships/hyperlink" Target="https://leetcode.com/problems/closest-leaf-in-a-binary-tree/description/" TargetMode="External"/><Relationship Id="rId1049" Type="http://schemas.openxmlformats.org/officeDocument/2006/relationships/hyperlink" Target="https://leetcode.com/problems/cherry-pickup/description/" TargetMode="External"/><Relationship Id="rId217" Type="http://schemas.openxmlformats.org/officeDocument/2006/relationships/hyperlink" Target="https://leetcode.com/problems/minimum-deletion-cost-to-avoid-repeating-letters/description/" TargetMode="External"/><Relationship Id="rId216" Type="http://schemas.openxmlformats.org/officeDocument/2006/relationships/hyperlink" Target="https://leetcode.com/problems/remove-max-number-of-edges-to-keep-graph-fully-traversable/description/" TargetMode="External"/><Relationship Id="rId215" Type="http://schemas.openxmlformats.org/officeDocument/2006/relationships/hyperlink" Target="https://leetcode.com/problems/put-boxes-into-the-warehouse-ii/description/" TargetMode="External"/><Relationship Id="rId699" Type="http://schemas.openxmlformats.org/officeDocument/2006/relationships/hyperlink" Target="https://leetcode.com/problems/shortest-path-in-binary-matrix/description/" TargetMode="External"/><Relationship Id="rId214" Type="http://schemas.openxmlformats.org/officeDocument/2006/relationships/hyperlink" Target="https://leetcode.com/problems/customer-who-visited-but-did-not-make-any-transactions/description/" TargetMode="External"/><Relationship Id="rId698" Type="http://schemas.openxmlformats.org/officeDocument/2006/relationships/hyperlink" Target="https://leetcode.com/problems/shortest-common-supersequence/description/" TargetMode="External"/><Relationship Id="rId219" Type="http://schemas.openxmlformats.org/officeDocument/2006/relationships/hyperlink" Target="https://leetcode.com/problems/replace-all-s-to-avoid-consecutive-repeating-characters/description/" TargetMode="External"/><Relationship Id="rId218" Type="http://schemas.openxmlformats.org/officeDocument/2006/relationships/hyperlink" Target="https://leetcode.com/problems/number-of-ways-where-square-of-number-is-equal-to-product-of-two-numbers/description/" TargetMode="External"/><Relationship Id="rId693" Type="http://schemas.openxmlformats.org/officeDocument/2006/relationships/hyperlink" Target="https://leetcode.com/problems/game-play-analysis-v/description/" TargetMode="External"/><Relationship Id="rId1040" Type="http://schemas.openxmlformats.org/officeDocument/2006/relationships/hyperlink" Target="https://leetcode.com/problems/number-of-corner-rectangles/description/" TargetMode="External"/><Relationship Id="rId692" Type="http://schemas.openxmlformats.org/officeDocument/2006/relationships/hyperlink" Target="https://leetcode.com/problems/unpopular-books/description/" TargetMode="External"/><Relationship Id="rId1041" Type="http://schemas.openxmlformats.org/officeDocument/2006/relationships/hyperlink" Target="https://leetcode.com/problems/contain-virus/description/" TargetMode="External"/><Relationship Id="rId691" Type="http://schemas.openxmlformats.org/officeDocument/2006/relationships/hyperlink" Target="https://leetcode.com/problems/two-sum-less-than-k/description/" TargetMode="External"/><Relationship Id="rId1042" Type="http://schemas.openxmlformats.org/officeDocument/2006/relationships/hyperlink" Target="https://leetcode.com/problems/shortest-completing-word/description/" TargetMode="External"/><Relationship Id="rId690" Type="http://schemas.openxmlformats.org/officeDocument/2006/relationships/hyperlink" Target="https://leetcode.com/problems/find-k-length-substrings-with-no-repeated-characters/description/" TargetMode="External"/><Relationship Id="rId1043" Type="http://schemas.openxmlformats.org/officeDocument/2006/relationships/hyperlink" Target="https://leetcode.com/problems/largest-number-at-least-twice-of-others/description/" TargetMode="External"/><Relationship Id="rId213" Type="http://schemas.openxmlformats.org/officeDocument/2006/relationships/hyperlink" Target="https://leetcode.com/problems/special-positions-in-a-binary-matrix/description/" TargetMode="External"/><Relationship Id="rId697" Type="http://schemas.openxmlformats.org/officeDocument/2006/relationships/hyperlink" Target="https://leetcode.com/problems/statistics-from-a-large-sample/description/" TargetMode="External"/><Relationship Id="rId1044" Type="http://schemas.openxmlformats.org/officeDocument/2006/relationships/hyperlink" Target="https://leetcode.com/problems/min-cost-climbing-stairs/description/" TargetMode="External"/><Relationship Id="rId212" Type="http://schemas.openxmlformats.org/officeDocument/2006/relationships/hyperlink" Target="https://leetcode.com/problems/count-unhappy-friends/description/" TargetMode="External"/><Relationship Id="rId696" Type="http://schemas.openxmlformats.org/officeDocument/2006/relationships/hyperlink" Target="https://leetcode.com/problems/car-pooling/description/" TargetMode="External"/><Relationship Id="rId1045" Type="http://schemas.openxmlformats.org/officeDocument/2006/relationships/hyperlink" Target="https://leetcode.com/problems/prefix-and-suffix-search/description/" TargetMode="External"/><Relationship Id="rId211" Type="http://schemas.openxmlformats.org/officeDocument/2006/relationships/hyperlink" Target="https://leetcode.com/problems/min-cost-to-connect-all-points/description/" TargetMode="External"/><Relationship Id="rId695" Type="http://schemas.openxmlformats.org/officeDocument/2006/relationships/hyperlink" Target="https://leetcode.com/problems/find-in-mountain-array/description/" TargetMode="External"/><Relationship Id="rId1046" Type="http://schemas.openxmlformats.org/officeDocument/2006/relationships/hyperlink" Target="https://leetcode.com/problems/find-smallest-letter-greater-than-target/description/" TargetMode="External"/><Relationship Id="rId210" Type="http://schemas.openxmlformats.org/officeDocument/2006/relationships/hyperlink" Target="https://leetcode.com/problems/check-if-string-is-transformable-with-substring-sort-operations/description/" TargetMode="External"/><Relationship Id="rId694" Type="http://schemas.openxmlformats.org/officeDocument/2006/relationships/hyperlink" Target="https://leetcode.com/problems/brace-expansion-ii/description/" TargetMode="External"/><Relationship Id="rId1047" Type="http://schemas.openxmlformats.org/officeDocument/2006/relationships/hyperlink" Target="https://leetcode.com/problems/network-delay-time/description/" TargetMode="External"/><Relationship Id="rId249" Type="http://schemas.openxmlformats.org/officeDocument/2006/relationships/hyperlink" Target="https://leetcode.com/problems/maximum-number-of-non-overlapping-subarrays-with-sum-equals-target/description/" TargetMode="External"/><Relationship Id="rId248" Type="http://schemas.openxmlformats.org/officeDocument/2006/relationships/hyperlink" Target="https://leetcode.com/problems/minimum-cost-to-cut-a-stick/description/" TargetMode="External"/><Relationship Id="rId247" Type="http://schemas.openxmlformats.org/officeDocument/2006/relationships/hyperlink" Target="https://leetcode.com/problems/the-most-similar-path-in-a-graph/description/" TargetMode="External"/><Relationship Id="rId1070" Type="http://schemas.openxmlformats.org/officeDocument/2006/relationships/hyperlink" Target="https://leetcode.com/problems/longest-word-in-dictionary/description/" TargetMode="External"/><Relationship Id="rId1071" Type="http://schemas.openxmlformats.org/officeDocument/2006/relationships/hyperlink" Target="https://leetcode.com/problems/find-k-th-smallest-pair-distance/description/" TargetMode="External"/><Relationship Id="rId1072" Type="http://schemas.openxmlformats.org/officeDocument/2006/relationships/hyperlink" Target="https://leetcode.com/problems/maximum-length-of-repeated-subarray/description/" TargetMode="External"/><Relationship Id="rId242" Type="http://schemas.openxmlformats.org/officeDocument/2006/relationships/hyperlink" Target="https://leetcode.com/problems/minimum-number-of-days-to-eat-n-oranges/description/" TargetMode="External"/><Relationship Id="rId1073" Type="http://schemas.openxmlformats.org/officeDocument/2006/relationships/hyperlink" Target="https://leetcode.com/problems/1-bit-and-2-bit-characters/description/" TargetMode="External"/><Relationship Id="rId241" Type="http://schemas.openxmlformats.org/officeDocument/2006/relationships/hyperlink" Target="https://leetcode.com/problems/strings-differ-by-one-character/description/" TargetMode="External"/><Relationship Id="rId1074" Type="http://schemas.openxmlformats.org/officeDocument/2006/relationships/hyperlink" Target="https://leetcode.com/problems/max-stack/description/" TargetMode="External"/><Relationship Id="rId240" Type="http://schemas.openxmlformats.org/officeDocument/2006/relationships/hyperlink" Target="https://leetcode.com/problems/bank-account-summary/description/" TargetMode="External"/><Relationship Id="rId1075" Type="http://schemas.openxmlformats.org/officeDocument/2006/relationships/hyperlink" Target="https://leetcode.com/problems/range-module/description/" TargetMode="External"/><Relationship Id="rId1076" Type="http://schemas.openxmlformats.org/officeDocument/2006/relationships/hyperlink" Target="https://leetcode.com/problems/best-time-to-buy-and-sell-stock-with-transaction-fee/description/" TargetMode="External"/><Relationship Id="rId246" Type="http://schemas.openxmlformats.org/officeDocument/2006/relationships/hyperlink" Target="https://leetcode.com/problems/the-most-recent-orders-for-each-product/description/" TargetMode="External"/><Relationship Id="rId1077" Type="http://schemas.openxmlformats.org/officeDocument/2006/relationships/hyperlink" Target="https://leetcode.com/problems/subarray-product-less-than-k/description/" TargetMode="External"/><Relationship Id="rId245" Type="http://schemas.openxmlformats.org/officeDocument/2006/relationships/hyperlink" Target="https://leetcode.com/problems/three-consecutive-odds/description/" TargetMode="External"/><Relationship Id="rId1078" Type="http://schemas.openxmlformats.org/officeDocument/2006/relationships/hyperlink" Target="https://leetcode.com/problems/minimum-ascii-delete-sum-for-two-strings/description/" TargetMode="External"/><Relationship Id="rId244" Type="http://schemas.openxmlformats.org/officeDocument/2006/relationships/hyperlink" Target="https://leetcode.com/problems/minimum-operations-to-make-array-equal/description/" TargetMode="External"/><Relationship Id="rId1079" Type="http://schemas.openxmlformats.org/officeDocument/2006/relationships/hyperlink" Target="https://leetcode.com/problems/number-of-distinct-islands-ii/description/" TargetMode="External"/><Relationship Id="rId243" Type="http://schemas.openxmlformats.org/officeDocument/2006/relationships/hyperlink" Target="https://leetcode.com/problems/magnetic-force-between-two-balls/description/" TargetMode="External"/><Relationship Id="rId239" Type="http://schemas.openxmlformats.org/officeDocument/2006/relationships/hyperlink" Target="https://leetcode.com/problems/thousand-separator/description/" TargetMode="External"/><Relationship Id="rId238" Type="http://schemas.openxmlformats.org/officeDocument/2006/relationships/hyperlink" Target="https://leetcode.com/problems/minimum-number-of-vertices-to-reach-all-nodes/description/" TargetMode="External"/><Relationship Id="rId237" Type="http://schemas.openxmlformats.org/officeDocument/2006/relationships/hyperlink" Target="https://leetcode.com/problems/minimum-numbers-of-function-calls-to-make-target-array/description/" TargetMode="External"/><Relationship Id="rId236" Type="http://schemas.openxmlformats.org/officeDocument/2006/relationships/hyperlink" Target="https://leetcode.com/problems/detect-cycles-in-2d-grid/description/" TargetMode="External"/><Relationship Id="rId1060" Type="http://schemas.openxmlformats.org/officeDocument/2006/relationships/hyperlink" Target="https://leetcode.com/problems/count-different-palindromic-subsequences/description/" TargetMode="External"/><Relationship Id="rId1061" Type="http://schemas.openxmlformats.org/officeDocument/2006/relationships/hyperlink" Target="https://leetcode.com/problems/my-calendar-i/description/" TargetMode="External"/><Relationship Id="rId231" Type="http://schemas.openxmlformats.org/officeDocument/2006/relationships/hyperlink" Target="https://leetcode.com/problems/put-boxes-into-the-warehouse-i/description/" TargetMode="External"/><Relationship Id="rId1062" Type="http://schemas.openxmlformats.org/officeDocument/2006/relationships/hyperlink" Target="https://leetcode.com/problems/self-dividing-numbers/description/" TargetMode="External"/><Relationship Id="rId230" Type="http://schemas.openxmlformats.org/officeDocument/2006/relationships/hyperlink" Target="https://leetcode.com/problems/unique-orders-and-customers-per-month/description/" TargetMode="External"/><Relationship Id="rId1063" Type="http://schemas.openxmlformats.org/officeDocument/2006/relationships/hyperlink" Target="https://leetcode.com/problems/minimum-window-subsequence/description/" TargetMode="External"/><Relationship Id="rId1064" Type="http://schemas.openxmlformats.org/officeDocument/2006/relationships/hyperlink" Target="https://leetcode.com/problems/number-of-atoms/description/" TargetMode="External"/><Relationship Id="rId1065" Type="http://schemas.openxmlformats.org/officeDocument/2006/relationships/hyperlink" Target="https://leetcode.com/problems/split-linked-list-in-parts/description/" TargetMode="External"/><Relationship Id="rId235" Type="http://schemas.openxmlformats.org/officeDocument/2006/relationships/hyperlink" Target="https://leetcode.com/problems/most-visited-sector-in-a-circular-track/description/" TargetMode="External"/><Relationship Id="rId1066" Type="http://schemas.openxmlformats.org/officeDocument/2006/relationships/hyperlink" Target="https://leetcode.com/problems/find-pivot-index/description/" TargetMode="External"/><Relationship Id="rId234" Type="http://schemas.openxmlformats.org/officeDocument/2006/relationships/hyperlink" Target="https://leetcode.com/problems/maximum-number-of-coins-you-can-get/description/" TargetMode="External"/><Relationship Id="rId1067" Type="http://schemas.openxmlformats.org/officeDocument/2006/relationships/hyperlink" Target="https://leetcode.com/problems/candy-crush/description/" TargetMode="External"/><Relationship Id="rId233" Type="http://schemas.openxmlformats.org/officeDocument/2006/relationships/hyperlink" Target="https://leetcode.com/problems/find-latest-group-of-size-m/description/" TargetMode="External"/><Relationship Id="rId1068" Type="http://schemas.openxmlformats.org/officeDocument/2006/relationships/hyperlink" Target="https://leetcode.com/problems/remove-comments/description/" TargetMode="External"/><Relationship Id="rId232" Type="http://schemas.openxmlformats.org/officeDocument/2006/relationships/hyperlink" Target="https://leetcode.com/problems/stone-game-v/description/" TargetMode="External"/><Relationship Id="rId1069" Type="http://schemas.openxmlformats.org/officeDocument/2006/relationships/hyperlink" Target="https://leetcode.com/problems/accounts-merge/description/" TargetMode="External"/><Relationship Id="rId1015" Type="http://schemas.openxmlformats.org/officeDocument/2006/relationships/hyperlink" Target="https://leetcode.com/problems/global-and-local-inversions/description/" TargetMode="External"/><Relationship Id="rId1499" Type="http://schemas.openxmlformats.org/officeDocument/2006/relationships/hyperlink" Target="https://leetcode.com/problems/word-pattern-ii/description/" TargetMode="External"/><Relationship Id="rId1016" Type="http://schemas.openxmlformats.org/officeDocument/2006/relationships/hyperlink" Target="https://leetcode.com/problems/minimize-max-distance-to-gas-station/description/" TargetMode="External"/><Relationship Id="rId1017" Type="http://schemas.openxmlformats.org/officeDocument/2006/relationships/hyperlink" Target="https://leetcode.com/problems/sliding-puzzle/description/" TargetMode="External"/><Relationship Id="rId1018" Type="http://schemas.openxmlformats.org/officeDocument/2006/relationships/hyperlink" Target="https://leetcode.com/problems/basic-calculator-iii/description/" TargetMode="External"/><Relationship Id="rId1019" Type="http://schemas.openxmlformats.org/officeDocument/2006/relationships/hyperlink" Target="https://leetcode.com/problems/jewels-and-stones/description/" TargetMode="External"/><Relationship Id="rId668" Type="http://schemas.openxmlformats.org/officeDocument/2006/relationships/hyperlink" Target="https://leetcode.com/problems/active-businesses/description/" TargetMode="External"/><Relationship Id="rId667" Type="http://schemas.openxmlformats.org/officeDocument/2006/relationships/hyperlink" Target="https://leetcode.com/problems/user-purchase-platform/description/" TargetMode="External"/><Relationship Id="rId666" Type="http://schemas.openxmlformats.org/officeDocument/2006/relationships/hyperlink" Target="https://leetcode.com/problems/number-of-equivalent-domino-pairs/description/" TargetMode="External"/><Relationship Id="rId665" Type="http://schemas.openxmlformats.org/officeDocument/2006/relationships/hyperlink" Target="https://leetcode.com/problems/shortest-path-with-alternating-colors/description/" TargetMode="External"/><Relationship Id="rId669" Type="http://schemas.openxmlformats.org/officeDocument/2006/relationships/hyperlink" Target="https://leetcode.com/problems/smallest-sufficient-team/description/" TargetMode="External"/><Relationship Id="rId1490" Type="http://schemas.openxmlformats.org/officeDocument/2006/relationships/hyperlink" Target="https://leetcode.com/problems/longest-increasing-subsequence/description/" TargetMode="External"/><Relationship Id="rId660" Type="http://schemas.openxmlformats.org/officeDocument/2006/relationships/hyperlink" Target="https://leetcode.com/problems/armstrong-number/description/" TargetMode="External"/><Relationship Id="rId1491" Type="http://schemas.openxmlformats.org/officeDocument/2006/relationships/hyperlink" Target="https://leetcode.com/problems/bulls-and-cows/description/" TargetMode="External"/><Relationship Id="rId1492" Type="http://schemas.openxmlformats.org/officeDocument/2006/relationships/hyperlink" Target="https://leetcode.com/problems/binary-tree-longest-consecutive-sequence/description/" TargetMode="External"/><Relationship Id="rId1493" Type="http://schemas.openxmlformats.org/officeDocument/2006/relationships/hyperlink" Target="https://leetcode.com/problems/serialize-and-deserialize-binary-tree/description/" TargetMode="External"/><Relationship Id="rId1010" Type="http://schemas.openxmlformats.org/officeDocument/2006/relationships/hyperlink" Target="https://leetcode.com/problems/reaching-points/description/" TargetMode="External"/><Relationship Id="rId1494" Type="http://schemas.openxmlformats.org/officeDocument/2006/relationships/hyperlink" Target="https://leetcode.com/problems/best-meeting-point/description/" TargetMode="External"/><Relationship Id="rId664" Type="http://schemas.openxmlformats.org/officeDocument/2006/relationships/hyperlink" Target="https://leetcode.com/problems/minimum-cost-tree-from-leaf-values/description/" TargetMode="External"/><Relationship Id="rId1011" Type="http://schemas.openxmlformats.org/officeDocument/2006/relationships/hyperlink" Target="https://leetcode.com/problems/k-th-symbol-in-grammar/description/" TargetMode="External"/><Relationship Id="rId1495" Type="http://schemas.openxmlformats.org/officeDocument/2006/relationships/hyperlink" Target="https://leetcode.com/problems/find-median-from-data-stream/description/" TargetMode="External"/><Relationship Id="rId663" Type="http://schemas.openxmlformats.org/officeDocument/2006/relationships/hyperlink" Target="https://leetcode.com/problems/maximum-of-absolute-value-expression/description/" TargetMode="External"/><Relationship Id="rId1012" Type="http://schemas.openxmlformats.org/officeDocument/2006/relationships/hyperlink" Target="https://leetcode.com/problems/swim-in-rising-water/description/" TargetMode="External"/><Relationship Id="rId1496" Type="http://schemas.openxmlformats.org/officeDocument/2006/relationships/hyperlink" Target="https://leetcode.com/problems/flip-game-ii/description/" TargetMode="External"/><Relationship Id="rId662" Type="http://schemas.openxmlformats.org/officeDocument/2006/relationships/hyperlink" Target="https://leetcode.com/problems/reported-posts-ii/description/" TargetMode="External"/><Relationship Id="rId1013" Type="http://schemas.openxmlformats.org/officeDocument/2006/relationships/hyperlink" Target="https://leetcode.com/problems/swap-adjacent-in-lr-string/description/" TargetMode="External"/><Relationship Id="rId1497" Type="http://schemas.openxmlformats.org/officeDocument/2006/relationships/hyperlink" Target="https://leetcode.com/problems/flip-game/description/" TargetMode="External"/><Relationship Id="rId661" Type="http://schemas.openxmlformats.org/officeDocument/2006/relationships/hyperlink" Target="https://leetcode.com/problems/largest-unique-number/description/" TargetMode="External"/><Relationship Id="rId1014" Type="http://schemas.openxmlformats.org/officeDocument/2006/relationships/hyperlink" Target="https://leetcode.com/problems/split-bst/description/" TargetMode="External"/><Relationship Id="rId1498" Type="http://schemas.openxmlformats.org/officeDocument/2006/relationships/hyperlink" Target="https://leetcode.com/problems/nim-game/description/" TargetMode="External"/><Relationship Id="rId1004" Type="http://schemas.openxmlformats.org/officeDocument/2006/relationships/hyperlink" Target="https://leetcode.com/problems/k-th-smallest-prime-fraction/description/" TargetMode="External"/><Relationship Id="rId1488" Type="http://schemas.openxmlformats.org/officeDocument/2006/relationships/hyperlink" Target="https://leetcode.com/problems/smallest-rectangle-enclosing-black-pixels/description/" TargetMode="External"/><Relationship Id="rId1005" Type="http://schemas.openxmlformats.org/officeDocument/2006/relationships/hyperlink" Target="https://leetcode.com/problems/is-graph-bipartite/description/" TargetMode="External"/><Relationship Id="rId1489" Type="http://schemas.openxmlformats.org/officeDocument/2006/relationships/hyperlink" Target="https://leetcode.com/problems/remove-invalid-parentheses/description/" TargetMode="External"/><Relationship Id="rId1006" Type="http://schemas.openxmlformats.org/officeDocument/2006/relationships/hyperlink" Target="https://leetcode.com/problems/letter-case-permutation/description/" TargetMode="External"/><Relationship Id="rId1007" Type="http://schemas.openxmlformats.org/officeDocument/2006/relationships/hyperlink" Target="https://leetcode.com/problems/minimum-distance-between-bst-nodes/description/" TargetMode="External"/><Relationship Id="rId1008" Type="http://schemas.openxmlformats.org/officeDocument/2006/relationships/hyperlink" Target="https://leetcode.com/problems/transform-to-chessboard/description/" TargetMode="External"/><Relationship Id="rId1009" Type="http://schemas.openxmlformats.org/officeDocument/2006/relationships/hyperlink" Target="https://leetcode.com/problems/rabbits-in-forest/description/" TargetMode="External"/><Relationship Id="rId657" Type="http://schemas.openxmlformats.org/officeDocument/2006/relationships/hyperlink" Target="https://leetcode.com/problems/n-th-tribonacci-number/description/" TargetMode="External"/><Relationship Id="rId656" Type="http://schemas.openxmlformats.org/officeDocument/2006/relationships/hyperlink" Target="https://leetcode.com/problems/alphabet-board-path/description/" TargetMode="External"/><Relationship Id="rId655" Type="http://schemas.openxmlformats.org/officeDocument/2006/relationships/hyperlink" Target="https://leetcode.com/problems/largest-1-bordered-square/description/" TargetMode="External"/><Relationship Id="rId654" Type="http://schemas.openxmlformats.org/officeDocument/2006/relationships/hyperlink" Target="https://leetcode.com/problems/stone-game-ii/description/" TargetMode="External"/><Relationship Id="rId659" Type="http://schemas.openxmlformats.org/officeDocument/2006/relationships/hyperlink" Target="https://leetcode.com/problems/connecting-cities-with-minimum-cost/description/" TargetMode="External"/><Relationship Id="rId658" Type="http://schemas.openxmlformats.org/officeDocument/2006/relationships/hyperlink" Target="https://leetcode.com/problems/parallel-courses/description/" TargetMode="External"/><Relationship Id="rId1480" Type="http://schemas.openxmlformats.org/officeDocument/2006/relationships/hyperlink" Target="https://leetcode.com/problems/minimum-height-trees/description/" TargetMode="External"/><Relationship Id="rId1481" Type="http://schemas.openxmlformats.org/officeDocument/2006/relationships/hyperlink" Target="https://leetcode.com/problems/best-time-to-buy-and-sell-stock-with-cooldown/description/" TargetMode="External"/><Relationship Id="rId1482" Type="http://schemas.openxmlformats.org/officeDocument/2006/relationships/hyperlink" Target="https://leetcode.com/problems/range-sum-query-2d-mutable/description/" TargetMode="External"/><Relationship Id="rId1483" Type="http://schemas.openxmlformats.org/officeDocument/2006/relationships/hyperlink" Target="https://leetcode.com/problems/range-sum-query-mutable/description/" TargetMode="External"/><Relationship Id="rId653" Type="http://schemas.openxmlformats.org/officeDocument/2006/relationships/hyperlink" Target="https://leetcode.com/problems/user-activity-for-the-past-30-days-i/description/" TargetMode="External"/><Relationship Id="rId1000" Type="http://schemas.openxmlformats.org/officeDocument/2006/relationships/hyperlink" Target="https://leetcode.com/problems/domino-and-tromino-tiling/description/" TargetMode="External"/><Relationship Id="rId1484" Type="http://schemas.openxmlformats.org/officeDocument/2006/relationships/hyperlink" Target="https://leetcode.com/problems/additive-number/description/" TargetMode="External"/><Relationship Id="rId652" Type="http://schemas.openxmlformats.org/officeDocument/2006/relationships/hyperlink" Target="https://leetcode.com/problems/user-activity-for-the-past-30-days-ii/description/" TargetMode="External"/><Relationship Id="rId1001" Type="http://schemas.openxmlformats.org/officeDocument/2006/relationships/hyperlink" Target="https://leetcode.com/problems/escape-the-ghosts/description/" TargetMode="External"/><Relationship Id="rId1485" Type="http://schemas.openxmlformats.org/officeDocument/2006/relationships/hyperlink" Target="https://leetcode.com/problems/number-of-islands-ii/description/" TargetMode="External"/><Relationship Id="rId651" Type="http://schemas.openxmlformats.org/officeDocument/2006/relationships/hyperlink" Target="https://leetcode.com/problems/longest-common-subsequence/description/" TargetMode="External"/><Relationship Id="rId1002" Type="http://schemas.openxmlformats.org/officeDocument/2006/relationships/hyperlink" Target="https://leetcode.com/problems/rotated-digits/description/" TargetMode="External"/><Relationship Id="rId1486" Type="http://schemas.openxmlformats.org/officeDocument/2006/relationships/hyperlink" Target="https://leetcode.com/problems/range-sum-query-2d-immutable/description/" TargetMode="External"/><Relationship Id="rId650" Type="http://schemas.openxmlformats.org/officeDocument/2006/relationships/hyperlink" Target="https://leetcode.com/problems/decrease-elements-to-make-array-zigzag/description/" TargetMode="External"/><Relationship Id="rId1003" Type="http://schemas.openxmlformats.org/officeDocument/2006/relationships/hyperlink" Target="https://leetcode.com/problems/cheapest-flights-within-k-stops/description/" TargetMode="External"/><Relationship Id="rId1487" Type="http://schemas.openxmlformats.org/officeDocument/2006/relationships/hyperlink" Target="https://leetcode.com/problems/range-sum-query-immutable/description/" TargetMode="External"/><Relationship Id="rId1037" Type="http://schemas.openxmlformats.org/officeDocument/2006/relationships/hyperlink" Target="https://leetcode.com/problems/cracking-the-safe/description/" TargetMode="External"/><Relationship Id="rId1038" Type="http://schemas.openxmlformats.org/officeDocument/2006/relationships/hyperlink" Target="https://leetcode.com/problems/open-the-lock/description/" TargetMode="External"/><Relationship Id="rId1039" Type="http://schemas.openxmlformats.org/officeDocument/2006/relationships/hyperlink" Target="https://leetcode.com/problems/ip-to-cidr/description/" TargetMode="External"/><Relationship Id="rId206" Type="http://schemas.openxmlformats.org/officeDocument/2006/relationships/hyperlink" Target="https://leetcode.com/problems/maximum-sum-obtained-of-any-permutation/description/" TargetMode="External"/><Relationship Id="rId205" Type="http://schemas.openxmlformats.org/officeDocument/2006/relationships/hyperlink" Target="https://leetcode.com/problems/make-sum-divisible-by-p/description/" TargetMode="External"/><Relationship Id="rId689" Type="http://schemas.openxmlformats.org/officeDocument/2006/relationships/hyperlink" Target="https://leetcode.com/problems/the-earliest-moment-when-everyone-become-friends/description/" TargetMode="External"/><Relationship Id="rId204" Type="http://schemas.openxmlformats.org/officeDocument/2006/relationships/hyperlink" Target="https://leetcode.com/problems/strange-printer-ii/description/" TargetMode="External"/><Relationship Id="rId688" Type="http://schemas.openxmlformats.org/officeDocument/2006/relationships/hyperlink" Target="https://leetcode.com/problems/path-with-maximum-minimum-value/description/" TargetMode="External"/><Relationship Id="rId203" Type="http://schemas.openxmlformats.org/officeDocument/2006/relationships/hyperlink" Target="https://leetcode.com/problems/rearrange-spaces-between-words/description/" TargetMode="External"/><Relationship Id="rId687" Type="http://schemas.openxmlformats.org/officeDocument/2006/relationships/hyperlink" Target="https://leetcode.com/problems/distribute-candies-to-people/description/" TargetMode="External"/><Relationship Id="rId209" Type="http://schemas.openxmlformats.org/officeDocument/2006/relationships/hyperlink" Target="https://leetcode.com/problems/binary-search-tree-iterator-ii/description/" TargetMode="External"/><Relationship Id="rId208" Type="http://schemas.openxmlformats.org/officeDocument/2006/relationships/hyperlink" Target="https://leetcode.com/problems/bank-account-summary-ii/description/" TargetMode="External"/><Relationship Id="rId207" Type="http://schemas.openxmlformats.org/officeDocument/2006/relationships/hyperlink" Target="https://leetcode.com/problems/sum-of-all-odd-length-subarrays/description/" TargetMode="External"/><Relationship Id="rId682" Type="http://schemas.openxmlformats.org/officeDocument/2006/relationships/hyperlink" Target="https://leetcode.com/problems/defanging-an-ip-address/description/" TargetMode="External"/><Relationship Id="rId681" Type="http://schemas.openxmlformats.org/officeDocument/2006/relationships/hyperlink" Target="https://leetcode.com/problems/corporate-flight-bookings/description/" TargetMode="External"/><Relationship Id="rId1030" Type="http://schemas.openxmlformats.org/officeDocument/2006/relationships/hyperlink" Target="https://leetcode.com/problems/find-anagram-mappings/description/" TargetMode="External"/><Relationship Id="rId680" Type="http://schemas.openxmlformats.org/officeDocument/2006/relationships/hyperlink" Target="https://leetcode.com/problems/delete-nodes-and-return-forest/description/" TargetMode="External"/><Relationship Id="rId1031" Type="http://schemas.openxmlformats.org/officeDocument/2006/relationships/hyperlink" Target="https://leetcode.com/problems/employee-free-time/description/" TargetMode="External"/><Relationship Id="rId1032" Type="http://schemas.openxmlformats.org/officeDocument/2006/relationships/hyperlink" Target="https://leetcode.com/problems/bold-words-in-string/description/" TargetMode="External"/><Relationship Id="rId202" Type="http://schemas.openxmlformats.org/officeDocument/2006/relationships/hyperlink" Target="https://leetcode.com/problems/split-a-string-into-the-max-number-of-unique-substrings/description/" TargetMode="External"/><Relationship Id="rId686" Type="http://schemas.openxmlformats.org/officeDocument/2006/relationships/hyperlink" Target="https://leetcode.com/problems/path-in-zigzag-labelled-binary-tree/description/" TargetMode="External"/><Relationship Id="rId1033" Type="http://schemas.openxmlformats.org/officeDocument/2006/relationships/hyperlink" Target="https://leetcode.com/problems/set-intersection-size-at-least-two/description/" TargetMode="External"/><Relationship Id="rId201" Type="http://schemas.openxmlformats.org/officeDocument/2006/relationships/hyperlink" Target="https://leetcode.com/problems/maximum-non-negative-product-in-a-matrix/description/" TargetMode="External"/><Relationship Id="rId685" Type="http://schemas.openxmlformats.org/officeDocument/2006/relationships/hyperlink" Target="https://leetcode.com/problems/filling-bookcase-shelves/description/" TargetMode="External"/><Relationship Id="rId1034" Type="http://schemas.openxmlformats.org/officeDocument/2006/relationships/hyperlink" Target="https://leetcode.com/problems/pyramid-transition-matrix/description/" TargetMode="External"/><Relationship Id="rId200" Type="http://schemas.openxmlformats.org/officeDocument/2006/relationships/hyperlink" Target="https://leetcode.com/problems/minimum-cost-to-connect-two-groups-of-points/description/" TargetMode="External"/><Relationship Id="rId684" Type="http://schemas.openxmlformats.org/officeDocument/2006/relationships/hyperlink" Target="https://leetcode.com/problems/parsing-a-boolean-expression/description/" TargetMode="External"/><Relationship Id="rId1035" Type="http://schemas.openxmlformats.org/officeDocument/2006/relationships/hyperlink" Target="https://leetcode.com/problems/pour-water/description/" TargetMode="External"/><Relationship Id="rId683" Type="http://schemas.openxmlformats.org/officeDocument/2006/relationships/hyperlink" Target="https://leetcode.com/problems/new-users-daily-count/description/" TargetMode="External"/><Relationship Id="rId1036" Type="http://schemas.openxmlformats.org/officeDocument/2006/relationships/hyperlink" Target="https://leetcode.com/problems/reach-a-number/description/" TargetMode="External"/><Relationship Id="rId1026" Type="http://schemas.openxmlformats.org/officeDocument/2006/relationships/hyperlink" Target="https://leetcode.com/problems/largest-plus-sign/description/" TargetMode="External"/><Relationship Id="rId1027" Type="http://schemas.openxmlformats.org/officeDocument/2006/relationships/hyperlink" Target="https://leetcode.com/problems/partition-labels/description/" TargetMode="External"/><Relationship Id="rId1028" Type="http://schemas.openxmlformats.org/officeDocument/2006/relationships/hyperlink" Target="https://leetcode.com/problems/prime-number-of-set-bits-in-binary-representation/description/" TargetMode="External"/><Relationship Id="rId1029" Type="http://schemas.openxmlformats.org/officeDocument/2006/relationships/hyperlink" Target="https://leetcode.com/problems/special-binary-string/description/" TargetMode="External"/><Relationship Id="rId679" Type="http://schemas.openxmlformats.org/officeDocument/2006/relationships/hyperlink" Target="https://leetcode.com/problems/maximum-nesting-depth-of-two-valid-parentheses-strings/description/" TargetMode="External"/><Relationship Id="rId678" Type="http://schemas.openxmlformats.org/officeDocument/2006/relationships/hyperlink" Target="https://leetcode.com/problems/highest-grade-for-each-student/description/" TargetMode="External"/><Relationship Id="rId677" Type="http://schemas.openxmlformats.org/officeDocument/2006/relationships/hyperlink" Target="https://leetcode.com/problems/reported-posts/description/" TargetMode="External"/><Relationship Id="rId676" Type="http://schemas.openxmlformats.org/officeDocument/2006/relationships/hyperlink" Target="https://leetcode.com/problems/number-of-days-in-a-month/description/" TargetMode="External"/><Relationship Id="rId671" Type="http://schemas.openxmlformats.org/officeDocument/2006/relationships/hyperlink" Target="https://leetcode.com/problems/lowest-common-ancestor-of-deepest-leaves/description/" TargetMode="External"/><Relationship Id="rId670" Type="http://schemas.openxmlformats.org/officeDocument/2006/relationships/hyperlink" Target="https://leetcode.com/problems/longest-well-performing-interval/description/" TargetMode="External"/><Relationship Id="rId1020" Type="http://schemas.openxmlformats.org/officeDocument/2006/relationships/hyperlink" Target="https://leetcode.com/problems/basic-calculator-iv/description/" TargetMode="External"/><Relationship Id="rId1021" Type="http://schemas.openxmlformats.org/officeDocument/2006/relationships/hyperlink" Target="https://leetcode.com/problems/max-chunks-to-make-sorted/description/" TargetMode="External"/><Relationship Id="rId675" Type="http://schemas.openxmlformats.org/officeDocument/2006/relationships/hyperlink" Target="https://leetcode.com/problems/remove-vowels-from-a-string/description/" TargetMode="External"/><Relationship Id="rId1022" Type="http://schemas.openxmlformats.org/officeDocument/2006/relationships/hyperlink" Target="https://leetcode.com/problems/max-chunks-to-make-sorted-ii/description/" TargetMode="External"/><Relationship Id="rId674" Type="http://schemas.openxmlformats.org/officeDocument/2006/relationships/hyperlink" Target="https://leetcode.com/problems/maximum-average-subtree/description/" TargetMode="External"/><Relationship Id="rId1023" Type="http://schemas.openxmlformats.org/officeDocument/2006/relationships/hyperlink" Target="https://leetcode.com/problems/reorganize-string/description/" TargetMode="External"/><Relationship Id="rId673" Type="http://schemas.openxmlformats.org/officeDocument/2006/relationships/hyperlink" Target="https://leetcode.com/problems/divide-array-into-increasing-sequences/description/" TargetMode="External"/><Relationship Id="rId1024" Type="http://schemas.openxmlformats.org/officeDocument/2006/relationships/hyperlink" Target="https://leetcode.com/problems/toeplitz-matrix/description/" TargetMode="External"/><Relationship Id="rId672" Type="http://schemas.openxmlformats.org/officeDocument/2006/relationships/hyperlink" Target="https://leetcode.com/problems/relative-sort-array/description/" TargetMode="External"/><Relationship Id="rId1025" Type="http://schemas.openxmlformats.org/officeDocument/2006/relationships/hyperlink" Target="https://leetcode.com/problems/couples-holding-hands/description/" TargetMode="External"/><Relationship Id="rId190" Type="http://schemas.openxmlformats.org/officeDocument/2006/relationships/hyperlink" Target="https://leetcode.com/problems/find-valid-matrix-given-row-and-column-sums/description/" TargetMode="External"/><Relationship Id="rId194" Type="http://schemas.openxmlformats.org/officeDocument/2006/relationships/hyperlink" Target="https://leetcode.com/problems/maximum-number-of-achievable-transfer-requests/description/" TargetMode="External"/><Relationship Id="rId193" Type="http://schemas.openxmlformats.org/officeDocument/2006/relationships/hyperlink" Target="https://leetcode.com/problems/find-nearest-right-node-in-binary-tree/description/" TargetMode="External"/><Relationship Id="rId192" Type="http://schemas.openxmlformats.org/officeDocument/2006/relationships/hyperlink" Target="https://leetcode.com/problems/design-parking-system/description/" TargetMode="External"/><Relationship Id="rId191" Type="http://schemas.openxmlformats.org/officeDocument/2006/relationships/hyperlink" Target="https://leetcode.com/problems/alert-using-same-key-card-three-or-more-times-in-a-one-hour-period/description/" TargetMode="External"/><Relationship Id="rId187" Type="http://schemas.openxmlformats.org/officeDocument/2006/relationships/hyperlink" Target="https://leetcode.com/problems/special-array-with-x-elements-greater-than-or-equal-x/description/" TargetMode="External"/><Relationship Id="rId186" Type="http://schemas.openxmlformats.org/officeDocument/2006/relationships/hyperlink" Target="https://leetcode.com/problems/even-odd-tree/description/" TargetMode="External"/><Relationship Id="rId185" Type="http://schemas.openxmlformats.org/officeDocument/2006/relationships/hyperlink" Target="https://leetcode.com/problems/maximum-number-of-visible-points/description/" TargetMode="External"/><Relationship Id="rId184" Type="http://schemas.openxmlformats.org/officeDocument/2006/relationships/hyperlink" Target="https://leetcode.com/problems/minimum-one-bit-operations-to-make-integers-zero/description/" TargetMode="External"/><Relationship Id="rId189" Type="http://schemas.openxmlformats.org/officeDocument/2006/relationships/hyperlink" Target="https://leetcode.com/problems/find-servers-that-handled-most-number-of-requests/description/" TargetMode="External"/><Relationship Id="rId188" Type="http://schemas.openxmlformats.org/officeDocument/2006/relationships/hyperlink" Target="https://leetcode.com/problems/sellers-with-no-sales/description/" TargetMode="External"/><Relationship Id="rId183" Type="http://schemas.openxmlformats.org/officeDocument/2006/relationships/hyperlink" Target="https://leetcode.com/problems/check-if-two-expression-trees-are-equivalent/description/" TargetMode="External"/><Relationship Id="rId182" Type="http://schemas.openxmlformats.org/officeDocument/2006/relationships/hyperlink" Target="https://leetcode.com/problems/find-the-missing-ids/description/" TargetMode="External"/><Relationship Id="rId181" Type="http://schemas.openxmlformats.org/officeDocument/2006/relationships/hyperlink" Target="https://leetcode.com/problems/maximum-nesting-depth-of-the-parentheses/description/" TargetMode="External"/><Relationship Id="rId180" Type="http://schemas.openxmlformats.org/officeDocument/2006/relationships/hyperlink" Target="https://leetcode.com/problems/maximal-network-rank/description/" TargetMode="External"/><Relationship Id="rId176" Type="http://schemas.openxmlformats.org/officeDocument/2006/relationships/hyperlink" Target="https://leetcode.com/problems/mean-of-array-after-removing-some-elements/description/" TargetMode="External"/><Relationship Id="rId175" Type="http://schemas.openxmlformats.org/officeDocument/2006/relationships/hyperlink" Target="https://leetcode.com/problems/coordinate-with-maximum-network-quality/description/" TargetMode="External"/><Relationship Id="rId174" Type="http://schemas.openxmlformats.org/officeDocument/2006/relationships/hyperlink" Target="https://leetcode.com/problems/number-of-sets-of-k-non-overlapping-line-segments/description/" TargetMode="External"/><Relationship Id="rId173" Type="http://schemas.openxmlformats.org/officeDocument/2006/relationships/hyperlink" Target="https://leetcode.com/problems/fancy-sequence/description/" TargetMode="External"/><Relationship Id="rId179" Type="http://schemas.openxmlformats.org/officeDocument/2006/relationships/hyperlink" Target="https://leetcode.com/problems/split-two-strings-to-make-palindrome/description/" TargetMode="External"/><Relationship Id="rId178" Type="http://schemas.openxmlformats.org/officeDocument/2006/relationships/hyperlink" Target="https://leetcode.com/problems/count-subtrees-with-max-distance-between-cities/description/" TargetMode="External"/><Relationship Id="rId177" Type="http://schemas.openxmlformats.org/officeDocument/2006/relationships/hyperlink" Target="https://leetcode.com/problems/maximum-font-to-fit-a-sentence-in-a-screen/description/" TargetMode="External"/><Relationship Id="rId198" Type="http://schemas.openxmlformats.org/officeDocument/2006/relationships/hyperlink" Target="https://leetcode.com/problems/build-binary-expression-tree-from-infix-expression/description/" TargetMode="External"/><Relationship Id="rId197" Type="http://schemas.openxmlformats.org/officeDocument/2006/relationships/hyperlink" Target="https://leetcode.com/problems/crawler-log-folder/description/" TargetMode="External"/><Relationship Id="rId196" Type="http://schemas.openxmlformats.org/officeDocument/2006/relationships/hyperlink" Target="https://leetcode.com/problems/maximum-profit-of-operating-a-centennial-wheel/description/" TargetMode="External"/><Relationship Id="rId195" Type="http://schemas.openxmlformats.org/officeDocument/2006/relationships/hyperlink" Target="https://leetcode.com/problems/throne-inheritance/description/" TargetMode="External"/><Relationship Id="rId199" Type="http://schemas.openxmlformats.org/officeDocument/2006/relationships/hyperlink" Target="https://leetcode.com/problems/the-most-frequently-ordered-products-for-each-customer/description/" TargetMode="External"/><Relationship Id="rId150" Type="http://schemas.openxmlformats.org/officeDocument/2006/relationships/hyperlink" Target="https://leetcode.com/problems/hopper-company-queries-ii/description/" TargetMode="External"/><Relationship Id="rId149" Type="http://schemas.openxmlformats.org/officeDocument/2006/relationships/hyperlink" Target="https://leetcode.com/problems/get-maximum-in-generated-array/description/" TargetMode="External"/><Relationship Id="rId148" Type="http://schemas.openxmlformats.org/officeDocument/2006/relationships/hyperlink" Target="https://leetcode.com/problems/minimum-deletions-to-make-character-frequencies-unique/description/" TargetMode="External"/><Relationship Id="rId1090" Type="http://schemas.openxmlformats.org/officeDocument/2006/relationships/hyperlink" Target="https://leetcode.com/problems/search-in-a-binary-search-tree/description/" TargetMode="External"/><Relationship Id="rId1091" Type="http://schemas.openxmlformats.org/officeDocument/2006/relationships/hyperlink" Target="https://leetcode.com/problems/falling-squares/description/" TargetMode="External"/><Relationship Id="rId1092" Type="http://schemas.openxmlformats.org/officeDocument/2006/relationships/hyperlink" Target="https://leetcode.com/problems/partition-to-k-equal-sum-subsets/description/" TargetMode="External"/><Relationship Id="rId1093" Type="http://schemas.openxmlformats.org/officeDocument/2006/relationships/hyperlink" Target="https://leetcode.com/problems/degree-of-an-array/description/" TargetMode="External"/><Relationship Id="rId1094" Type="http://schemas.openxmlformats.org/officeDocument/2006/relationships/hyperlink" Target="https://leetcode.com/problems/count-binary-substrings/description/" TargetMode="External"/><Relationship Id="rId143" Type="http://schemas.openxmlformats.org/officeDocument/2006/relationships/hyperlink" Target="https://leetcode.com/problems/defuse-the-bomb/description/" TargetMode="External"/><Relationship Id="rId1095" Type="http://schemas.openxmlformats.org/officeDocument/2006/relationships/hyperlink" Target="https://leetcode.com/problems/max-area-of-island/description/" TargetMode="External"/><Relationship Id="rId142" Type="http://schemas.openxmlformats.org/officeDocument/2006/relationships/hyperlink" Target="https://leetcode.com/problems/minimum-deletions-to-make-string-balanced/description/" TargetMode="External"/><Relationship Id="rId1096" Type="http://schemas.openxmlformats.org/officeDocument/2006/relationships/hyperlink" Target="https://leetcode.com/problems/number-of-distinct-islands/description/" TargetMode="External"/><Relationship Id="rId141" Type="http://schemas.openxmlformats.org/officeDocument/2006/relationships/hyperlink" Target="https://leetcode.com/problems/minimum-jumps-to-reach-home/description/" TargetMode="External"/><Relationship Id="rId1097" Type="http://schemas.openxmlformats.org/officeDocument/2006/relationships/hyperlink" Target="https://leetcode.com/problems/binary-number-with-alternating-bits/description/" TargetMode="External"/><Relationship Id="rId140" Type="http://schemas.openxmlformats.org/officeDocument/2006/relationships/hyperlink" Target="https://leetcode.com/problems/distribute-repeating-integers/description/" TargetMode="External"/><Relationship Id="rId1098" Type="http://schemas.openxmlformats.org/officeDocument/2006/relationships/hyperlink" Target="https://leetcode.com/problems/top-k-frequent-words/description/" TargetMode="External"/><Relationship Id="rId147" Type="http://schemas.openxmlformats.org/officeDocument/2006/relationships/hyperlink" Target="https://leetcode.com/problems/sell-diminishing-valued-colored-balls/description/" TargetMode="External"/><Relationship Id="rId1099" Type="http://schemas.openxmlformats.org/officeDocument/2006/relationships/hyperlink" Target="https://leetcode.com/problems/stickers-to-spell-word/description/" TargetMode="External"/><Relationship Id="rId146" Type="http://schemas.openxmlformats.org/officeDocument/2006/relationships/hyperlink" Target="https://leetcode.com/problems/create-sorted-array-through-instructions/description/" TargetMode="External"/><Relationship Id="rId145" Type="http://schemas.openxmlformats.org/officeDocument/2006/relationships/hyperlink" Target="https://leetcode.com/problems/lowest-common-ancestor-of-a-binary-tree-iii/description/" TargetMode="External"/><Relationship Id="rId144" Type="http://schemas.openxmlformats.org/officeDocument/2006/relationships/hyperlink" Target="https://leetcode.com/problems/hopper-company-queries-iii/description/" TargetMode="External"/><Relationship Id="rId139" Type="http://schemas.openxmlformats.org/officeDocument/2006/relationships/hyperlink" Target="https://leetcode.com/problems/design-an-ordered-stream/description/" TargetMode="External"/><Relationship Id="rId138" Type="http://schemas.openxmlformats.org/officeDocument/2006/relationships/hyperlink" Target="https://leetcode.com/problems/determine-if-two-strings-are-close/description/" TargetMode="External"/><Relationship Id="rId137" Type="http://schemas.openxmlformats.org/officeDocument/2006/relationships/hyperlink" Target="https://leetcode.com/problems/minimum-operations-to-reduce-x-to-zero/description/" TargetMode="External"/><Relationship Id="rId1080" Type="http://schemas.openxmlformats.org/officeDocument/2006/relationships/hyperlink" Target="https://leetcode.com/problems/random-pick-with-blacklist/description/" TargetMode="External"/><Relationship Id="rId1081" Type="http://schemas.openxmlformats.org/officeDocument/2006/relationships/hyperlink" Target="https://leetcode.com/problems/to-lower-case/description/" TargetMode="External"/><Relationship Id="rId1082" Type="http://schemas.openxmlformats.org/officeDocument/2006/relationships/hyperlink" Target="https://leetcode.com/problems/insert-into-a-sorted-circular-linked-list/description/" TargetMode="External"/><Relationship Id="rId1083" Type="http://schemas.openxmlformats.org/officeDocument/2006/relationships/hyperlink" Target="https://leetcode.com/problems/design-linked-list/description/" TargetMode="External"/><Relationship Id="rId132" Type="http://schemas.openxmlformats.org/officeDocument/2006/relationships/hyperlink" Target="https://leetcode.com/problems/smallest-string-with-a-given-numeric-value/description/" TargetMode="External"/><Relationship Id="rId1084" Type="http://schemas.openxmlformats.org/officeDocument/2006/relationships/hyperlink" Target="https://leetcode.com/problems/design-hashmap/description/" TargetMode="External"/><Relationship Id="rId131" Type="http://schemas.openxmlformats.org/officeDocument/2006/relationships/hyperlink" Target="https://leetcode.com/problems/ways-to-make-a-fair-array/description/" TargetMode="External"/><Relationship Id="rId1085" Type="http://schemas.openxmlformats.org/officeDocument/2006/relationships/hyperlink" Target="https://leetcode.com/problems/design-hashset/description/" TargetMode="External"/><Relationship Id="rId130" Type="http://schemas.openxmlformats.org/officeDocument/2006/relationships/hyperlink" Target="https://leetcode.com/problems/minimum-initial-energy-to-finish-tasks/description/" TargetMode="External"/><Relationship Id="rId1086" Type="http://schemas.openxmlformats.org/officeDocument/2006/relationships/hyperlink" Target="https://leetcode.com/problems/binary-search/description/" TargetMode="External"/><Relationship Id="rId1087" Type="http://schemas.openxmlformats.org/officeDocument/2006/relationships/hyperlink" Target="https://leetcode.com/problems/kth-largest-element-in-a-stream/description/" TargetMode="External"/><Relationship Id="rId136" Type="http://schemas.openxmlformats.org/officeDocument/2006/relationships/hyperlink" Target="https://leetcode.com/problems/maximize-grid-happiness/description/" TargetMode="External"/><Relationship Id="rId1088" Type="http://schemas.openxmlformats.org/officeDocument/2006/relationships/hyperlink" Target="https://leetcode.com/problems/search-in-a-sorted-array-of-unknown-size/description/" TargetMode="External"/><Relationship Id="rId135" Type="http://schemas.openxmlformats.org/officeDocument/2006/relationships/hyperlink" Target="https://leetcode.com/problems/correct-a-binary-tree/description/" TargetMode="External"/><Relationship Id="rId1089" Type="http://schemas.openxmlformats.org/officeDocument/2006/relationships/hyperlink" Target="https://leetcode.com/problems/insert-into-a-binary-search-tree/description/" TargetMode="External"/><Relationship Id="rId134" Type="http://schemas.openxmlformats.org/officeDocument/2006/relationships/hyperlink" Target="https://leetcode.com/problems/average-time-of-process-per-machine/description/" TargetMode="External"/><Relationship Id="rId133" Type="http://schemas.openxmlformats.org/officeDocument/2006/relationships/hyperlink" Target="https://leetcode.com/problems/check-if-two-string-arrays-are-equivalent/description/" TargetMode="External"/><Relationship Id="rId172" Type="http://schemas.openxmlformats.org/officeDocument/2006/relationships/hyperlink" Target="https://leetcode.com/problems/all-valid-triplets-that-can-represent-a-country/description/" TargetMode="External"/><Relationship Id="rId171" Type="http://schemas.openxmlformats.org/officeDocument/2006/relationships/hyperlink" Target="https://leetcode.com/problems/largest-substring-between-two-equal-characters/description/" TargetMode="External"/><Relationship Id="rId170" Type="http://schemas.openxmlformats.org/officeDocument/2006/relationships/hyperlink" Target="https://leetcode.com/problems/lexicographically-smallest-string-after-applying-operations/description/" TargetMode="External"/><Relationship Id="rId165" Type="http://schemas.openxmlformats.org/officeDocument/2006/relationships/hyperlink" Target="https://leetcode.com/problems/arithmetic-subarrays/description/" TargetMode="External"/><Relationship Id="rId164" Type="http://schemas.openxmlformats.org/officeDocument/2006/relationships/hyperlink" Target="https://leetcode.com/problems/path-with-minimum-effort/description/" TargetMode="External"/><Relationship Id="rId163" Type="http://schemas.openxmlformats.org/officeDocument/2006/relationships/hyperlink" Target="https://leetcode.com/problems/rank-transform-of-a-matrix/description/" TargetMode="External"/><Relationship Id="rId162" Type="http://schemas.openxmlformats.org/officeDocument/2006/relationships/hyperlink" Target="https://leetcode.com/problems/percentage-of-users-attended-a-contest/description/" TargetMode="External"/><Relationship Id="rId169" Type="http://schemas.openxmlformats.org/officeDocument/2006/relationships/hyperlink" Target="https://leetcode.com/problems/best-team-with-no-conflicts/description/" TargetMode="External"/><Relationship Id="rId168" Type="http://schemas.openxmlformats.org/officeDocument/2006/relationships/hyperlink" Target="https://leetcode.com/problems/graph-connectivity-with-threshold/description/" TargetMode="External"/><Relationship Id="rId167" Type="http://schemas.openxmlformats.org/officeDocument/2006/relationships/hyperlink" Target="https://leetcode.com/problems/design-an-expression-tree-with-evaluate-function/description/" TargetMode="External"/><Relationship Id="rId166" Type="http://schemas.openxmlformats.org/officeDocument/2006/relationships/hyperlink" Target="https://leetcode.com/problems/slowest-key/description/" TargetMode="External"/><Relationship Id="rId161" Type="http://schemas.openxmlformats.org/officeDocument/2006/relationships/hyperlink" Target="https://leetcode.com/problems/add-two-polynomials-represented-as-linked-lists/description/" TargetMode="External"/><Relationship Id="rId160" Type="http://schemas.openxmlformats.org/officeDocument/2006/relationships/hyperlink" Target="https://leetcode.com/problems/hopper-company-queries-i/description/" TargetMode="External"/><Relationship Id="rId159" Type="http://schemas.openxmlformats.org/officeDocument/2006/relationships/hyperlink" Target="https://leetcode.com/problems/sort-array-by-increasing-frequency/description/" TargetMode="External"/><Relationship Id="rId154" Type="http://schemas.openxmlformats.org/officeDocument/2006/relationships/hyperlink" Target="https://leetcode.com/problems/count-sorted-vowel-strings/description/" TargetMode="External"/><Relationship Id="rId153" Type="http://schemas.openxmlformats.org/officeDocument/2006/relationships/hyperlink" Target="https://leetcode.com/problems/furthest-building-you-can-reach/description/" TargetMode="External"/><Relationship Id="rId152" Type="http://schemas.openxmlformats.org/officeDocument/2006/relationships/hyperlink" Target="https://leetcode.com/problems/kth-smallest-instructions/description/" TargetMode="External"/><Relationship Id="rId151" Type="http://schemas.openxmlformats.org/officeDocument/2006/relationships/hyperlink" Target="https://leetcode.com/problems/lowest-common-ancestor-of-a-binary-tree-ii/description/" TargetMode="External"/><Relationship Id="rId158" Type="http://schemas.openxmlformats.org/officeDocument/2006/relationships/hyperlink" Target="https://leetcode.com/problems/widest-vertical-area-between-two-points-containing-no-points/description/" TargetMode="External"/><Relationship Id="rId157" Type="http://schemas.openxmlformats.org/officeDocument/2006/relationships/hyperlink" Target="https://leetcode.com/problems/count-substrings-that-differ-by-one-character/description/" TargetMode="External"/><Relationship Id="rId156" Type="http://schemas.openxmlformats.org/officeDocument/2006/relationships/hyperlink" Target="https://leetcode.com/problems/number-of-ways-to-form-a-target-string-given-a-dictionary/description/" TargetMode="External"/><Relationship Id="rId155" Type="http://schemas.openxmlformats.org/officeDocument/2006/relationships/hyperlink" Target="https://leetcode.com/problems/check-array-formation-through-concatenation/description/" TargetMode="External"/><Relationship Id="rId1510" Type="http://schemas.openxmlformats.org/officeDocument/2006/relationships/hyperlink" Target="https://leetcode.com/problems/wiggle-sort/description/" TargetMode="External"/><Relationship Id="rId1511" Type="http://schemas.openxmlformats.org/officeDocument/2006/relationships/hyperlink" Target="https://leetcode.com/problems/perfect-squares/description/" TargetMode="External"/><Relationship Id="rId1512" Type="http://schemas.openxmlformats.org/officeDocument/2006/relationships/hyperlink" Target="https://leetcode.com/problems/first-bad-version/description/" TargetMode="External"/><Relationship Id="rId1513" Type="http://schemas.openxmlformats.org/officeDocument/2006/relationships/hyperlink" Target="https://leetcode.com/problems/find-the-celebrity/description/" TargetMode="External"/><Relationship Id="rId1514" Type="http://schemas.openxmlformats.org/officeDocument/2006/relationships/hyperlink" Target="https://leetcode.com/problems/paint-fence/description/" TargetMode="External"/><Relationship Id="rId1515" Type="http://schemas.openxmlformats.org/officeDocument/2006/relationships/hyperlink" Target="https://leetcode.com/problems/h-index-ii/description/" TargetMode="External"/><Relationship Id="rId1516" Type="http://schemas.openxmlformats.org/officeDocument/2006/relationships/hyperlink" Target="https://leetcode.com/problems/h-index/description/" TargetMode="External"/><Relationship Id="rId1517" Type="http://schemas.openxmlformats.org/officeDocument/2006/relationships/hyperlink" Target="https://leetcode.com/problems/integer-to-english-words/description/" TargetMode="External"/><Relationship Id="rId1518" Type="http://schemas.openxmlformats.org/officeDocument/2006/relationships/hyperlink" Target="https://leetcode.com/problems/closest-binary-search-tree-value-ii/description/" TargetMode="External"/><Relationship Id="rId1519" Type="http://schemas.openxmlformats.org/officeDocument/2006/relationships/hyperlink" Target="https://leetcode.com/problems/encode-and-decode-strings/description/" TargetMode="External"/><Relationship Id="rId1500" Type="http://schemas.openxmlformats.org/officeDocument/2006/relationships/hyperlink" Target="https://leetcode.com/problems/word-pattern/description/" TargetMode="External"/><Relationship Id="rId1501" Type="http://schemas.openxmlformats.org/officeDocument/2006/relationships/hyperlink" Target="https://leetcode.com/problems/game-of-life/description/" TargetMode="External"/><Relationship Id="rId1502" Type="http://schemas.openxmlformats.org/officeDocument/2006/relationships/hyperlink" Target="https://leetcode.com/problems/unique-word-abbreviation/description/" TargetMode="External"/><Relationship Id="rId1503" Type="http://schemas.openxmlformats.org/officeDocument/2006/relationships/hyperlink" Target="https://leetcode.com/problems/find-the-duplicate-number/description/" TargetMode="External"/><Relationship Id="rId1504" Type="http://schemas.openxmlformats.org/officeDocument/2006/relationships/hyperlink" Target="https://leetcode.com/problems/walls-and-gates/description/" TargetMode="External"/><Relationship Id="rId1505" Type="http://schemas.openxmlformats.org/officeDocument/2006/relationships/hyperlink" Target="https://leetcode.com/problems/inorder-successor-in-bst/description/" TargetMode="External"/><Relationship Id="rId1506" Type="http://schemas.openxmlformats.org/officeDocument/2006/relationships/hyperlink" Target="https://leetcode.com/problems/peeking-iterator/description/" TargetMode="External"/><Relationship Id="rId1507" Type="http://schemas.openxmlformats.org/officeDocument/2006/relationships/hyperlink" Target="https://leetcode.com/problems/move-zeroes/description/" TargetMode="External"/><Relationship Id="rId1508" Type="http://schemas.openxmlformats.org/officeDocument/2006/relationships/hyperlink" Target="https://leetcode.com/problems/expression-add-operators/description/" TargetMode="External"/><Relationship Id="rId1509" Type="http://schemas.openxmlformats.org/officeDocument/2006/relationships/hyperlink" Target="https://leetcode.com/problems/zigzag-iterator/description/" TargetMode="External"/><Relationship Id="rId1576" Type="http://schemas.openxmlformats.org/officeDocument/2006/relationships/hyperlink" Target="https://leetcode.com/problems/shortest-palindrome/description/" TargetMode="External"/><Relationship Id="rId1577" Type="http://schemas.openxmlformats.org/officeDocument/2006/relationships/hyperlink" Target="https://leetcode.com/problems/house-robber-ii/description/" TargetMode="External"/><Relationship Id="rId1578" Type="http://schemas.openxmlformats.org/officeDocument/2006/relationships/hyperlink" Target="https://leetcode.com/problems/word-search-ii/description/" TargetMode="External"/><Relationship Id="rId1579" Type="http://schemas.openxmlformats.org/officeDocument/2006/relationships/hyperlink" Target="https://leetcode.com/problems/design-add-and-search-words-data-structure/description/" TargetMode="External"/><Relationship Id="rId509" Type="http://schemas.openxmlformats.org/officeDocument/2006/relationships/hyperlink" Target="https://leetcode.com/problems/remove-covered-intervals/description/" TargetMode="External"/><Relationship Id="rId508" Type="http://schemas.openxmlformats.org/officeDocument/2006/relationships/hyperlink" Target="https://leetcode.com/problems/minimum-falling-path-sum-ii/description/" TargetMode="External"/><Relationship Id="rId503" Type="http://schemas.openxmlformats.org/officeDocument/2006/relationships/hyperlink" Target="https://leetcode.com/problems/weather-type-in-each-country/description/" TargetMode="External"/><Relationship Id="rId987" Type="http://schemas.openxmlformats.org/officeDocument/2006/relationships/hyperlink" Target="https://leetcode.com/problems/bricks-falling-when-hit/description/" TargetMode="External"/><Relationship Id="rId502" Type="http://schemas.openxmlformats.org/officeDocument/2006/relationships/hyperlink" Target="https://leetcode.com/problems/find-numbers-with-even-number-of-digits/description/" TargetMode="External"/><Relationship Id="rId986" Type="http://schemas.openxmlformats.org/officeDocument/2006/relationships/hyperlink" Target="https://leetcode.com/problems/unique-morse-code-words/description/" TargetMode="External"/><Relationship Id="rId501" Type="http://schemas.openxmlformats.org/officeDocument/2006/relationships/hyperlink" Target="https://leetcode.com/problems/divide-array-in-sets-of-k-consecutive-numbers/description/" TargetMode="External"/><Relationship Id="rId985" Type="http://schemas.openxmlformats.org/officeDocument/2006/relationships/hyperlink" Target="https://leetcode.com/problems/split-array-with-same-average/description/" TargetMode="External"/><Relationship Id="rId500" Type="http://schemas.openxmlformats.org/officeDocument/2006/relationships/hyperlink" Target="https://leetcode.com/problems/maximum-number-of-occurrences-of-a-substring/description/" TargetMode="External"/><Relationship Id="rId984" Type="http://schemas.openxmlformats.org/officeDocument/2006/relationships/hyperlink" Target="https://leetcode.com/problems/number-of-lines-to-write-string/description/" TargetMode="External"/><Relationship Id="rId507" Type="http://schemas.openxmlformats.org/officeDocument/2006/relationships/hyperlink" Target="https://leetcode.com/problems/convert-binary-number-in-a-linked-list-to-integer/description/" TargetMode="External"/><Relationship Id="rId506" Type="http://schemas.openxmlformats.org/officeDocument/2006/relationships/hyperlink" Target="https://leetcode.com/problems/sequential-digits/description/" TargetMode="External"/><Relationship Id="rId505" Type="http://schemas.openxmlformats.org/officeDocument/2006/relationships/hyperlink" Target="https://leetcode.com/problems/maximum-side-length-of-a-square-with-sum-less-than-or-equal-to-threshold/description/" TargetMode="External"/><Relationship Id="rId989" Type="http://schemas.openxmlformats.org/officeDocument/2006/relationships/hyperlink" Target="https://leetcode.com/problems/minimum-swaps-to-make-sequences-increasing/description/" TargetMode="External"/><Relationship Id="rId504" Type="http://schemas.openxmlformats.org/officeDocument/2006/relationships/hyperlink" Target="https://leetcode.com/problems/shortest-path-in-a-grid-with-obstacles-elimination/description/" TargetMode="External"/><Relationship Id="rId988" Type="http://schemas.openxmlformats.org/officeDocument/2006/relationships/hyperlink" Target="https://leetcode.com/problems/find-eventual-safe-states/description/" TargetMode="External"/><Relationship Id="rId1570" Type="http://schemas.openxmlformats.org/officeDocument/2006/relationships/hyperlink" Target="https://leetcode.com/problems/contains-duplicate-iii/description/" TargetMode="External"/><Relationship Id="rId1571" Type="http://schemas.openxmlformats.org/officeDocument/2006/relationships/hyperlink" Target="https://leetcode.com/problems/contains-duplicate-ii/description/" TargetMode="External"/><Relationship Id="rId983" Type="http://schemas.openxmlformats.org/officeDocument/2006/relationships/hyperlink" Target="https://leetcode.com/problems/max-increase-to-keep-city-skyline/description/" TargetMode="External"/><Relationship Id="rId1572" Type="http://schemas.openxmlformats.org/officeDocument/2006/relationships/hyperlink" Target="https://leetcode.com/problems/the-skyline-problem/description/" TargetMode="External"/><Relationship Id="rId982" Type="http://schemas.openxmlformats.org/officeDocument/2006/relationships/hyperlink" Target="https://leetcode.com/problems/soup-servings/description/" TargetMode="External"/><Relationship Id="rId1573" Type="http://schemas.openxmlformats.org/officeDocument/2006/relationships/hyperlink" Target="https://leetcode.com/problems/contains-duplicate/description/" TargetMode="External"/><Relationship Id="rId981" Type="http://schemas.openxmlformats.org/officeDocument/2006/relationships/hyperlink" Target="https://leetcode.com/problems/expressive-words/description/" TargetMode="External"/><Relationship Id="rId1574" Type="http://schemas.openxmlformats.org/officeDocument/2006/relationships/hyperlink" Target="https://leetcode.com/problems/combination-sum-iii/description/" TargetMode="External"/><Relationship Id="rId980" Type="http://schemas.openxmlformats.org/officeDocument/2006/relationships/hyperlink" Target="https://leetcode.com/problems/chalkboard-xor-game/description/" TargetMode="External"/><Relationship Id="rId1575" Type="http://schemas.openxmlformats.org/officeDocument/2006/relationships/hyperlink" Target="https://leetcode.com/problems/kth-largest-element-in-an-array/description/" TargetMode="External"/><Relationship Id="rId1565" Type="http://schemas.openxmlformats.org/officeDocument/2006/relationships/hyperlink" Target="https://leetcode.com/problems/implement-stack-using-queues/description/" TargetMode="External"/><Relationship Id="rId1566" Type="http://schemas.openxmlformats.org/officeDocument/2006/relationships/hyperlink" Target="https://leetcode.com/problems/basic-calculator/description/" TargetMode="External"/><Relationship Id="rId1567" Type="http://schemas.openxmlformats.org/officeDocument/2006/relationships/hyperlink" Target="https://leetcode.com/problems/rectangle-area/description/" TargetMode="External"/><Relationship Id="rId1568" Type="http://schemas.openxmlformats.org/officeDocument/2006/relationships/hyperlink" Target="https://leetcode.com/problems/count-complete-tree-nodes/description/" TargetMode="External"/><Relationship Id="rId1569" Type="http://schemas.openxmlformats.org/officeDocument/2006/relationships/hyperlink" Target="https://leetcode.com/problems/maximal-square/description/" TargetMode="External"/><Relationship Id="rId976" Type="http://schemas.openxmlformats.org/officeDocument/2006/relationships/hyperlink" Target="https://leetcode.com/problems/binary-tree-pruning/description/" TargetMode="External"/><Relationship Id="rId975" Type="http://schemas.openxmlformats.org/officeDocument/2006/relationships/hyperlink" Target="https://leetcode.com/problems/bus-routes/description/" TargetMode="External"/><Relationship Id="rId974" Type="http://schemas.openxmlformats.org/officeDocument/2006/relationships/hyperlink" Target="https://leetcode.com/problems/ambiguous-coordinates/description/" TargetMode="External"/><Relationship Id="rId973" Type="http://schemas.openxmlformats.org/officeDocument/2006/relationships/hyperlink" Target="https://leetcode.com/problems/linked-list-components/description/" TargetMode="External"/><Relationship Id="rId979" Type="http://schemas.openxmlformats.org/officeDocument/2006/relationships/hyperlink" Target="https://leetcode.com/problems/subdomain-visit-count/description/" TargetMode="External"/><Relationship Id="rId978" Type="http://schemas.openxmlformats.org/officeDocument/2006/relationships/hyperlink" Target="https://leetcode.com/problems/largest-triangle-area/description/" TargetMode="External"/><Relationship Id="rId977" Type="http://schemas.openxmlformats.org/officeDocument/2006/relationships/hyperlink" Target="https://leetcode.com/problems/largest-sum-of-averages/description/" TargetMode="External"/><Relationship Id="rId1560" Type="http://schemas.openxmlformats.org/officeDocument/2006/relationships/hyperlink" Target="https://leetcode.com/problems/kth-smallest-element-in-a-bst/description/" TargetMode="External"/><Relationship Id="rId972" Type="http://schemas.openxmlformats.org/officeDocument/2006/relationships/hyperlink" Target="https://leetcode.com/problems/race-car/description/" TargetMode="External"/><Relationship Id="rId1561" Type="http://schemas.openxmlformats.org/officeDocument/2006/relationships/hyperlink" Target="https://leetcode.com/problems/majority-element-ii/description/" TargetMode="External"/><Relationship Id="rId971" Type="http://schemas.openxmlformats.org/officeDocument/2006/relationships/hyperlink" Target="https://leetcode.com/problems/most-common-word/description/" TargetMode="External"/><Relationship Id="rId1562" Type="http://schemas.openxmlformats.org/officeDocument/2006/relationships/hyperlink" Target="https://leetcode.com/problems/summary-ranges/description/" TargetMode="External"/><Relationship Id="rId970" Type="http://schemas.openxmlformats.org/officeDocument/2006/relationships/hyperlink" Target="https://leetcode.com/problems/short-encoding-of-words/description/" TargetMode="External"/><Relationship Id="rId1563" Type="http://schemas.openxmlformats.org/officeDocument/2006/relationships/hyperlink" Target="https://leetcode.com/problems/basic-calculator-ii/description/" TargetMode="External"/><Relationship Id="rId1564" Type="http://schemas.openxmlformats.org/officeDocument/2006/relationships/hyperlink" Target="https://leetcode.com/problems/invert-binary-tree/description/" TargetMode="External"/><Relationship Id="rId1114" Type="http://schemas.openxmlformats.org/officeDocument/2006/relationships/hyperlink" Target="https://leetcode.com/problems/implement-magic-dictionary/description/" TargetMode="External"/><Relationship Id="rId1598" Type="http://schemas.openxmlformats.org/officeDocument/2006/relationships/hyperlink" Target="https://leetcode.com/problems/word-frequency/description/" TargetMode="External"/><Relationship Id="rId1115" Type="http://schemas.openxmlformats.org/officeDocument/2006/relationships/hyperlink" Target="https://leetcode.com/problems/cut-off-trees-for-golf-event/description/" TargetMode="External"/><Relationship Id="rId1599" Type="http://schemas.openxmlformats.org/officeDocument/2006/relationships/hyperlink" Target="https://leetcode.com/problems/number-of-1-bits/description/" TargetMode="External"/><Relationship Id="rId1116" Type="http://schemas.openxmlformats.org/officeDocument/2006/relationships/hyperlink" Target="https://leetcode.com/problems/longest-continuous-increasing-subsequence/description/" TargetMode="External"/><Relationship Id="rId1117" Type="http://schemas.openxmlformats.org/officeDocument/2006/relationships/hyperlink" Target="https://leetcode.com/problems/number-of-longest-increasing-subsequence/description/" TargetMode="External"/><Relationship Id="rId1118" Type="http://schemas.openxmlformats.org/officeDocument/2006/relationships/hyperlink" Target="https://leetcode.com/problems/bulb-switcher-ii/description/" TargetMode="External"/><Relationship Id="rId1119" Type="http://schemas.openxmlformats.org/officeDocument/2006/relationships/hyperlink" Target="https://leetcode.com/problems/second-minimum-node-in-a-binary-tree/description/" TargetMode="External"/><Relationship Id="rId525" Type="http://schemas.openxmlformats.org/officeDocument/2006/relationships/hyperlink" Target="https://leetcode.com/problems/hexspeak/description/" TargetMode="External"/><Relationship Id="rId524" Type="http://schemas.openxmlformats.org/officeDocument/2006/relationships/hyperlink" Target="https://leetcode.com/problems/remove-interval/description/" TargetMode="External"/><Relationship Id="rId523" Type="http://schemas.openxmlformats.org/officeDocument/2006/relationships/hyperlink" Target="https://leetcode.com/problems/delete-tree-nodes/description/" TargetMode="External"/><Relationship Id="rId522" Type="http://schemas.openxmlformats.org/officeDocument/2006/relationships/hyperlink" Target="https://leetcode.com/problems/number-of-ships-in-a-rectangle/description/" TargetMode="External"/><Relationship Id="rId529" Type="http://schemas.openxmlformats.org/officeDocument/2006/relationships/hyperlink" Target="https://leetcode.com/problems/count-servers-that-communicate/description/" TargetMode="External"/><Relationship Id="rId528" Type="http://schemas.openxmlformats.org/officeDocument/2006/relationships/hyperlink" Target="https://leetcode.com/problems/search-suggestions-system/description/" TargetMode="External"/><Relationship Id="rId527" Type="http://schemas.openxmlformats.org/officeDocument/2006/relationships/hyperlink" Target="https://leetcode.com/problems/number-of-ways-to-stay-in-the-same-place-after-some-steps/description/" TargetMode="External"/><Relationship Id="rId526" Type="http://schemas.openxmlformats.org/officeDocument/2006/relationships/hyperlink" Target="https://leetcode.com/problems/all-people-report-to-the-given-manager/description/" TargetMode="External"/><Relationship Id="rId1590" Type="http://schemas.openxmlformats.org/officeDocument/2006/relationships/hyperlink" Target="https://leetcode.com/problems/number-of-islands/description/" TargetMode="External"/><Relationship Id="rId1591" Type="http://schemas.openxmlformats.org/officeDocument/2006/relationships/hyperlink" Target="https://leetcode.com/problems/binary-tree-right-side-view/description/" TargetMode="External"/><Relationship Id="rId1592" Type="http://schemas.openxmlformats.org/officeDocument/2006/relationships/hyperlink" Target="https://leetcode.com/problems/house-robber/description/" TargetMode="External"/><Relationship Id="rId1593" Type="http://schemas.openxmlformats.org/officeDocument/2006/relationships/hyperlink" Target="https://leetcode.com/problems/rising-temperature/description/" TargetMode="External"/><Relationship Id="rId521" Type="http://schemas.openxmlformats.org/officeDocument/2006/relationships/hyperlink" Target="https://leetcode.com/problems/find-winner-on-a-tic-tac-toe-game/description/" TargetMode="External"/><Relationship Id="rId1110" Type="http://schemas.openxmlformats.org/officeDocument/2006/relationships/hyperlink" Target="https://leetcode.com/problems/valid-palindrome-ii/description/" TargetMode="External"/><Relationship Id="rId1594" Type="http://schemas.openxmlformats.org/officeDocument/2006/relationships/hyperlink" Target="https://leetcode.com/problems/delete-duplicate-emails/description/" TargetMode="External"/><Relationship Id="rId520" Type="http://schemas.openxmlformats.org/officeDocument/2006/relationships/hyperlink" Target="https://leetcode.com/problems/number-of-burgers-with-no-waste-of-ingredients/description/" TargetMode="External"/><Relationship Id="rId1111" Type="http://schemas.openxmlformats.org/officeDocument/2006/relationships/hyperlink" Target="https://leetcode.com/problems/24-game/description/" TargetMode="External"/><Relationship Id="rId1595" Type="http://schemas.openxmlformats.org/officeDocument/2006/relationships/hyperlink" Target="https://leetcode.com/problems/tenth-line/description/" TargetMode="External"/><Relationship Id="rId1112" Type="http://schemas.openxmlformats.org/officeDocument/2006/relationships/hyperlink" Target="https://leetcode.com/problems/valid-parenthesis-string/description/" TargetMode="External"/><Relationship Id="rId1596" Type="http://schemas.openxmlformats.org/officeDocument/2006/relationships/hyperlink" Target="https://leetcode.com/problems/transpose-file/description/" TargetMode="External"/><Relationship Id="rId1113" Type="http://schemas.openxmlformats.org/officeDocument/2006/relationships/hyperlink" Target="https://leetcode.com/problems/map-sum-pairs/description/" TargetMode="External"/><Relationship Id="rId1597" Type="http://schemas.openxmlformats.org/officeDocument/2006/relationships/hyperlink" Target="https://leetcode.com/problems/valid-phone-numbers/description/" TargetMode="External"/><Relationship Id="rId1103" Type="http://schemas.openxmlformats.org/officeDocument/2006/relationships/hyperlink" Target="https://leetcode.com/problems/longest-univalue-path/description/" TargetMode="External"/><Relationship Id="rId1587" Type="http://schemas.openxmlformats.org/officeDocument/2006/relationships/hyperlink" Target="https://leetcode.com/problems/remove-linked-list-elements/description/" TargetMode="External"/><Relationship Id="rId1104" Type="http://schemas.openxmlformats.org/officeDocument/2006/relationships/hyperlink" Target="https://leetcode.com/problems/repeated-string-match/description/" TargetMode="External"/><Relationship Id="rId1588" Type="http://schemas.openxmlformats.org/officeDocument/2006/relationships/hyperlink" Target="https://leetcode.com/problems/happy-number/description/" TargetMode="External"/><Relationship Id="rId1105" Type="http://schemas.openxmlformats.org/officeDocument/2006/relationships/hyperlink" Target="https://leetcode.com/problems/redundant-connection-ii/description/" TargetMode="External"/><Relationship Id="rId1589" Type="http://schemas.openxmlformats.org/officeDocument/2006/relationships/hyperlink" Target="https://leetcode.com/problems/bitwise-and-of-numbers-range/description/" TargetMode="External"/><Relationship Id="rId1106" Type="http://schemas.openxmlformats.org/officeDocument/2006/relationships/hyperlink" Target="https://leetcode.com/problems/redundant-connection/description/" TargetMode="External"/><Relationship Id="rId1107" Type="http://schemas.openxmlformats.org/officeDocument/2006/relationships/hyperlink" Target="https://leetcode.com/problems/k-empty-slots/description/" TargetMode="External"/><Relationship Id="rId1108" Type="http://schemas.openxmlformats.org/officeDocument/2006/relationships/hyperlink" Target="https://leetcode.com/problems/baseball-game/description/" TargetMode="External"/><Relationship Id="rId1109" Type="http://schemas.openxmlformats.org/officeDocument/2006/relationships/hyperlink" Target="https://leetcode.com/problems/next-closest-time/description/" TargetMode="External"/><Relationship Id="rId519" Type="http://schemas.openxmlformats.org/officeDocument/2006/relationships/hyperlink" Target="https://leetcode.com/problems/count-square-submatrices-with-all-ones/description/" TargetMode="External"/><Relationship Id="rId514" Type="http://schemas.openxmlformats.org/officeDocument/2006/relationships/hyperlink" Target="https://leetcode.com/problems/find-the-smallest-divisor-given-a-threshold/description/" TargetMode="External"/><Relationship Id="rId998" Type="http://schemas.openxmlformats.org/officeDocument/2006/relationships/hyperlink" Target="https://leetcode.com/problems/number-of-matching-subsequences/description/" TargetMode="External"/><Relationship Id="rId513" Type="http://schemas.openxmlformats.org/officeDocument/2006/relationships/hyperlink" Target="https://leetcode.com/problems/minimum-number-of-flips-to-convert-binary-matrix-to-zero-matrix/description/" TargetMode="External"/><Relationship Id="rId997" Type="http://schemas.openxmlformats.org/officeDocument/2006/relationships/hyperlink" Target="https://leetcode.com/problems/preimage-size-of-factorial-zeroes-function/description/" TargetMode="External"/><Relationship Id="rId512" Type="http://schemas.openxmlformats.org/officeDocument/2006/relationships/hyperlink" Target="https://leetcode.com/problems/find-the-start-and-end-number-of-continuous-ranges/description/" TargetMode="External"/><Relationship Id="rId996" Type="http://schemas.openxmlformats.org/officeDocument/2006/relationships/hyperlink" Target="https://leetcode.com/problems/valid-tic-tac-toe-state/description/" TargetMode="External"/><Relationship Id="rId511" Type="http://schemas.openxmlformats.org/officeDocument/2006/relationships/hyperlink" Target="https://leetcode.com/problems/iterator-for-combination/description/" TargetMode="External"/><Relationship Id="rId995" Type="http://schemas.openxmlformats.org/officeDocument/2006/relationships/hyperlink" Target="https://leetcode.com/problems/number-of-subarrays-with-bounded-maximum/description/" TargetMode="External"/><Relationship Id="rId518" Type="http://schemas.openxmlformats.org/officeDocument/2006/relationships/hyperlink" Target="https://leetcode.com/problems/palindrome-partitioning-iii/description/" TargetMode="External"/><Relationship Id="rId517" Type="http://schemas.openxmlformats.org/officeDocument/2006/relationships/hyperlink" Target="https://leetcode.com/problems/students-and-examinations/description/" TargetMode="External"/><Relationship Id="rId516" Type="http://schemas.openxmlformats.org/officeDocument/2006/relationships/hyperlink" Target="https://leetcode.com/problems/subtract-the-product-and-sum-of-digits-of-an-integer/description/" TargetMode="External"/><Relationship Id="rId515" Type="http://schemas.openxmlformats.org/officeDocument/2006/relationships/hyperlink" Target="https://leetcode.com/problems/group-the-people-given-the-group-size-they-belong-to/description/" TargetMode="External"/><Relationship Id="rId999" Type="http://schemas.openxmlformats.org/officeDocument/2006/relationships/hyperlink" Target="https://leetcode.com/problems/custom-sort-string/description/" TargetMode="External"/><Relationship Id="rId990" Type="http://schemas.openxmlformats.org/officeDocument/2006/relationships/hyperlink" Target="https://leetcode.com/problems/similar-rgb-color/description/" TargetMode="External"/><Relationship Id="rId1580" Type="http://schemas.openxmlformats.org/officeDocument/2006/relationships/hyperlink" Target="https://leetcode.com/problems/course-schedule-ii/description/" TargetMode="External"/><Relationship Id="rId1581" Type="http://schemas.openxmlformats.org/officeDocument/2006/relationships/hyperlink" Target="https://leetcode.com/problems/minimum-size-subarray-sum/description/" TargetMode="External"/><Relationship Id="rId1582" Type="http://schemas.openxmlformats.org/officeDocument/2006/relationships/hyperlink" Target="https://leetcode.com/problems/implement-trie-prefix-tree/description/" TargetMode="External"/><Relationship Id="rId510" Type="http://schemas.openxmlformats.org/officeDocument/2006/relationships/hyperlink" Target="https://leetcode.com/problems/element-appearing-more-than-25-in-sorted-array/description/" TargetMode="External"/><Relationship Id="rId994" Type="http://schemas.openxmlformats.org/officeDocument/2006/relationships/hyperlink" Target="https://leetcode.com/problems/rotate-string/description/" TargetMode="External"/><Relationship Id="rId1583" Type="http://schemas.openxmlformats.org/officeDocument/2006/relationships/hyperlink" Target="https://leetcode.com/problems/course-schedule/description/" TargetMode="External"/><Relationship Id="rId993" Type="http://schemas.openxmlformats.org/officeDocument/2006/relationships/hyperlink" Target="https://leetcode.com/problems/all-paths-from-source-to-target/description/" TargetMode="External"/><Relationship Id="rId1100" Type="http://schemas.openxmlformats.org/officeDocument/2006/relationships/hyperlink" Target="https://leetcode.com/problems/employee-importance/description/" TargetMode="External"/><Relationship Id="rId1584" Type="http://schemas.openxmlformats.org/officeDocument/2006/relationships/hyperlink" Target="https://leetcode.com/problems/reverse-linked-list/description/" TargetMode="External"/><Relationship Id="rId992" Type="http://schemas.openxmlformats.org/officeDocument/2006/relationships/hyperlink" Target="https://leetcode.com/problems/smallest-rotation-with-highest-score/description/" TargetMode="External"/><Relationship Id="rId1101" Type="http://schemas.openxmlformats.org/officeDocument/2006/relationships/hyperlink" Target="https://leetcode.com/problems/maximum-sum-of-3-non-overlapping-subarrays/description/" TargetMode="External"/><Relationship Id="rId1585" Type="http://schemas.openxmlformats.org/officeDocument/2006/relationships/hyperlink" Target="https://leetcode.com/problems/isomorphic-strings/description/" TargetMode="External"/><Relationship Id="rId991" Type="http://schemas.openxmlformats.org/officeDocument/2006/relationships/hyperlink" Target="https://leetcode.com/problems/champagne-tower/description/" TargetMode="External"/><Relationship Id="rId1102" Type="http://schemas.openxmlformats.org/officeDocument/2006/relationships/hyperlink" Target="https://leetcode.com/problems/knight-probability-in-chessboard/description/" TargetMode="External"/><Relationship Id="rId1586" Type="http://schemas.openxmlformats.org/officeDocument/2006/relationships/hyperlink" Target="https://leetcode.com/problems/count-primes/description/" TargetMode="External"/><Relationship Id="rId1532" Type="http://schemas.openxmlformats.org/officeDocument/2006/relationships/hyperlink" Target="https://leetcode.com/problems/add-digits/description/" TargetMode="External"/><Relationship Id="rId1533" Type="http://schemas.openxmlformats.org/officeDocument/2006/relationships/hyperlink" Target="https://leetcode.com/problems/binary-tree-paths/description/" TargetMode="External"/><Relationship Id="rId1534" Type="http://schemas.openxmlformats.org/officeDocument/2006/relationships/hyperlink" Target="https://leetcode.com/problems/paint-house/description/" TargetMode="External"/><Relationship Id="rId1535" Type="http://schemas.openxmlformats.org/officeDocument/2006/relationships/hyperlink" Target="https://leetcode.com/problems/verify-preorder-sequence-in-binary-search-tree/description/" TargetMode="External"/><Relationship Id="rId1536" Type="http://schemas.openxmlformats.org/officeDocument/2006/relationships/hyperlink" Target="https://leetcode.com/problems/factor-combinations/description/" TargetMode="External"/><Relationship Id="rId1537" Type="http://schemas.openxmlformats.org/officeDocument/2006/relationships/hyperlink" Target="https://leetcode.com/problems/meeting-rooms-ii/description/" TargetMode="External"/><Relationship Id="rId1538" Type="http://schemas.openxmlformats.org/officeDocument/2006/relationships/hyperlink" Target="https://leetcode.com/problems/meeting-rooms/description/" TargetMode="External"/><Relationship Id="rId1539" Type="http://schemas.openxmlformats.org/officeDocument/2006/relationships/hyperlink" Target="https://leetcode.com/problems/flatten-2d-vector/description/" TargetMode="External"/><Relationship Id="rId949" Type="http://schemas.openxmlformats.org/officeDocument/2006/relationships/hyperlink" Target="https://leetcode.com/problems/keys-and-rooms/description/" TargetMode="External"/><Relationship Id="rId948" Type="http://schemas.openxmlformats.org/officeDocument/2006/relationships/hyperlink" Target="https://leetcode.com/problems/split-array-into-fibonacci-sequence/description/" TargetMode="External"/><Relationship Id="rId943" Type="http://schemas.openxmlformats.org/officeDocument/2006/relationships/hyperlink" Target="https://leetcode.com/problems/shortest-path-visiting-all-nodes/description/" TargetMode="External"/><Relationship Id="rId942" Type="http://schemas.openxmlformats.org/officeDocument/2006/relationships/hyperlink" Target="https://leetcode.com/problems/shifting-letters/description/" TargetMode="External"/><Relationship Id="rId941" Type="http://schemas.openxmlformats.org/officeDocument/2006/relationships/hyperlink" Target="https://leetcode.com/problems/maximize-distance-to-closest-person/description/" TargetMode="External"/><Relationship Id="rId940" Type="http://schemas.openxmlformats.org/officeDocument/2006/relationships/hyperlink" Target="https://leetcode.com/problems/rectangle-area-ii/description/" TargetMode="External"/><Relationship Id="rId947" Type="http://schemas.openxmlformats.org/officeDocument/2006/relationships/hyperlink" Target="https://leetcode.com/problems/guess-the-word/description/" TargetMode="External"/><Relationship Id="rId946" Type="http://schemas.openxmlformats.org/officeDocument/2006/relationships/hyperlink" Target="https://leetcode.com/problems/backspace-string-compare/description/" TargetMode="External"/><Relationship Id="rId945" Type="http://schemas.openxmlformats.org/officeDocument/2006/relationships/hyperlink" Target="https://leetcode.com/problems/longest-mountain-in-array/description/" TargetMode="External"/><Relationship Id="rId944" Type="http://schemas.openxmlformats.org/officeDocument/2006/relationships/hyperlink" Target="https://leetcode.com/problems/hand-of-straights/description/" TargetMode="External"/><Relationship Id="rId1530" Type="http://schemas.openxmlformats.org/officeDocument/2006/relationships/hyperlink" Target="https://leetcode.com/problems/single-number-iii/description/" TargetMode="External"/><Relationship Id="rId1531" Type="http://schemas.openxmlformats.org/officeDocument/2006/relationships/hyperlink" Target="https://leetcode.com/problems/3sum-smaller/description/" TargetMode="External"/><Relationship Id="rId1521" Type="http://schemas.openxmlformats.org/officeDocument/2006/relationships/hyperlink" Target="https://leetcode.com/problems/alien-dictionary/description/" TargetMode="External"/><Relationship Id="rId1522" Type="http://schemas.openxmlformats.org/officeDocument/2006/relationships/hyperlink" Target="https://leetcode.com/problems/missing-number/description/" TargetMode="External"/><Relationship Id="rId1523" Type="http://schemas.openxmlformats.org/officeDocument/2006/relationships/hyperlink" Target="https://leetcode.com/problems/palindrome-permutation-ii/description/" TargetMode="External"/><Relationship Id="rId1524" Type="http://schemas.openxmlformats.org/officeDocument/2006/relationships/hyperlink" Target="https://leetcode.com/problems/palindrome-permutation/description/" TargetMode="External"/><Relationship Id="rId1525" Type="http://schemas.openxmlformats.org/officeDocument/2006/relationships/hyperlink" Target="https://leetcode.com/problems/paint-house-ii/description/" TargetMode="External"/><Relationship Id="rId1526" Type="http://schemas.openxmlformats.org/officeDocument/2006/relationships/hyperlink" Target="https://leetcode.com/problems/ugly-number-ii/description/" TargetMode="External"/><Relationship Id="rId1527" Type="http://schemas.openxmlformats.org/officeDocument/2006/relationships/hyperlink" Target="https://leetcode.com/problems/ugly-number/description/" TargetMode="External"/><Relationship Id="rId1528" Type="http://schemas.openxmlformats.org/officeDocument/2006/relationships/hyperlink" Target="https://leetcode.com/problems/trips-and-users/description/" TargetMode="External"/><Relationship Id="rId1529" Type="http://schemas.openxmlformats.org/officeDocument/2006/relationships/hyperlink" Target="https://leetcode.com/problems/graph-valid-tree/description/" TargetMode="External"/><Relationship Id="rId939" Type="http://schemas.openxmlformats.org/officeDocument/2006/relationships/hyperlink" Target="https://leetcode.com/problems/loud-and-rich/description/" TargetMode="External"/><Relationship Id="rId938" Type="http://schemas.openxmlformats.org/officeDocument/2006/relationships/hyperlink" Target="https://leetcode.com/problems/peak-index-in-a-mountain-array/description/" TargetMode="External"/><Relationship Id="rId937" Type="http://schemas.openxmlformats.org/officeDocument/2006/relationships/hyperlink" Target="https://leetcode.com/problems/car-fleet/description/" TargetMode="External"/><Relationship Id="rId932" Type="http://schemas.openxmlformats.org/officeDocument/2006/relationships/hyperlink" Target="https://leetcode.com/problems/mirror-reflection/description/" TargetMode="External"/><Relationship Id="rId931" Type="http://schemas.openxmlformats.org/officeDocument/2006/relationships/hyperlink" Target="https://leetcode.com/problems/buddy-strings/description/" TargetMode="External"/><Relationship Id="rId930" Type="http://schemas.openxmlformats.org/officeDocument/2006/relationships/hyperlink" Target="https://leetcode.com/problems/lemonade-change/description/" TargetMode="External"/><Relationship Id="rId936" Type="http://schemas.openxmlformats.org/officeDocument/2006/relationships/hyperlink" Target="https://leetcode.com/problems/k-similar-strings/description/" TargetMode="External"/><Relationship Id="rId935" Type="http://schemas.openxmlformats.org/officeDocument/2006/relationships/hyperlink" Target="https://leetcode.com/problems/exam-room/description/" TargetMode="External"/><Relationship Id="rId934" Type="http://schemas.openxmlformats.org/officeDocument/2006/relationships/hyperlink" Target="https://leetcode.com/problems/score-of-parentheses/description/" TargetMode="External"/><Relationship Id="rId933" Type="http://schemas.openxmlformats.org/officeDocument/2006/relationships/hyperlink" Target="https://leetcode.com/problems/minimum-cost-to-hire-k-workers/description/" TargetMode="External"/><Relationship Id="rId1520" Type="http://schemas.openxmlformats.org/officeDocument/2006/relationships/hyperlink" Target="https://leetcode.com/problems/closest-binary-search-tree-value/description/" TargetMode="External"/><Relationship Id="rId1554" Type="http://schemas.openxmlformats.org/officeDocument/2006/relationships/hyperlink" Target="https://leetcode.com/problems/lowest-common-ancestor-of-a-binary-tree/description/" TargetMode="External"/><Relationship Id="rId1555" Type="http://schemas.openxmlformats.org/officeDocument/2006/relationships/hyperlink" Target="https://leetcode.com/problems/lowest-common-ancestor-of-a-binary-search-tree/description/" TargetMode="External"/><Relationship Id="rId1556" Type="http://schemas.openxmlformats.org/officeDocument/2006/relationships/hyperlink" Target="https://leetcode.com/problems/palindrome-linked-list/description/" TargetMode="External"/><Relationship Id="rId1557" Type="http://schemas.openxmlformats.org/officeDocument/2006/relationships/hyperlink" Target="https://leetcode.com/problems/number-of-digit-one/description/" TargetMode="External"/><Relationship Id="rId1558" Type="http://schemas.openxmlformats.org/officeDocument/2006/relationships/hyperlink" Target="https://leetcode.com/problems/implement-queue-using-stacks/description/" TargetMode="External"/><Relationship Id="rId1559" Type="http://schemas.openxmlformats.org/officeDocument/2006/relationships/hyperlink" Target="https://leetcode.com/problems/power-of-two/description/" TargetMode="External"/><Relationship Id="rId965" Type="http://schemas.openxmlformats.org/officeDocument/2006/relationships/hyperlink" Target="https://leetcode.com/problems/friends-of-appropriate-ages/description/" TargetMode="External"/><Relationship Id="rId964" Type="http://schemas.openxmlformats.org/officeDocument/2006/relationships/hyperlink" Target="https://leetcode.com/problems/most-profit-assigning-work/description/" TargetMode="External"/><Relationship Id="rId963" Type="http://schemas.openxmlformats.org/officeDocument/2006/relationships/hyperlink" Target="https://leetcode.com/problems/making-a-large-island/description/" TargetMode="External"/><Relationship Id="rId962" Type="http://schemas.openxmlformats.org/officeDocument/2006/relationships/hyperlink" Target="https://leetcode.com/problems/count-unique-characters-of-all-substrings-of-a-given-string/description/" TargetMode="External"/><Relationship Id="rId969" Type="http://schemas.openxmlformats.org/officeDocument/2006/relationships/hyperlink" Target="https://leetcode.com/problems/shortest-distance-to-a-character/description/" TargetMode="External"/><Relationship Id="rId968" Type="http://schemas.openxmlformats.org/officeDocument/2006/relationships/hyperlink" Target="https://leetcode.com/problems/card-flipping-game/description/" TargetMode="External"/><Relationship Id="rId967" Type="http://schemas.openxmlformats.org/officeDocument/2006/relationships/hyperlink" Target="https://leetcode.com/problems/binary-trees-with-factors/description/" TargetMode="External"/><Relationship Id="rId966" Type="http://schemas.openxmlformats.org/officeDocument/2006/relationships/hyperlink" Target="https://leetcode.com/problems/goat-latin/description/" TargetMode="External"/><Relationship Id="rId961" Type="http://schemas.openxmlformats.org/officeDocument/2006/relationships/hyperlink" Target="https://leetcode.com/problems/consecutive-numbers-sum/description/" TargetMode="External"/><Relationship Id="rId1550" Type="http://schemas.openxmlformats.org/officeDocument/2006/relationships/hyperlink" Target="https://leetcode.com/problems/search-a-2d-matrix-ii/description/" TargetMode="External"/><Relationship Id="rId960" Type="http://schemas.openxmlformats.org/officeDocument/2006/relationships/hyperlink" Target="https://leetcode.com/problems/positions-of-large-groups/description/" TargetMode="External"/><Relationship Id="rId1551" Type="http://schemas.openxmlformats.org/officeDocument/2006/relationships/hyperlink" Target="https://leetcode.com/problems/sliding-window-maximum/description/" TargetMode="External"/><Relationship Id="rId1552" Type="http://schemas.openxmlformats.org/officeDocument/2006/relationships/hyperlink" Target="https://leetcode.com/problems/product-of-array-except-self/description/" TargetMode="External"/><Relationship Id="rId1553" Type="http://schemas.openxmlformats.org/officeDocument/2006/relationships/hyperlink" Target="https://leetcode.com/problems/delete-node-in-a-linked-list/description/" TargetMode="External"/><Relationship Id="rId1543" Type="http://schemas.openxmlformats.org/officeDocument/2006/relationships/hyperlink" Target="https://leetcode.com/problems/strobogrammatic-number-ii/description/" TargetMode="External"/><Relationship Id="rId1544" Type="http://schemas.openxmlformats.org/officeDocument/2006/relationships/hyperlink" Target="https://leetcode.com/problems/strobogrammatic-number/description/" TargetMode="External"/><Relationship Id="rId1545" Type="http://schemas.openxmlformats.org/officeDocument/2006/relationships/hyperlink" Target="https://leetcode.com/problems/shortest-word-distance-iii/description/" TargetMode="External"/><Relationship Id="rId1546" Type="http://schemas.openxmlformats.org/officeDocument/2006/relationships/hyperlink" Target="https://leetcode.com/problems/shortest-word-distance-ii/description/" TargetMode="External"/><Relationship Id="rId1547" Type="http://schemas.openxmlformats.org/officeDocument/2006/relationships/hyperlink" Target="https://leetcode.com/problems/shortest-word-distance/description/" TargetMode="External"/><Relationship Id="rId1548" Type="http://schemas.openxmlformats.org/officeDocument/2006/relationships/hyperlink" Target="https://leetcode.com/problems/valid-anagram/description/" TargetMode="External"/><Relationship Id="rId1549" Type="http://schemas.openxmlformats.org/officeDocument/2006/relationships/hyperlink" Target="https://leetcode.com/problems/different-ways-to-add-parentheses/description/" TargetMode="External"/><Relationship Id="rId959" Type="http://schemas.openxmlformats.org/officeDocument/2006/relationships/hyperlink" Target="https://leetcode.com/problems/masking-personal-information/description/" TargetMode="External"/><Relationship Id="rId954" Type="http://schemas.openxmlformats.org/officeDocument/2006/relationships/hyperlink" Target="https://leetcode.com/problems/rectangle-overlap/description/" TargetMode="External"/><Relationship Id="rId953" Type="http://schemas.openxmlformats.org/officeDocument/2006/relationships/hyperlink" Target="https://leetcode.com/problems/new-21-game/description/" TargetMode="External"/><Relationship Id="rId952" Type="http://schemas.openxmlformats.org/officeDocument/2006/relationships/hyperlink" Target="https://leetcode.com/problems/push-dominoes/description/" TargetMode="External"/><Relationship Id="rId951" Type="http://schemas.openxmlformats.org/officeDocument/2006/relationships/hyperlink" Target="https://leetcode.com/problems/similar-string-groups/description/" TargetMode="External"/><Relationship Id="rId958" Type="http://schemas.openxmlformats.org/officeDocument/2006/relationships/hyperlink" Target="https://leetcode.com/problems/flipping-an-image/description/" TargetMode="External"/><Relationship Id="rId957" Type="http://schemas.openxmlformats.org/officeDocument/2006/relationships/hyperlink" Target="https://leetcode.com/problems/find-and-replace-in-string/description/" TargetMode="External"/><Relationship Id="rId956" Type="http://schemas.openxmlformats.org/officeDocument/2006/relationships/hyperlink" Target="https://leetcode.com/problems/sum-of-distances-in-tree/description/" TargetMode="External"/><Relationship Id="rId955" Type="http://schemas.openxmlformats.org/officeDocument/2006/relationships/hyperlink" Target="https://leetcode.com/problems/image-overlap/description/" TargetMode="External"/><Relationship Id="rId950" Type="http://schemas.openxmlformats.org/officeDocument/2006/relationships/hyperlink" Target="https://leetcode.com/problems/magic-squares-in-grid/description/" TargetMode="External"/><Relationship Id="rId1540" Type="http://schemas.openxmlformats.org/officeDocument/2006/relationships/hyperlink" Target="https://leetcode.com/problems/count-univalue-subtrees/description/" TargetMode="External"/><Relationship Id="rId1541" Type="http://schemas.openxmlformats.org/officeDocument/2006/relationships/hyperlink" Target="https://leetcode.com/problems/group-shifted-strings/description/" TargetMode="External"/><Relationship Id="rId1542" Type="http://schemas.openxmlformats.org/officeDocument/2006/relationships/hyperlink" Target="https://leetcode.com/problems/strobogrammatic-number-iii/description/" TargetMode="External"/><Relationship Id="rId590" Type="http://schemas.openxmlformats.org/officeDocument/2006/relationships/hyperlink" Target="https://leetcode.com/problems/design-skiplist/description/" TargetMode="External"/><Relationship Id="rId107" Type="http://schemas.openxmlformats.org/officeDocument/2006/relationships/hyperlink" Target="https://leetcode.com/problems/count-of-matches-in-tournament/description/" TargetMode="External"/><Relationship Id="rId106" Type="http://schemas.openxmlformats.org/officeDocument/2006/relationships/hyperlink" Target="https://leetcode.com/problems/partitioning-into-minimum-number-of-deci-binary-numbers/description/" TargetMode="External"/><Relationship Id="rId105" Type="http://schemas.openxmlformats.org/officeDocument/2006/relationships/hyperlink" Target="https://leetcode.com/problems/stone-game-vii/description/" TargetMode="External"/><Relationship Id="rId589" Type="http://schemas.openxmlformats.org/officeDocument/2006/relationships/hyperlink" Target="https://leetcode.com/problems/unique-number-of-occurrences/description/" TargetMode="External"/><Relationship Id="rId104" Type="http://schemas.openxmlformats.org/officeDocument/2006/relationships/hyperlink" Target="https://leetcode.com/problems/maximum-height-by-stacking-cuboids/description/" TargetMode="External"/><Relationship Id="rId588" Type="http://schemas.openxmlformats.org/officeDocument/2006/relationships/hyperlink" Target="https://leetcode.com/problems/get-equal-substrings-within-budget/description/" TargetMode="External"/><Relationship Id="rId109" Type="http://schemas.openxmlformats.org/officeDocument/2006/relationships/hyperlink" Target="https://leetcode.com/problems/stone-game-vi/description/" TargetMode="External"/><Relationship Id="rId1170" Type="http://schemas.openxmlformats.org/officeDocument/2006/relationships/hyperlink" Target="https://leetcode.com/problems/not-boring-movies/description/" TargetMode="External"/><Relationship Id="rId108" Type="http://schemas.openxmlformats.org/officeDocument/2006/relationships/hyperlink" Target="https://leetcode.com/problems/delivering-boxes-from-storage-to-ports/description/" TargetMode="External"/><Relationship Id="rId1171" Type="http://schemas.openxmlformats.org/officeDocument/2006/relationships/hyperlink" Target="https://leetcode.com/problems/biggest-single-number/description/" TargetMode="External"/><Relationship Id="rId583" Type="http://schemas.openxmlformats.org/officeDocument/2006/relationships/hyperlink" Target="https://leetcode.com/problems/intersection-of-three-sorted-arrays/description/" TargetMode="External"/><Relationship Id="rId1172" Type="http://schemas.openxmlformats.org/officeDocument/2006/relationships/hyperlink" Target="https://leetcode.com/problems/students-report-by-geography/description/" TargetMode="External"/><Relationship Id="rId582" Type="http://schemas.openxmlformats.org/officeDocument/2006/relationships/hyperlink" Target="https://leetcode.com/problems/two-sum-bsts/description/" TargetMode="External"/><Relationship Id="rId1173" Type="http://schemas.openxmlformats.org/officeDocument/2006/relationships/hyperlink" Target="https://leetcode.com/problems/merge-two-binary-trees/description/" TargetMode="External"/><Relationship Id="rId581" Type="http://schemas.openxmlformats.org/officeDocument/2006/relationships/hyperlink" Target="https://leetcode.com/problems/stepping-numbers/description/" TargetMode="External"/><Relationship Id="rId1174" Type="http://schemas.openxmlformats.org/officeDocument/2006/relationships/hyperlink" Target="https://leetcode.com/problems/add-bold-tag-in-string/description/" TargetMode="External"/><Relationship Id="rId580" Type="http://schemas.openxmlformats.org/officeDocument/2006/relationships/hyperlink" Target="https://leetcode.com/problems/valid-palindrome-iii/description/" TargetMode="External"/><Relationship Id="rId1175" Type="http://schemas.openxmlformats.org/officeDocument/2006/relationships/hyperlink" Target="https://leetcode.com/problems/average-salary-departments-vs-company/description/" TargetMode="External"/><Relationship Id="rId103" Type="http://schemas.openxmlformats.org/officeDocument/2006/relationships/hyperlink" Target="https://leetcode.com/problems/count-ways-to-distribute-candies/description/" TargetMode="External"/><Relationship Id="rId587" Type="http://schemas.openxmlformats.org/officeDocument/2006/relationships/hyperlink" Target="https://leetcode.com/problems/remove-all-adjacent-duplicates-in-string-ii/description/" TargetMode="External"/><Relationship Id="rId1176" Type="http://schemas.openxmlformats.org/officeDocument/2006/relationships/hyperlink" Target="https://leetcode.com/problems/second-degree-follower/description/" TargetMode="External"/><Relationship Id="rId102" Type="http://schemas.openxmlformats.org/officeDocument/2006/relationships/hyperlink" Target="https://leetcode.com/problems/daily-leads-and-partners/description/" TargetMode="External"/><Relationship Id="rId586" Type="http://schemas.openxmlformats.org/officeDocument/2006/relationships/hyperlink" Target="https://leetcode.com/problems/minimum-moves-to-reach-target-with-rotations/description/" TargetMode="External"/><Relationship Id="rId1177" Type="http://schemas.openxmlformats.org/officeDocument/2006/relationships/hyperlink" Target="https://leetcode.com/problems/shortest-distance-in-a-line/description/" TargetMode="External"/><Relationship Id="rId101" Type="http://schemas.openxmlformats.org/officeDocument/2006/relationships/hyperlink" Target="https://leetcode.com/problems/reformat-phone-number/description/" TargetMode="External"/><Relationship Id="rId585" Type="http://schemas.openxmlformats.org/officeDocument/2006/relationships/hyperlink" Target="https://leetcode.com/problems/queries-quality-and-percentage/description/" TargetMode="External"/><Relationship Id="rId1178" Type="http://schemas.openxmlformats.org/officeDocument/2006/relationships/hyperlink" Target="https://leetcode.com/problems/shortest-distance-in-a-plane/description/" TargetMode="External"/><Relationship Id="rId100" Type="http://schemas.openxmlformats.org/officeDocument/2006/relationships/hyperlink" Target="https://leetcode.com/problems/maximum-erasure-value/description/" TargetMode="External"/><Relationship Id="rId584" Type="http://schemas.openxmlformats.org/officeDocument/2006/relationships/hyperlink" Target="https://leetcode.com/problems/team-scores-in-football-tournament/description/" TargetMode="External"/><Relationship Id="rId1179" Type="http://schemas.openxmlformats.org/officeDocument/2006/relationships/hyperlink" Target="https://leetcode.com/problems/valid-triangle-number/description/" TargetMode="External"/><Relationship Id="rId1169" Type="http://schemas.openxmlformats.org/officeDocument/2006/relationships/hyperlink" Target="https://leetcode.com/problems/task-scheduler/description/" TargetMode="External"/><Relationship Id="rId579" Type="http://schemas.openxmlformats.org/officeDocument/2006/relationships/hyperlink" Target="https://leetcode.com/problems/minimum-cost-to-move-chips-to-the-same-position/description/" TargetMode="External"/><Relationship Id="rId578" Type="http://schemas.openxmlformats.org/officeDocument/2006/relationships/hyperlink" Target="https://leetcode.com/problems/longest-arithmetic-subsequence-of-given-difference/description/" TargetMode="External"/><Relationship Id="rId577" Type="http://schemas.openxmlformats.org/officeDocument/2006/relationships/hyperlink" Target="https://leetcode.com/problems/path-with-maximum-gold/description/" TargetMode="External"/><Relationship Id="rId1160" Type="http://schemas.openxmlformats.org/officeDocument/2006/relationships/hyperlink" Target="https://leetcode.com/problems/course-schedule-iii/description/" TargetMode="External"/><Relationship Id="rId572" Type="http://schemas.openxmlformats.org/officeDocument/2006/relationships/hyperlink" Target="https://leetcode.com/problems/queens-that-can-attack-the-king/description/" TargetMode="External"/><Relationship Id="rId1161" Type="http://schemas.openxmlformats.org/officeDocument/2006/relationships/hyperlink" Target="https://leetcode.com/problems/k-inverse-pairs-array/description/" TargetMode="External"/><Relationship Id="rId571" Type="http://schemas.openxmlformats.org/officeDocument/2006/relationships/hyperlink" Target="https://leetcode.com/problems/dice-roll-simulation/description/" TargetMode="External"/><Relationship Id="rId1162" Type="http://schemas.openxmlformats.org/officeDocument/2006/relationships/hyperlink" Target="https://leetcode.com/problems/maximum-product-of-three-numbers/description/" TargetMode="External"/><Relationship Id="rId570" Type="http://schemas.openxmlformats.org/officeDocument/2006/relationships/hyperlink" Target="https://leetcode.com/problems/maximum-equal-frequency/description/" TargetMode="External"/><Relationship Id="rId1163" Type="http://schemas.openxmlformats.org/officeDocument/2006/relationships/hyperlink" Target="https://leetcode.com/problems/swap-salary/description/" TargetMode="External"/><Relationship Id="rId1164" Type="http://schemas.openxmlformats.org/officeDocument/2006/relationships/hyperlink" Target="https://leetcode.com/problems/exchange-seats/description/" TargetMode="External"/><Relationship Id="rId576" Type="http://schemas.openxmlformats.org/officeDocument/2006/relationships/hyperlink" Target="https://leetcode.com/problems/count-vowels-permutation/description/" TargetMode="External"/><Relationship Id="rId1165" Type="http://schemas.openxmlformats.org/officeDocument/2006/relationships/hyperlink" Target="https://leetcode.com/problems/minimum-factorization/description/" TargetMode="External"/><Relationship Id="rId575" Type="http://schemas.openxmlformats.org/officeDocument/2006/relationships/hyperlink" Target="https://leetcode.com/problems/split-a-string-in-balanced-strings/description/" TargetMode="External"/><Relationship Id="rId1166" Type="http://schemas.openxmlformats.org/officeDocument/2006/relationships/hyperlink" Target="https://leetcode.com/problems/maximum-distance-in-arrays/description/" TargetMode="External"/><Relationship Id="rId574" Type="http://schemas.openxmlformats.org/officeDocument/2006/relationships/hyperlink" Target="http://media.net" TargetMode="External"/><Relationship Id="rId1167" Type="http://schemas.openxmlformats.org/officeDocument/2006/relationships/hyperlink" Target="https://leetcode.com/problems/add-one-row-to-tree/description/" TargetMode="External"/><Relationship Id="rId573" Type="http://schemas.openxmlformats.org/officeDocument/2006/relationships/hyperlink" Target="http://media.net" TargetMode="External"/><Relationship Id="rId1168" Type="http://schemas.openxmlformats.org/officeDocument/2006/relationships/hyperlink" Target="https://leetcode.com/problems/design-circular-queue/description/" TargetMode="External"/><Relationship Id="rId129" Type="http://schemas.openxmlformats.org/officeDocument/2006/relationships/hyperlink" Target="https://leetcode.com/problems/change-the-root-of-a-binary-tree/description/" TargetMode="External"/><Relationship Id="rId128" Type="http://schemas.openxmlformats.org/officeDocument/2006/relationships/hyperlink" Target="https://leetcode.com/problems/fix-names-in-a-table/description/" TargetMode="External"/><Relationship Id="rId127" Type="http://schemas.openxmlformats.org/officeDocument/2006/relationships/hyperlink" Target="https://leetcode.com/problems/maximum-repeating-substring/description/" TargetMode="External"/><Relationship Id="rId126" Type="http://schemas.openxmlformats.org/officeDocument/2006/relationships/hyperlink" Target="https://leetcode.com/problems/merge-in-between-linked-lists/description/" TargetMode="External"/><Relationship Id="rId1190" Type="http://schemas.openxmlformats.org/officeDocument/2006/relationships/hyperlink" Target="https://leetcode.com/problems/non-negative-integers-without-consecutive-ones/description/" TargetMode="External"/><Relationship Id="rId1191" Type="http://schemas.openxmlformats.org/officeDocument/2006/relationships/hyperlink" Target="https://leetcode.com/problems/minimum-index-sum-of-two-lists/description/" TargetMode="External"/><Relationship Id="rId1192" Type="http://schemas.openxmlformats.org/officeDocument/2006/relationships/hyperlink" Target="https://leetcode.com/problems/range-addition-ii/description/" TargetMode="External"/><Relationship Id="rId1193" Type="http://schemas.openxmlformats.org/officeDocument/2006/relationships/hyperlink" Target="https://leetcode.com/problems/friend-requests-i-overall-acceptance-rate/description/" TargetMode="External"/><Relationship Id="rId121" Type="http://schemas.openxmlformats.org/officeDocument/2006/relationships/hyperlink" Target="https://leetcode.com/problems/minimum-moves-to-make-array-complementary/description/" TargetMode="External"/><Relationship Id="rId1194" Type="http://schemas.openxmlformats.org/officeDocument/2006/relationships/hyperlink" Target="https://leetcode.com/problems/classes-more-than-5-students/description/" TargetMode="External"/><Relationship Id="rId120" Type="http://schemas.openxmlformats.org/officeDocument/2006/relationships/hyperlink" Target="https://leetcode.com/problems/minimize-deviation-in-array/description/" TargetMode="External"/><Relationship Id="rId1195" Type="http://schemas.openxmlformats.org/officeDocument/2006/relationships/hyperlink" Target="https://leetcode.com/problems/big-countries/description/" TargetMode="External"/><Relationship Id="rId1196" Type="http://schemas.openxmlformats.org/officeDocument/2006/relationships/hyperlink" Target="https://leetcode.com/problems/longest-harmonious-subsequence/description/" TargetMode="External"/><Relationship Id="rId1197" Type="http://schemas.openxmlformats.org/officeDocument/2006/relationships/hyperlink" Target="https://leetcode.com/problems/valid-square/description/" TargetMode="External"/><Relationship Id="rId125" Type="http://schemas.openxmlformats.org/officeDocument/2006/relationships/hyperlink" Target="https://leetcode.com/problems/design-front-middle-back-queue/description/" TargetMode="External"/><Relationship Id="rId1198" Type="http://schemas.openxmlformats.org/officeDocument/2006/relationships/hyperlink" Target="https://leetcode.com/problems/fraction-addition-and-subtraction/description/" TargetMode="External"/><Relationship Id="rId124" Type="http://schemas.openxmlformats.org/officeDocument/2006/relationships/hyperlink" Target="https://leetcode.com/problems/minimum-number-of-removals-to-make-mountain-array/description/" TargetMode="External"/><Relationship Id="rId1199" Type="http://schemas.openxmlformats.org/officeDocument/2006/relationships/hyperlink" Target="https://leetcode.com/problems/tag-validator/description/" TargetMode="External"/><Relationship Id="rId123" Type="http://schemas.openxmlformats.org/officeDocument/2006/relationships/hyperlink" Target="https://leetcode.com/problems/richest-customer-wealth/description/" TargetMode="External"/><Relationship Id="rId122" Type="http://schemas.openxmlformats.org/officeDocument/2006/relationships/hyperlink" Target="https://leetcode.com/problems/find-the-most-competitive-subsequence/description/" TargetMode="External"/><Relationship Id="rId118" Type="http://schemas.openxmlformats.org/officeDocument/2006/relationships/hyperlink" Target="https://leetcode.com/problems/products-worth-over-invoices/description/" TargetMode="External"/><Relationship Id="rId117" Type="http://schemas.openxmlformats.org/officeDocument/2006/relationships/hyperlink" Target="https://leetcode.com/problems/goal-parser-interpretation/description/" TargetMode="External"/><Relationship Id="rId116" Type="http://schemas.openxmlformats.org/officeDocument/2006/relationships/hyperlink" Target="https://leetcode.com/problems/max-number-of-k-sum-pairs/description/" TargetMode="External"/><Relationship Id="rId115" Type="http://schemas.openxmlformats.org/officeDocument/2006/relationships/hyperlink" Target="https://leetcode.com/problems/concatenation-of-consecutive-binary-numbers/description/" TargetMode="External"/><Relationship Id="rId599" Type="http://schemas.openxmlformats.org/officeDocument/2006/relationships/hyperlink" Target="https://leetcode.com/problems/minimum-knight-moves/description/" TargetMode="External"/><Relationship Id="rId1180" Type="http://schemas.openxmlformats.org/officeDocument/2006/relationships/hyperlink" Target="https://leetcode.com/problems/triangle-judgement/description/" TargetMode="External"/><Relationship Id="rId1181" Type="http://schemas.openxmlformats.org/officeDocument/2006/relationships/hyperlink" Target="https://leetcode.com/problems/find-duplicate-file-in-system/description/" TargetMode="External"/><Relationship Id="rId119" Type="http://schemas.openxmlformats.org/officeDocument/2006/relationships/hyperlink" Target="https://leetcode.com/problems/lowest-common-ancestor-of-a-binary-tree-iv/description/" TargetMode="External"/><Relationship Id="rId1182" Type="http://schemas.openxmlformats.org/officeDocument/2006/relationships/hyperlink" Target="https://leetcode.com/problems/tree-node/description/" TargetMode="External"/><Relationship Id="rId110" Type="http://schemas.openxmlformats.org/officeDocument/2006/relationships/hyperlink" Target="https://leetcode.com/problems/sum-of-absolute-differences-in-a-sorted-array/description/" TargetMode="External"/><Relationship Id="rId594" Type="http://schemas.openxmlformats.org/officeDocument/2006/relationships/hyperlink" Target="https://leetcode.com/problems/smallest-string-with-swaps/description/" TargetMode="External"/><Relationship Id="rId1183" Type="http://schemas.openxmlformats.org/officeDocument/2006/relationships/hyperlink" Target="https://leetcode.com/problems/sales-person/description/" TargetMode="External"/><Relationship Id="rId593" Type="http://schemas.openxmlformats.org/officeDocument/2006/relationships/hyperlink" Target="https://leetcode.com/problems/sort-items-by-groups-respecting-dependencies/description/" TargetMode="External"/><Relationship Id="rId1184" Type="http://schemas.openxmlformats.org/officeDocument/2006/relationships/hyperlink" Target="https://leetcode.com/problems/construct-string-from-binary-tree/description/" TargetMode="External"/><Relationship Id="rId592" Type="http://schemas.openxmlformats.org/officeDocument/2006/relationships/hyperlink" Target="https://leetcode.com/problems/last-person-to-fit-in-the-elevator/description/" TargetMode="External"/><Relationship Id="rId1185" Type="http://schemas.openxmlformats.org/officeDocument/2006/relationships/hyperlink" Target="https://leetcode.com/problems/can-place-flowers/description/" TargetMode="External"/><Relationship Id="rId591" Type="http://schemas.openxmlformats.org/officeDocument/2006/relationships/hyperlink" Target="https://leetcode.com/problems/monthly-transactions-ii/description/" TargetMode="External"/><Relationship Id="rId1186" Type="http://schemas.openxmlformats.org/officeDocument/2006/relationships/hyperlink" Target="https://leetcode.com/problems/design-compressed-string-iterator/description/" TargetMode="External"/><Relationship Id="rId114" Type="http://schemas.openxmlformats.org/officeDocument/2006/relationships/hyperlink" Target="https://leetcode.com/problems/minimum-incompatibility/description/" TargetMode="External"/><Relationship Id="rId598" Type="http://schemas.openxmlformats.org/officeDocument/2006/relationships/hyperlink" Target="https://leetcode.com/problems/find-smallest-common-element-in-all-rows/description/" TargetMode="External"/><Relationship Id="rId1187" Type="http://schemas.openxmlformats.org/officeDocument/2006/relationships/hyperlink" Target="https://leetcode.com/problems/consecutive-available-seats/description/" TargetMode="External"/><Relationship Id="rId113" Type="http://schemas.openxmlformats.org/officeDocument/2006/relationships/hyperlink" Target="https://leetcode.com/problems/longest-palindromic-subsequence-ii/description/" TargetMode="External"/><Relationship Id="rId597" Type="http://schemas.openxmlformats.org/officeDocument/2006/relationships/hyperlink" Target="https://leetcode.com/problems/minimum-time-to-build-blocks/description/" TargetMode="External"/><Relationship Id="rId1188" Type="http://schemas.openxmlformats.org/officeDocument/2006/relationships/hyperlink" Target="https://leetcode.com/problems/friend-requests-ii-who-has-the-most-friends/description/" TargetMode="External"/><Relationship Id="rId112" Type="http://schemas.openxmlformats.org/officeDocument/2006/relationships/hyperlink" Target="https://leetcode.com/problems/invalid-tweets/description/" TargetMode="External"/><Relationship Id="rId596" Type="http://schemas.openxmlformats.org/officeDocument/2006/relationships/hyperlink" Target="https://leetcode.com/problems/minimum-absolute-difference/description/" TargetMode="External"/><Relationship Id="rId1189" Type="http://schemas.openxmlformats.org/officeDocument/2006/relationships/hyperlink" Target="https://leetcode.com/problems/human-traffic-of-stadium/description/" TargetMode="External"/><Relationship Id="rId111" Type="http://schemas.openxmlformats.org/officeDocument/2006/relationships/hyperlink" Target="https://leetcode.com/problems/count-the-number-of-consistent-strings/description/" TargetMode="External"/><Relationship Id="rId595" Type="http://schemas.openxmlformats.org/officeDocument/2006/relationships/hyperlink" Target="https://leetcode.com/problems/ugly-number-iii/description/" TargetMode="External"/><Relationship Id="rId1136" Type="http://schemas.openxmlformats.org/officeDocument/2006/relationships/hyperlink" Target="https://leetcode.com/problems/maximum-binary-tree/description/" TargetMode="External"/><Relationship Id="rId1137" Type="http://schemas.openxmlformats.org/officeDocument/2006/relationships/hyperlink" Target="https://leetcode.com/problems/two-sum-iv-input-is-a-bst/description/" TargetMode="External"/><Relationship Id="rId1138" Type="http://schemas.openxmlformats.org/officeDocument/2006/relationships/hyperlink" Target="https://leetcode.com/problems/find-duplicate-subtrees/description/" TargetMode="External"/><Relationship Id="rId1139" Type="http://schemas.openxmlformats.org/officeDocument/2006/relationships/hyperlink" Target="https://leetcode.com/problems/4-keys-keyboard/description/" TargetMode="External"/><Relationship Id="rId547" Type="http://schemas.openxmlformats.org/officeDocument/2006/relationships/hyperlink" Target="https://leetcode.com/problems/minimum-remove-to-make-valid-parentheses/description/" TargetMode="External"/><Relationship Id="rId546" Type="http://schemas.openxmlformats.org/officeDocument/2006/relationships/hyperlink" Target="https://leetcode.com/problems/check-if-it-is-a-good-array/description/" TargetMode="External"/><Relationship Id="rId545" Type="http://schemas.openxmlformats.org/officeDocument/2006/relationships/hyperlink" Target="https://leetcode.com/problems/average-selling-price/description/" TargetMode="External"/><Relationship Id="rId544" Type="http://schemas.openxmlformats.org/officeDocument/2006/relationships/hyperlink" Target="https://leetcode.com/problems/cells-with-odd-values-in-a-matrix/description/" TargetMode="External"/><Relationship Id="rId549" Type="http://schemas.openxmlformats.org/officeDocument/2006/relationships/hyperlink" Target="https://leetcode.com/problems/minimum-swaps-to-make-strings-equal/description/" TargetMode="External"/><Relationship Id="rId548" Type="http://schemas.openxmlformats.org/officeDocument/2006/relationships/hyperlink" Target="https://leetcode.com/problems/count-number-of-nice-subarrays/description/" TargetMode="External"/><Relationship Id="rId1130" Type="http://schemas.openxmlformats.org/officeDocument/2006/relationships/hyperlink" Target="https://leetcode.com/problems/remove-9/description/" TargetMode="External"/><Relationship Id="rId1131" Type="http://schemas.openxmlformats.org/officeDocument/2006/relationships/hyperlink" Target="https://leetcode.com/problems/split-array-into-consecutive-subsequences/description/" TargetMode="External"/><Relationship Id="rId543" Type="http://schemas.openxmlformats.org/officeDocument/2006/relationships/hyperlink" Target="https://leetcode.com/problems/reconstruct-a-2-row-binary-matrix/description/" TargetMode="External"/><Relationship Id="rId1132" Type="http://schemas.openxmlformats.org/officeDocument/2006/relationships/hyperlink" Target="https://leetcode.com/problems/find-k-closest-elements/description/" TargetMode="External"/><Relationship Id="rId542" Type="http://schemas.openxmlformats.org/officeDocument/2006/relationships/hyperlink" Target="https://leetcode.com/problems/number-of-closed-islands/description/" TargetMode="External"/><Relationship Id="rId1133" Type="http://schemas.openxmlformats.org/officeDocument/2006/relationships/hyperlink" Target="https://leetcode.com/problems/robot-return-to-origin/description/" TargetMode="External"/><Relationship Id="rId541" Type="http://schemas.openxmlformats.org/officeDocument/2006/relationships/hyperlink" Target="https://leetcode.com/problems/maximum-score-words-formed-by-letters/description/" TargetMode="External"/><Relationship Id="rId1134" Type="http://schemas.openxmlformats.org/officeDocument/2006/relationships/hyperlink" Target="https://leetcode.com/problems/coin-path/description/" TargetMode="External"/><Relationship Id="rId540" Type="http://schemas.openxmlformats.org/officeDocument/2006/relationships/hyperlink" Target="https://leetcode.com/problems/encode-number/description/" TargetMode="External"/><Relationship Id="rId1135" Type="http://schemas.openxmlformats.org/officeDocument/2006/relationships/hyperlink" Target="https://leetcode.com/problems/print-binary-tree/description/" TargetMode="External"/><Relationship Id="rId1125" Type="http://schemas.openxmlformats.org/officeDocument/2006/relationships/hyperlink" Target="https://leetcode.com/problems/non-decreasing-array/description/" TargetMode="External"/><Relationship Id="rId1126" Type="http://schemas.openxmlformats.org/officeDocument/2006/relationships/hyperlink" Target="https://leetcode.com/problems/strange-printer/description/" TargetMode="External"/><Relationship Id="rId1127" Type="http://schemas.openxmlformats.org/officeDocument/2006/relationships/hyperlink" Target="https://leetcode.com/problems/equal-tree-partition/description/" TargetMode="External"/><Relationship Id="rId1128" Type="http://schemas.openxmlformats.org/officeDocument/2006/relationships/hyperlink" Target="https://leetcode.com/problems/maximum-width-of-binary-tree/description/" TargetMode="External"/><Relationship Id="rId1129" Type="http://schemas.openxmlformats.org/officeDocument/2006/relationships/hyperlink" Target="https://leetcode.com/problems/image-smoother/description/" TargetMode="External"/><Relationship Id="rId536" Type="http://schemas.openxmlformats.org/officeDocument/2006/relationships/hyperlink" Target="https://leetcode.com/problems/shift-2d-grid/description/" TargetMode="External"/><Relationship Id="rId535" Type="http://schemas.openxmlformats.org/officeDocument/2006/relationships/hyperlink" Target="https://leetcode.com/problems/find-elements-in-a-contaminated-binary-tree/description/" TargetMode="External"/><Relationship Id="rId534" Type="http://schemas.openxmlformats.org/officeDocument/2006/relationships/hyperlink" Target="https://leetcode.com/problems/greatest-sum-divisible-by-three/description/" TargetMode="External"/><Relationship Id="rId533" Type="http://schemas.openxmlformats.org/officeDocument/2006/relationships/hyperlink" Target="https://leetcode.com/problems/minimum-moves-to-move-a-box-to-their-target-location/description/" TargetMode="External"/><Relationship Id="rId539" Type="http://schemas.openxmlformats.org/officeDocument/2006/relationships/hyperlink" Target="https://leetcode.com/problems/smallest-common-region/description/" TargetMode="External"/><Relationship Id="rId538" Type="http://schemas.openxmlformats.org/officeDocument/2006/relationships/hyperlink" Target="https://leetcode.com/problems/synonymous-sentences/description/" TargetMode="External"/><Relationship Id="rId537" Type="http://schemas.openxmlformats.org/officeDocument/2006/relationships/hyperlink" Target="https://leetcode.com/problems/handshakes-that-dont-cross/description/" TargetMode="External"/><Relationship Id="rId1120" Type="http://schemas.openxmlformats.org/officeDocument/2006/relationships/hyperlink" Target="https://leetcode.com/problems/maximum-swap/description/" TargetMode="External"/><Relationship Id="rId532" Type="http://schemas.openxmlformats.org/officeDocument/2006/relationships/hyperlink" Target="https://leetcode.com/problems/page-recommendations/description/" TargetMode="External"/><Relationship Id="rId1121" Type="http://schemas.openxmlformats.org/officeDocument/2006/relationships/hyperlink" Target="https://leetcode.com/problems/trim-a-binary-search-tree/description/" TargetMode="External"/><Relationship Id="rId531" Type="http://schemas.openxmlformats.org/officeDocument/2006/relationships/hyperlink" Target="https://leetcode.com/problems/print-immutable-linked-list-in-reverse/description/" TargetMode="External"/><Relationship Id="rId1122" Type="http://schemas.openxmlformats.org/officeDocument/2006/relationships/hyperlink" Target="https://leetcode.com/problems/kth-smallest-number-in-multiplication-table/description/" TargetMode="External"/><Relationship Id="rId530" Type="http://schemas.openxmlformats.org/officeDocument/2006/relationships/hyperlink" Target="https://leetcode.com/problems/minimum-time-visiting-all-points/description/" TargetMode="External"/><Relationship Id="rId1123" Type="http://schemas.openxmlformats.org/officeDocument/2006/relationships/hyperlink" Target="https://leetcode.com/problems/beautiful-arrangement-ii/description/" TargetMode="External"/><Relationship Id="rId1124" Type="http://schemas.openxmlformats.org/officeDocument/2006/relationships/hyperlink" Target="https://leetcode.com/problems/path-sum-iv/description/" TargetMode="External"/><Relationship Id="rId1158" Type="http://schemas.openxmlformats.org/officeDocument/2006/relationships/hyperlink" Target="https://leetcode.com/problems/smallest-range-covering-elements-from-k-lists/description/" TargetMode="External"/><Relationship Id="rId1159" Type="http://schemas.openxmlformats.org/officeDocument/2006/relationships/hyperlink" Target="https://leetcode.com/problems/design-excel-sum-formula/description/" TargetMode="External"/><Relationship Id="rId569" Type="http://schemas.openxmlformats.org/officeDocument/2006/relationships/hyperlink" Target="https://leetcode.com/problems/report-contiguous-dates/description/" TargetMode="External"/><Relationship Id="rId568" Type="http://schemas.openxmlformats.org/officeDocument/2006/relationships/hyperlink" Target="https://leetcode.com/problems/airplane-seat-assignment-probability/description/" TargetMode="External"/><Relationship Id="rId567" Type="http://schemas.openxmlformats.org/officeDocument/2006/relationships/hyperlink" Target="https://leetcode.com/problems/missing-number-in-arithmetic-progression/description/" TargetMode="External"/><Relationship Id="rId566" Type="http://schemas.openxmlformats.org/officeDocument/2006/relationships/hyperlink" Target="https://leetcode.com/problems/meeting-scheduler/description/" TargetMode="External"/><Relationship Id="rId561" Type="http://schemas.openxmlformats.org/officeDocument/2006/relationships/hyperlink" Target="https://leetcode.com/problems/replace-the-substring-for-balanced-string/description/" TargetMode="External"/><Relationship Id="rId1150" Type="http://schemas.openxmlformats.org/officeDocument/2006/relationships/hyperlink" Target="https://leetcode.com/problems/solve-the-equation/description/" TargetMode="External"/><Relationship Id="rId560" Type="http://schemas.openxmlformats.org/officeDocument/2006/relationships/hyperlink" Target="https://leetcode.com/problems/maximum-profit-in-job-scheduling/description/" TargetMode="External"/><Relationship Id="rId1151" Type="http://schemas.openxmlformats.org/officeDocument/2006/relationships/hyperlink" Target="https://leetcode.com/problems/decode-ways-ii/description/" TargetMode="External"/><Relationship Id="rId1152" Type="http://schemas.openxmlformats.org/officeDocument/2006/relationships/hyperlink" Target="https://leetcode.com/problems/shopping-offers/description/" TargetMode="External"/><Relationship Id="rId1153" Type="http://schemas.openxmlformats.org/officeDocument/2006/relationships/hyperlink" Target="https://leetcode.com/problems/average-of-levels-in-binary-tree/description/" TargetMode="External"/><Relationship Id="rId565" Type="http://schemas.openxmlformats.org/officeDocument/2006/relationships/hyperlink" Target="https://leetcode.com/problems/toss-strange-coins/description/" TargetMode="External"/><Relationship Id="rId1154" Type="http://schemas.openxmlformats.org/officeDocument/2006/relationships/hyperlink" Target="https://leetcode.com/problems/exclusive-time-of-functions/description/" TargetMode="External"/><Relationship Id="rId564" Type="http://schemas.openxmlformats.org/officeDocument/2006/relationships/hyperlink" Target="https://leetcode.com/problems/divide-chocolate/description/" TargetMode="External"/><Relationship Id="rId1155" Type="http://schemas.openxmlformats.org/officeDocument/2006/relationships/hyperlink" Target="https://leetcode.com/problems/design-log-storage-system/description/" TargetMode="External"/><Relationship Id="rId563" Type="http://schemas.openxmlformats.org/officeDocument/2006/relationships/hyperlink" Target="https://leetcode.com/problems/check-if-it-is-a-straight-line/description/" TargetMode="External"/><Relationship Id="rId1156" Type="http://schemas.openxmlformats.org/officeDocument/2006/relationships/hyperlink" Target="https://leetcode.com/problems/find-the-derangement-of-an-array/description/" TargetMode="External"/><Relationship Id="rId562" Type="http://schemas.openxmlformats.org/officeDocument/2006/relationships/hyperlink" Target="https://leetcode.com/problems/remove-sub-folders-from-the-filesystem/description/" TargetMode="External"/><Relationship Id="rId1157" Type="http://schemas.openxmlformats.org/officeDocument/2006/relationships/hyperlink" Target="https://leetcode.com/problems/sum-of-square-numbers/description/" TargetMode="External"/><Relationship Id="rId1147" Type="http://schemas.openxmlformats.org/officeDocument/2006/relationships/hyperlink" Target="https://leetcode.com/problems/maximum-average-subarray-i/description/" TargetMode="External"/><Relationship Id="rId1148" Type="http://schemas.openxmlformats.org/officeDocument/2006/relationships/hyperlink" Target="https://leetcode.com/problems/design-search-autocomplete-system/description/" TargetMode="External"/><Relationship Id="rId1149" Type="http://schemas.openxmlformats.org/officeDocument/2006/relationships/hyperlink" Target="https://leetcode.com/problems/design-circular-deque/description/" TargetMode="External"/><Relationship Id="rId558" Type="http://schemas.openxmlformats.org/officeDocument/2006/relationships/hyperlink" Target="https://leetcode.com/problems/find-positive-integer-solution-for-a-given-equation/description/" TargetMode="External"/><Relationship Id="rId557" Type="http://schemas.openxmlformats.org/officeDocument/2006/relationships/hyperlink" Target="https://leetcode.com/problems/circular-permutation-in-binary-representation/description/" TargetMode="External"/><Relationship Id="rId556" Type="http://schemas.openxmlformats.org/officeDocument/2006/relationships/hyperlink" Target="https://leetcode.com/problems/maximum-length-of-a-concatenated-string-with-unique-characters/description/" TargetMode="External"/><Relationship Id="rId555" Type="http://schemas.openxmlformats.org/officeDocument/2006/relationships/hyperlink" Target="https://leetcode.com/problems/tiling-a-rectangle-with-the-fewest-squares/description/" TargetMode="External"/><Relationship Id="rId559" Type="http://schemas.openxmlformats.org/officeDocument/2006/relationships/hyperlink" Target="https://leetcode.com/problems/web-crawler/description/" TargetMode="External"/><Relationship Id="rId550" Type="http://schemas.openxmlformats.org/officeDocument/2006/relationships/hyperlink" Target="https://leetcode.com/problems/palindrome-removal/description/" TargetMode="External"/><Relationship Id="rId1140" Type="http://schemas.openxmlformats.org/officeDocument/2006/relationships/hyperlink" Target="https://leetcode.com/problems/2-keys-keyboard/description/" TargetMode="External"/><Relationship Id="rId1141" Type="http://schemas.openxmlformats.org/officeDocument/2006/relationships/hyperlink" Target="https://leetcode.com/problems/dota2-senate/description/" TargetMode="External"/><Relationship Id="rId1142" Type="http://schemas.openxmlformats.org/officeDocument/2006/relationships/hyperlink" Target="https://leetcode.com/problems/replace-words/description/" TargetMode="External"/><Relationship Id="rId554" Type="http://schemas.openxmlformats.org/officeDocument/2006/relationships/hyperlink" Target="https://leetcode.com/problems/number-of-comments-per-post/description/" TargetMode="External"/><Relationship Id="rId1143" Type="http://schemas.openxmlformats.org/officeDocument/2006/relationships/hyperlink" Target="https://leetcode.com/problems/palindromic-substrings/description/" TargetMode="External"/><Relationship Id="rId553" Type="http://schemas.openxmlformats.org/officeDocument/2006/relationships/hyperlink" Target="https://leetcode.com/problems/array-transformation/description/" TargetMode="External"/><Relationship Id="rId1144" Type="http://schemas.openxmlformats.org/officeDocument/2006/relationships/hyperlink" Target="https://leetcode.com/problems/maximum-length-of-pair-chain/description/" TargetMode="External"/><Relationship Id="rId552" Type="http://schemas.openxmlformats.org/officeDocument/2006/relationships/hyperlink" Target="https://leetcode.com/problems/design-a-leaderboard/description/" TargetMode="External"/><Relationship Id="rId1145" Type="http://schemas.openxmlformats.org/officeDocument/2006/relationships/hyperlink" Target="https://leetcode.com/problems/set-mismatch/description/" TargetMode="External"/><Relationship Id="rId551" Type="http://schemas.openxmlformats.org/officeDocument/2006/relationships/hyperlink" Target="https://leetcode.com/problems/tree-diameter/description/" TargetMode="External"/><Relationship Id="rId1146" Type="http://schemas.openxmlformats.org/officeDocument/2006/relationships/hyperlink" Target="https://leetcode.com/problems/maximum-average-subarray-ii/description/" TargetMode="External"/><Relationship Id="rId495" Type="http://schemas.openxmlformats.org/officeDocument/2006/relationships/hyperlink" Target="https://leetcode.com/problems/deepest-leaves-sum/description/" TargetMode="External"/><Relationship Id="rId494" Type="http://schemas.openxmlformats.org/officeDocument/2006/relationships/hyperlink" Target="https://leetcode.com/problems/find-the-team-size/description/" TargetMode="External"/><Relationship Id="rId493" Type="http://schemas.openxmlformats.org/officeDocument/2006/relationships/hyperlink" Target="https://leetcode.com/problems/find-n-unique-integers-sum-up-to-zero/description/" TargetMode="External"/><Relationship Id="rId492" Type="http://schemas.openxmlformats.org/officeDocument/2006/relationships/hyperlink" Target="https://leetcode.com/problems/all-elements-in-two-binary-search-trees/description/" TargetMode="External"/><Relationship Id="rId499" Type="http://schemas.openxmlformats.org/officeDocument/2006/relationships/hyperlink" Target="https://leetcode.com/problems/maximum-candies-you-can-get-from-boxes/description/" TargetMode="External"/><Relationship Id="rId498" Type="http://schemas.openxmlformats.org/officeDocument/2006/relationships/hyperlink" Target="https://leetcode.com/problems/replace-elements-with-greatest-element-on-right-side/description/" TargetMode="External"/><Relationship Id="rId497" Type="http://schemas.openxmlformats.org/officeDocument/2006/relationships/hyperlink" Target="https://leetcode.com/problems/sum-of-mutated-array-closest-to-target/description/" TargetMode="External"/><Relationship Id="rId496" Type="http://schemas.openxmlformats.org/officeDocument/2006/relationships/hyperlink" Target="https://leetcode.com/problems/number-of-paths-with-max-score/description/" TargetMode="External"/><Relationship Id="rId1610" Type="http://schemas.openxmlformats.org/officeDocument/2006/relationships/hyperlink" Target="https://leetcode.com/problems/consecutive-numbers/description/" TargetMode="External"/><Relationship Id="rId1611" Type="http://schemas.openxmlformats.org/officeDocument/2006/relationships/hyperlink" Target="https://leetcode.com/problems/largest-number/description/" TargetMode="External"/><Relationship Id="rId1612" Type="http://schemas.openxmlformats.org/officeDocument/2006/relationships/hyperlink" Target="https://leetcode.com/problems/rank-scores/description/" TargetMode="External"/><Relationship Id="rId1613" Type="http://schemas.openxmlformats.org/officeDocument/2006/relationships/hyperlink" Target="https://leetcode.com/problems/nth-highest-salary/description/" TargetMode="External"/><Relationship Id="rId1614" Type="http://schemas.openxmlformats.org/officeDocument/2006/relationships/hyperlink" Target="https://leetcode.com/problems/second-highest-salary/description/" TargetMode="External"/><Relationship Id="rId1615" Type="http://schemas.openxmlformats.org/officeDocument/2006/relationships/hyperlink" Target="https://leetcode.com/problems/combine-two-tables/description/" TargetMode="External"/><Relationship Id="rId1616" Type="http://schemas.openxmlformats.org/officeDocument/2006/relationships/hyperlink" Target="https://leetcode.com/problems/dungeon-game/description/" TargetMode="External"/><Relationship Id="rId907" Type="http://schemas.openxmlformats.org/officeDocument/2006/relationships/hyperlink" Target="https://leetcode.com/problems/projection-area-of-3d-shapes/description/" TargetMode="External"/><Relationship Id="rId1617" Type="http://schemas.openxmlformats.org/officeDocument/2006/relationships/hyperlink" Target="https://leetcode.com/problems/binary-search-tree-iterator/description/" TargetMode="External"/><Relationship Id="rId906" Type="http://schemas.openxmlformats.org/officeDocument/2006/relationships/hyperlink" Target="https://leetcode.com/problems/uncommon-words-from-two-sentences/description/" TargetMode="External"/><Relationship Id="rId1618" Type="http://schemas.openxmlformats.org/officeDocument/2006/relationships/hyperlink" Target="https://leetcode.com/problems/factorial-trailing-zeroes/description/" TargetMode="External"/><Relationship Id="rId905" Type="http://schemas.openxmlformats.org/officeDocument/2006/relationships/hyperlink" Target="https://leetcode.com/problems/spiral-matrix-iii/description/" TargetMode="External"/><Relationship Id="rId1619" Type="http://schemas.openxmlformats.org/officeDocument/2006/relationships/hyperlink" Target="https://leetcode.com/problems/excel-sheet-column-number/description/" TargetMode="External"/><Relationship Id="rId904" Type="http://schemas.openxmlformats.org/officeDocument/2006/relationships/hyperlink" Target="https://leetcode.com/problems/possible-bipartition/description/" TargetMode="External"/><Relationship Id="rId909" Type="http://schemas.openxmlformats.org/officeDocument/2006/relationships/hyperlink" Target="https://leetcode.com/problems/boats-to-save-people/description/" TargetMode="External"/><Relationship Id="rId908" Type="http://schemas.openxmlformats.org/officeDocument/2006/relationships/hyperlink" Target="https://leetcode.com/problems/reachable-nodes-in-subdivided-graph/description/" TargetMode="External"/><Relationship Id="rId903" Type="http://schemas.openxmlformats.org/officeDocument/2006/relationships/hyperlink" Target="https://leetcode.com/problems/super-egg-drop/description/" TargetMode="External"/><Relationship Id="rId902" Type="http://schemas.openxmlformats.org/officeDocument/2006/relationships/hyperlink" Target="https://leetcode.com/problems/fair-candy-swap/description/" TargetMode="External"/><Relationship Id="rId901" Type="http://schemas.openxmlformats.org/officeDocument/2006/relationships/hyperlink" Target="https://leetcode.com/problems/construct-binary-tree-from-preorder-and-postorder-traversal/description/" TargetMode="External"/><Relationship Id="rId900" Type="http://schemas.openxmlformats.org/officeDocument/2006/relationships/hyperlink" Target="https://leetcode.com/problems/find-and-replace-pattern/description/" TargetMode="External"/><Relationship Id="rId1600" Type="http://schemas.openxmlformats.org/officeDocument/2006/relationships/hyperlink" Target="https://leetcode.com/problems/reverse-bits/description/" TargetMode="External"/><Relationship Id="rId1601" Type="http://schemas.openxmlformats.org/officeDocument/2006/relationships/hyperlink" Target="https://leetcode.com/problems/rotate-array/description/" TargetMode="External"/><Relationship Id="rId1602" Type="http://schemas.openxmlformats.org/officeDocument/2006/relationships/hyperlink" Target="https://leetcode.com/problems/best-time-to-buy-and-sell-stock-iv/description/" TargetMode="External"/><Relationship Id="rId1603" Type="http://schemas.openxmlformats.org/officeDocument/2006/relationships/hyperlink" Target="https://leetcode.com/problems/repeated-dna-sequences/description/" TargetMode="External"/><Relationship Id="rId1604" Type="http://schemas.openxmlformats.org/officeDocument/2006/relationships/hyperlink" Target="https://leetcode.com/problems/reverse-words-in-a-string-ii/description/" TargetMode="External"/><Relationship Id="rId1605" Type="http://schemas.openxmlformats.org/officeDocument/2006/relationships/hyperlink" Target="https://leetcode.com/problems/department-top-three-salaries/description/" TargetMode="External"/><Relationship Id="rId1606" Type="http://schemas.openxmlformats.org/officeDocument/2006/relationships/hyperlink" Target="https://leetcode.com/problems/department-highest-salary/description/" TargetMode="External"/><Relationship Id="rId1607" Type="http://schemas.openxmlformats.org/officeDocument/2006/relationships/hyperlink" Target="https://leetcode.com/problems/customers-who-never-order/description/" TargetMode="External"/><Relationship Id="rId1608" Type="http://schemas.openxmlformats.org/officeDocument/2006/relationships/hyperlink" Target="https://leetcode.com/problems/duplicate-emails/description/" TargetMode="External"/><Relationship Id="rId1609" Type="http://schemas.openxmlformats.org/officeDocument/2006/relationships/hyperlink" Target="https://leetcode.com/problems/employees-earning-more-than-their-managers/description/" TargetMode="External"/><Relationship Id="rId1631" Type="http://schemas.openxmlformats.org/officeDocument/2006/relationships/hyperlink" Target="https://leetcode.com/problems/longest-substring-with-at-most-two-distinct-characters/description/" TargetMode="External"/><Relationship Id="rId1632" Type="http://schemas.openxmlformats.org/officeDocument/2006/relationships/hyperlink" Target="https://leetcode.com/problems/read-n-characters-given-read4-ii-call-multiple-times/description/" TargetMode="External"/><Relationship Id="rId1633" Type="http://schemas.openxmlformats.org/officeDocument/2006/relationships/hyperlink" Target="https://leetcode.com/problems/read-n-characters-given-read4/description/" TargetMode="External"/><Relationship Id="rId1634" Type="http://schemas.openxmlformats.org/officeDocument/2006/relationships/hyperlink" Target="https://leetcode.com/problems/binary-tree-upside-down/description/" TargetMode="External"/><Relationship Id="rId1635" Type="http://schemas.openxmlformats.org/officeDocument/2006/relationships/hyperlink" Target="https://leetcode.com/problems/min-stack/description/" TargetMode="External"/><Relationship Id="rId1636" Type="http://schemas.openxmlformats.org/officeDocument/2006/relationships/hyperlink" Target="https://leetcode.com/problems/find-minimum-in-rotated-sorted-array-ii/description/" TargetMode="External"/><Relationship Id="rId1637" Type="http://schemas.openxmlformats.org/officeDocument/2006/relationships/hyperlink" Target="https://leetcode.com/problems/find-minimum-in-rotated-sorted-array/description/" TargetMode="External"/><Relationship Id="rId1638" Type="http://schemas.openxmlformats.org/officeDocument/2006/relationships/hyperlink" Target="https://leetcode.com/problems/maximum-product-subarray/description/" TargetMode="External"/><Relationship Id="rId929" Type="http://schemas.openxmlformats.org/officeDocument/2006/relationships/hyperlink" Target="https://leetcode.com/problems/score-after-flipping-matrix/description/" TargetMode="External"/><Relationship Id="rId1639" Type="http://schemas.openxmlformats.org/officeDocument/2006/relationships/hyperlink" Target="https://leetcode.com/problems/reverse-words-in-a-string/description/" TargetMode="External"/><Relationship Id="rId928" Type="http://schemas.openxmlformats.org/officeDocument/2006/relationships/hyperlink" Target="https://leetcode.com/problems/shortest-subarray-with-sum-at-least-k/description/" TargetMode="External"/><Relationship Id="rId927" Type="http://schemas.openxmlformats.org/officeDocument/2006/relationships/hyperlink" Target="https://leetcode.com/problems/all-nodes-distance-k-in-binary-tree/description/" TargetMode="External"/><Relationship Id="rId926" Type="http://schemas.openxmlformats.org/officeDocument/2006/relationships/hyperlink" Target="https://leetcode.com/problems/shortest-path-to-get-all-keys/description/" TargetMode="External"/><Relationship Id="rId921" Type="http://schemas.openxmlformats.org/officeDocument/2006/relationships/hyperlink" Target="https://leetcode.com/problems/reordered-power-of-2/description/" TargetMode="External"/><Relationship Id="rId920" Type="http://schemas.openxmlformats.org/officeDocument/2006/relationships/hyperlink" Target="https://leetcode.com/problems/advantage-shuffle/description/" TargetMode="External"/><Relationship Id="rId925" Type="http://schemas.openxmlformats.org/officeDocument/2006/relationships/hyperlink" Target="https://leetcode.com/problems/smallest-subtree-with-all-the-deepest-nodes/description/" TargetMode="External"/><Relationship Id="rId924" Type="http://schemas.openxmlformats.org/officeDocument/2006/relationships/hyperlink" Target="https://leetcode.com/problems/prime-palindrome/description/" TargetMode="External"/><Relationship Id="rId923" Type="http://schemas.openxmlformats.org/officeDocument/2006/relationships/hyperlink" Target="https://leetcode.com/problems/transpose-matrix/description/" TargetMode="External"/><Relationship Id="rId922" Type="http://schemas.openxmlformats.org/officeDocument/2006/relationships/hyperlink" Target="https://leetcode.com/problems/binary-gap/description/" TargetMode="External"/><Relationship Id="rId1630" Type="http://schemas.openxmlformats.org/officeDocument/2006/relationships/hyperlink" Target="https://leetcode.com/problems/intersection-of-two-linked-lists/description/" TargetMode="External"/><Relationship Id="rId1620" Type="http://schemas.openxmlformats.org/officeDocument/2006/relationships/hyperlink" Target="https://leetcode.com/problems/two-sum-iii-data-structure-design/description/" TargetMode="External"/><Relationship Id="rId1621" Type="http://schemas.openxmlformats.org/officeDocument/2006/relationships/hyperlink" Target="https://leetcode.com/problems/majority-element/description/" TargetMode="External"/><Relationship Id="rId1622" Type="http://schemas.openxmlformats.org/officeDocument/2006/relationships/hyperlink" Target="https://leetcode.com/problems/excel-sheet-column-title/description/" TargetMode="External"/><Relationship Id="rId1623" Type="http://schemas.openxmlformats.org/officeDocument/2006/relationships/hyperlink" Target="https://leetcode.com/problems/two-sum-ii-input-array-is-sorted/description/" TargetMode="External"/><Relationship Id="rId1624" Type="http://schemas.openxmlformats.org/officeDocument/2006/relationships/hyperlink" Target="https://leetcode.com/problems/fraction-to-recurring-decimal/description/" TargetMode="External"/><Relationship Id="rId1625" Type="http://schemas.openxmlformats.org/officeDocument/2006/relationships/hyperlink" Target="https://leetcode.com/problems/compare-version-numbers/description/" TargetMode="External"/><Relationship Id="rId1626" Type="http://schemas.openxmlformats.org/officeDocument/2006/relationships/hyperlink" Target="https://leetcode.com/problems/maximum-gap/description/" TargetMode="External"/><Relationship Id="rId1627" Type="http://schemas.openxmlformats.org/officeDocument/2006/relationships/hyperlink" Target="https://leetcode.com/problems/missing-ranges/description/" TargetMode="External"/><Relationship Id="rId918" Type="http://schemas.openxmlformats.org/officeDocument/2006/relationships/hyperlink" Target="https://leetcode.com/problems/leaf-similar-trees/description/" TargetMode="External"/><Relationship Id="rId1628" Type="http://schemas.openxmlformats.org/officeDocument/2006/relationships/hyperlink" Target="https://leetcode.com/problems/find-peak-element/description/" TargetMode="External"/><Relationship Id="rId917" Type="http://schemas.openxmlformats.org/officeDocument/2006/relationships/hyperlink" Target="https://leetcode.com/problems/length-of-longest-fibonacci-subsequence/description/" TargetMode="External"/><Relationship Id="rId1629" Type="http://schemas.openxmlformats.org/officeDocument/2006/relationships/hyperlink" Target="https://leetcode.com/problems/one-edit-distance/description/" TargetMode="External"/><Relationship Id="rId916" Type="http://schemas.openxmlformats.org/officeDocument/2006/relationships/hyperlink" Target="https://leetcode.com/problems/walking-robot-simulation/description/" TargetMode="External"/><Relationship Id="rId915" Type="http://schemas.openxmlformats.org/officeDocument/2006/relationships/hyperlink" Target="https://leetcode.com/problems/koko-eating-bananas/description/" TargetMode="External"/><Relationship Id="rId919" Type="http://schemas.openxmlformats.org/officeDocument/2006/relationships/hyperlink" Target="https://leetcode.com/problems/minimum-number-of-refueling-stops/description/" TargetMode="External"/><Relationship Id="rId910" Type="http://schemas.openxmlformats.org/officeDocument/2006/relationships/hyperlink" Target="https://leetcode.com/problems/decoded-string-at-index/description/" TargetMode="External"/><Relationship Id="rId914" Type="http://schemas.openxmlformats.org/officeDocument/2006/relationships/hyperlink" Target="https://leetcode.com/problems/middle-of-the-linked-list/description/" TargetMode="External"/><Relationship Id="rId913" Type="http://schemas.openxmlformats.org/officeDocument/2006/relationships/hyperlink" Target="https://leetcode.com/problems/stone-game/description/" TargetMode="External"/><Relationship Id="rId912" Type="http://schemas.openxmlformats.org/officeDocument/2006/relationships/hyperlink" Target="https://leetcode.com/problems/nth-magical-number/description/" TargetMode="External"/><Relationship Id="rId911" Type="http://schemas.openxmlformats.org/officeDocument/2006/relationships/hyperlink" Target="https://leetcode.com/problems/profitable-schemes/description/" TargetMode="External"/><Relationship Id="rId1213" Type="http://schemas.openxmlformats.org/officeDocument/2006/relationships/hyperlink" Target="https://leetcode.com/problems/employee-bonus/description/" TargetMode="External"/><Relationship Id="rId1697" Type="http://schemas.openxmlformats.org/officeDocument/2006/relationships/hyperlink" Target="https://leetcode.com/problems/restore-ip-addresses/description/" TargetMode="External"/><Relationship Id="rId1214" Type="http://schemas.openxmlformats.org/officeDocument/2006/relationships/hyperlink" Target="https://leetcode.com/problems/out-of-boundary-paths/description/" TargetMode="External"/><Relationship Id="rId1698" Type="http://schemas.openxmlformats.org/officeDocument/2006/relationships/hyperlink" Target="https://leetcode.com/problems/reverse-linked-list-ii/description/" TargetMode="External"/><Relationship Id="rId1215" Type="http://schemas.openxmlformats.org/officeDocument/2006/relationships/hyperlink" Target="https://leetcode.com/problems/distribute-candies/description/" TargetMode="External"/><Relationship Id="rId1699" Type="http://schemas.openxmlformats.org/officeDocument/2006/relationships/hyperlink" Target="https://leetcode.com/problems/decode-ways/description/" TargetMode="External"/><Relationship Id="rId1216" Type="http://schemas.openxmlformats.org/officeDocument/2006/relationships/hyperlink" Target="https://leetcode.com/problems/winning-candidate/description/" TargetMode="External"/><Relationship Id="rId1217" Type="http://schemas.openxmlformats.org/officeDocument/2006/relationships/hyperlink" Target="https://leetcode.com/problems/squirrel-simulation/description/" TargetMode="External"/><Relationship Id="rId1218" Type="http://schemas.openxmlformats.org/officeDocument/2006/relationships/hyperlink" Target="https://leetcode.com/problems/subtree-of-another-tree/description/" TargetMode="External"/><Relationship Id="rId1219" Type="http://schemas.openxmlformats.org/officeDocument/2006/relationships/hyperlink" Target="https://leetcode.com/problems/find-median-given-frequency-of-numbers/description/" TargetMode="External"/><Relationship Id="rId866" Type="http://schemas.openxmlformats.org/officeDocument/2006/relationships/hyperlink" Target="https://leetcode.com/problems/minimize-malware-spread/description/" TargetMode="External"/><Relationship Id="rId865" Type="http://schemas.openxmlformats.org/officeDocument/2006/relationships/hyperlink" Target="https://leetcode.com/problems/long-pressed-name/description/" TargetMode="External"/><Relationship Id="rId864" Type="http://schemas.openxmlformats.org/officeDocument/2006/relationships/hyperlink" Target="https://leetcode.com/problems/flip-string-to-monotone-increasing/description/" TargetMode="External"/><Relationship Id="rId863" Type="http://schemas.openxmlformats.org/officeDocument/2006/relationships/hyperlink" Target="https://leetcode.com/problems/three-equal-parts/description/" TargetMode="External"/><Relationship Id="rId869" Type="http://schemas.openxmlformats.org/officeDocument/2006/relationships/hyperlink" Target="https://leetcode.com/problems/minimum-add-to-make-parentheses-valid/description/" TargetMode="External"/><Relationship Id="rId868" Type="http://schemas.openxmlformats.org/officeDocument/2006/relationships/hyperlink" Target="https://leetcode.com/problems/sort-array-by-parity-ii/description/" TargetMode="External"/><Relationship Id="rId867" Type="http://schemas.openxmlformats.org/officeDocument/2006/relationships/hyperlink" Target="https://leetcode.com/problems/3sum-with-multiplicity/description/" TargetMode="External"/><Relationship Id="rId1690" Type="http://schemas.openxmlformats.org/officeDocument/2006/relationships/hyperlink" Target="https://leetcode.com/problems/same-tree/description/" TargetMode="External"/><Relationship Id="rId1691" Type="http://schemas.openxmlformats.org/officeDocument/2006/relationships/hyperlink" Target="https://leetcode.com/problems/recover-binary-search-tree/description/" TargetMode="External"/><Relationship Id="rId1692" Type="http://schemas.openxmlformats.org/officeDocument/2006/relationships/hyperlink" Target="https://leetcode.com/problems/validate-binary-search-tree/description/" TargetMode="External"/><Relationship Id="rId862" Type="http://schemas.openxmlformats.org/officeDocument/2006/relationships/hyperlink" Target="https://leetcode.com/problems/minimize-malware-spread-ii/description/" TargetMode="External"/><Relationship Id="rId1693" Type="http://schemas.openxmlformats.org/officeDocument/2006/relationships/hyperlink" Target="https://leetcode.com/problems/interleaving-string/description/" TargetMode="External"/><Relationship Id="rId861" Type="http://schemas.openxmlformats.org/officeDocument/2006/relationships/hyperlink" Target="https://leetcode.com/problems/unique-email-addresses/description/" TargetMode="External"/><Relationship Id="rId1210" Type="http://schemas.openxmlformats.org/officeDocument/2006/relationships/hyperlink" Target="https://leetcode.com/problems/count-student-number-in-departments/description/" TargetMode="External"/><Relationship Id="rId1694" Type="http://schemas.openxmlformats.org/officeDocument/2006/relationships/hyperlink" Target="https://leetcode.com/problems/unique-binary-search-trees/description/" TargetMode="External"/><Relationship Id="rId860" Type="http://schemas.openxmlformats.org/officeDocument/2006/relationships/hyperlink" Target="https://leetcode.com/problems/binary-subarrays-with-sum/description/" TargetMode="External"/><Relationship Id="rId1211" Type="http://schemas.openxmlformats.org/officeDocument/2006/relationships/hyperlink" Target="https://leetcode.com/problems/find-cumulative-salary-of-an-employee/description/" TargetMode="External"/><Relationship Id="rId1695" Type="http://schemas.openxmlformats.org/officeDocument/2006/relationships/hyperlink" Target="https://leetcode.com/problems/unique-binary-search-trees-ii/description/" TargetMode="External"/><Relationship Id="rId1212" Type="http://schemas.openxmlformats.org/officeDocument/2006/relationships/hyperlink" Target="https://leetcode.com/problems/get-highest-answer-rate-question/description/" TargetMode="External"/><Relationship Id="rId1696" Type="http://schemas.openxmlformats.org/officeDocument/2006/relationships/hyperlink" Target="https://leetcode.com/problems/binary-tree-inorder-traversal/description/" TargetMode="External"/><Relationship Id="rId1202" Type="http://schemas.openxmlformats.org/officeDocument/2006/relationships/hyperlink" Target="https://leetcode.com/problems/design-in-memory-file-system/description/" TargetMode="External"/><Relationship Id="rId1686" Type="http://schemas.openxmlformats.org/officeDocument/2006/relationships/hyperlink" Target="https://leetcode.com/problems/maximum-depth-of-binary-tree/description/" TargetMode="External"/><Relationship Id="rId1203" Type="http://schemas.openxmlformats.org/officeDocument/2006/relationships/hyperlink" Target="https://leetcode.com/problems/erect-the-fence/description/" TargetMode="External"/><Relationship Id="rId1687" Type="http://schemas.openxmlformats.org/officeDocument/2006/relationships/hyperlink" Target="https://leetcode.com/problems/binary-tree-zigzag-level-order-traversal/description/" TargetMode="External"/><Relationship Id="rId1204" Type="http://schemas.openxmlformats.org/officeDocument/2006/relationships/hyperlink" Target="https://leetcode.com/problems/customer-placing-the-largest-number-of-orders/description/" TargetMode="External"/><Relationship Id="rId1688" Type="http://schemas.openxmlformats.org/officeDocument/2006/relationships/hyperlink" Target="https://leetcode.com/problems/binary-tree-level-order-traversal/description/" TargetMode="External"/><Relationship Id="rId1205" Type="http://schemas.openxmlformats.org/officeDocument/2006/relationships/hyperlink" Target="https://leetcode.com/problems/investments-in-2016/description/" TargetMode="External"/><Relationship Id="rId1689" Type="http://schemas.openxmlformats.org/officeDocument/2006/relationships/hyperlink" Target="https://leetcode.com/problems/symmetric-tree/description/" TargetMode="External"/><Relationship Id="rId1206" Type="http://schemas.openxmlformats.org/officeDocument/2006/relationships/hyperlink" Target="https://leetcode.com/problems/find-customer-referee/description/" TargetMode="External"/><Relationship Id="rId1207" Type="http://schemas.openxmlformats.org/officeDocument/2006/relationships/hyperlink" Target="https://leetcode.com/problems/delete-operation-for-two-strings/description/" TargetMode="External"/><Relationship Id="rId1208" Type="http://schemas.openxmlformats.org/officeDocument/2006/relationships/hyperlink" Target="https://leetcode.com/problems/kill-process/description/" TargetMode="External"/><Relationship Id="rId1209" Type="http://schemas.openxmlformats.org/officeDocument/2006/relationships/hyperlink" Target="https://leetcode.com/problems/shortest-unsorted-continuous-subarray/description/" TargetMode="External"/><Relationship Id="rId855" Type="http://schemas.openxmlformats.org/officeDocument/2006/relationships/hyperlink" Target="https://leetcode.com/problems/knight-dialer/description/" TargetMode="External"/><Relationship Id="rId854" Type="http://schemas.openxmlformats.org/officeDocument/2006/relationships/hyperlink" Target="https://leetcode.com/problems/stamping-the-sequence/description/" TargetMode="External"/><Relationship Id="rId853" Type="http://schemas.openxmlformats.org/officeDocument/2006/relationships/hyperlink" Target="https://leetcode.com/problems/reorder-data-in-log-files/description/" TargetMode="External"/><Relationship Id="rId852" Type="http://schemas.openxmlformats.org/officeDocument/2006/relationships/hyperlink" Target="https://leetcode.com/problems/range-sum-of-bst/description/" TargetMode="External"/><Relationship Id="rId859" Type="http://schemas.openxmlformats.org/officeDocument/2006/relationships/hyperlink" Target="https://leetcode.com/problems/minimum-falling-path-sum/description/" TargetMode="External"/><Relationship Id="rId858" Type="http://schemas.openxmlformats.org/officeDocument/2006/relationships/hyperlink" Target="https://leetcode.com/problems/beautiful-array/description/" TargetMode="External"/><Relationship Id="rId857" Type="http://schemas.openxmlformats.org/officeDocument/2006/relationships/hyperlink" Target="https://leetcode.com/problems/number-of-recent-calls/description/" TargetMode="External"/><Relationship Id="rId856" Type="http://schemas.openxmlformats.org/officeDocument/2006/relationships/hyperlink" Target="https://leetcode.com/problems/shortest-bridge/description/" TargetMode="External"/><Relationship Id="rId1680" Type="http://schemas.openxmlformats.org/officeDocument/2006/relationships/hyperlink" Target="https://leetcode.com/problems/balanced-binary-tree/description/" TargetMode="External"/><Relationship Id="rId1681" Type="http://schemas.openxmlformats.org/officeDocument/2006/relationships/hyperlink" Target="https://leetcode.com/problems/convert-sorted-list-to-binary-search-tree/description/" TargetMode="External"/><Relationship Id="rId851" Type="http://schemas.openxmlformats.org/officeDocument/2006/relationships/hyperlink" Target="https://leetcode.com/problems/minimum-area-rectangle/description/" TargetMode="External"/><Relationship Id="rId1682" Type="http://schemas.openxmlformats.org/officeDocument/2006/relationships/hyperlink" Target="https://leetcode.com/problems/convert-sorted-array-to-binary-search-tree/description/" TargetMode="External"/><Relationship Id="rId850" Type="http://schemas.openxmlformats.org/officeDocument/2006/relationships/hyperlink" Target="https://leetcode.com/problems/distinct-subsequences-ii/description/" TargetMode="External"/><Relationship Id="rId1683" Type="http://schemas.openxmlformats.org/officeDocument/2006/relationships/hyperlink" Target="https://leetcode.com/problems/binary-tree-level-order-traversal-ii/description/" TargetMode="External"/><Relationship Id="rId1200" Type="http://schemas.openxmlformats.org/officeDocument/2006/relationships/hyperlink" Target="https://leetcode.com/problems/n-ary-tree-postorder-traversal/description/" TargetMode="External"/><Relationship Id="rId1684" Type="http://schemas.openxmlformats.org/officeDocument/2006/relationships/hyperlink" Target="https://leetcode.com/problems/construct-binary-tree-from-inorder-and-postorder-traversal/description/" TargetMode="External"/><Relationship Id="rId1201" Type="http://schemas.openxmlformats.org/officeDocument/2006/relationships/hyperlink" Target="https://leetcode.com/problems/n-ary-tree-preorder-traversal/description/" TargetMode="External"/><Relationship Id="rId1685" Type="http://schemas.openxmlformats.org/officeDocument/2006/relationships/hyperlink" Target="https://leetcode.com/problems/construct-binary-tree-from-preorder-and-inorder-traversal/description/" TargetMode="External"/><Relationship Id="rId1235" Type="http://schemas.openxmlformats.org/officeDocument/2006/relationships/hyperlink" Target="https://leetcode.com/problems/split-concatenated-strings/description/" TargetMode="External"/><Relationship Id="rId1236" Type="http://schemas.openxmlformats.org/officeDocument/2006/relationships/hyperlink" Target="https://leetcode.com/problems/brick-wall/description/" TargetMode="External"/><Relationship Id="rId1237" Type="http://schemas.openxmlformats.org/officeDocument/2006/relationships/hyperlink" Target="https://leetcode.com/problems/optimal-division/description/" TargetMode="External"/><Relationship Id="rId1238" Type="http://schemas.openxmlformats.org/officeDocument/2006/relationships/hyperlink" Target="https://leetcode.com/problems/student-attendance-record-ii/description/" TargetMode="External"/><Relationship Id="rId1239" Type="http://schemas.openxmlformats.org/officeDocument/2006/relationships/hyperlink" Target="https://leetcode.com/problems/student-attendance-record-i/description/" TargetMode="External"/><Relationship Id="rId409" Type="http://schemas.openxmlformats.org/officeDocument/2006/relationships/hyperlink" Target="https://leetcode.com/problems/pizza-with-3n-slices/description/" TargetMode="External"/><Relationship Id="rId404" Type="http://schemas.openxmlformats.org/officeDocument/2006/relationships/hyperlink" Target="https://leetcode.com/problems/capital-gainloss/description/" TargetMode="External"/><Relationship Id="rId888" Type="http://schemas.openxmlformats.org/officeDocument/2006/relationships/hyperlink" Target="https://leetcode.com/problems/numbers-at-most-n-given-digit-set/description/" TargetMode="External"/><Relationship Id="rId403" Type="http://schemas.openxmlformats.org/officeDocument/2006/relationships/hyperlink" Target="https://leetcode.com/problems/find-lucky-integer-in-an-array/description/" TargetMode="External"/><Relationship Id="rId887" Type="http://schemas.openxmlformats.org/officeDocument/2006/relationships/hyperlink" Target="https://leetcode.com/problems/valid-permutations-for-di-sequence/description/" TargetMode="External"/><Relationship Id="rId402" Type="http://schemas.openxmlformats.org/officeDocument/2006/relationships/hyperlink" Target="https://leetcode.com/problems/count-number-of-teams/description/" TargetMode="External"/><Relationship Id="rId886" Type="http://schemas.openxmlformats.org/officeDocument/2006/relationships/hyperlink" Target="https://leetcode.com/problems/fruit-into-baskets/description/" TargetMode="External"/><Relationship Id="rId401" Type="http://schemas.openxmlformats.org/officeDocument/2006/relationships/hyperlink" Target="https://leetcode.com/problems/design-underground-system/description/" TargetMode="External"/><Relationship Id="rId885" Type="http://schemas.openxmlformats.org/officeDocument/2006/relationships/hyperlink" Target="https://leetcode.com/problems/sort-array-by-parity/description/" TargetMode="External"/><Relationship Id="rId408" Type="http://schemas.openxmlformats.org/officeDocument/2006/relationships/hyperlink" Target="https://leetcode.com/problems/create-target-array-in-the-given-order/description/" TargetMode="External"/><Relationship Id="rId407" Type="http://schemas.openxmlformats.org/officeDocument/2006/relationships/hyperlink" Target="https://leetcode.com/problems/four-divisors/description/" TargetMode="External"/><Relationship Id="rId406" Type="http://schemas.openxmlformats.org/officeDocument/2006/relationships/hyperlink" Target="https://leetcode.com/problems/check-if-there-is-a-valid-path-in-a-grid/description/" TargetMode="External"/><Relationship Id="rId405" Type="http://schemas.openxmlformats.org/officeDocument/2006/relationships/hyperlink" Target="https://leetcode.com/problems/longest-happy-prefix/description/" TargetMode="External"/><Relationship Id="rId889" Type="http://schemas.openxmlformats.org/officeDocument/2006/relationships/hyperlink" Target="https://leetcode.com/problems/online-stock-span/description/" TargetMode="External"/><Relationship Id="rId880" Type="http://schemas.openxmlformats.org/officeDocument/2006/relationships/hyperlink" Target="https://leetcode.com/problems/smallest-range-ii/description/" TargetMode="External"/><Relationship Id="rId1230" Type="http://schemas.openxmlformats.org/officeDocument/2006/relationships/hyperlink" Target="https://leetcode.com/problems/subarray-sum-equals-k/description/" TargetMode="External"/><Relationship Id="rId400" Type="http://schemas.openxmlformats.org/officeDocument/2006/relationships/hyperlink" Target="https://leetcode.com/problems/find-all-good-strings/description/" TargetMode="External"/><Relationship Id="rId884" Type="http://schemas.openxmlformats.org/officeDocument/2006/relationships/hyperlink" Target="https://leetcode.com/problems/super-palindromes/description/" TargetMode="External"/><Relationship Id="rId1231" Type="http://schemas.openxmlformats.org/officeDocument/2006/relationships/hyperlink" Target="https://leetcode.com/problems/maximum-depth-of-n-ary-tree/description/" TargetMode="External"/><Relationship Id="rId883" Type="http://schemas.openxmlformats.org/officeDocument/2006/relationships/hyperlink" Target="https://leetcode.com/problems/sum-of-subarray-minimums/description/" TargetMode="External"/><Relationship Id="rId1232" Type="http://schemas.openxmlformats.org/officeDocument/2006/relationships/hyperlink" Target="https://leetcode.com/problems/logical-or-of-two-binary-grids-represented-as-quad-trees/description/" TargetMode="External"/><Relationship Id="rId882" Type="http://schemas.openxmlformats.org/officeDocument/2006/relationships/hyperlink" Target="https://leetcode.com/problems/smallest-range-i/description/" TargetMode="External"/><Relationship Id="rId1233" Type="http://schemas.openxmlformats.org/officeDocument/2006/relationships/hyperlink" Target="https://leetcode.com/problems/reverse-words-in-a-string-iii/description/" TargetMode="External"/><Relationship Id="rId881" Type="http://schemas.openxmlformats.org/officeDocument/2006/relationships/hyperlink" Target="https://leetcode.com/problems/snakes-and-ladders/description/" TargetMode="External"/><Relationship Id="rId1234" Type="http://schemas.openxmlformats.org/officeDocument/2006/relationships/hyperlink" Target="https://leetcode.com/problems/next-greater-element-iii/description/" TargetMode="External"/><Relationship Id="rId1224" Type="http://schemas.openxmlformats.org/officeDocument/2006/relationships/hyperlink" Target="https://leetcode.com/problems/reshape-the-matrix/description/" TargetMode="External"/><Relationship Id="rId1225" Type="http://schemas.openxmlformats.org/officeDocument/2006/relationships/hyperlink" Target="https://leetcode.com/problems/array-nesting/description/" TargetMode="External"/><Relationship Id="rId1226" Type="http://schemas.openxmlformats.org/officeDocument/2006/relationships/hyperlink" Target="https://leetcode.com/problems/find-the-closest-palindrome/description/" TargetMode="External"/><Relationship Id="rId1227" Type="http://schemas.openxmlformats.org/officeDocument/2006/relationships/hyperlink" Target="https://leetcode.com/problems/binary-tree-tilt/description/" TargetMode="External"/><Relationship Id="rId1228" Type="http://schemas.openxmlformats.org/officeDocument/2006/relationships/hyperlink" Target="https://leetcode.com/problems/longest-line-of-consecutive-one-in-matrix/description/" TargetMode="External"/><Relationship Id="rId1229" Type="http://schemas.openxmlformats.org/officeDocument/2006/relationships/hyperlink" Target="https://leetcode.com/problems/array-partition-i/description/" TargetMode="External"/><Relationship Id="rId877" Type="http://schemas.openxmlformats.org/officeDocument/2006/relationships/hyperlink" Target="https://leetcode.com/problems/cat-and-mouse/description/" TargetMode="External"/><Relationship Id="rId876" Type="http://schemas.openxmlformats.org/officeDocument/2006/relationships/hyperlink" Target="https://leetcode.com/problems/x-of-a-kind-in-a-deck-of-cards/description/" TargetMode="External"/><Relationship Id="rId875" Type="http://schemas.openxmlformats.org/officeDocument/2006/relationships/hyperlink" Target="https://leetcode.com/problems/partition-array-into-disjoint-intervals/description/" TargetMode="External"/><Relationship Id="rId874" Type="http://schemas.openxmlformats.org/officeDocument/2006/relationships/hyperlink" Target="https://leetcode.com/problems/word-subsets/description/" TargetMode="External"/><Relationship Id="rId879" Type="http://schemas.openxmlformats.org/officeDocument/2006/relationships/hyperlink" Target="https://leetcode.com/problems/online-election/description/" TargetMode="External"/><Relationship Id="rId878" Type="http://schemas.openxmlformats.org/officeDocument/2006/relationships/hyperlink" Target="https://leetcode.com/problems/sort-an-array/description/" TargetMode="External"/><Relationship Id="rId873" Type="http://schemas.openxmlformats.org/officeDocument/2006/relationships/hyperlink" Target="https://leetcode.com/problems/reverse-only-letters/description/" TargetMode="External"/><Relationship Id="rId1220" Type="http://schemas.openxmlformats.org/officeDocument/2006/relationships/hyperlink" Target="https://leetcode.com/problems/managers-with-at-least-5-direct-reports/description/" TargetMode="External"/><Relationship Id="rId872" Type="http://schemas.openxmlformats.org/officeDocument/2006/relationships/hyperlink" Target="https://leetcode.com/problems/maximum-sum-circular-subarray/description/" TargetMode="External"/><Relationship Id="rId1221" Type="http://schemas.openxmlformats.org/officeDocument/2006/relationships/hyperlink" Target="https://leetcode.com/problems/median-employee-salary/description/" TargetMode="External"/><Relationship Id="rId871" Type="http://schemas.openxmlformats.org/officeDocument/2006/relationships/hyperlink" Target="https://leetcode.com/problems/complete-binary-tree-inserter/description/" TargetMode="External"/><Relationship Id="rId1222" Type="http://schemas.openxmlformats.org/officeDocument/2006/relationships/hyperlink" Target="https://leetcode.com/problems/maximum-vacation-days/description/" TargetMode="External"/><Relationship Id="rId870" Type="http://schemas.openxmlformats.org/officeDocument/2006/relationships/hyperlink" Target="https://leetcode.com/problems/number-of-music-playlists/description/" TargetMode="External"/><Relationship Id="rId1223" Type="http://schemas.openxmlformats.org/officeDocument/2006/relationships/hyperlink" Target="https://leetcode.com/problems/permutation-in-string/description/" TargetMode="External"/><Relationship Id="rId1653" Type="http://schemas.openxmlformats.org/officeDocument/2006/relationships/hyperlink" Target="https://leetcode.com/problems/single-number-ii/description/" TargetMode="External"/><Relationship Id="rId1654" Type="http://schemas.openxmlformats.org/officeDocument/2006/relationships/hyperlink" Target="https://leetcode.com/problems/single-number/description/" TargetMode="External"/><Relationship Id="rId1655" Type="http://schemas.openxmlformats.org/officeDocument/2006/relationships/hyperlink" Target="https://leetcode.com/problems/candy/description/" TargetMode="External"/><Relationship Id="rId1656" Type="http://schemas.openxmlformats.org/officeDocument/2006/relationships/hyperlink" Target="https://leetcode.com/problems/gas-station/description/" TargetMode="External"/><Relationship Id="rId1657" Type="http://schemas.openxmlformats.org/officeDocument/2006/relationships/hyperlink" Target="https://leetcode.com/problems/clone-graph/description/" TargetMode="External"/><Relationship Id="rId1658" Type="http://schemas.openxmlformats.org/officeDocument/2006/relationships/hyperlink" Target="https://leetcode.com/problems/palindrome-partitioning-ii/description/" TargetMode="External"/><Relationship Id="rId1659" Type="http://schemas.openxmlformats.org/officeDocument/2006/relationships/hyperlink" Target="https://leetcode.com/problems/palindrome-partitioning/description/" TargetMode="External"/><Relationship Id="rId829" Type="http://schemas.openxmlformats.org/officeDocument/2006/relationships/hyperlink" Target="https://leetcode.com/problems/n-repeated-element-in-size-2n-array/description/" TargetMode="External"/><Relationship Id="rId828" Type="http://schemas.openxmlformats.org/officeDocument/2006/relationships/hyperlink" Target="https://leetcode.com/problems/maximum-width-ramp/description/" TargetMode="External"/><Relationship Id="rId827" Type="http://schemas.openxmlformats.org/officeDocument/2006/relationships/hyperlink" Target="https://leetcode.com/problems/minimum-area-rectangle-ii/description/" TargetMode="External"/><Relationship Id="rId822" Type="http://schemas.openxmlformats.org/officeDocument/2006/relationships/hyperlink" Target="https://leetcode.com/problems/binary-tree-cameras/description/" TargetMode="External"/><Relationship Id="rId821" Type="http://schemas.openxmlformats.org/officeDocument/2006/relationships/hyperlink" Target="https://leetcode.com/problems/pancake-sorting/description/" TargetMode="External"/><Relationship Id="rId820" Type="http://schemas.openxmlformats.org/officeDocument/2006/relationships/hyperlink" Target="https://leetcode.com/problems/powerful-integers/description/" TargetMode="External"/><Relationship Id="rId826" Type="http://schemas.openxmlformats.org/officeDocument/2006/relationships/hyperlink" Target="https://leetcode.com/problems/least-operators-to-express-number/description/" TargetMode="External"/><Relationship Id="rId825" Type="http://schemas.openxmlformats.org/officeDocument/2006/relationships/hyperlink" Target="https://leetcode.com/problems/univalued-binary-tree/description/" TargetMode="External"/><Relationship Id="rId824" Type="http://schemas.openxmlformats.org/officeDocument/2006/relationships/hyperlink" Target="https://leetcode.com/problems/vowel-spellchecker/description/" TargetMode="External"/><Relationship Id="rId823" Type="http://schemas.openxmlformats.org/officeDocument/2006/relationships/hyperlink" Target="https://leetcode.com/problems/numbers-with-same-consecutive-differences/description/" TargetMode="External"/><Relationship Id="rId1650" Type="http://schemas.openxmlformats.org/officeDocument/2006/relationships/hyperlink" Target="https://leetcode.com/problems/word-break-ii/description/" TargetMode="External"/><Relationship Id="rId1651" Type="http://schemas.openxmlformats.org/officeDocument/2006/relationships/hyperlink" Target="https://leetcode.com/problems/word-break/description/" TargetMode="External"/><Relationship Id="rId1652" Type="http://schemas.openxmlformats.org/officeDocument/2006/relationships/hyperlink" Target="https://leetcode.com/problems/copy-list-with-random-pointer/description/" TargetMode="External"/><Relationship Id="rId1642" Type="http://schemas.openxmlformats.org/officeDocument/2006/relationships/hyperlink" Target="https://leetcode.com/problems/sort-list/description/" TargetMode="External"/><Relationship Id="rId1643" Type="http://schemas.openxmlformats.org/officeDocument/2006/relationships/hyperlink" Target="https://leetcode.com/problems/insertion-sort-list/description/" TargetMode="External"/><Relationship Id="rId1644" Type="http://schemas.openxmlformats.org/officeDocument/2006/relationships/hyperlink" Target="https://leetcode.com/problems/lru-cache/description/" TargetMode="External"/><Relationship Id="rId1645" Type="http://schemas.openxmlformats.org/officeDocument/2006/relationships/hyperlink" Target="https://leetcode.com/problems/binary-tree-postorder-traversal/description/" TargetMode="External"/><Relationship Id="rId1646" Type="http://schemas.openxmlformats.org/officeDocument/2006/relationships/hyperlink" Target="https://leetcode.com/problems/binary-tree-preorder-traversal/description/" TargetMode="External"/><Relationship Id="rId1647" Type="http://schemas.openxmlformats.org/officeDocument/2006/relationships/hyperlink" Target="https://leetcode.com/problems/reorder-list/description/" TargetMode="External"/><Relationship Id="rId1648" Type="http://schemas.openxmlformats.org/officeDocument/2006/relationships/hyperlink" Target="https://leetcode.com/problems/linked-list-cycle-ii/description/" TargetMode="External"/><Relationship Id="rId1649" Type="http://schemas.openxmlformats.org/officeDocument/2006/relationships/hyperlink" Target="https://leetcode.com/problems/linked-list-cycle/description/" TargetMode="External"/><Relationship Id="rId819" Type="http://schemas.openxmlformats.org/officeDocument/2006/relationships/hyperlink" Target="https://leetcode.com/problems/flip-binary-tree-to-match-preorder-traversal/description/" TargetMode="External"/><Relationship Id="rId818" Type="http://schemas.openxmlformats.org/officeDocument/2006/relationships/hyperlink" Target="https://leetcode.com/problems/equal-rational-numbers/description/" TargetMode="External"/><Relationship Id="rId817" Type="http://schemas.openxmlformats.org/officeDocument/2006/relationships/hyperlink" Target="https://leetcode.com/problems/k-closest-points-to-origin/description/" TargetMode="External"/><Relationship Id="rId816" Type="http://schemas.openxmlformats.org/officeDocument/2006/relationships/hyperlink" Target="https://leetcode.com/problems/subarray-sums-divisible-by-k/description/" TargetMode="External"/><Relationship Id="rId811" Type="http://schemas.openxmlformats.org/officeDocument/2006/relationships/hyperlink" Target="https://leetcode.com/problems/distribute-coins-in-binary-tree/description/" TargetMode="External"/><Relationship Id="rId810" Type="http://schemas.openxmlformats.org/officeDocument/2006/relationships/hyperlink" Target="https://leetcode.com/problems/unique-paths-iii/description/" TargetMode="External"/><Relationship Id="rId815" Type="http://schemas.openxmlformats.org/officeDocument/2006/relationships/hyperlink" Target="https://leetcode.com/problems/odd-even-jump/description/" TargetMode="External"/><Relationship Id="rId814" Type="http://schemas.openxmlformats.org/officeDocument/2006/relationships/hyperlink" Target="https://leetcode.com/problems/largest-perimeter-triangle/description/" TargetMode="External"/><Relationship Id="rId813" Type="http://schemas.openxmlformats.org/officeDocument/2006/relationships/hyperlink" Target="https://leetcode.com/problems/squares-of-a-sorted-array/description/" TargetMode="External"/><Relationship Id="rId812" Type="http://schemas.openxmlformats.org/officeDocument/2006/relationships/hyperlink" Target="https://leetcode.com/problems/longest-turbulent-subarray/description/" TargetMode="External"/><Relationship Id="rId1640" Type="http://schemas.openxmlformats.org/officeDocument/2006/relationships/hyperlink" Target="https://leetcode.com/problems/evaluate-reverse-polish-notation/description/" TargetMode="External"/><Relationship Id="rId1641" Type="http://schemas.openxmlformats.org/officeDocument/2006/relationships/hyperlink" Target="https://leetcode.com/problems/max-points-on-a-line/description/" TargetMode="External"/><Relationship Id="rId1675" Type="http://schemas.openxmlformats.org/officeDocument/2006/relationships/hyperlink" Target="https://leetcode.com/problems/distinct-subsequences/description/" TargetMode="External"/><Relationship Id="rId1676" Type="http://schemas.openxmlformats.org/officeDocument/2006/relationships/hyperlink" Target="https://leetcode.com/problems/flatten-binary-tree-to-linked-list/description/" TargetMode="External"/><Relationship Id="rId1677" Type="http://schemas.openxmlformats.org/officeDocument/2006/relationships/hyperlink" Target="https://leetcode.com/problems/path-sum-ii/description/" TargetMode="External"/><Relationship Id="rId1678" Type="http://schemas.openxmlformats.org/officeDocument/2006/relationships/hyperlink" Target="https://leetcode.com/problems/path-sum/description/" TargetMode="External"/><Relationship Id="rId1679" Type="http://schemas.openxmlformats.org/officeDocument/2006/relationships/hyperlink" Target="https://leetcode.com/problems/minimum-depth-of-binary-tree/description/" TargetMode="External"/><Relationship Id="rId849" Type="http://schemas.openxmlformats.org/officeDocument/2006/relationships/hyperlink" Target="https://leetcode.com/problems/valid-mountain-array/description/" TargetMode="External"/><Relationship Id="rId844" Type="http://schemas.openxmlformats.org/officeDocument/2006/relationships/hyperlink" Target="https://leetcode.com/problems/validate-stack-sequences/description/" TargetMode="External"/><Relationship Id="rId843" Type="http://schemas.openxmlformats.org/officeDocument/2006/relationships/hyperlink" Target="https://leetcode.com/problems/most-stones-removed-with-same-row-or-column/description/" TargetMode="External"/><Relationship Id="rId842" Type="http://schemas.openxmlformats.org/officeDocument/2006/relationships/hyperlink" Target="https://leetcode.com/problems/bag-of-tokens/description/" TargetMode="External"/><Relationship Id="rId841" Type="http://schemas.openxmlformats.org/officeDocument/2006/relationships/hyperlink" Target="https://leetcode.com/problems/largest-time-for-given-digits/description/" TargetMode="External"/><Relationship Id="rId848" Type="http://schemas.openxmlformats.org/officeDocument/2006/relationships/hyperlink" Target="https://leetcode.com/problems/di-string-match/description/" TargetMode="External"/><Relationship Id="rId847" Type="http://schemas.openxmlformats.org/officeDocument/2006/relationships/hyperlink" Target="https://leetcode.com/problems/find-the-shortest-superstring/description/" TargetMode="External"/><Relationship Id="rId846" Type="http://schemas.openxmlformats.org/officeDocument/2006/relationships/hyperlink" Target="https://leetcode.com/problems/delete-columns-to-make-sorted/description/" TargetMode="External"/><Relationship Id="rId845" Type="http://schemas.openxmlformats.org/officeDocument/2006/relationships/hyperlink" Target="https://leetcode.com/problems/minimum-increment-to-make-array-unique/description/" TargetMode="External"/><Relationship Id="rId1670" Type="http://schemas.openxmlformats.org/officeDocument/2006/relationships/hyperlink" Target="https://leetcode.com/problems/triangle/description/" TargetMode="External"/><Relationship Id="rId840" Type="http://schemas.openxmlformats.org/officeDocument/2006/relationships/hyperlink" Target="https://leetcode.com/problems/reveal-cards-in-increasing-order/description/" TargetMode="External"/><Relationship Id="rId1671" Type="http://schemas.openxmlformats.org/officeDocument/2006/relationships/hyperlink" Target="https://leetcode.com/problems/pascals-triangle-ii/description/" TargetMode="External"/><Relationship Id="rId1672" Type="http://schemas.openxmlformats.org/officeDocument/2006/relationships/hyperlink" Target="https://leetcode.com/problems/pascals-triangle/description/" TargetMode="External"/><Relationship Id="rId1673" Type="http://schemas.openxmlformats.org/officeDocument/2006/relationships/hyperlink" Target="https://leetcode.com/problems/populating-next-right-pointers-in-each-node-ii/description/" TargetMode="External"/><Relationship Id="rId1674" Type="http://schemas.openxmlformats.org/officeDocument/2006/relationships/hyperlink" Target="https://leetcode.com/problems/populating-next-right-pointers-in-each-node/description/" TargetMode="External"/><Relationship Id="rId1664" Type="http://schemas.openxmlformats.org/officeDocument/2006/relationships/hyperlink" Target="https://leetcode.com/problems/word-ladder-ii/description/" TargetMode="External"/><Relationship Id="rId1665" Type="http://schemas.openxmlformats.org/officeDocument/2006/relationships/hyperlink" Target="https://leetcode.com/problems/valid-palindrome/description/" TargetMode="External"/><Relationship Id="rId1666" Type="http://schemas.openxmlformats.org/officeDocument/2006/relationships/hyperlink" Target="https://leetcode.com/problems/binary-tree-maximum-path-sum/description/" TargetMode="External"/><Relationship Id="rId1667" Type="http://schemas.openxmlformats.org/officeDocument/2006/relationships/hyperlink" Target="https://leetcode.com/problems/best-time-to-buy-and-sell-stock-iii/description/" TargetMode="External"/><Relationship Id="rId1668" Type="http://schemas.openxmlformats.org/officeDocument/2006/relationships/hyperlink" Target="https://leetcode.com/problems/best-time-to-buy-and-sell-stock-ii/description/" TargetMode="External"/><Relationship Id="rId1669" Type="http://schemas.openxmlformats.org/officeDocument/2006/relationships/hyperlink" Target="https://leetcode.com/problems/best-time-to-buy-and-sell-stock/description/" TargetMode="External"/><Relationship Id="rId839" Type="http://schemas.openxmlformats.org/officeDocument/2006/relationships/hyperlink" Target="https://leetcode.com/problems/flip-equivalent-binary-trees/description/" TargetMode="External"/><Relationship Id="rId838" Type="http://schemas.openxmlformats.org/officeDocument/2006/relationships/hyperlink" Target="https://leetcode.com/problems/largest-component-size-by-common-factor/description/" TargetMode="External"/><Relationship Id="rId833" Type="http://schemas.openxmlformats.org/officeDocument/2006/relationships/hyperlink" Target="https://leetcode.com/problems/prison-cells-after-n-days/description/" TargetMode="External"/><Relationship Id="rId832" Type="http://schemas.openxmlformats.org/officeDocument/2006/relationships/hyperlink" Target="https://leetcode.com/problems/check-completeness-of-a-binary-tree/description/" TargetMode="External"/><Relationship Id="rId831" Type="http://schemas.openxmlformats.org/officeDocument/2006/relationships/hyperlink" Target="https://leetcode.com/problems/regions-cut-by-slashes/description/" TargetMode="External"/><Relationship Id="rId830" Type="http://schemas.openxmlformats.org/officeDocument/2006/relationships/hyperlink" Target="https://leetcode.com/problems/delete-columns-to-make-sorted-iii/description/" TargetMode="External"/><Relationship Id="rId837" Type="http://schemas.openxmlformats.org/officeDocument/2006/relationships/hyperlink" Target="https://leetcode.com/problems/verifying-an-alien-dictionary/description/" TargetMode="External"/><Relationship Id="rId836" Type="http://schemas.openxmlformats.org/officeDocument/2006/relationships/hyperlink" Target="https://leetcode.com/problems/array-of-doubled-pairs/description/" TargetMode="External"/><Relationship Id="rId835" Type="http://schemas.openxmlformats.org/officeDocument/2006/relationships/hyperlink" Target="https://leetcode.com/problems/delete-columns-to-make-sorted-ii/description/" TargetMode="External"/><Relationship Id="rId834" Type="http://schemas.openxmlformats.org/officeDocument/2006/relationships/hyperlink" Target="https://leetcode.com/problems/tallest-billboard/description/" TargetMode="External"/><Relationship Id="rId1660" Type="http://schemas.openxmlformats.org/officeDocument/2006/relationships/hyperlink" Target="https://leetcode.com/problems/surrounded-regions/description/" TargetMode="External"/><Relationship Id="rId1661" Type="http://schemas.openxmlformats.org/officeDocument/2006/relationships/hyperlink" Target="https://leetcode.com/problems/sum-root-to-leaf-numbers/description/" TargetMode="External"/><Relationship Id="rId1662" Type="http://schemas.openxmlformats.org/officeDocument/2006/relationships/hyperlink" Target="https://leetcode.com/problems/longest-consecutive-sequence/description/" TargetMode="External"/><Relationship Id="rId1663" Type="http://schemas.openxmlformats.org/officeDocument/2006/relationships/hyperlink" Target="https://leetcode.com/problems/word-ladder/description/" TargetMode="External"/><Relationship Id="rId469" Type="http://schemas.openxmlformats.org/officeDocument/2006/relationships/hyperlink" Target="https://leetcode.com/problems/break-a-palindrome/description/" TargetMode="External"/><Relationship Id="rId468" Type="http://schemas.openxmlformats.org/officeDocument/2006/relationships/hyperlink" Target="https://leetcode.com/problems/sort-the-matrix-diagonally/description/" TargetMode="External"/><Relationship Id="rId467" Type="http://schemas.openxmlformats.org/officeDocument/2006/relationships/hyperlink" Target="https://leetcode.com/problems/reverse-subarray-to-maximize-array-value/description/" TargetMode="External"/><Relationship Id="rId1290" Type="http://schemas.openxmlformats.org/officeDocument/2006/relationships/hyperlink" Target="https://leetcode.com/problems/keyboard-row/description/" TargetMode="External"/><Relationship Id="rId1291" Type="http://schemas.openxmlformats.org/officeDocument/2006/relationships/hyperlink" Target="https://leetcode.com/problems/the-maze-iii/description/" TargetMode="External"/><Relationship Id="rId1292" Type="http://schemas.openxmlformats.org/officeDocument/2006/relationships/hyperlink" Target="https://leetcode.com/problems/diagonal-traverse/description/" TargetMode="External"/><Relationship Id="rId462" Type="http://schemas.openxmlformats.org/officeDocument/2006/relationships/hyperlink" Target="https://leetcode.com/problems/minimum-difficulty-of-a-job-schedule/description/" TargetMode="External"/><Relationship Id="rId1293" Type="http://schemas.openxmlformats.org/officeDocument/2006/relationships/hyperlink" Target="https://leetcode.com/problems/random-point-in-non-overlapping-rectangles/description/" TargetMode="External"/><Relationship Id="rId461" Type="http://schemas.openxmlformats.org/officeDocument/2006/relationships/hyperlink" Target="https://leetcode.com/problems/number-of-transactions-per-visit/description/" TargetMode="External"/><Relationship Id="rId1294" Type="http://schemas.openxmlformats.org/officeDocument/2006/relationships/hyperlink" Target="https://leetcode.com/problems/next-greater-element-i/description/" TargetMode="External"/><Relationship Id="rId460" Type="http://schemas.openxmlformats.org/officeDocument/2006/relationships/hyperlink" Target="https://leetcode.com/problems/the-k-weakest-rows-in-a-matrix/description/" TargetMode="External"/><Relationship Id="rId1295" Type="http://schemas.openxmlformats.org/officeDocument/2006/relationships/hyperlink" Target="https://leetcode.com/problems/teemo-attacking/description/" TargetMode="External"/><Relationship Id="rId1296" Type="http://schemas.openxmlformats.org/officeDocument/2006/relationships/hyperlink" Target="https://leetcode.com/problems/target-sum/description/" TargetMode="External"/><Relationship Id="rId466" Type="http://schemas.openxmlformats.org/officeDocument/2006/relationships/hyperlink" Target="https://leetcode.com/problems/rank-transform-of-an-array/description/" TargetMode="External"/><Relationship Id="rId1297" Type="http://schemas.openxmlformats.org/officeDocument/2006/relationships/hyperlink" Target="https://leetcode.com/problems/reverse-pairs/description/" TargetMode="External"/><Relationship Id="rId465" Type="http://schemas.openxmlformats.org/officeDocument/2006/relationships/hyperlink" Target="https://leetcode.com/problems/remove-palindromic-subsequences/description/" TargetMode="External"/><Relationship Id="rId1298" Type="http://schemas.openxmlformats.org/officeDocument/2006/relationships/hyperlink" Target="https://leetcode.com/problems/construct-the-rectangle/description/" TargetMode="External"/><Relationship Id="rId464" Type="http://schemas.openxmlformats.org/officeDocument/2006/relationships/hyperlink" Target="https://leetcode.com/problems/filter-restaurants-by-vegan-friendly-price-and-distance/description/" TargetMode="External"/><Relationship Id="rId1299" Type="http://schemas.openxmlformats.org/officeDocument/2006/relationships/hyperlink" Target="https://leetcode.com/problems/increasing-subsequences/description/" TargetMode="External"/><Relationship Id="rId463" Type="http://schemas.openxmlformats.org/officeDocument/2006/relationships/hyperlink" Target="https://leetcode.com/problems/find-the-city-with-the-smallest-number-of-neighbors-at-a-threshold-distance/description/" TargetMode="External"/><Relationship Id="rId459" Type="http://schemas.openxmlformats.org/officeDocument/2006/relationships/hyperlink" Target="https://leetcode.com/problems/reduce-array-size-to-the-half/description/" TargetMode="External"/><Relationship Id="rId458" Type="http://schemas.openxmlformats.org/officeDocument/2006/relationships/hyperlink" Target="https://leetcode.com/problems/maximum-product-of-splitted-binary-tree/description/" TargetMode="External"/><Relationship Id="rId457" Type="http://schemas.openxmlformats.org/officeDocument/2006/relationships/hyperlink" Target="https://leetcode.com/problems/jump-game-v/description/" TargetMode="External"/><Relationship Id="rId456" Type="http://schemas.openxmlformats.org/officeDocument/2006/relationships/hyperlink" Target="https://leetcode.com/problems/movie-rating/description/" TargetMode="External"/><Relationship Id="rId1280" Type="http://schemas.openxmlformats.org/officeDocument/2006/relationships/hyperlink" Target="https://leetcode.com/problems/inorder-successor-in-bst-ii/description/" TargetMode="External"/><Relationship Id="rId1281" Type="http://schemas.openxmlformats.org/officeDocument/2006/relationships/hyperlink" Target="https://leetcode.com/problems/fibonacci-number/description/" TargetMode="External"/><Relationship Id="rId451" Type="http://schemas.openxmlformats.org/officeDocument/2006/relationships/hyperlink" Target="https://leetcode.com/problems/check-if-n-and-its-double-exist/description/" TargetMode="External"/><Relationship Id="rId1282" Type="http://schemas.openxmlformats.org/officeDocument/2006/relationships/hyperlink" Target="https://leetcode.com/problems/most-frequent-subtree-sum/description/" TargetMode="External"/><Relationship Id="rId450" Type="http://schemas.openxmlformats.org/officeDocument/2006/relationships/hyperlink" Target="https://leetcode.com/problems/minimum-number-of-steps-to-make-two-strings-anagram/description/" TargetMode="External"/><Relationship Id="rId1283" Type="http://schemas.openxmlformats.org/officeDocument/2006/relationships/hyperlink" Target="https://leetcode.com/problems/perfect-number/description/" TargetMode="External"/><Relationship Id="rId1284" Type="http://schemas.openxmlformats.org/officeDocument/2006/relationships/hyperlink" Target="https://leetcode.com/problems/relative-ranks/description/" TargetMode="External"/><Relationship Id="rId1285" Type="http://schemas.openxmlformats.org/officeDocument/2006/relationships/hyperlink" Target="https://leetcode.com/problems/the-maze-ii/description/" TargetMode="External"/><Relationship Id="rId455" Type="http://schemas.openxmlformats.org/officeDocument/2006/relationships/hyperlink" Target="https://leetcode.com/problems/number-of-steps-to-reduce-a-number-to-zero/description/" TargetMode="External"/><Relationship Id="rId1286" Type="http://schemas.openxmlformats.org/officeDocument/2006/relationships/hyperlink" Target="https://leetcode.com/problems/base-7/description/" TargetMode="External"/><Relationship Id="rId454" Type="http://schemas.openxmlformats.org/officeDocument/2006/relationships/hyperlink" Target="https://leetcode.com/problems/number-of-sub-arrays-of-size-k-and-average-greater-than-or-equal-to-threshold/description/" TargetMode="External"/><Relationship Id="rId1287" Type="http://schemas.openxmlformats.org/officeDocument/2006/relationships/hyperlink" Target="https://leetcode.com/problems/next-greater-element-ii/description/" TargetMode="External"/><Relationship Id="rId453" Type="http://schemas.openxmlformats.org/officeDocument/2006/relationships/hyperlink" Target="https://leetcode.com/problems/angle-between-hands-of-a-clock/description/" TargetMode="External"/><Relationship Id="rId1288" Type="http://schemas.openxmlformats.org/officeDocument/2006/relationships/hyperlink" Target="https://leetcode.com/problems/ipo/description/" TargetMode="External"/><Relationship Id="rId452" Type="http://schemas.openxmlformats.org/officeDocument/2006/relationships/hyperlink" Target="https://leetcode.com/problems/jump-game-iv/description/" TargetMode="External"/><Relationship Id="rId1289" Type="http://schemas.openxmlformats.org/officeDocument/2006/relationships/hyperlink" Target="https://leetcode.com/problems/find-mode-in-binary-search-tree/description/" TargetMode="External"/><Relationship Id="rId491" Type="http://schemas.openxmlformats.org/officeDocument/2006/relationships/hyperlink" Target="https://leetcode.com/problems/jump-game-iii/description/" TargetMode="External"/><Relationship Id="rId490" Type="http://schemas.openxmlformats.org/officeDocument/2006/relationships/hyperlink" Target="https://leetcode.com/problems/verbal-arithmetic-puzzle/description/" TargetMode="External"/><Relationship Id="rId489" Type="http://schemas.openxmlformats.org/officeDocument/2006/relationships/hyperlink" Target="https://leetcode.com/problems/running-total-for-different-genders/description/" TargetMode="External"/><Relationship Id="rId484" Type="http://schemas.openxmlformats.org/officeDocument/2006/relationships/hyperlink" Target="https://leetcode.com/problems/decompress-run-length-encoded-list/description/" TargetMode="External"/><Relationship Id="rId483" Type="http://schemas.openxmlformats.org/officeDocument/2006/relationships/hyperlink" Target="https://leetcode.com/problems/matrix-block-sum/description/" TargetMode="External"/><Relationship Id="rId482" Type="http://schemas.openxmlformats.org/officeDocument/2006/relationships/hyperlink" Target="https://leetcode.com/problems/sum-of-nodes-with-even-valued-grandparent/description/" TargetMode="External"/><Relationship Id="rId481" Type="http://schemas.openxmlformats.org/officeDocument/2006/relationships/hyperlink" Target="https://leetcode.com/problems/distinct-echo-substrings/description/" TargetMode="External"/><Relationship Id="rId488" Type="http://schemas.openxmlformats.org/officeDocument/2006/relationships/hyperlink" Target="https://leetcode.com/problems/decrypt-string-from-alphabet-to-integer-mapping/description/" TargetMode="External"/><Relationship Id="rId487" Type="http://schemas.openxmlformats.org/officeDocument/2006/relationships/hyperlink" Target="https://leetcode.com/problems/xor-queries-of-a-subarray/description/" TargetMode="External"/><Relationship Id="rId486" Type="http://schemas.openxmlformats.org/officeDocument/2006/relationships/hyperlink" Target="https://leetcode.com/problems/get-watched-videos-by-your-friends/description/" TargetMode="External"/><Relationship Id="rId485" Type="http://schemas.openxmlformats.org/officeDocument/2006/relationships/hyperlink" Target="https://leetcode.com/problems/minimum-insertion-steps-to-make-a-string-palindrome/description/" TargetMode="External"/><Relationship Id="rId480" Type="http://schemas.openxmlformats.org/officeDocument/2006/relationships/hyperlink" Target="https://leetcode.com/problems/convert-integer-to-the-sum-of-two-no-zero-integers/description/" TargetMode="External"/><Relationship Id="rId479" Type="http://schemas.openxmlformats.org/officeDocument/2006/relationships/hyperlink" Target="https://leetcode.com/problems/minimum-flips-to-make-a-or-b-equal-to-c/description/" TargetMode="External"/><Relationship Id="rId478" Type="http://schemas.openxmlformats.org/officeDocument/2006/relationships/hyperlink" Target="https://leetcode.com/problems/number-of-operations-to-make-network-connected/description/" TargetMode="External"/><Relationship Id="rId473" Type="http://schemas.openxmlformats.org/officeDocument/2006/relationships/hyperlink" Target="https://leetcode.com/problems/print-words-vertically/description/" TargetMode="External"/><Relationship Id="rId472" Type="http://schemas.openxmlformats.org/officeDocument/2006/relationships/hyperlink" Target="https://leetcode.com/problems/delete-leaves-with-a-given-value/description/" TargetMode="External"/><Relationship Id="rId471" Type="http://schemas.openxmlformats.org/officeDocument/2006/relationships/hyperlink" Target="https://leetcode.com/problems/minimum-number-of-taps-to-open-to-water-a-garden/description/" TargetMode="External"/><Relationship Id="rId470" Type="http://schemas.openxmlformats.org/officeDocument/2006/relationships/hyperlink" Target="https://leetcode.com/problems/list-the-products-ordered-in-a-period/description/" TargetMode="External"/><Relationship Id="rId477" Type="http://schemas.openxmlformats.org/officeDocument/2006/relationships/hyperlink" Target="https://leetcode.com/problems/minimum-distance-to-type-a-word-using-two-fingers/description/" TargetMode="External"/><Relationship Id="rId476" Type="http://schemas.openxmlformats.org/officeDocument/2006/relationships/hyperlink" Target="https://leetcode.com/problems/restaurant-growth/description/" TargetMode="External"/><Relationship Id="rId475" Type="http://schemas.openxmlformats.org/officeDocument/2006/relationships/hyperlink" Target="https://leetcode.com/problems/ads-performance/description/" TargetMode="External"/><Relationship Id="rId474" Type="http://schemas.openxmlformats.org/officeDocument/2006/relationships/hyperlink" Target="https://leetcode.com/problems/maximum-69-number/description/" TargetMode="External"/><Relationship Id="rId1257" Type="http://schemas.openxmlformats.org/officeDocument/2006/relationships/hyperlink" Target="https://leetcode.com/problems/lonely-pixel-ii/description/" TargetMode="External"/><Relationship Id="rId1258" Type="http://schemas.openxmlformats.org/officeDocument/2006/relationships/hyperlink" Target="https://leetcode.com/problems/k-diff-pairs-in-an-array/description/" TargetMode="External"/><Relationship Id="rId1259" Type="http://schemas.openxmlformats.org/officeDocument/2006/relationships/hyperlink" Target="https://leetcode.com/problems/lonely-pixel-i/description/" TargetMode="External"/><Relationship Id="rId426" Type="http://schemas.openxmlformats.org/officeDocument/2006/relationships/hyperlink" Target="https://leetcode.com/problems/find-the-longest-substring-containing-vowels-in-even-counts/description/" TargetMode="External"/><Relationship Id="rId425" Type="http://schemas.openxmlformats.org/officeDocument/2006/relationships/hyperlink" Target="https://leetcode.com/problems/longest-zigzag-path-in-a-binary-tree/description/" TargetMode="External"/><Relationship Id="rId424" Type="http://schemas.openxmlformats.org/officeDocument/2006/relationships/hyperlink" Target="https://leetcode.com/problems/maximum-sum-bst-in-binary-tree/description/" TargetMode="External"/><Relationship Id="rId423" Type="http://schemas.openxmlformats.org/officeDocument/2006/relationships/hyperlink" Target="https://leetcode.com/problems/generate-a-string-with-characters-that-have-odd-counts/description/" TargetMode="External"/><Relationship Id="rId429" Type="http://schemas.openxmlformats.org/officeDocument/2006/relationships/hyperlink" Target="https://leetcode.com/problems/minimum-cost-to-make-at-least-one-valid-path-in-a-grid/description/" TargetMode="External"/><Relationship Id="rId428" Type="http://schemas.openxmlformats.org/officeDocument/2006/relationships/hyperlink" Target="https://leetcode.com/problems/get-the-second-most-recent-activity/description/" TargetMode="External"/><Relationship Id="rId427" Type="http://schemas.openxmlformats.org/officeDocument/2006/relationships/hyperlink" Target="https://leetcode.com/problems/increasing-decreasing-string/description/" TargetMode="External"/><Relationship Id="rId1250" Type="http://schemas.openxmlformats.org/officeDocument/2006/relationships/hyperlink" Target="https://leetcode.com/problems/single-element-in-a-sorted-array/description/" TargetMode="External"/><Relationship Id="rId1251" Type="http://schemas.openxmlformats.org/officeDocument/2006/relationships/hyperlink" Target="https://leetcode.com/problems/minimum-time-difference/description/" TargetMode="External"/><Relationship Id="rId1252" Type="http://schemas.openxmlformats.org/officeDocument/2006/relationships/hyperlink" Target="https://leetcode.com/problems/convert-bst-to-greater-tree/description/" TargetMode="External"/><Relationship Id="rId422" Type="http://schemas.openxmlformats.org/officeDocument/2006/relationships/hyperlink" Target="https://leetcode.com/problems/bulb-switcher-iii/description/" TargetMode="External"/><Relationship Id="rId1253" Type="http://schemas.openxmlformats.org/officeDocument/2006/relationships/hyperlink" Target="https://leetcode.com/problems/complex-number-multiplication/description/" TargetMode="External"/><Relationship Id="rId421" Type="http://schemas.openxmlformats.org/officeDocument/2006/relationships/hyperlink" Target="https://leetcode.com/problems/time-needed-to-inform-all-employees/description/" TargetMode="External"/><Relationship Id="rId1254" Type="http://schemas.openxmlformats.org/officeDocument/2006/relationships/hyperlink" Target="https://leetcode.com/problems/construct-binary-tree-from-string/description/" TargetMode="External"/><Relationship Id="rId420" Type="http://schemas.openxmlformats.org/officeDocument/2006/relationships/hyperlink" Target="https://leetcode.com/problems/frog-position-after-t-seconds/description/" TargetMode="External"/><Relationship Id="rId1255" Type="http://schemas.openxmlformats.org/officeDocument/2006/relationships/hyperlink" Target="https://leetcode.com/problems/encode-and-decode-tinyurl/description/" TargetMode="External"/><Relationship Id="rId1256" Type="http://schemas.openxmlformats.org/officeDocument/2006/relationships/hyperlink" Target="https://leetcode.com/problems/game-play-analysis-iii/description/" TargetMode="External"/><Relationship Id="rId1246" Type="http://schemas.openxmlformats.org/officeDocument/2006/relationships/hyperlink" Target="https://leetcode.com/problems/output-contest-matches/description/" TargetMode="External"/><Relationship Id="rId1247" Type="http://schemas.openxmlformats.org/officeDocument/2006/relationships/hyperlink" Target="https://leetcode.com/problems/diameter-of-binary-tree/description/" TargetMode="External"/><Relationship Id="rId1248" Type="http://schemas.openxmlformats.org/officeDocument/2006/relationships/hyperlink" Target="https://leetcode.com/problems/01-matrix/description/" TargetMode="External"/><Relationship Id="rId1249" Type="http://schemas.openxmlformats.org/officeDocument/2006/relationships/hyperlink" Target="https://leetcode.com/problems/reverse-string-ii/description/" TargetMode="External"/><Relationship Id="rId415" Type="http://schemas.openxmlformats.org/officeDocument/2006/relationships/hyperlink" Target="https://leetcode.com/problems/balance-a-binary-search-tree/description/" TargetMode="External"/><Relationship Id="rId899" Type="http://schemas.openxmlformats.org/officeDocument/2006/relationships/hyperlink" Target="https://leetcode.com/problems/sum-of-subsequence-widths/description/" TargetMode="External"/><Relationship Id="rId414" Type="http://schemas.openxmlformats.org/officeDocument/2006/relationships/hyperlink" Target="https://leetcode.com/problems/maximum-performance-of-a-team/description/" TargetMode="External"/><Relationship Id="rId898" Type="http://schemas.openxmlformats.org/officeDocument/2006/relationships/hyperlink" Target="https://leetcode.com/problems/surface-area-of-3d-shapes/description/" TargetMode="External"/><Relationship Id="rId413" Type="http://schemas.openxmlformats.org/officeDocument/2006/relationships/hyperlink" Target="https://leetcode.com/problems/total-sales-amount-by-year/description/" TargetMode="External"/><Relationship Id="rId897" Type="http://schemas.openxmlformats.org/officeDocument/2006/relationships/hyperlink" Target="https://leetcode.com/problems/groups-of-special-equivalent-strings/description/" TargetMode="External"/><Relationship Id="rId412" Type="http://schemas.openxmlformats.org/officeDocument/2006/relationships/hyperlink" Target="https://leetcode.com/problems/find-the-distance-value-between-two-arrays/description/" TargetMode="External"/><Relationship Id="rId896" Type="http://schemas.openxmlformats.org/officeDocument/2006/relationships/hyperlink" Target="https://leetcode.com/problems/all-possible-full-binary-trees/description/" TargetMode="External"/><Relationship Id="rId419" Type="http://schemas.openxmlformats.org/officeDocument/2006/relationships/hyperlink" Target="https://leetcode.com/problems/replace-employee-id-with-the-unique-identifier/description/" TargetMode="External"/><Relationship Id="rId418" Type="http://schemas.openxmlformats.org/officeDocument/2006/relationships/hyperlink" Target="https://leetcode.com/problems/find-a-corresponding-node-of-a-binary-tree-in-a-clone-of-that-tree/description/" TargetMode="External"/><Relationship Id="rId417" Type="http://schemas.openxmlformats.org/officeDocument/2006/relationships/hyperlink" Target="https://leetcode.com/problems/lucky-numbers-in-a-matrix/description/" TargetMode="External"/><Relationship Id="rId416" Type="http://schemas.openxmlformats.org/officeDocument/2006/relationships/hyperlink" Target="https://leetcode.com/problems/design-a-stack-with-increment-operation/description/" TargetMode="External"/><Relationship Id="rId891" Type="http://schemas.openxmlformats.org/officeDocument/2006/relationships/hyperlink" Target="https://leetcode.com/problems/orderly-queue/description/" TargetMode="External"/><Relationship Id="rId890" Type="http://schemas.openxmlformats.org/officeDocument/2006/relationships/hyperlink" Target="https://leetcode.com/problems/rle-iterator/description/" TargetMode="External"/><Relationship Id="rId1240" Type="http://schemas.openxmlformats.org/officeDocument/2006/relationships/hyperlink" Target="https://leetcode.com/problems/game-play-analysis-iv/description/" TargetMode="External"/><Relationship Id="rId1241" Type="http://schemas.openxmlformats.org/officeDocument/2006/relationships/hyperlink" Target="https://leetcode.com/problems/binary-tree-longest-consecutive-sequence-ii/description/" TargetMode="External"/><Relationship Id="rId411" Type="http://schemas.openxmlformats.org/officeDocument/2006/relationships/hyperlink" Target="https://leetcode.com/problems/cinema-seat-allocation/description/" TargetMode="External"/><Relationship Id="rId895" Type="http://schemas.openxmlformats.org/officeDocument/2006/relationships/hyperlink" Target="https://leetcode.com/problems/maximum-frequency-stack/description/" TargetMode="External"/><Relationship Id="rId1242" Type="http://schemas.openxmlformats.org/officeDocument/2006/relationships/hyperlink" Target="https://leetcode.com/problems/split-array-with-equal-sum/description/" TargetMode="External"/><Relationship Id="rId410" Type="http://schemas.openxmlformats.org/officeDocument/2006/relationships/hyperlink" Target="https://leetcode.com/problems/sort-integers-by-the-power-value/description/" TargetMode="External"/><Relationship Id="rId894" Type="http://schemas.openxmlformats.org/officeDocument/2006/relationships/hyperlink" Target="https://leetcode.com/problems/monotonic-array/description/" TargetMode="External"/><Relationship Id="rId1243" Type="http://schemas.openxmlformats.org/officeDocument/2006/relationships/hyperlink" Target="https://leetcode.com/problems/number-of-provinces/description/" TargetMode="External"/><Relationship Id="rId893" Type="http://schemas.openxmlformats.org/officeDocument/2006/relationships/hyperlink" Target="https://leetcode.com/problems/increasing-order-search-tree/description/" TargetMode="External"/><Relationship Id="rId1244" Type="http://schemas.openxmlformats.org/officeDocument/2006/relationships/hyperlink" Target="https://leetcode.com/problems/remove-boxes/description/" TargetMode="External"/><Relationship Id="rId892" Type="http://schemas.openxmlformats.org/officeDocument/2006/relationships/hyperlink" Target="https://leetcode.com/problems/bitwise-ors-of-subarrays/description/" TargetMode="External"/><Relationship Id="rId1245" Type="http://schemas.openxmlformats.org/officeDocument/2006/relationships/hyperlink" Target="https://leetcode.com/problems/boundary-of-binary-tree/description/" TargetMode="External"/><Relationship Id="rId1279" Type="http://schemas.openxmlformats.org/officeDocument/2006/relationships/hyperlink" Target="https://leetcode.com/problems/game-play-analysis-i/description/" TargetMode="External"/><Relationship Id="rId448" Type="http://schemas.openxmlformats.org/officeDocument/2006/relationships/hyperlink" Target="https://leetcode.com/problems/maximum-students-taking-exam/description/" TargetMode="External"/><Relationship Id="rId447" Type="http://schemas.openxmlformats.org/officeDocument/2006/relationships/hyperlink" Target="https://leetcode.com/problems/students-with-invalid-departments/description/" TargetMode="External"/><Relationship Id="rId446" Type="http://schemas.openxmlformats.org/officeDocument/2006/relationships/hyperlink" Target="https://leetcode.com/problems/count-negative-numbers-in-a-sorted-matrix/description/" TargetMode="External"/><Relationship Id="rId445" Type="http://schemas.openxmlformats.org/officeDocument/2006/relationships/hyperlink" Target="https://leetcode.com/problems/product-of-the-last-k-numbers/description/" TargetMode="External"/><Relationship Id="rId449" Type="http://schemas.openxmlformats.org/officeDocument/2006/relationships/hyperlink" Target="https://leetcode.com/problems/tweet-counts-per-frequency/description/" TargetMode="External"/><Relationship Id="rId1270" Type="http://schemas.openxmlformats.org/officeDocument/2006/relationships/hyperlink" Target="https://leetcode.com/problems/detect-capital/description/" TargetMode="External"/><Relationship Id="rId440" Type="http://schemas.openxmlformats.org/officeDocument/2006/relationships/hyperlink" Target="https://leetcode.com/problems/apply-discount-every-n-orders/description/" TargetMode="External"/><Relationship Id="rId1271" Type="http://schemas.openxmlformats.org/officeDocument/2006/relationships/hyperlink" Target="https://leetcode.com/problems/random-flip-matrix/description/" TargetMode="External"/><Relationship Id="rId1272" Type="http://schemas.openxmlformats.org/officeDocument/2006/relationships/hyperlink" Target="https://leetcode.com/problems/coin-change-2/description/" TargetMode="External"/><Relationship Id="rId1273" Type="http://schemas.openxmlformats.org/officeDocument/2006/relationships/hyperlink" Target="https://leetcode.com/problems/super-washing-machines/description/" TargetMode="External"/><Relationship Id="rId1274" Type="http://schemas.openxmlformats.org/officeDocument/2006/relationships/hyperlink" Target="https://leetcode.com/problems/longest-palindromic-subsequence/description/" TargetMode="External"/><Relationship Id="rId444" Type="http://schemas.openxmlformats.org/officeDocument/2006/relationships/hyperlink" Target="https://leetcode.com/problems/maximum-number-of-events-that-can-be-attended/description/" TargetMode="External"/><Relationship Id="rId1275" Type="http://schemas.openxmlformats.org/officeDocument/2006/relationships/hyperlink" Target="https://leetcode.com/problems/find-largest-value-in-each-tree-row/description/" TargetMode="External"/><Relationship Id="rId443" Type="http://schemas.openxmlformats.org/officeDocument/2006/relationships/hyperlink" Target="https://leetcode.com/problems/construct-target-array-with-multiple-sums/description/" TargetMode="External"/><Relationship Id="rId1276" Type="http://schemas.openxmlformats.org/officeDocument/2006/relationships/hyperlink" Target="https://leetcode.com/problems/freedom-trail/description/" TargetMode="External"/><Relationship Id="rId442" Type="http://schemas.openxmlformats.org/officeDocument/2006/relationships/hyperlink" Target="https://leetcode.com/problems/activity-participants/description/" TargetMode="External"/><Relationship Id="rId1277" Type="http://schemas.openxmlformats.org/officeDocument/2006/relationships/hyperlink" Target="https://leetcode.com/problems/find-bottom-left-tree-value/description/" TargetMode="External"/><Relationship Id="rId441" Type="http://schemas.openxmlformats.org/officeDocument/2006/relationships/hyperlink" Target="https://leetcode.com/problems/sort-integers-by-the-number-of-1-bits/description/" TargetMode="External"/><Relationship Id="rId1278" Type="http://schemas.openxmlformats.org/officeDocument/2006/relationships/hyperlink" Target="https://leetcode.com/problems/game-play-analysis-ii/description/" TargetMode="External"/><Relationship Id="rId1268" Type="http://schemas.openxmlformats.org/officeDocument/2006/relationships/hyperlink" Target="https://leetcode.com/problems/longest-uncommon-subsequence-ii/description/" TargetMode="External"/><Relationship Id="rId1269" Type="http://schemas.openxmlformats.org/officeDocument/2006/relationships/hyperlink" Target="https://leetcode.com/problems/longest-uncommon-subsequence-i/description/" TargetMode="External"/><Relationship Id="rId437" Type="http://schemas.openxmlformats.org/officeDocument/2006/relationships/hyperlink" Target="https://leetcode.com/problems/number-of-days-between-two-dates/description/" TargetMode="External"/><Relationship Id="rId436" Type="http://schemas.openxmlformats.org/officeDocument/2006/relationships/hyperlink" Target="https://leetcode.com/problems/validate-binary-tree-nodes/description/" TargetMode="External"/><Relationship Id="rId435" Type="http://schemas.openxmlformats.org/officeDocument/2006/relationships/hyperlink" Target="https://leetcode.com/problems/closest-divisors/description/" TargetMode="External"/><Relationship Id="rId434" Type="http://schemas.openxmlformats.org/officeDocument/2006/relationships/hyperlink" Target="https://leetcode.com/problems/largest-multiple-of-three/description/" TargetMode="External"/><Relationship Id="rId439" Type="http://schemas.openxmlformats.org/officeDocument/2006/relationships/hyperlink" Target="https://leetcode.com/problems/number-of-substrings-containing-all-three-characters/description/" TargetMode="External"/><Relationship Id="rId438" Type="http://schemas.openxmlformats.org/officeDocument/2006/relationships/hyperlink" Target="https://leetcode.com/problems/count-all-valid-pickup-and-delivery-options/description/" TargetMode="External"/><Relationship Id="rId1260" Type="http://schemas.openxmlformats.org/officeDocument/2006/relationships/hyperlink" Target="https://leetcode.com/problems/minimum-absolute-difference-in-bst/description/" TargetMode="External"/><Relationship Id="rId1261" Type="http://schemas.openxmlformats.org/officeDocument/2006/relationships/hyperlink" Target="https://leetcode.com/problems/minesweeper/description/" TargetMode="External"/><Relationship Id="rId1262" Type="http://schemas.openxmlformats.org/officeDocument/2006/relationships/hyperlink" Target="https://leetcode.com/problems/random-pick-with-weight/description/" TargetMode="External"/><Relationship Id="rId1263" Type="http://schemas.openxmlformats.org/officeDocument/2006/relationships/hyperlink" Target="https://leetcode.com/problems/word-abbreviation/description/" TargetMode="External"/><Relationship Id="rId433" Type="http://schemas.openxmlformats.org/officeDocument/2006/relationships/hyperlink" Target="https://leetcode.com/problems/number-of-trusted-contacts-of-a-customer/description/" TargetMode="External"/><Relationship Id="rId1264" Type="http://schemas.openxmlformats.org/officeDocument/2006/relationships/hyperlink" Target="https://leetcode.com/problems/beautiful-arrangement/description/" TargetMode="External"/><Relationship Id="rId432" Type="http://schemas.openxmlformats.org/officeDocument/2006/relationships/hyperlink" Target="https://leetcode.com/problems/how-many-numbers-are-smaller-than-the-current-number/description/" TargetMode="External"/><Relationship Id="rId1265" Type="http://schemas.openxmlformats.org/officeDocument/2006/relationships/hyperlink" Target="https://leetcode.com/problems/contiguous-array/description/" TargetMode="External"/><Relationship Id="rId431" Type="http://schemas.openxmlformats.org/officeDocument/2006/relationships/hyperlink" Target="https://leetcode.com/problems/rank-teams-by-votes/description/" TargetMode="External"/><Relationship Id="rId1266" Type="http://schemas.openxmlformats.org/officeDocument/2006/relationships/hyperlink" Target="https://leetcode.com/problems/longest-word-in-dictionary-through-deleting/description/" TargetMode="External"/><Relationship Id="rId430" Type="http://schemas.openxmlformats.org/officeDocument/2006/relationships/hyperlink" Target="https://leetcode.com/problems/linked-list-in-binary-tree/description/" TargetMode="External"/><Relationship Id="rId1267" Type="http://schemas.openxmlformats.org/officeDocument/2006/relationships/hyperlink" Target="https://leetcode.com/problems/continuous-subarray-sum/description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c3.ai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21.0"/>
    <col customWidth="1" min="3" max="3" width="20.38"/>
    <col customWidth="1" min="4" max="4" width="19.38"/>
    <col customWidth="1" min="5" max="5" width="19.5"/>
  </cols>
  <sheetData>
    <row r="1">
      <c r="B1" s="1" t="str">
        <f>'Coder-1'!B1</f>
        <v>请至Coder-1中填写姓名</v>
      </c>
      <c r="C1" s="1" t="str">
        <f>'Coder-2'!B1</f>
        <v>请至Coder-2中填写姓名</v>
      </c>
      <c r="D1" s="1" t="str">
        <f>'Coder-3'!B1</f>
        <v>请至Coder-3中填写姓名</v>
      </c>
      <c r="E1" s="1" t="str">
        <f>'Coder-4'!B1</f>
        <v>请至Coder-4中填写姓名</v>
      </c>
      <c r="F1" s="2" t="s">
        <v>0</v>
      </c>
      <c r="I1" s="2" t="s">
        <v>1</v>
      </c>
    </row>
    <row r="2">
      <c r="A2" s="3" t="s">
        <v>2</v>
      </c>
      <c r="B2" s="4">
        <f>COUNTIF('Coder-1'!$A:$A,"="&amp;TODAY())</f>
        <v>0</v>
      </c>
      <c r="C2" s="5">
        <f>COUNTIF('Coder-2'!$A:$A,"="&amp;TODAY())</f>
        <v>0</v>
      </c>
      <c r="D2" s="5">
        <f>COUNTIF('Coder-3'!$A:$A,"="&amp;TODAY())</f>
        <v>0</v>
      </c>
      <c r="E2" s="6">
        <f>COUNTIF('Coder-4'!$A:$A,"="&amp;TODAY())</f>
        <v>0</v>
      </c>
      <c r="F2" s="2" t="s">
        <v>3</v>
      </c>
    </row>
    <row r="3">
      <c r="A3" s="7" t="s">
        <v>4</v>
      </c>
      <c r="B3" s="6" t="str">
        <f t="shared" ref="B3:E3" si="1">IF(SUM(B4:B1003)=0,,SUM(B4:B1003))</f>
        <v/>
      </c>
      <c r="C3" s="6" t="str">
        <f t="shared" si="1"/>
        <v/>
      </c>
      <c r="D3" s="6" t="str">
        <f t="shared" si="1"/>
        <v/>
      </c>
      <c r="E3" s="6" t="str">
        <f t="shared" si="1"/>
        <v/>
      </c>
    </row>
    <row r="4">
      <c r="A4" s="8">
        <v>44002.0</v>
      </c>
      <c r="B4" s="6" t="str">
        <f>IF(ISBLANK(A4),,IF(COUNTIF('Coder-1'!$A:$A,"="&amp;A4)=0,,COUNTIF('Coder-1'!$A:$A,"="&amp;A4)))</f>
        <v/>
      </c>
      <c r="C4" s="6" t="str">
        <f>IF(ISBLANK(A4),,IF(COUNTIF('Coder-2'!$A:$A,"="&amp;A4)=0,,COUNTIF('Coder-2'!$A:$A,"="&amp;A4)))</f>
        <v/>
      </c>
      <c r="D4" s="6" t="str">
        <f>IF(ISBLANK(A4),,IF(COUNTIF('Coder-3'!$A:$A,"="&amp;A4)=0,,COUNTIF('Coder-3'!$A:$A,"="&amp;A4)))</f>
        <v/>
      </c>
      <c r="E4" s="6" t="str">
        <f>IF(ISBLANK(A4),,IF(COUNTIF('Coder-4'!$A:$A,"="&amp;A4)=0,,COUNTIF('Coder-4'!$A:$A,"="&amp;A4)))</f>
        <v/>
      </c>
    </row>
    <row r="5">
      <c r="A5" s="8">
        <v>44003.0</v>
      </c>
      <c r="B5" s="6" t="str">
        <f>IF(ISBLANK(A5),,IF(COUNTIF('Coder-1'!$A:$A,"="&amp;A5)=0,,COUNTIF('Coder-1'!$A:$A,"="&amp;A5)))</f>
        <v/>
      </c>
      <c r="C5" s="6" t="str">
        <f>IF(ISBLANK(A5),,IF(COUNTIF('Coder-2'!$A:$A,"="&amp;A5)=0,,COUNTIF('Coder-2'!$A:$A,"="&amp;A5)))</f>
        <v/>
      </c>
      <c r="D5" s="6" t="str">
        <f>IF(ISBLANK(A5),,IF(COUNTIF('Coder-3'!$A:$A,"="&amp;A5)=0,,COUNTIF('Coder-3'!$A:$A,"="&amp;A5)))</f>
        <v/>
      </c>
      <c r="E5" s="6" t="str">
        <f>IF(ISBLANK(A5),,IF(COUNTIF('Coder-4'!$A:$A,"="&amp;A5)=0,,COUNTIF('Coder-4'!$A:$A,"="&amp;A5)))</f>
        <v/>
      </c>
      <c r="F5" s="6" t="str">
        <f>IF(ISBLANK(F3),,COUNTIF('Coder-1'!$A:$A,"="&amp;F3))</f>
        <v/>
      </c>
      <c r="G5" s="6" t="str">
        <f>IF(ISBLANK(G3),,COUNTIF('Coder-1'!$A:$A,"="&amp;G3))</f>
        <v/>
      </c>
      <c r="H5" s="6" t="str">
        <f>IF(ISBLANK(H3),,COUNTIF('Coder-1'!$A:$A,"="&amp;H3))</f>
        <v/>
      </c>
      <c r="I5" s="6" t="str">
        <f>IF(ISBLANK(I3),,COUNTIF('Coder-1'!$A:$A,"="&amp;I3))</f>
        <v/>
      </c>
      <c r="J5" s="6" t="str">
        <f>IF(ISBLANK(J3),,COUNTIF('Coder-1'!$A:$A,"="&amp;J3))</f>
        <v/>
      </c>
      <c r="K5" s="6" t="str">
        <f>IF(ISBLANK(K3),,COUNTIF('Coder-1'!$A:$A,"="&amp;K3))</f>
        <v/>
      </c>
    </row>
    <row r="6">
      <c r="A6" s="8">
        <v>44004.0</v>
      </c>
      <c r="B6" s="6" t="str">
        <f>IF(ISBLANK(A6),,IF(COUNTIF('Coder-1'!$A:$A,"="&amp;A6)=0,,COUNTIF('Coder-1'!$A:$A,"="&amp;A6)))</f>
        <v/>
      </c>
      <c r="C6" s="6" t="str">
        <f>IF(ISBLANK(A6),,IF(COUNTIF('Coder-2'!$A:$A,"="&amp;A6)=0,,COUNTIF('Coder-2'!$A:$A,"="&amp;A6)))</f>
        <v/>
      </c>
      <c r="D6" s="6" t="str">
        <f>IF(ISBLANK(A6),,IF(COUNTIF('Coder-3'!$A:$A,"="&amp;A6)=0,,COUNTIF('Coder-3'!$A:$A,"="&amp;A6)))</f>
        <v/>
      </c>
      <c r="E6" s="6" t="str">
        <f>IF(ISBLANK(A6),,IF(COUNTIF('Coder-4'!$A:$A,"="&amp;A6)=0,,COUNTIF('Coder-4'!$A:$A,"="&amp;A6)))</f>
        <v/>
      </c>
      <c r="F6" s="6" t="str">
        <f t="shared" ref="F6:L6" si="2">IF(ISBLANK(F3),,COUNTIF('Coder-2'!$A:$A,"="&amp;F3))</f>
        <v/>
      </c>
      <c r="G6" s="6" t="str">
        <f t="shared" si="2"/>
        <v/>
      </c>
      <c r="H6" s="6" t="str">
        <f t="shared" si="2"/>
        <v/>
      </c>
      <c r="I6" s="6" t="str">
        <f t="shared" si="2"/>
        <v/>
      </c>
      <c r="J6" s="6" t="str">
        <f t="shared" si="2"/>
        <v/>
      </c>
      <c r="K6" s="6" t="str">
        <f t="shared" si="2"/>
        <v/>
      </c>
      <c r="L6" s="6" t="str">
        <f t="shared" si="2"/>
        <v/>
      </c>
    </row>
    <row r="7">
      <c r="A7" s="8">
        <v>44005.0</v>
      </c>
      <c r="B7" s="6" t="str">
        <f>IF(ISBLANK(A7),,IF(COUNTIF('Coder-1'!$A:$A,"="&amp;A7)=0,,COUNTIF('Coder-1'!$A:$A,"="&amp;A7)))</f>
        <v/>
      </c>
      <c r="C7" s="6" t="str">
        <f>IF(ISBLANK(A7),,IF(COUNTIF('Coder-2'!$A:$A,"="&amp;A7)=0,,COUNTIF('Coder-2'!$A:$A,"="&amp;A7)))</f>
        <v/>
      </c>
      <c r="D7" s="6" t="str">
        <f>IF(ISBLANK(A7),,IF(COUNTIF('Coder-3'!$A:$A,"="&amp;A7)=0,,COUNTIF('Coder-3'!$A:$A,"="&amp;A7)))</f>
        <v/>
      </c>
      <c r="E7" s="6" t="str">
        <f>IF(ISBLANK(A7),,IF(COUNTIF('Coder-4'!$A:$A,"="&amp;A7)=0,,COUNTIF('Coder-4'!$A:$A,"="&amp;A7)))</f>
        <v/>
      </c>
    </row>
    <row r="8">
      <c r="A8" s="8">
        <v>44006.0</v>
      </c>
      <c r="B8" s="6" t="str">
        <f>IF(ISBLANK(A8),,IF(COUNTIF('Coder-1'!$A:$A,"="&amp;A8)=0,,COUNTIF('Coder-1'!$A:$A,"="&amp;A8)))</f>
        <v/>
      </c>
      <c r="C8" s="6" t="str">
        <f>IF(ISBLANK(A8),,IF(COUNTIF('Coder-2'!$A:$A,"="&amp;A8)=0,,COUNTIF('Coder-2'!$A:$A,"="&amp;A8)))</f>
        <v/>
      </c>
      <c r="D8" s="6" t="str">
        <f>IF(ISBLANK(A8),,IF(COUNTIF('Coder-3'!$A:$A,"="&amp;A8)=0,,COUNTIF('Coder-3'!$A:$A,"="&amp;A8)))</f>
        <v/>
      </c>
      <c r="E8" s="6" t="str">
        <f>IF(ISBLANK(A8),,IF(COUNTIF('Coder-4'!$A:$A,"="&amp;A8)=0,,COUNTIF('Coder-4'!$A:$A,"="&amp;A8)))</f>
        <v/>
      </c>
    </row>
    <row r="9">
      <c r="A9" s="8">
        <v>44007.0</v>
      </c>
      <c r="B9" s="6" t="str">
        <f>IF(ISBLANK(A9),,IF(COUNTIF('Coder-1'!$A:$A,"="&amp;A9)=0,,COUNTIF('Coder-1'!$A:$A,"="&amp;A9)))</f>
        <v/>
      </c>
      <c r="C9" s="6" t="str">
        <f>IF(ISBLANK(A9),,IF(COUNTIF('Coder-2'!$A:$A,"="&amp;A9)=0,,COUNTIF('Coder-2'!$A:$A,"="&amp;A9)))</f>
        <v/>
      </c>
      <c r="D9" s="6" t="str">
        <f>IF(ISBLANK(A9),,IF(COUNTIF('Coder-3'!$A:$A,"="&amp;A9)=0,,COUNTIF('Coder-3'!$A:$A,"="&amp;A9)))</f>
        <v/>
      </c>
      <c r="E9" s="6" t="str">
        <f>IF(ISBLANK(A9),,IF(COUNTIF('Coder-4'!$A:$A,"="&amp;A9)=0,,COUNTIF('Coder-4'!$A:$A,"="&amp;A9)))</f>
        <v/>
      </c>
    </row>
    <row r="10">
      <c r="A10" s="8">
        <v>44008.0</v>
      </c>
      <c r="B10" s="6" t="str">
        <f>IF(ISBLANK(A10),,IF(COUNTIF('Coder-1'!$A:$A,"="&amp;A10)=0,,COUNTIF('Coder-1'!$A:$A,"="&amp;A10)))</f>
        <v/>
      </c>
      <c r="C10" s="6" t="str">
        <f>IF(ISBLANK(A10),,IF(COUNTIF('Coder-2'!$A:$A,"="&amp;A10)=0,,COUNTIF('Coder-2'!$A:$A,"="&amp;A10)))</f>
        <v/>
      </c>
      <c r="D10" s="6" t="str">
        <f>IF(ISBLANK(A10),,IF(COUNTIF('Coder-3'!$A:$A,"="&amp;A10)=0,,COUNTIF('Coder-3'!$A:$A,"="&amp;A10)))</f>
        <v/>
      </c>
      <c r="E10" s="6" t="str">
        <f>IF(ISBLANK(A10),,IF(COUNTIF('Coder-4'!$A:$A,"="&amp;A10)=0,,COUNTIF('Coder-4'!$A:$A,"="&amp;A10)))</f>
        <v/>
      </c>
    </row>
    <row r="11">
      <c r="A11" s="8">
        <v>44009.0</v>
      </c>
      <c r="B11" s="6" t="str">
        <f>IF(ISBLANK(A11),,IF(COUNTIF('Coder-1'!$A:$A,"="&amp;A11)=0,,COUNTIF('Coder-1'!$A:$A,"="&amp;A11)))</f>
        <v/>
      </c>
      <c r="C11" s="6" t="str">
        <f>IF(ISBLANK(A11),,IF(COUNTIF('Coder-2'!$A:$A,"="&amp;A11)=0,,COUNTIF('Coder-2'!$A:$A,"="&amp;A11)))</f>
        <v/>
      </c>
      <c r="D11" s="6" t="str">
        <f>IF(ISBLANK(A11),,IF(COUNTIF('Coder-3'!$A:$A,"="&amp;A11)=0,,COUNTIF('Coder-3'!$A:$A,"="&amp;A11)))</f>
        <v/>
      </c>
      <c r="E11" s="6" t="str">
        <f>IF(ISBLANK(A11),,IF(COUNTIF('Coder-4'!$A:$A,"="&amp;A11)=0,,COUNTIF('Coder-4'!$A:$A,"="&amp;A11)))</f>
        <v/>
      </c>
    </row>
    <row r="12">
      <c r="A12" s="8">
        <v>44010.0</v>
      </c>
      <c r="B12" s="6" t="str">
        <f>IF(ISBLANK(A12),,IF(COUNTIF('Coder-1'!$A:$A,"="&amp;A12)=0,,COUNTIF('Coder-1'!$A:$A,"="&amp;A12)))</f>
        <v/>
      </c>
      <c r="C12" s="6" t="str">
        <f>IF(ISBLANK(A12),,IF(COUNTIF('Coder-2'!$A:$A,"="&amp;A12)=0,,COUNTIF('Coder-2'!$A:$A,"="&amp;A12)))</f>
        <v/>
      </c>
      <c r="D12" s="6" t="str">
        <f>IF(ISBLANK(A12),,IF(COUNTIF('Coder-3'!$A:$A,"="&amp;A12)=0,,COUNTIF('Coder-3'!$A:$A,"="&amp;A12)))</f>
        <v/>
      </c>
      <c r="E12" s="6" t="str">
        <f>IF(ISBLANK(A12),,IF(COUNTIF('Coder-4'!$A:$A,"="&amp;A12)=0,,COUNTIF('Coder-4'!$A:$A,"="&amp;A12)))</f>
        <v/>
      </c>
    </row>
    <row r="13">
      <c r="A13" s="8">
        <v>44011.0</v>
      </c>
      <c r="B13" s="6" t="str">
        <f>IF(ISBLANK(A13),,IF(COUNTIF('Coder-1'!$A:$A,"="&amp;A13)=0,,COUNTIF('Coder-1'!$A:$A,"="&amp;A13)))</f>
        <v/>
      </c>
      <c r="C13" s="6" t="str">
        <f>IF(ISBLANK(A13),,IF(COUNTIF('Coder-2'!$A:$A,"="&amp;A13)=0,,COUNTIF('Coder-2'!$A:$A,"="&amp;A13)))</f>
        <v/>
      </c>
      <c r="D13" s="6" t="str">
        <f>IF(ISBLANK(A13),,IF(COUNTIF('Coder-3'!$A:$A,"="&amp;A13)=0,,COUNTIF('Coder-3'!$A:$A,"="&amp;A13)))</f>
        <v/>
      </c>
      <c r="E13" s="6" t="str">
        <f>IF(ISBLANK(A13),,IF(COUNTIF('Coder-4'!$A:$A,"="&amp;A13)=0,,COUNTIF('Coder-4'!$A:$A,"="&amp;A13)))</f>
        <v/>
      </c>
    </row>
    <row r="14">
      <c r="A14" s="8">
        <v>44012.0</v>
      </c>
      <c r="B14" s="6" t="str">
        <f>IF(ISBLANK(A14),,IF(COUNTIF('Coder-1'!$A:$A,"="&amp;A14)=0,,COUNTIF('Coder-1'!$A:$A,"="&amp;A14)))</f>
        <v/>
      </c>
      <c r="C14" s="6" t="str">
        <f>IF(ISBLANK(A14),,IF(COUNTIF('Coder-2'!$A:$A,"="&amp;A14)=0,,COUNTIF('Coder-2'!$A:$A,"="&amp;A14)))</f>
        <v/>
      </c>
      <c r="D14" s="6" t="str">
        <f>IF(ISBLANK(A14),,IF(COUNTIF('Coder-3'!$A:$A,"="&amp;A14)=0,,COUNTIF('Coder-3'!$A:$A,"="&amp;A14)))</f>
        <v/>
      </c>
      <c r="E14" s="6" t="str">
        <f>IF(ISBLANK(A14),,IF(COUNTIF('Coder-4'!$A:$A,"="&amp;A14)=0,,COUNTIF('Coder-4'!$A:$A,"="&amp;A14)))</f>
        <v/>
      </c>
    </row>
    <row r="15">
      <c r="A15" s="8">
        <v>44013.0</v>
      </c>
      <c r="B15" s="6" t="str">
        <f>IF(ISBLANK(A15),,IF(COUNTIF('Coder-1'!$A:$A,"="&amp;A15)=0,,COUNTIF('Coder-1'!$A:$A,"="&amp;A15)))</f>
        <v/>
      </c>
      <c r="C15" s="6" t="str">
        <f>IF(ISBLANK(A15),,IF(COUNTIF('Coder-2'!$A:$A,"="&amp;A15)=0,,COUNTIF('Coder-2'!$A:$A,"="&amp;A15)))</f>
        <v/>
      </c>
      <c r="D15" s="6" t="str">
        <f>IF(ISBLANK(A15),,IF(COUNTIF('Coder-3'!$A:$A,"="&amp;A15)=0,,COUNTIF('Coder-3'!$A:$A,"="&amp;A15)))</f>
        <v/>
      </c>
      <c r="E15" s="6" t="str">
        <f>IF(ISBLANK(A15),,IF(COUNTIF('Coder-4'!$A:$A,"="&amp;A15)=0,,COUNTIF('Coder-4'!$A:$A,"="&amp;A15)))</f>
        <v/>
      </c>
    </row>
    <row r="16">
      <c r="A16" s="8">
        <v>44014.0</v>
      </c>
      <c r="B16" s="6" t="str">
        <f>IF(ISBLANK(A16),,IF(COUNTIF('Coder-1'!$A:$A,"="&amp;A16)=0,,COUNTIF('Coder-1'!$A:$A,"="&amp;A16)))</f>
        <v/>
      </c>
      <c r="C16" s="6" t="str">
        <f>IF(ISBLANK(A16),,IF(COUNTIF('Coder-2'!$A:$A,"="&amp;A16)=0,,COUNTIF('Coder-2'!$A:$A,"="&amp;A16)))</f>
        <v/>
      </c>
      <c r="D16" s="6" t="str">
        <f>IF(ISBLANK(A16),,IF(COUNTIF('Coder-3'!$A:$A,"="&amp;A16)=0,,COUNTIF('Coder-3'!$A:$A,"="&amp;A16)))</f>
        <v/>
      </c>
      <c r="E16" s="6" t="str">
        <f>IF(ISBLANK(A16),,IF(COUNTIF('Coder-4'!$A:$A,"="&amp;A16)=0,,COUNTIF('Coder-4'!$A:$A,"="&amp;A16)))</f>
        <v/>
      </c>
    </row>
    <row r="17">
      <c r="A17" s="8">
        <v>44015.0</v>
      </c>
      <c r="B17" s="6" t="str">
        <f>IF(ISBLANK(A17),,IF(COUNTIF('Coder-1'!$A:$A,"="&amp;A17)=0,,COUNTIF('Coder-1'!$A:$A,"="&amp;A17)))</f>
        <v/>
      </c>
      <c r="C17" s="6" t="str">
        <f>IF(ISBLANK(A17),,IF(COUNTIF('Coder-2'!$A:$A,"="&amp;A17)=0,,COUNTIF('Coder-2'!$A:$A,"="&amp;A17)))</f>
        <v/>
      </c>
      <c r="D17" s="6" t="str">
        <f>IF(ISBLANK(A17),,IF(COUNTIF('Coder-3'!$A:$A,"="&amp;A17)=0,,COUNTIF('Coder-3'!$A:$A,"="&amp;A17)))</f>
        <v/>
      </c>
      <c r="E17" s="6" t="str">
        <f>IF(ISBLANK(A17),,IF(COUNTIF('Coder-4'!$A:$A,"="&amp;A17)=0,,COUNTIF('Coder-4'!$A:$A,"="&amp;A17)))</f>
        <v/>
      </c>
    </row>
    <row r="18">
      <c r="A18" s="8">
        <v>44016.0</v>
      </c>
      <c r="B18" s="6" t="str">
        <f>IF(ISBLANK(A18),,IF(COUNTIF('Coder-1'!$A:$A,"="&amp;A18)=0,,COUNTIF('Coder-1'!$A:$A,"="&amp;A18)))</f>
        <v/>
      </c>
      <c r="C18" s="6" t="str">
        <f>IF(ISBLANK(A18),,IF(COUNTIF('Coder-2'!$A:$A,"="&amp;A18)=0,,COUNTIF('Coder-2'!$A:$A,"="&amp;A18)))</f>
        <v/>
      </c>
      <c r="D18" s="6" t="str">
        <f>IF(ISBLANK(A18),,IF(COUNTIF('Coder-3'!$A:$A,"="&amp;A18)=0,,COUNTIF('Coder-3'!$A:$A,"="&amp;A18)))</f>
        <v/>
      </c>
      <c r="E18" s="6" t="str">
        <f>IF(ISBLANK(A18),,IF(COUNTIF('Coder-4'!$A:$A,"="&amp;A18)=0,,COUNTIF('Coder-4'!$A:$A,"="&amp;A18)))</f>
        <v/>
      </c>
    </row>
    <row r="19">
      <c r="A19" s="8">
        <v>44017.0</v>
      </c>
      <c r="B19" s="6" t="str">
        <f>IF(ISBLANK(A19),,IF(COUNTIF('Coder-1'!$A:$A,"="&amp;A19)=0,,COUNTIF('Coder-1'!$A:$A,"="&amp;A19)))</f>
        <v/>
      </c>
      <c r="C19" s="6" t="str">
        <f>IF(ISBLANK(A19),,IF(COUNTIF('Coder-2'!$A:$A,"="&amp;A19)=0,,COUNTIF('Coder-2'!$A:$A,"="&amp;A19)))</f>
        <v/>
      </c>
      <c r="D19" s="6" t="str">
        <f>IF(ISBLANK(A19),,IF(COUNTIF('Coder-3'!$A:$A,"="&amp;A19)=0,,COUNTIF('Coder-3'!$A:$A,"="&amp;A19)))</f>
        <v/>
      </c>
      <c r="E19" s="6" t="str">
        <f>IF(ISBLANK(A19),,IF(COUNTIF('Coder-4'!$A:$A,"="&amp;A19)=0,,COUNTIF('Coder-4'!$A:$A,"="&amp;A19)))</f>
        <v/>
      </c>
    </row>
    <row r="20">
      <c r="A20" s="8">
        <v>44018.0</v>
      </c>
      <c r="B20" s="6" t="str">
        <f>IF(ISBLANK(A20),,IF(COUNTIF('Coder-1'!$A:$A,"="&amp;A20)=0,,COUNTIF('Coder-1'!$A:$A,"="&amp;A20)))</f>
        <v/>
      </c>
      <c r="C20" s="6" t="str">
        <f>IF(ISBLANK(A20),,IF(COUNTIF('Coder-2'!$A:$A,"="&amp;A20)=0,,COUNTIF('Coder-2'!$A:$A,"="&amp;A20)))</f>
        <v/>
      </c>
      <c r="D20" s="6" t="str">
        <f>IF(ISBLANK(A20),,IF(COUNTIF('Coder-3'!$A:$A,"="&amp;A20)=0,,COUNTIF('Coder-3'!$A:$A,"="&amp;A20)))</f>
        <v/>
      </c>
      <c r="E20" s="6" t="str">
        <f>IF(ISBLANK(A20),,IF(COUNTIF('Coder-4'!$A:$A,"="&amp;A20)=0,,COUNTIF('Coder-4'!$A:$A,"="&amp;A20)))</f>
        <v/>
      </c>
    </row>
    <row r="21">
      <c r="A21" s="8">
        <v>44019.0</v>
      </c>
      <c r="B21" s="6" t="str">
        <f>IF(ISBLANK(A21),,IF(COUNTIF('Coder-1'!$A:$A,"="&amp;A21)=0,,COUNTIF('Coder-1'!$A:$A,"="&amp;A21)))</f>
        <v/>
      </c>
      <c r="C21" s="6" t="str">
        <f>IF(ISBLANK(A21),,IF(COUNTIF('Coder-2'!$A:$A,"="&amp;A21)=0,,COUNTIF('Coder-2'!$A:$A,"="&amp;A21)))</f>
        <v/>
      </c>
      <c r="D21" s="6" t="str">
        <f>IF(ISBLANK(A21),,IF(COUNTIF('Coder-3'!$A:$A,"="&amp;A21)=0,,COUNTIF('Coder-3'!$A:$A,"="&amp;A21)))</f>
        <v/>
      </c>
      <c r="E21" s="6" t="str">
        <f>IF(ISBLANK(A21),,IF(COUNTIF('Coder-4'!$A:$A,"="&amp;A21)=0,,COUNTIF('Coder-4'!$A:$A,"="&amp;A21)))</f>
        <v/>
      </c>
    </row>
    <row r="22">
      <c r="A22" s="8">
        <v>44020.0</v>
      </c>
      <c r="B22" s="6" t="str">
        <f>IF(ISBLANK(A22),,IF(COUNTIF('Coder-1'!$A:$A,"="&amp;A22)=0,,COUNTIF('Coder-1'!$A:$A,"="&amp;A22)))</f>
        <v/>
      </c>
      <c r="C22" s="6" t="str">
        <f>IF(ISBLANK(A22),,IF(COUNTIF('Coder-2'!$A:$A,"="&amp;A22)=0,,COUNTIF('Coder-2'!$A:$A,"="&amp;A22)))</f>
        <v/>
      </c>
      <c r="D22" s="6" t="str">
        <f>IF(ISBLANK(A22),,IF(COUNTIF('Coder-3'!$A:$A,"="&amp;A22)=0,,COUNTIF('Coder-3'!$A:$A,"="&amp;A22)))</f>
        <v/>
      </c>
      <c r="E22" s="6" t="str">
        <f>IF(ISBLANK(A22),,IF(COUNTIF('Coder-4'!$A:$A,"="&amp;A22)=0,,COUNTIF('Coder-4'!$A:$A,"="&amp;A22)))</f>
        <v/>
      </c>
    </row>
    <row r="23">
      <c r="A23" s="8">
        <v>44021.0</v>
      </c>
      <c r="B23" s="6" t="str">
        <f>IF(ISBLANK(A23),,IF(COUNTIF('Coder-1'!$A:$A,"="&amp;A23)=0,,COUNTIF('Coder-1'!$A:$A,"="&amp;A23)))</f>
        <v/>
      </c>
      <c r="C23" s="6" t="str">
        <f>IF(ISBLANK(A23),,IF(COUNTIF('Coder-2'!$A:$A,"="&amp;A23)=0,,COUNTIF('Coder-2'!$A:$A,"="&amp;A23)))</f>
        <v/>
      </c>
      <c r="D23" s="6" t="str">
        <f>IF(ISBLANK(A23),,IF(COUNTIF('Coder-3'!$A:$A,"="&amp;A23)=0,,COUNTIF('Coder-3'!$A:$A,"="&amp;A23)))</f>
        <v/>
      </c>
      <c r="E23" s="6" t="str">
        <f>IF(ISBLANK(A23),,IF(COUNTIF('Coder-4'!$A:$A,"="&amp;A23)=0,,COUNTIF('Coder-4'!$A:$A,"="&amp;A23)))</f>
        <v/>
      </c>
    </row>
    <row r="24">
      <c r="A24" s="8">
        <v>44022.0</v>
      </c>
      <c r="B24" s="6" t="str">
        <f>IF(ISBLANK(A24),,IF(COUNTIF('Coder-1'!$A:$A,"="&amp;A24)=0,,COUNTIF('Coder-1'!$A:$A,"="&amp;A24)))</f>
        <v/>
      </c>
      <c r="C24" s="6" t="str">
        <f>IF(ISBLANK(A24),,IF(COUNTIF('Coder-2'!$A:$A,"="&amp;A24)=0,,COUNTIF('Coder-2'!$A:$A,"="&amp;A24)))</f>
        <v/>
      </c>
      <c r="D24" s="6" t="str">
        <f>IF(ISBLANK(A24),,IF(COUNTIF('Coder-3'!$A:$A,"="&amp;A24)=0,,COUNTIF('Coder-3'!$A:$A,"="&amp;A24)))</f>
        <v/>
      </c>
      <c r="E24" s="6" t="str">
        <f>IF(ISBLANK(A24),,IF(COUNTIF('Coder-4'!$A:$A,"="&amp;A24)=0,,COUNTIF('Coder-4'!$A:$A,"="&amp;A24)))</f>
        <v/>
      </c>
    </row>
    <row r="25">
      <c r="A25" s="8">
        <v>44023.0</v>
      </c>
      <c r="B25" s="6" t="str">
        <f>IF(ISBLANK(A25),,IF(COUNTIF('Coder-1'!$A:$A,"="&amp;A25)=0,,COUNTIF('Coder-1'!$A:$A,"="&amp;A25)))</f>
        <v/>
      </c>
      <c r="C25" s="6" t="str">
        <f>IF(ISBLANK(A25),,IF(COUNTIF('Coder-2'!$A:$A,"="&amp;A25)=0,,COUNTIF('Coder-2'!$A:$A,"="&amp;A25)))</f>
        <v/>
      </c>
      <c r="D25" s="6" t="str">
        <f>IF(ISBLANK(A25),,IF(COUNTIF('Coder-3'!$A:$A,"="&amp;A25)=0,,COUNTIF('Coder-3'!$A:$A,"="&amp;A25)))</f>
        <v/>
      </c>
      <c r="E25" s="6" t="str">
        <f>IF(ISBLANK(A25),,IF(COUNTIF('Coder-4'!$A:$A,"="&amp;A25)=0,,COUNTIF('Coder-4'!$A:$A,"="&amp;A25)))</f>
        <v/>
      </c>
    </row>
    <row r="26">
      <c r="A26" s="8">
        <v>44024.0</v>
      </c>
      <c r="B26" s="6" t="str">
        <f>IF(ISBLANK(A26),,IF(COUNTIF('Coder-1'!$A:$A,"="&amp;A26)=0,,COUNTIF('Coder-1'!$A:$A,"="&amp;A26)))</f>
        <v/>
      </c>
      <c r="C26" s="6" t="str">
        <f>IF(ISBLANK(A26),,IF(COUNTIF('Coder-2'!$A:$A,"="&amp;A26)=0,,COUNTIF('Coder-2'!$A:$A,"="&amp;A26)))</f>
        <v/>
      </c>
      <c r="D26" s="6" t="str">
        <f>IF(ISBLANK(A26),,IF(COUNTIF('Coder-3'!$A:$A,"="&amp;A26)=0,,COUNTIF('Coder-3'!$A:$A,"="&amp;A26)))</f>
        <v/>
      </c>
      <c r="E26" s="6" t="str">
        <f>IF(ISBLANK(A26),,IF(COUNTIF('Coder-4'!$A:$A,"="&amp;A26)=0,,COUNTIF('Coder-4'!$A:$A,"="&amp;A26)))</f>
        <v/>
      </c>
    </row>
    <row r="27">
      <c r="A27" s="8">
        <v>44025.0</v>
      </c>
      <c r="B27" s="6" t="str">
        <f>IF(ISBLANK(A27),,IF(COUNTIF('Coder-1'!$A:$A,"="&amp;A27)=0,,COUNTIF('Coder-1'!$A:$A,"="&amp;A27)))</f>
        <v/>
      </c>
      <c r="C27" s="6" t="str">
        <f>IF(ISBLANK(A27),,IF(COUNTIF('Coder-2'!$A:$A,"="&amp;A27)=0,,COUNTIF('Coder-2'!$A:$A,"="&amp;A27)))</f>
        <v/>
      </c>
      <c r="D27" s="6" t="str">
        <f>IF(ISBLANK(A27),,IF(COUNTIF('Coder-3'!$A:$A,"="&amp;A27)=0,,COUNTIF('Coder-3'!$A:$A,"="&amp;A27)))</f>
        <v/>
      </c>
      <c r="E27" s="6" t="str">
        <f>IF(ISBLANK(A27),,IF(COUNTIF('Coder-4'!$A:$A,"="&amp;A27)=0,,COUNTIF('Coder-4'!$A:$A,"="&amp;A27)))</f>
        <v/>
      </c>
    </row>
    <row r="28">
      <c r="A28" s="8">
        <v>44026.0</v>
      </c>
      <c r="B28" s="6" t="str">
        <f>IF(ISBLANK(A28),,IF(COUNTIF('Coder-1'!$A:$A,"="&amp;A28)=0,,COUNTIF('Coder-1'!$A:$A,"="&amp;A28)))</f>
        <v/>
      </c>
      <c r="C28" s="6" t="str">
        <f>IF(ISBLANK(A28),,IF(COUNTIF('Coder-2'!$A:$A,"="&amp;A28)=0,,COUNTIF('Coder-2'!$A:$A,"="&amp;A28)))</f>
        <v/>
      </c>
      <c r="D28" s="6" t="str">
        <f>IF(ISBLANK(A28),,IF(COUNTIF('Coder-3'!$A:$A,"="&amp;A28)=0,,COUNTIF('Coder-3'!$A:$A,"="&amp;A28)))</f>
        <v/>
      </c>
      <c r="E28" s="6" t="str">
        <f>IF(ISBLANK(A28),,IF(COUNTIF('Coder-4'!$A:$A,"="&amp;A28)=0,,COUNTIF('Coder-4'!$A:$A,"="&amp;A28)))</f>
        <v/>
      </c>
    </row>
    <row r="29">
      <c r="A29" s="8">
        <v>44027.0</v>
      </c>
      <c r="B29" s="6" t="str">
        <f>IF(ISBLANK(A29),,IF(COUNTIF('Coder-1'!$A:$A,"="&amp;A29)=0,,COUNTIF('Coder-1'!$A:$A,"="&amp;A29)))</f>
        <v/>
      </c>
      <c r="C29" s="6" t="str">
        <f>IF(ISBLANK(A29),,IF(COUNTIF('Coder-2'!$A:$A,"="&amp;A29)=0,,COUNTIF('Coder-2'!$A:$A,"="&amp;A29)))</f>
        <v/>
      </c>
      <c r="D29" s="6" t="str">
        <f>IF(ISBLANK(A29),,IF(COUNTIF('Coder-3'!$A:$A,"="&amp;A29)=0,,COUNTIF('Coder-3'!$A:$A,"="&amp;A29)))</f>
        <v/>
      </c>
      <c r="E29" s="6" t="str">
        <f>IF(ISBLANK(A29),,IF(COUNTIF('Coder-4'!$A:$A,"="&amp;A29)=0,,COUNTIF('Coder-4'!$A:$A,"="&amp;A29)))</f>
        <v/>
      </c>
    </row>
    <row r="30">
      <c r="A30" s="8">
        <v>44028.0</v>
      </c>
      <c r="B30" s="6" t="str">
        <f>IF(ISBLANK(A30),,IF(COUNTIF('Coder-1'!$A:$A,"="&amp;A30)=0,,COUNTIF('Coder-1'!$A:$A,"="&amp;A30)))</f>
        <v/>
      </c>
      <c r="C30" s="6" t="str">
        <f>IF(ISBLANK(A30),,IF(COUNTIF('Coder-2'!$A:$A,"="&amp;A30)=0,,COUNTIF('Coder-2'!$A:$A,"="&amp;A30)))</f>
        <v/>
      </c>
      <c r="D30" s="6" t="str">
        <f>IF(ISBLANK(A30),,IF(COUNTIF('Coder-3'!$A:$A,"="&amp;A30)=0,,COUNTIF('Coder-3'!$A:$A,"="&amp;A30)))</f>
        <v/>
      </c>
      <c r="E30" s="6" t="str">
        <f>IF(ISBLANK(A30),,IF(COUNTIF('Coder-4'!$A:$A,"="&amp;A30)=0,,COUNTIF('Coder-4'!$A:$A,"="&amp;A30)))</f>
        <v/>
      </c>
    </row>
    <row r="31">
      <c r="A31" s="8">
        <v>44029.0</v>
      </c>
      <c r="B31" s="6" t="str">
        <f>IF(ISBLANK(A31),,IF(COUNTIF('Coder-1'!$A:$A,"="&amp;A31)=0,,COUNTIF('Coder-1'!$A:$A,"="&amp;A31)))</f>
        <v/>
      </c>
      <c r="C31" s="6" t="str">
        <f>IF(ISBLANK(A31),,IF(COUNTIF('Coder-2'!$A:$A,"="&amp;A31)=0,,COUNTIF('Coder-2'!$A:$A,"="&amp;A31)))</f>
        <v/>
      </c>
      <c r="D31" s="6" t="str">
        <f>IF(ISBLANK(A31),,IF(COUNTIF('Coder-3'!$A:$A,"="&amp;A31)=0,,COUNTIF('Coder-3'!$A:$A,"="&amp;A31)))</f>
        <v/>
      </c>
      <c r="E31" s="6" t="str">
        <f>IF(ISBLANK(A31),,IF(COUNTIF('Coder-4'!$A:$A,"="&amp;A31)=0,,COUNTIF('Coder-4'!$A:$A,"="&amp;A31)))</f>
        <v/>
      </c>
    </row>
    <row r="32">
      <c r="A32" s="8">
        <v>44030.0</v>
      </c>
      <c r="B32" s="6" t="str">
        <f>IF(ISBLANK(A32),,IF(COUNTIF('Coder-1'!$A:$A,"="&amp;A32)=0,,COUNTIF('Coder-1'!$A:$A,"="&amp;A32)))</f>
        <v/>
      </c>
      <c r="C32" s="6" t="str">
        <f>IF(ISBLANK(A32),,IF(COUNTIF('Coder-2'!$A:$A,"="&amp;A32)=0,,COUNTIF('Coder-2'!$A:$A,"="&amp;A32)))</f>
        <v/>
      </c>
      <c r="D32" s="6" t="str">
        <f>IF(ISBLANK(A32),,IF(COUNTIF('Coder-3'!$A:$A,"="&amp;A32)=0,,COUNTIF('Coder-3'!$A:$A,"="&amp;A32)))</f>
        <v/>
      </c>
      <c r="E32" s="6" t="str">
        <f>IF(ISBLANK(A32),,IF(COUNTIF('Coder-4'!$A:$A,"="&amp;A32)=0,,COUNTIF('Coder-4'!$A:$A,"="&amp;A32)))</f>
        <v/>
      </c>
    </row>
    <row r="33">
      <c r="A33" s="8">
        <v>44031.0</v>
      </c>
      <c r="B33" s="6" t="str">
        <f>IF(ISBLANK(A33),,IF(COUNTIF('Coder-1'!$A:$A,"="&amp;A33)=0,,COUNTIF('Coder-1'!$A:$A,"="&amp;A33)))</f>
        <v/>
      </c>
      <c r="C33" s="6" t="str">
        <f>IF(ISBLANK(A33),,IF(COUNTIF('Coder-2'!$A:$A,"="&amp;A33)=0,,COUNTIF('Coder-2'!$A:$A,"="&amp;A33)))</f>
        <v/>
      </c>
      <c r="D33" s="6" t="str">
        <f>IF(ISBLANK(A33),,IF(COUNTIF('Coder-3'!$A:$A,"="&amp;A33)=0,,COUNTIF('Coder-3'!$A:$A,"="&amp;A33)))</f>
        <v/>
      </c>
      <c r="E33" s="6" t="str">
        <f>IF(ISBLANK(A33),,IF(COUNTIF('Coder-4'!$A:$A,"="&amp;A33)=0,,COUNTIF('Coder-4'!$A:$A,"="&amp;A33)))</f>
        <v/>
      </c>
    </row>
    <row r="34">
      <c r="A34" s="8">
        <v>44032.0</v>
      </c>
      <c r="B34" s="6" t="str">
        <f>IF(ISBLANK(A34),,IF(COUNTIF('Coder-1'!$A:$A,"="&amp;A34)=0,,COUNTIF('Coder-1'!$A:$A,"="&amp;A34)))</f>
        <v/>
      </c>
      <c r="C34" s="6" t="str">
        <f>IF(ISBLANK(A34),,IF(COUNTIF('Coder-2'!$A:$A,"="&amp;A34)=0,,COUNTIF('Coder-2'!$A:$A,"="&amp;A34)))</f>
        <v/>
      </c>
      <c r="D34" s="6" t="str">
        <f>IF(ISBLANK(A34),,IF(COUNTIF('Coder-3'!$A:$A,"="&amp;A34)=0,,COUNTIF('Coder-3'!$A:$A,"="&amp;A34)))</f>
        <v/>
      </c>
      <c r="E34" s="6" t="str">
        <f>IF(ISBLANK(A34),,IF(COUNTIF('Coder-4'!$A:$A,"="&amp;A34)=0,,COUNTIF('Coder-4'!$A:$A,"="&amp;A34)))</f>
        <v/>
      </c>
    </row>
    <row r="35">
      <c r="A35" s="8">
        <v>44033.0</v>
      </c>
      <c r="B35" s="6" t="str">
        <f>IF(ISBLANK(A35),,IF(COUNTIF('Coder-1'!$A:$A,"="&amp;A35)=0,,COUNTIF('Coder-1'!$A:$A,"="&amp;A35)))</f>
        <v/>
      </c>
      <c r="C35" s="6" t="str">
        <f>IF(ISBLANK(A35),,IF(COUNTIF('Coder-2'!$A:$A,"="&amp;A35)=0,,COUNTIF('Coder-2'!$A:$A,"="&amp;A35)))</f>
        <v/>
      </c>
      <c r="D35" s="6" t="str">
        <f>IF(ISBLANK(A35),,IF(COUNTIF('Coder-3'!$A:$A,"="&amp;A35)=0,,COUNTIF('Coder-3'!$A:$A,"="&amp;A35)))</f>
        <v/>
      </c>
      <c r="E35" s="6" t="str">
        <f>IF(ISBLANK(A35),,IF(COUNTIF('Coder-4'!$A:$A,"="&amp;A35)=0,,COUNTIF('Coder-4'!$A:$A,"="&amp;A35)))</f>
        <v/>
      </c>
    </row>
    <row r="36">
      <c r="A36" s="8">
        <v>44034.0</v>
      </c>
      <c r="B36" s="6" t="str">
        <f>IF(ISBLANK(A36),,IF(COUNTIF('Coder-1'!$A:$A,"="&amp;A36)=0,,COUNTIF('Coder-1'!$A:$A,"="&amp;A36)))</f>
        <v/>
      </c>
      <c r="C36" s="6" t="str">
        <f>IF(ISBLANK(A36),,IF(COUNTIF('Coder-2'!$A:$A,"="&amp;A36)=0,,COUNTIF('Coder-2'!$A:$A,"="&amp;A36)))</f>
        <v/>
      </c>
      <c r="D36" s="6" t="str">
        <f>IF(ISBLANK(A36),,IF(COUNTIF('Coder-3'!$A:$A,"="&amp;A36)=0,,COUNTIF('Coder-3'!$A:$A,"="&amp;A36)))</f>
        <v/>
      </c>
      <c r="E36" s="6" t="str">
        <f>IF(ISBLANK(A36),,IF(COUNTIF('Coder-4'!$A:$A,"="&amp;A36)=0,,COUNTIF('Coder-4'!$A:$A,"="&amp;A36)))</f>
        <v/>
      </c>
    </row>
    <row r="37">
      <c r="A37" s="8">
        <v>44035.0</v>
      </c>
      <c r="B37" s="6" t="str">
        <f>IF(ISBLANK(A37),,IF(COUNTIF('Coder-1'!$A:$A,"="&amp;A37)=0,,COUNTIF('Coder-1'!$A:$A,"="&amp;A37)))</f>
        <v/>
      </c>
      <c r="C37" s="6" t="str">
        <f>IF(ISBLANK(A37),,IF(COUNTIF('Coder-2'!$A:$A,"="&amp;A37)=0,,COUNTIF('Coder-2'!$A:$A,"="&amp;A37)))</f>
        <v/>
      </c>
      <c r="D37" s="6" t="str">
        <f>IF(ISBLANK(A37),,IF(COUNTIF('Coder-3'!$A:$A,"="&amp;A37)=0,,COUNTIF('Coder-3'!$A:$A,"="&amp;A37)))</f>
        <v/>
      </c>
      <c r="E37" s="6" t="str">
        <f>IF(ISBLANK(A37),,IF(COUNTIF('Coder-4'!$A:$A,"="&amp;A37)=0,,COUNTIF('Coder-4'!$A:$A,"="&amp;A37)))</f>
        <v/>
      </c>
    </row>
    <row r="38">
      <c r="A38" s="8">
        <v>44036.0</v>
      </c>
      <c r="B38" s="6" t="str">
        <f>IF(ISBLANK(A38),,IF(COUNTIF('Coder-1'!$A:$A,"="&amp;A38)=0,,COUNTIF('Coder-1'!$A:$A,"="&amp;A38)))</f>
        <v/>
      </c>
      <c r="C38" s="6" t="str">
        <f>IF(ISBLANK(A38),,IF(COUNTIF('Coder-2'!$A:$A,"="&amp;A38)=0,,COUNTIF('Coder-2'!$A:$A,"="&amp;A38)))</f>
        <v/>
      </c>
      <c r="D38" s="6" t="str">
        <f>IF(ISBLANK(A38),,IF(COUNTIF('Coder-3'!$A:$A,"="&amp;A38)=0,,COUNTIF('Coder-3'!$A:$A,"="&amp;A38)))</f>
        <v/>
      </c>
      <c r="E38" s="6" t="str">
        <f>IF(ISBLANK(A38),,IF(COUNTIF('Coder-4'!$A:$A,"="&amp;A38)=0,,COUNTIF('Coder-4'!$A:$A,"="&amp;A38)))</f>
        <v/>
      </c>
    </row>
    <row r="39">
      <c r="A39" s="8">
        <v>44037.0</v>
      </c>
      <c r="B39" s="6" t="str">
        <f>IF(ISBLANK(A39),,IF(COUNTIF('Coder-1'!$A:$A,"="&amp;A39)=0,,COUNTIF('Coder-1'!$A:$A,"="&amp;A39)))</f>
        <v/>
      </c>
      <c r="C39" s="6" t="str">
        <f>IF(ISBLANK(A39),,IF(COUNTIF('Coder-2'!$A:$A,"="&amp;A39)=0,,COUNTIF('Coder-2'!$A:$A,"="&amp;A39)))</f>
        <v/>
      </c>
      <c r="D39" s="6" t="str">
        <f>IF(ISBLANK(A39),,IF(COUNTIF('Coder-3'!$A:$A,"="&amp;A39)=0,,COUNTIF('Coder-3'!$A:$A,"="&amp;A39)))</f>
        <v/>
      </c>
      <c r="E39" s="6" t="str">
        <f>IF(ISBLANK(A39),,IF(COUNTIF('Coder-4'!$A:$A,"="&amp;A39)=0,,COUNTIF('Coder-4'!$A:$A,"="&amp;A39)))</f>
        <v/>
      </c>
    </row>
    <row r="40">
      <c r="A40" s="8">
        <v>44038.0</v>
      </c>
      <c r="B40" s="6" t="str">
        <f>IF(ISBLANK(A40),,IF(COUNTIF('Coder-1'!$A:$A,"="&amp;A40)=0,,COUNTIF('Coder-1'!$A:$A,"="&amp;A40)))</f>
        <v/>
      </c>
      <c r="C40" s="6" t="str">
        <f>IF(ISBLANK(A40),,IF(COUNTIF('Coder-2'!$A:$A,"="&amp;A40)=0,,COUNTIF('Coder-2'!$A:$A,"="&amp;A40)))</f>
        <v/>
      </c>
      <c r="D40" s="6" t="str">
        <f>IF(ISBLANK(A40),,IF(COUNTIF('Coder-3'!$A:$A,"="&amp;A40)=0,,COUNTIF('Coder-3'!$A:$A,"="&amp;A40)))</f>
        <v/>
      </c>
      <c r="E40" s="6" t="str">
        <f>IF(ISBLANK(A40),,IF(COUNTIF('Coder-4'!$A:$A,"="&amp;A40)=0,,COUNTIF('Coder-4'!$A:$A,"="&amp;A40)))</f>
        <v/>
      </c>
    </row>
    <row r="41">
      <c r="A41" s="8">
        <v>44039.0</v>
      </c>
      <c r="B41" s="6" t="str">
        <f>IF(ISBLANK(A41),,IF(COUNTIF('Coder-1'!$A:$A,"="&amp;A41)=0,,COUNTIF('Coder-1'!$A:$A,"="&amp;A41)))</f>
        <v/>
      </c>
      <c r="C41" s="6" t="str">
        <f>IF(ISBLANK(A41),,IF(COUNTIF('Coder-2'!$A:$A,"="&amp;A41)=0,,COUNTIF('Coder-2'!$A:$A,"="&amp;A41)))</f>
        <v/>
      </c>
      <c r="D41" s="6" t="str">
        <f>IF(ISBLANK(A41),,IF(COUNTIF('Coder-3'!$A:$A,"="&amp;A41)=0,,COUNTIF('Coder-3'!$A:$A,"="&amp;A41)))</f>
        <v/>
      </c>
      <c r="E41" s="6" t="str">
        <f>IF(ISBLANK(A41),,IF(COUNTIF('Coder-4'!$A:$A,"="&amp;A41)=0,,COUNTIF('Coder-4'!$A:$A,"="&amp;A41)))</f>
        <v/>
      </c>
    </row>
    <row r="42">
      <c r="A42" s="8">
        <v>44040.0</v>
      </c>
      <c r="B42" s="6" t="str">
        <f>IF(ISBLANK(A42),,IF(COUNTIF('Coder-1'!$A:$A,"="&amp;A42)=0,,COUNTIF('Coder-1'!$A:$A,"="&amp;A42)))</f>
        <v/>
      </c>
      <c r="C42" s="6" t="str">
        <f>IF(ISBLANK(A42),,IF(COUNTIF('Coder-2'!$A:$A,"="&amp;A42)=0,,COUNTIF('Coder-2'!$A:$A,"="&amp;A42)))</f>
        <v/>
      </c>
      <c r="D42" s="6" t="str">
        <f>IF(ISBLANK(A42),,IF(COUNTIF('Coder-3'!$A:$A,"="&amp;A42)=0,,COUNTIF('Coder-3'!$A:$A,"="&amp;A42)))</f>
        <v/>
      </c>
      <c r="E42" s="6" t="str">
        <f>IF(ISBLANK(A42),,IF(COUNTIF('Coder-4'!$A:$A,"="&amp;A42)=0,,COUNTIF('Coder-4'!$A:$A,"="&amp;A42)))</f>
        <v/>
      </c>
    </row>
    <row r="43">
      <c r="A43" s="8">
        <v>44041.0</v>
      </c>
      <c r="B43" s="6" t="str">
        <f>IF(ISBLANK(A43),,IF(COUNTIF('Coder-1'!$A:$A,"="&amp;A43)=0,,COUNTIF('Coder-1'!$A:$A,"="&amp;A43)))</f>
        <v/>
      </c>
      <c r="C43" s="6" t="str">
        <f>IF(ISBLANK(A43),,IF(COUNTIF('Coder-2'!$A:$A,"="&amp;A43)=0,,COUNTIF('Coder-2'!$A:$A,"="&amp;A43)))</f>
        <v/>
      </c>
      <c r="D43" s="6" t="str">
        <f>IF(ISBLANK(A43),,IF(COUNTIF('Coder-3'!$A:$A,"="&amp;A43)=0,,COUNTIF('Coder-3'!$A:$A,"="&amp;A43)))</f>
        <v/>
      </c>
      <c r="E43" s="6" t="str">
        <f>IF(ISBLANK(A43),,IF(COUNTIF('Coder-4'!$A:$A,"="&amp;A43)=0,,COUNTIF('Coder-4'!$A:$A,"="&amp;A43)))</f>
        <v/>
      </c>
    </row>
    <row r="44">
      <c r="A44" s="8">
        <v>44042.0</v>
      </c>
      <c r="B44" s="6" t="str">
        <f>IF(ISBLANK(A44),,IF(COUNTIF('Coder-1'!$A:$A,"="&amp;A44)=0,,COUNTIF('Coder-1'!$A:$A,"="&amp;A44)))</f>
        <v/>
      </c>
      <c r="C44" s="6" t="str">
        <f>IF(ISBLANK(A44),,IF(COUNTIF('Coder-2'!$A:$A,"="&amp;A44)=0,,COUNTIF('Coder-2'!$A:$A,"="&amp;A44)))</f>
        <v/>
      </c>
      <c r="D44" s="6" t="str">
        <f>IF(ISBLANK(A44),,IF(COUNTIF('Coder-3'!$A:$A,"="&amp;A44)=0,,COUNTIF('Coder-3'!$A:$A,"="&amp;A44)))</f>
        <v/>
      </c>
      <c r="E44" s="6" t="str">
        <f>IF(ISBLANK(A44),,IF(COUNTIF('Coder-4'!$A:$A,"="&amp;A44)=0,,COUNTIF('Coder-4'!$A:$A,"="&amp;A44)))</f>
        <v/>
      </c>
    </row>
    <row r="45">
      <c r="A45" s="8">
        <v>44043.0</v>
      </c>
      <c r="B45" s="6" t="str">
        <f>IF(ISBLANK(A45),,IF(COUNTIF('Coder-1'!$A:$A,"="&amp;A45)=0,,COUNTIF('Coder-1'!$A:$A,"="&amp;A45)))</f>
        <v/>
      </c>
      <c r="C45" s="6" t="str">
        <f>IF(ISBLANK(A45),,IF(COUNTIF('Coder-2'!$A:$A,"="&amp;A45)=0,,COUNTIF('Coder-2'!$A:$A,"="&amp;A45)))</f>
        <v/>
      </c>
      <c r="D45" s="6" t="str">
        <f>IF(ISBLANK(A45),,IF(COUNTIF('Coder-3'!$A:$A,"="&amp;A45)=0,,COUNTIF('Coder-3'!$A:$A,"="&amp;A45)))</f>
        <v/>
      </c>
      <c r="E45" s="6" t="str">
        <f>IF(ISBLANK(A45),,IF(COUNTIF('Coder-4'!$A:$A,"="&amp;A45)=0,,COUNTIF('Coder-4'!$A:$A,"="&amp;A45)))</f>
        <v/>
      </c>
    </row>
    <row r="46">
      <c r="A46" s="8">
        <v>44044.0</v>
      </c>
      <c r="B46" s="6" t="str">
        <f>IF(ISBLANK(A46),,IF(COUNTIF('Coder-1'!$A:$A,"="&amp;A46)=0,,COUNTIF('Coder-1'!$A:$A,"="&amp;A46)))</f>
        <v/>
      </c>
      <c r="C46" s="6" t="str">
        <f>IF(ISBLANK(A46),,IF(COUNTIF('Coder-2'!$A:$A,"="&amp;A46)=0,,COUNTIF('Coder-2'!$A:$A,"="&amp;A46)))</f>
        <v/>
      </c>
      <c r="D46" s="6" t="str">
        <f>IF(ISBLANK(A46),,IF(COUNTIF('Coder-3'!$A:$A,"="&amp;A46)=0,,COUNTIF('Coder-3'!$A:$A,"="&amp;A46)))</f>
        <v/>
      </c>
      <c r="E46" s="6" t="str">
        <f>IF(ISBLANK(A46),,IF(COUNTIF('Coder-4'!$A:$A,"="&amp;A46)=0,,COUNTIF('Coder-4'!$A:$A,"="&amp;A46)))</f>
        <v/>
      </c>
    </row>
    <row r="47">
      <c r="A47" s="8">
        <v>44045.0</v>
      </c>
      <c r="B47" s="6" t="str">
        <f>IF(ISBLANK(A47),,IF(COUNTIF('Coder-1'!$A:$A,"="&amp;A47)=0,,COUNTIF('Coder-1'!$A:$A,"="&amp;A47)))</f>
        <v/>
      </c>
      <c r="C47" s="6" t="str">
        <f>IF(ISBLANK(A47),,IF(COUNTIF('Coder-2'!$A:$A,"="&amp;A47)=0,,COUNTIF('Coder-2'!$A:$A,"="&amp;A47)))</f>
        <v/>
      </c>
      <c r="D47" s="6" t="str">
        <f>IF(ISBLANK(A47),,IF(COUNTIF('Coder-3'!$A:$A,"="&amp;A47)=0,,COUNTIF('Coder-3'!$A:$A,"="&amp;A47)))</f>
        <v/>
      </c>
      <c r="E47" s="6" t="str">
        <f>IF(ISBLANK(A47),,IF(COUNTIF('Coder-4'!$A:$A,"="&amp;A47)=0,,COUNTIF('Coder-4'!$A:$A,"="&amp;A47)))</f>
        <v/>
      </c>
    </row>
    <row r="48">
      <c r="A48" s="8">
        <v>44046.0</v>
      </c>
      <c r="B48" s="6" t="str">
        <f>IF(ISBLANK(A48),,IF(COUNTIF('Coder-1'!$A:$A,"="&amp;A48)=0,,COUNTIF('Coder-1'!$A:$A,"="&amp;A48)))</f>
        <v/>
      </c>
      <c r="C48" s="6" t="str">
        <f>IF(ISBLANK(A48),,IF(COUNTIF('Coder-2'!$A:$A,"="&amp;A48)=0,,COUNTIF('Coder-2'!$A:$A,"="&amp;A48)))</f>
        <v/>
      </c>
      <c r="D48" s="6" t="str">
        <f>IF(ISBLANK(A48),,IF(COUNTIF('Coder-3'!$A:$A,"="&amp;A48)=0,,COUNTIF('Coder-3'!$A:$A,"="&amp;A48)))</f>
        <v/>
      </c>
      <c r="E48" s="6" t="str">
        <f>IF(ISBLANK(A48),,IF(COUNTIF('Coder-4'!$A:$A,"="&amp;A48)=0,,COUNTIF('Coder-4'!$A:$A,"="&amp;A48)))</f>
        <v/>
      </c>
    </row>
    <row r="49">
      <c r="A49" s="8">
        <v>44047.0</v>
      </c>
      <c r="B49" s="6" t="str">
        <f>IF(ISBLANK(A49),,IF(COUNTIF('Coder-1'!$A:$A,"="&amp;A49)=0,,COUNTIF('Coder-1'!$A:$A,"="&amp;A49)))</f>
        <v/>
      </c>
      <c r="C49" s="6" t="str">
        <f>IF(ISBLANK(A49),,IF(COUNTIF('Coder-2'!$A:$A,"="&amp;A49)=0,,COUNTIF('Coder-2'!$A:$A,"="&amp;A49)))</f>
        <v/>
      </c>
      <c r="D49" s="6" t="str">
        <f>IF(ISBLANK(A49),,IF(COUNTIF('Coder-3'!$A:$A,"="&amp;A49)=0,,COUNTIF('Coder-3'!$A:$A,"="&amp;A49)))</f>
        <v/>
      </c>
      <c r="E49" s="6" t="str">
        <f>IF(ISBLANK(A49),,IF(COUNTIF('Coder-4'!$A:$A,"="&amp;A49)=0,,COUNTIF('Coder-4'!$A:$A,"="&amp;A49)))</f>
        <v/>
      </c>
    </row>
    <row r="50">
      <c r="A50" s="8">
        <v>44048.0</v>
      </c>
      <c r="B50" s="6" t="str">
        <f>IF(ISBLANK(A50),,IF(COUNTIF('Coder-1'!$A:$A,"="&amp;A50)=0,,COUNTIF('Coder-1'!$A:$A,"="&amp;A50)))</f>
        <v/>
      </c>
      <c r="C50" s="6" t="str">
        <f>IF(ISBLANK(A50),,IF(COUNTIF('Coder-2'!$A:$A,"="&amp;A50)=0,,COUNTIF('Coder-2'!$A:$A,"="&amp;A50)))</f>
        <v/>
      </c>
      <c r="D50" s="6" t="str">
        <f>IF(ISBLANK(A50),,IF(COUNTIF('Coder-3'!$A:$A,"="&amp;A50)=0,,COUNTIF('Coder-3'!$A:$A,"="&amp;A50)))</f>
        <v/>
      </c>
      <c r="E50" s="6" t="str">
        <f>IF(ISBLANK(A50),,IF(COUNTIF('Coder-4'!$A:$A,"="&amp;A50)=0,,COUNTIF('Coder-4'!$A:$A,"="&amp;A50)))</f>
        <v/>
      </c>
    </row>
    <row r="51">
      <c r="A51" s="8">
        <v>44049.0</v>
      </c>
      <c r="B51" s="6" t="str">
        <f>IF(ISBLANK(A51),,IF(COUNTIF('Coder-1'!$A:$A,"="&amp;A51)=0,,COUNTIF('Coder-1'!$A:$A,"="&amp;A51)))</f>
        <v/>
      </c>
      <c r="C51" s="6" t="str">
        <f>IF(ISBLANK(A51),,IF(COUNTIF('Coder-2'!$A:$A,"="&amp;A51)=0,,COUNTIF('Coder-2'!$A:$A,"="&amp;A51)))</f>
        <v/>
      </c>
      <c r="D51" s="6" t="str">
        <f>IF(ISBLANK(A51),,IF(COUNTIF('Coder-3'!$A:$A,"="&amp;A51)=0,,COUNTIF('Coder-3'!$A:$A,"="&amp;A51)))</f>
        <v/>
      </c>
      <c r="E51" s="6" t="str">
        <f>IF(ISBLANK(A51),,IF(COUNTIF('Coder-4'!$A:$A,"="&amp;A51)=0,,COUNTIF('Coder-4'!$A:$A,"="&amp;A51)))</f>
        <v/>
      </c>
    </row>
    <row r="52">
      <c r="A52" s="8">
        <v>44050.0</v>
      </c>
      <c r="B52" s="6" t="str">
        <f>IF(ISBLANK(A52),,IF(COUNTIF('Coder-1'!$A:$A,"="&amp;A52)=0,,COUNTIF('Coder-1'!$A:$A,"="&amp;A52)))</f>
        <v/>
      </c>
      <c r="C52" s="6" t="str">
        <f>IF(ISBLANK(A52),,IF(COUNTIF('Coder-2'!$A:$A,"="&amp;A52)=0,,COUNTIF('Coder-2'!$A:$A,"="&amp;A52)))</f>
        <v/>
      </c>
      <c r="D52" s="6" t="str">
        <f>IF(ISBLANK(A52),,IF(COUNTIF('Coder-3'!$A:$A,"="&amp;A52)=0,,COUNTIF('Coder-3'!$A:$A,"="&amp;A52)))</f>
        <v/>
      </c>
      <c r="E52" s="6" t="str">
        <f>IF(ISBLANK(A52),,IF(COUNTIF('Coder-4'!$A:$A,"="&amp;A52)=0,,COUNTIF('Coder-4'!$A:$A,"="&amp;A52)))</f>
        <v/>
      </c>
    </row>
    <row r="53">
      <c r="A53" s="8">
        <v>44051.0</v>
      </c>
      <c r="B53" s="6" t="str">
        <f>IF(ISBLANK(A53),,IF(COUNTIF('Coder-1'!$A:$A,"="&amp;A53)=0,,COUNTIF('Coder-1'!$A:$A,"="&amp;A53)))</f>
        <v/>
      </c>
      <c r="C53" s="6" t="str">
        <f>IF(ISBLANK(A53),,IF(COUNTIF('Coder-2'!$A:$A,"="&amp;A53)=0,,COUNTIF('Coder-2'!$A:$A,"="&amp;A53)))</f>
        <v/>
      </c>
      <c r="D53" s="6" t="str">
        <f>IF(ISBLANK(A53),,IF(COUNTIF('Coder-3'!$A:$A,"="&amp;A53)=0,,COUNTIF('Coder-3'!$A:$A,"="&amp;A53)))</f>
        <v/>
      </c>
      <c r="E53" s="6" t="str">
        <f>IF(ISBLANK(A53),,IF(COUNTIF('Coder-4'!$A:$A,"="&amp;A53)=0,,COUNTIF('Coder-4'!$A:$A,"="&amp;A53)))</f>
        <v/>
      </c>
    </row>
    <row r="54">
      <c r="A54" s="8">
        <v>44052.0</v>
      </c>
      <c r="B54" s="6" t="str">
        <f>IF(ISBLANK(A54),,IF(COUNTIF('Coder-1'!$A:$A,"="&amp;A54)=0,,COUNTIF('Coder-1'!$A:$A,"="&amp;A54)))</f>
        <v/>
      </c>
      <c r="C54" s="6" t="str">
        <f>IF(ISBLANK(A54),,IF(COUNTIF('Coder-2'!$A:$A,"="&amp;A54)=0,,COUNTIF('Coder-2'!$A:$A,"="&amp;A54)))</f>
        <v/>
      </c>
      <c r="D54" s="6" t="str">
        <f>IF(ISBLANK(A54),,IF(COUNTIF('Coder-3'!$A:$A,"="&amp;A54)=0,,COUNTIF('Coder-3'!$A:$A,"="&amp;A54)))</f>
        <v/>
      </c>
      <c r="E54" s="6" t="str">
        <f>IF(ISBLANK(A54),,IF(COUNTIF('Coder-4'!$A:$A,"="&amp;A54)=0,,COUNTIF('Coder-4'!$A:$A,"="&amp;A54)))</f>
        <v/>
      </c>
    </row>
    <row r="55">
      <c r="A55" s="8">
        <v>44053.0</v>
      </c>
      <c r="B55" s="6" t="str">
        <f>IF(ISBLANK(A55),,IF(COUNTIF('Coder-1'!$A:$A,"="&amp;A55)=0,,COUNTIF('Coder-1'!$A:$A,"="&amp;A55)))</f>
        <v/>
      </c>
      <c r="C55" s="6" t="str">
        <f>IF(ISBLANK(A55),,IF(COUNTIF('Coder-2'!$A:$A,"="&amp;A55)=0,,COUNTIF('Coder-2'!$A:$A,"="&amp;A55)))</f>
        <v/>
      </c>
      <c r="D55" s="6" t="str">
        <f>IF(ISBLANK(A55),,IF(COUNTIF('Coder-3'!$A:$A,"="&amp;A55)=0,,COUNTIF('Coder-3'!$A:$A,"="&amp;A55)))</f>
        <v/>
      </c>
      <c r="E55" s="6" t="str">
        <f>IF(ISBLANK(A55),,IF(COUNTIF('Coder-4'!$A:$A,"="&amp;A55)=0,,COUNTIF('Coder-4'!$A:$A,"="&amp;A55)))</f>
        <v/>
      </c>
    </row>
    <row r="56">
      <c r="A56" s="8">
        <v>44054.0</v>
      </c>
      <c r="B56" s="6" t="str">
        <f>IF(ISBLANK(A56),,IF(COUNTIF('Coder-1'!$A:$A,"="&amp;A56)=0,,COUNTIF('Coder-1'!$A:$A,"="&amp;A56)))</f>
        <v/>
      </c>
      <c r="C56" s="6" t="str">
        <f>IF(ISBLANK(A56),,IF(COUNTIF('Coder-2'!$A:$A,"="&amp;A56)=0,,COUNTIF('Coder-2'!$A:$A,"="&amp;A56)))</f>
        <v/>
      </c>
      <c r="D56" s="6" t="str">
        <f>IF(ISBLANK(A56),,IF(COUNTIF('Coder-3'!$A:$A,"="&amp;A56)=0,,COUNTIF('Coder-3'!$A:$A,"="&amp;A56)))</f>
        <v/>
      </c>
      <c r="E56" s="6" t="str">
        <f>IF(ISBLANK(A56),,IF(COUNTIF('Coder-4'!$A:$A,"="&amp;A56)=0,,COUNTIF('Coder-4'!$A:$A,"="&amp;A56)))</f>
        <v/>
      </c>
    </row>
    <row r="57">
      <c r="A57" s="8">
        <v>44055.0</v>
      </c>
      <c r="B57" s="6" t="str">
        <f>IF(ISBLANK(A57),,IF(COUNTIF('Coder-1'!$A:$A,"="&amp;A57)=0,,COUNTIF('Coder-1'!$A:$A,"="&amp;A57)))</f>
        <v/>
      </c>
      <c r="C57" s="6" t="str">
        <f>IF(ISBLANK(A57),,IF(COUNTIF('Coder-2'!$A:$A,"="&amp;A57)=0,,COUNTIF('Coder-2'!$A:$A,"="&amp;A57)))</f>
        <v/>
      </c>
      <c r="D57" s="6" t="str">
        <f>IF(ISBLANK(A57),,IF(COUNTIF('Coder-3'!$A:$A,"="&amp;A57)=0,,COUNTIF('Coder-3'!$A:$A,"="&amp;A57)))</f>
        <v/>
      </c>
      <c r="E57" s="6" t="str">
        <f>IF(ISBLANK(A57),,IF(COUNTIF('Coder-4'!$A:$A,"="&amp;A57)=0,,COUNTIF('Coder-4'!$A:$A,"="&amp;A57)))</f>
        <v/>
      </c>
    </row>
    <row r="58">
      <c r="A58" s="8">
        <v>44056.0</v>
      </c>
      <c r="B58" s="6" t="str">
        <f>IF(ISBLANK(A58),,IF(COUNTIF('Coder-1'!$A:$A,"="&amp;A58)=0,,COUNTIF('Coder-1'!$A:$A,"="&amp;A58)))</f>
        <v/>
      </c>
      <c r="C58" s="6" t="str">
        <f>IF(ISBLANK(A58),,IF(COUNTIF('Coder-2'!$A:$A,"="&amp;A58)=0,,COUNTIF('Coder-2'!$A:$A,"="&amp;A58)))</f>
        <v/>
      </c>
      <c r="D58" s="6" t="str">
        <f>IF(ISBLANK(A58),,IF(COUNTIF('Coder-3'!$A:$A,"="&amp;A58)=0,,COUNTIF('Coder-3'!$A:$A,"="&amp;A58)))</f>
        <v/>
      </c>
      <c r="E58" s="6" t="str">
        <f>IF(ISBLANK(A58),,IF(COUNTIF('Coder-4'!$A:$A,"="&amp;A58)=0,,COUNTIF('Coder-4'!$A:$A,"="&amp;A58)))</f>
        <v/>
      </c>
    </row>
    <row r="59">
      <c r="A59" s="8">
        <v>44057.0</v>
      </c>
      <c r="B59" s="6" t="str">
        <f>IF(ISBLANK(A59),,IF(COUNTIF('Coder-1'!$A:$A,"="&amp;A59)=0,,COUNTIF('Coder-1'!$A:$A,"="&amp;A59)))</f>
        <v/>
      </c>
      <c r="C59" s="6" t="str">
        <f>IF(ISBLANK(A59),,IF(COUNTIF('Coder-2'!$A:$A,"="&amp;A59)=0,,COUNTIF('Coder-2'!$A:$A,"="&amp;A59)))</f>
        <v/>
      </c>
      <c r="D59" s="6" t="str">
        <f>IF(ISBLANK(A59),,IF(COUNTIF('Coder-3'!$A:$A,"="&amp;A59)=0,,COUNTIF('Coder-3'!$A:$A,"="&amp;A59)))</f>
        <v/>
      </c>
      <c r="E59" s="6" t="str">
        <f>IF(ISBLANK(A59),,IF(COUNTIF('Coder-4'!$A:$A,"="&amp;A59)=0,,COUNTIF('Coder-4'!$A:$A,"="&amp;A59)))</f>
        <v/>
      </c>
    </row>
    <row r="60">
      <c r="A60" s="8">
        <v>44058.0</v>
      </c>
      <c r="B60" s="6" t="str">
        <f>IF(ISBLANK(A60),,IF(COUNTIF('Coder-1'!$A:$A,"="&amp;A60)=0,,COUNTIF('Coder-1'!$A:$A,"="&amp;A60)))</f>
        <v/>
      </c>
      <c r="C60" s="6" t="str">
        <f>IF(ISBLANK(A60),,IF(COUNTIF('Coder-2'!$A:$A,"="&amp;A60)=0,,COUNTIF('Coder-2'!$A:$A,"="&amp;A60)))</f>
        <v/>
      </c>
      <c r="D60" s="6" t="str">
        <f>IF(ISBLANK(A60),,IF(COUNTIF('Coder-3'!$A:$A,"="&amp;A60)=0,,COUNTIF('Coder-3'!$A:$A,"="&amp;A60)))</f>
        <v/>
      </c>
      <c r="E60" s="6" t="str">
        <f>IF(ISBLANK(A60),,IF(COUNTIF('Coder-4'!$A:$A,"="&amp;A60)=0,,COUNTIF('Coder-4'!$A:$A,"="&amp;A60)))</f>
        <v/>
      </c>
    </row>
    <row r="61">
      <c r="A61" s="8">
        <v>44059.0</v>
      </c>
      <c r="B61" s="6" t="str">
        <f>IF(ISBLANK(A61),,IF(COUNTIF('Coder-1'!$A:$A,"="&amp;A61)=0,,COUNTIF('Coder-1'!$A:$A,"="&amp;A61)))</f>
        <v/>
      </c>
      <c r="C61" s="6" t="str">
        <f>IF(ISBLANK(A61),,IF(COUNTIF('Coder-2'!$A:$A,"="&amp;A61)=0,,COUNTIF('Coder-2'!$A:$A,"="&amp;A61)))</f>
        <v/>
      </c>
      <c r="D61" s="6" t="str">
        <f>IF(ISBLANK(A61),,IF(COUNTIF('Coder-3'!$A:$A,"="&amp;A61)=0,,COUNTIF('Coder-3'!$A:$A,"="&amp;A61)))</f>
        <v/>
      </c>
      <c r="E61" s="6" t="str">
        <f>IF(ISBLANK(A61),,IF(COUNTIF('Coder-4'!$A:$A,"="&amp;A61)=0,,COUNTIF('Coder-4'!$A:$A,"="&amp;A61)))</f>
        <v/>
      </c>
    </row>
    <row r="62">
      <c r="A62" s="8">
        <v>44060.0</v>
      </c>
      <c r="B62" s="6" t="str">
        <f>IF(ISBLANK(A62),,IF(COUNTIF('Coder-1'!$A:$A,"="&amp;A62)=0,,COUNTIF('Coder-1'!$A:$A,"="&amp;A62)))</f>
        <v/>
      </c>
      <c r="C62" s="6" t="str">
        <f>IF(ISBLANK(A62),,IF(COUNTIF('Coder-2'!$A:$A,"="&amp;A62)=0,,COUNTIF('Coder-2'!$A:$A,"="&amp;A62)))</f>
        <v/>
      </c>
      <c r="D62" s="6" t="str">
        <f>IF(ISBLANK(A62),,IF(COUNTIF('Coder-3'!$A:$A,"="&amp;A62)=0,,COUNTIF('Coder-3'!$A:$A,"="&amp;A62)))</f>
        <v/>
      </c>
      <c r="E62" s="6" t="str">
        <f>IF(ISBLANK(A62),,IF(COUNTIF('Coder-4'!$A:$A,"="&amp;A62)=0,,COUNTIF('Coder-4'!$A:$A,"="&amp;A62)))</f>
        <v/>
      </c>
    </row>
    <row r="63">
      <c r="A63" s="8">
        <v>44061.0</v>
      </c>
      <c r="B63" s="6" t="str">
        <f>IF(ISBLANK(A63),,IF(COUNTIF('Coder-1'!$A:$A,"="&amp;A63)=0,,COUNTIF('Coder-1'!$A:$A,"="&amp;A63)))</f>
        <v/>
      </c>
      <c r="C63" s="6" t="str">
        <f>IF(ISBLANK(A63),,IF(COUNTIF('Coder-2'!$A:$A,"="&amp;A63)=0,,COUNTIF('Coder-2'!$A:$A,"="&amp;A63)))</f>
        <v/>
      </c>
      <c r="D63" s="6" t="str">
        <f>IF(ISBLANK(A63),,IF(COUNTIF('Coder-3'!$A:$A,"="&amp;A63)=0,,COUNTIF('Coder-3'!$A:$A,"="&amp;A63)))</f>
        <v/>
      </c>
      <c r="E63" s="6" t="str">
        <f>IF(ISBLANK(A63),,IF(COUNTIF('Coder-4'!$A:$A,"="&amp;A63)=0,,COUNTIF('Coder-4'!$A:$A,"="&amp;A63)))</f>
        <v/>
      </c>
    </row>
    <row r="64">
      <c r="A64" s="8">
        <v>44062.0</v>
      </c>
      <c r="B64" s="6" t="str">
        <f>IF(ISBLANK(A64),,IF(COUNTIF('Coder-1'!$A:$A,"="&amp;A64)=0,,COUNTIF('Coder-1'!$A:$A,"="&amp;A64)))</f>
        <v/>
      </c>
      <c r="C64" s="6" t="str">
        <f>IF(ISBLANK(A64),,IF(COUNTIF('Coder-2'!$A:$A,"="&amp;A64)=0,,COUNTIF('Coder-2'!$A:$A,"="&amp;A64)))</f>
        <v/>
      </c>
      <c r="D64" s="6" t="str">
        <f>IF(ISBLANK(A64),,IF(COUNTIF('Coder-3'!$A:$A,"="&amp;A64)=0,,COUNTIF('Coder-3'!$A:$A,"="&amp;A64)))</f>
        <v/>
      </c>
      <c r="E64" s="6" t="str">
        <f>IF(ISBLANK(A64),,IF(COUNTIF('Coder-4'!$A:$A,"="&amp;A64)=0,,COUNTIF('Coder-4'!$A:$A,"="&amp;A64)))</f>
        <v/>
      </c>
    </row>
    <row r="65">
      <c r="A65" s="8">
        <v>44063.0</v>
      </c>
      <c r="B65" s="6" t="str">
        <f>IF(ISBLANK(A65),,IF(COUNTIF('Coder-1'!$A:$A,"="&amp;A65)=0,,COUNTIF('Coder-1'!$A:$A,"="&amp;A65)))</f>
        <v/>
      </c>
      <c r="C65" s="6" t="str">
        <f>IF(ISBLANK(A65),,IF(COUNTIF('Coder-2'!$A:$A,"="&amp;A65)=0,,COUNTIF('Coder-2'!$A:$A,"="&amp;A65)))</f>
        <v/>
      </c>
      <c r="D65" s="6" t="str">
        <f>IF(ISBLANK(A65),,IF(COUNTIF('Coder-3'!$A:$A,"="&amp;A65)=0,,COUNTIF('Coder-3'!$A:$A,"="&amp;A65)))</f>
        <v/>
      </c>
      <c r="E65" s="6" t="str">
        <f>IF(ISBLANK(A65),,IF(COUNTIF('Coder-4'!$A:$A,"="&amp;A65)=0,,COUNTIF('Coder-4'!$A:$A,"="&amp;A65)))</f>
        <v/>
      </c>
    </row>
    <row r="66">
      <c r="A66" s="8">
        <v>44064.0</v>
      </c>
      <c r="B66" s="6" t="str">
        <f>IF(ISBLANK(A66),,IF(COUNTIF('Coder-1'!$A:$A,"="&amp;A66)=0,,COUNTIF('Coder-1'!$A:$A,"="&amp;A66)))</f>
        <v/>
      </c>
      <c r="C66" s="6" t="str">
        <f>IF(ISBLANK(A66),,IF(COUNTIF('Coder-2'!$A:$A,"="&amp;A66)=0,,COUNTIF('Coder-2'!$A:$A,"="&amp;A66)))</f>
        <v/>
      </c>
      <c r="D66" s="6" t="str">
        <f>IF(ISBLANK(A66),,IF(COUNTIF('Coder-3'!$A:$A,"="&amp;A66)=0,,COUNTIF('Coder-3'!$A:$A,"="&amp;A66)))</f>
        <v/>
      </c>
      <c r="E66" s="6" t="str">
        <f>IF(ISBLANK(A66),,IF(COUNTIF('Coder-4'!$A:$A,"="&amp;A66)=0,,COUNTIF('Coder-4'!$A:$A,"="&amp;A66)))</f>
        <v/>
      </c>
    </row>
    <row r="67">
      <c r="A67" s="8">
        <v>44065.0</v>
      </c>
      <c r="B67" s="6" t="str">
        <f>IF(ISBLANK(A67),,IF(COUNTIF('Coder-1'!$A:$A,"="&amp;A67)=0,,COUNTIF('Coder-1'!$A:$A,"="&amp;A67)))</f>
        <v/>
      </c>
      <c r="C67" s="6" t="str">
        <f>IF(ISBLANK(A67),,IF(COUNTIF('Coder-2'!$A:$A,"="&amp;A67)=0,,COUNTIF('Coder-2'!$A:$A,"="&amp;A67)))</f>
        <v/>
      </c>
      <c r="D67" s="6" t="str">
        <f>IF(ISBLANK(A67),,IF(COUNTIF('Coder-3'!$A:$A,"="&amp;A67)=0,,COUNTIF('Coder-3'!$A:$A,"="&amp;A67)))</f>
        <v/>
      </c>
      <c r="E67" s="6" t="str">
        <f>IF(ISBLANK(A67),,IF(COUNTIF('Coder-4'!$A:$A,"="&amp;A67)=0,,COUNTIF('Coder-4'!$A:$A,"="&amp;A67)))</f>
        <v/>
      </c>
    </row>
    <row r="68">
      <c r="A68" s="8">
        <v>44066.0</v>
      </c>
      <c r="B68" s="6" t="str">
        <f>IF(ISBLANK(A68),,IF(COUNTIF('Coder-1'!$A:$A,"="&amp;A68)=0,,COUNTIF('Coder-1'!$A:$A,"="&amp;A68)))</f>
        <v/>
      </c>
      <c r="C68" s="6" t="str">
        <f>IF(ISBLANK(A68),,IF(COUNTIF('Coder-2'!$A:$A,"="&amp;A68)=0,,COUNTIF('Coder-2'!$A:$A,"="&amp;A68)))</f>
        <v/>
      </c>
      <c r="D68" s="6" t="str">
        <f>IF(ISBLANK(A68),,IF(COUNTIF('Coder-3'!$A:$A,"="&amp;A68)=0,,COUNTIF('Coder-3'!$A:$A,"="&amp;A68)))</f>
        <v/>
      </c>
      <c r="E68" s="6" t="str">
        <f>IF(ISBLANK(A68),,IF(COUNTIF('Coder-4'!$A:$A,"="&amp;A68)=0,,COUNTIF('Coder-4'!$A:$A,"="&amp;A68)))</f>
        <v/>
      </c>
    </row>
    <row r="69">
      <c r="A69" s="8">
        <v>44067.0</v>
      </c>
      <c r="B69" s="6" t="str">
        <f>IF(ISBLANK(A69),,IF(COUNTIF('Coder-1'!$A:$A,"="&amp;A69)=0,,COUNTIF('Coder-1'!$A:$A,"="&amp;A69)))</f>
        <v/>
      </c>
      <c r="C69" s="6" t="str">
        <f>IF(ISBLANK(A69),,IF(COUNTIF('Coder-2'!$A:$A,"="&amp;A69)=0,,COUNTIF('Coder-2'!$A:$A,"="&amp;A69)))</f>
        <v/>
      </c>
      <c r="D69" s="6" t="str">
        <f>IF(ISBLANK(A69),,IF(COUNTIF('Coder-3'!$A:$A,"="&amp;A69)=0,,COUNTIF('Coder-3'!$A:$A,"="&amp;A69)))</f>
        <v/>
      </c>
      <c r="E69" s="6" t="str">
        <f>IF(ISBLANK(A69),,IF(COUNTIF('Coder-4'!$A:$A,"="&amp;A69)=0,,COUNTIF('Coder-4'!$A:$A,"="&amp;A69)))</f>
        <v/>
      </c>
    </row>
    <row r="70">
      <c r="A70" s="8">
        <v>44068.0</v>
      </c>
      <c r="B70" s="6" t="str">
        <f>IF(ISBLANK(A70),,IF(COUNTIF('Coder-1'!$A:$A,"="&amp;A70)=0,,COUNTIF('Coder-1'!$A:$A,"="&amp;A70)))</f>
        <v/>
      </c>
      <c r="C70" s="6" t="str">
        <f>IF(ISBLANK(A70),,IF(COUNTIF('Coder-2'!$A:$A,"="&amp;A70)=0,,COUNTIF('Coder-2'!$A:$A,"="&amp;A70)))</f>
        <v/>
      </c>
      <c r="D70" s="6" t="str">
        <f>IF(ISBLANK(A70),,IF(COUNTIF('Coder-3'!$A:$A,"="&amp;A70)=0,,COUNTIF('Coder-3'!$A:$A,"="&amp;A70)))</f>
        <v/>
      </c>
      <c r="E70" s="6" t="str">
        <f>IF(ISBLANK(A70),,IF(COUNTIF('Coder-4'!$A:$A,"="&amp;A70)=0,,COUNTIF('Coder-4'!$A:$A,"="&amp;A70)))</f>
        <v/>
      </c>
    </row>
    <row r="71">
      <c r="A71" s="8">
        <v>44069.0</v>
      </c>
      <c r="B71" s="6" t="str">
        <f>IF(ISBLANK(A71),,IF(COUNTIF('Coder-1'!$A:$A,"="&amp;A71)=0,,COUNTIF('Coder-1'!$A:$A,"="&amp;A71)))</f>
        <v/>
      </c>
      <c r="C71" s="6" t="str">
        <f>IF(ISBLANK(A71),,IF(COUNTIF('Coder-2'!$A:$A,"="&amp;A71)=0,,COUNTIF('Coder-2'!$A:$A,"="&amp;A71)))</f>
        <v/>
      </c>
      <c r="D71" s="6" t="str">
        <f>IF(ISBLANK(A71),,IF(COUNTIF('Coder-3'!$A:$A,"="&amp;A71)=0,,COUNTIF('Coder-3'!$A:$A,"="&amp;A71)))</f>
        <v/>
      </c>
      <c r="E71" s="6" t="str">
        <f>IF(ISBLANK(A71),,IF(COUNTIF('Coder-4'!$A:$A,"="&amp;A71)=0,,COUNTIF('Coder-4'!$A:$A,"="&amp;A71)))</f>
        <v/>
      </c>
    </row>
    <row r="72">
      <c r="A72" s="8">
        <v>44070.0</v>
      </c>
      <c r="B72" s="6" t="str">
        <f>IF(ISBLANK(A72),,IF(COUNTIF('Coder-1'!$A:$A,"="&amp;A72)=0,,COUNTIF('Coder-1'!$A:$A,"="&amp;A72)))</f>
        <v/>
      </c>
      <c r="C72" s="6" t="str">
        <f>IF(ISBLANK(A72),,IF(COUNTIF('Coder-2'!$A:$A,"="&amp;A72)=0,,COUNTIF('Coder-2'!$A:$A,"="&amp;A72)))</f>
        <v/>
      </c>
      <c r="D72" s="6" t="str">
        <f>IF(ISBLANK(A72),,IF(COUNTIF('Coder-3'!$A:$A,"="&amp;A72)=0,,COUNTIF('Coder-3'!$A:$A,"="&amp;A72)))</f>
        <v/>
      </c>
      <c r="E72" s="6" t="str">
        <f>IF(ISBLANK(A72),,IF(COUNTIF('Coder-4'!$A:$A,"="&amp;A72)=0,,COUNTIF('Coder-4'!$A:$A,"="&amp;A72)))</f>
        <v/>
      </c>
    </row>
    <row r="73">
      <c r="A73" s="8">
        <v>44071.0</v>
      </c>
      <c r="B73" s="6" t="str">
        <f>IF(ISBLANK(A73),,IF(COUNTIF('Coder-1'!$A:$A,"="&amp;A73)=0,,COUNTIF('Coder-1'!$A:$A,"="&amp;A73)))</f>
        <v/>
      </c>
      <c r="C73" s="6" t="str">
        <f>IF(ISBLANK(A73),,IF(COUNTIF('Coder-2'!$A:$A,"="&amp;A73)=0,,COUNTIF('Coder-2'!$A:$A,"="&amp;A73)))</f>
        <v/>
      </c>
      <c r="D73" s="6" t="str">
        <f>IF(ISBLANK(A73),,IF(COUNTIF('Coder-3'!$A:$A,"="&amp;A73)=0,,COUNTIF('Coder-3'!$A:$A,"="&amp;A73)))</f>
        <v/>
      </c>
      <c r="E73" s="6" t="str">
        <f>IF(ISBLANK(A73),,IF(COUNTIF('Coder-4'!$A:$A,"="&amp;A73)=0,,COUNTIF('Coder-4'!$A:$A,"="&amp;A73)))</f>
        <v/>
      </c>
    </row>
    <row r="74">
      <c r="A74" s="8">
        <v>44072.0</v>
      </c>
      <c r="B74" s="6" t="str">
        <f>IF(ISBLANK(A74),,IF(COUNTIF('Coder-1'!$A:$A,"="&amp;A74)=0,,COUNTIF('Coder-1'!$A:$A,"="&amp;A74)))</f>
        <v/>
      </c>
      <c r="C74" s="6" t="str">
        <f>IF(ISBLANK(A74),,IF(COUNTIF('Coder-2'!$A:$A,"="&amp;A74)=0,,COUNTIF('Coder-2'!$A:$A,"="&amp;A74)))</f>
        <v/>
      </c>
      <c r="D74" s="6" t="str">
        <f>IF(ISBLANK(A74),,IF(COUNTIF('Coder-3'!$A:$A,"="&amp;A74)=0,,COUNTIF('Coder-3'!$A:$A,"="&amp;A74)))</f>
        <v/>
      </c>
      <c r="E74" s="6" t="str">
        <f>IF(ISBLANK(A74),,IF(COUNTIF('Coder-4'!$A:$A,"="&amp;A74)=0,,COUNTIF('Coder-4'!$A:$A,"="&amp;A74)))</f>
        <v/>
      </c>
    </row>
    <row r="75">
      <c r="A75" s="8">
        <v>44073.0</v>
      </c>
      <c r="B75" s="6" t="str">
        <f>IF(ISBLANK(A75),,IF(COUNTIF('Coder-1'!$A:$A,"="&amp;A75)=0,,COUNTIF('Coder-1'!$A:$A,"="&amp;A75)))</f>
        <v/>
      </c>
      <c r="C75" s="6" t="str">
        <f>IF(ISBLANK(A75),,IF(COUNTIF('Coder-2'!$A:$A,"="&amp;A75)=0,,COUNTIF('Coder-2'!$A:$A,"="&amp;A75)))</f>
        <v/>
      </c>
      <c r="D75" s="6" t="str">
        <f>IF(ISBLANK(A75),,IF(COUNTIF('Coder-3'!$A:$A,"="&amp;A75)=0,,COUNTIF('Coder-3'!$A:$A,"="&amp;A75)))</f>
        <v/>
      </c>
      <c r="E75" s="6" t="str">
        <f>IF(ISBLANK(A75),,IF(COUNTIF('Coder-4'!$A:$A,"="&amp;A75)=0,,COUNTIF('Coder-4'!$A:$A,"="&amp;A75)))</f>
        <v/>
      </c>
    </row>
    <row r="76">
      <c r="A76" s="8">
        <v>44074.0</v>
      </c>
      <c r="B76" s="6" t="str">
        <f>IF(ISBLANK(A76),,IF(COUNTIF('Coder-1'!$A:$A,"="&amp;A76)=0,,COUNTIF('Coder-1'!$A:$A,"="&amp;A76)))</f>
        <v/>
      </c>
      <c r="C76" s="6" t="str">
        <f>IF(ISBLANK(A76),,IF(COUNTIF('Coder-2'!$A:$A,"="&amp;A76)=0,,COUNTIF('Coder-2'!$A:$A,"="&amp;A76)))</f>
        <v/>
      </c>
      <c r="D76" s="6" t="str">
        <f>IF(ISBLANK(A76),,IF(COUNTIF('Coder-3'!$A:$A,"="&amp;A76)=0,,COUNTIF('Coder-3'!$A:$A,"="&amp;A76)))</f>
        <v/>
      </c>
      <c r="E76" s="6" t="str">
        <f>IF(ISBLANK(A76),,IF(COUNTIF('Coder-4'!$A:$A,"="&amp;A76)=0,,COUNTIF('Coder-4'!$A:$A,"="&amp;A76)))</f>
        <v/>
      </c>
    </row>
    <row r="77">
      <c r="A77" s="8">
        <v>44075.0</v>
      </c>
      <c r="B77" s="6" t="str">
        <f>IF(ISBLANK(A77),,IF(COUNTIF('Coder-1'!$A:$A,"="&amp;A77)=0,,COUNTIF('Coder-1'!$A:$A,"="&amp;A77)))</f>
        <v/>
      </c>
      <c r="C77" s="6" t="str">
        <f>IF(ISBLANK(A77),,IF(COUNTIF('Coder-2'!$A:$A,"="&amp;A77)=0,,COUNTIF('Coder-2'!$A:$A,"="&amp;A77)))</f>
        <v/>
      </c>
      <c r="D77" s="6" t="str">
        <f>IF(ISBLANK(A77),,IF(COUNTIF('Coder-3'!$A:$A,"="&amp;A77)=0,,COUNTIF('Coder-3'!$A:$A,"="&amp;A77)))</f>
        <v/>
      </c>
      <c r="E77" s="6" t="str">
        <f>IF(ISBLANK(A77),,IF(COUNTIF('Coder-4'!$A:$A,"="&amp;A77)=0,,COUNTIF('Coder-4'!$A:$A,"="&amp;A77)))</f>
        <v/>
      </c>
    </row>
    <row r="78">
      <c r="A78" s="8">
        <v>44076.0</v>
      </c>
      <c r="B78" s="6" t="str">
        <f>IF(ISBLANK(A78),,IF(COUNTIF('Coder-1'!$A:$A,"="&amp;A78)=0,,COUNTIF('Coder-1'!$A:$A,"="&amp;A78)))</f>
        <v/>
      </c>
      <c r="C78" s="6" t="str">
        <f>IF(ISBLANK(A78),,IF(COUNTIF('Coder-2'!$A:$A,"="&amp;A78)=0,,COUNTIF('Coder-2'!$A:$A,"="&amp;A78)))</f>
        <v/>
      </c>
      <c r="D78" s="6" t="str">
        <f>IF(ISBLANK(A78),,IF(COUNTIF('Coder-3'!$A:$A,"="&amp;A78)=0,,COUNTIF('Coder-3'!$A:$A,"="&amp;A78)))</f>
        <v/>
      </c>
      <c r="E78" s="6" t="str">
        <f>IF(ISBLANK(A78),,IF(COUNTIF('Coder-4'!$A:$A,"="&amp;A78)=0,,COUNTIF('Coder-4'!$A:$A,"="&amp;A78)))</f>
        <v/>
      </c>
    </row>
    <row r="79">
      <c r="A79" s="8">
        <v>44077.0</v>
      </c>
      <c r="B79" s="6" t="str">
        <f>IF(ISBLANK(A79),,IF(COUNTIF('Coder-1'!$A:$A,"="&amp;A79)=0,,COUNTIF('Coder-1'!$A:$A,"="&amp;A79)))</f>
        <v/>
      </c>
      <c r="C79" s="6" t="str">
        <f>IF(ISBLANK(A79),,IF(COUNTIF('Coder-2'!$A:$A,"="&amp;A79)=0,,COUNTIF('Coder-2'!$A:$A,"="&amp;A79)))</f>
        <v/>
      </c>
      <c r="D79" s="6" t="str">
        <f>IF(ISBLANK(A79),,IF(COUNTIF('Coder-3'!$A:$A,"="&amp;A79)=0,,COUNTIF('Coder-3'!$A:$A,"="&amp;A79)))</f>
        <v/>
      </c>
      <c r="E79" s="6" t="str">
        <f>IF(ISBLANK(A79),,IF(COUNTIF('Coder-4'!$A:$A,"="&amp;A79)=0,,COUNTIF('Coder-4'!$A:$A,"="&amp;A79)))</f>
        <v/>
      </c>
    </row>
    <row r="80">
      <c r="A80" s="8">
        <v>44078.0</v>
      </c>
      <c r="B80" s="6" t="str">
        <f>IF(ISBLANK(A80),,IF(COUNTIF('Coder-1'!$A:$A,"="&amp;A80)=0,,COUNTIF('Coder-1'!$A:$A,"="&amp;A80)))</f>
        <v/>
      </c>
      <c r="C80" s="6" t="str">
        <f>IF(ISBLANK(A80),,IF(COUNTIF('Coder-2'!$A:$A,"="&amp;A80)=0,,COUNTIF('Coder-2'!$A:$A,"="&amp;A80)))</f>
        <v/>
      </c>
      <c r="D80" s="6" t="str">
        <f>IF(ISBLANK(A80),,IF(COUNTIF('Coder-3'!$A:$A,"="&amp;A80)=0,,COUNTIF('Coder-3'!$A:$A,"="&amp;A80)))</f>
        <v/>
      </c>
      <c r="E80" s="6" t="str">
        <f>IF(ISBLANK(A80),,IF(COUNTIF('Coder-4'!$A:$A,"="&amp;A80)=0,,COUNTIF('Coder-4'!$A:$A,"="&amp;A80)))</f>
        <v/>
      </c>
    </row>
    <row r="81">
      <c r="A81" s="8">
        <v>44079.0</v>
      </c>
      <c r="B81" s="6" t="str">
        <f>IF(ISBLANK(A81),,IF(COUNTIF('Coder-1'!$A:$A,"="&amp;A81)=0,,COUNTIF('Coder-1'!$A:$A,"="&amp;A81)))</f>
        <v/>
      </c>
      <c r="C81" s="6" t="str">
        <f>IF(ISBLANK(A81),,IF(COUNTIF('Coder-2'!$A:$A,"="&amp;A81)=0,,COUNTIF('Coder-2'!$A:$A,"="&amp;A81)))</f>
        <v/>
      </c>
      <c r="D81" s="6" t="str">
        <f>IF(ISBLANK(A81),,IF(COUNTIF('Coder-3'!$A:$A,"="&amp;A81)=0,,COUNTIF('Coder-3'!$A:$A,"="&amp;A81)))</f>
        <v/>
      </c>
      <c r="E81" s="6" t="str">
        <f>IF(ISBLANK(A81),,IF(COUNTIF('Coder-4'!$A:$A,"="&amp;A81)=0,,COUNTIF('Coder-4'!$A:$A,"="&amp;A81)))</f>
        <v/>
      </c>
    </row>
    <row r="82">
      <c r="A82" s="8">
        <v>44080.0</v>
      </c>
      <c r="B82" s="6" t="str">
        <f>IF(ISBLANK(A82),,IF(COUNTIF('Coder-1'!$A:$A,"="&amp;A82)=0,,COUNTIF('Coder-1'!$A:$A,"="&amp;A82)))</f>
        <v/>
      </c>
      <c r="C82" s="6" t="str">
        <f>IF(ISBLANK(A82),,IF(COUNTIF('Coder-2'!$A:$A,"="&amp;A82)=0,,COUNTIF('Coder-2'!$A:$A,"="&amp;A82)))</f>
        <v/>
      </c>
      <c r="D82" s="6" t="str">
        <f>IF(ISBLANK(A82),,IF(COUNTIF('Coder-3'!$A:$A,"="&amp;A82)=0,,COUNTIF('Coder-3'!$A:$A,"="&amp;A82)))</f>
        <v/>
      </c>
      <c r="E82" s="6" t="str">
        <f>IF(ISBLANK(A82),,IF(COUNTIF('Coder-4'!$A:$A,"="&amp;A82)=0,,COUNTIF('Coder-4'!$A:$A,"="&amp;A82)))</f>
        <v/>
      </c>
    </row>
    <row r="83">
      <c r="A83" s="8">
        <v>44081.0</v>
      </c>
      <c r="B83" s="6" t="str">
        <f>IF(ISBLANK(A83),,IF(COUNTIF('Coder-1'!$A:$A,"="&amp;A83)=0,,COUNTIF('Coder-1'!$A:$A,"="&amp;A83)))</f>
        <v/>
      </c>
      <c r="C83" s="6" t="str">
        <f>IF(ISBLANK(A83),,IF(COUNTIF('Coder-2'!$A:$A,"="&amp;A83)=0,,COUNTIF('Coder-2'!$A:$A,"="&amp;A83)))</f>
        <v/>
      </c>
      <c r="D83" s="6" t="str">
        <f>IF(ISBLANK(A83),,IF(COUNTIF('Coder-3'!$A:$A,"="&amp;A83)=0,,COUNTIF('Coder-3'!$A:$A,"="&amp;A83)))</f>
        <v/>
      </c>
      <c r="E83" s="6" t="str">
        <f>IF(ISBLANK(A83),,IF(COUNTIF('Coder-4'!$A:$A,"="&amp;A83)=0,,COUNTIF('Coder-4'!$A:$A,"="&amp;A83)))</f>
        <v/>
      </c>
    </row>
    <row r="84">
      <c r="A84" s="8">
        <v>44082.0</v>
      </c>
      <c r="B84" s="6" t="str">
        <f>IF(ISBLANK(A84),,IF(COUNTIF('Coder-1'!$A:$A,"="&amp;A84)=0,,COUNTIF('Coder-1'!$A:$A,"="&amp;A84)))</f>
        <v/>
      </c>
      <c r="C84" s="6" t="str">
        <f>IF(ISBLANK(A84),,IF(COUNTIF('Coder-2'!$A:$A,"="&amp;A84)=0,,COUNTIF('Coder-2'!$A:$A,"="&amp;A84)))</f>
        <v/>
      </c>
      <c r="D84" s="6" t="str">
        <f>IF(ISBLANK(A84),,IF(COUNTIF('Coder-3'!$A:$A,"="&amp;A84)=0,,COUNTIF('Coder-3'!$A:$A,"="&amp;A84)))</f>
        <v/>
      </c>
      <c r="E84" s="6" t="str">
        <f>IF(ISBLANK(A84),,IF(COUNTIF('Coder-4'!$A:$A,"="&amp;A84)=0,,COUNTIF('Coder-4'!$A:$A,"="&amp;A84)))</f>
        <v/>
      </c>
    </row>
    <row r="85">
      <c r="A85" s="8">
        <v>44083.0</v>
      </c>
      <c r="B85" s="6" t="str">
        <f>IF(ISBLANK(A85),,IF(COUNTIF('Coder-1'!$A:$A,"="&amp;A85)=0,,COUNTIF('Coder-1'!$A:$A,"="&amp;A85)))</f>
        <v/>
      </c>
      <c r="C85" s="6" t="str">
        <f>IF(ISBLANK(A85),,IF(COUNTIF('Coder-2'!$A:$A,"="&amp;A85)=0,,COUNTIF('Coder-2'!$A:$A,"="&amp;A85)))</f>
        <v/>
      </c>
      <c r="D85" s="6" t="str">
        <f>IF(ISBLANK(A85),,IF(COUNTIF('Coder-3'!$A:$A,"="&amp;A85)=0,,COUNTIF('Coder-3'!$A:$A,"="&amp;A85)))</f>
        <v/>
      </c>
      <c r="E85" s="6" t="str">
        <f>IF(ISBLANK(A85),,IF(COUNTIF('Coder-4'!$A:$A,"="&amp;A85)=0,,COUNTIF('Coder-4'!$A:$A,"="&amp;A85)))</f>
        <v/>
      </c>
    </row>
    <row r="86">
      <c r="A86" s="8">
        <v>44084.0</v>
      </c>
      <c r="B86" s="6" t="str">
        <f>IF(ISBLANK(A86),,IF(COUNTIF('Coder-1'!$A:$A,"="&amp;A86)=0,,COUNTIF('Coder-1'!$A:$A,"="&amp;A86)))</f>
        <v/>
      </c>
      <c r="C86" s="6" t="str">
        <f>IF(ISBLANK(A86),,IF(COUNTIF('Coder-2'!$A:$A,"="&amp;A86)=0,,COUNTIF('Coder-2'!$A:$A,"="&amp;A86)))</f>
        <v/>
      </c>
      <c r="D86" s="6" t="str">
        <f>IF(ISBLANK(A86),,IF(COUNTIF('Coder-3'!$A:$A,"="&amp;A86)=0,,COUNTIF('Coder-3'!$A:$A,"="&amp;A86)))</f>
        <v/>
      </c>
      <c r="E86" s="6" t="str">
        <f>IF(ISBLANK(A86),,IF(COUNTIF('Coder-4'!$A:$A,"="&amp;A86)=0,,COUNTIF('Coder-4'!$A:$A,"="&amp;A86)))</f>
        <v/>
      </c>
    </row>
    <row r="87">
      <c r="A87" s="8">
        <v>44085.0</v>
      </c>
      <c r="B87" s="6" t="str">
        <f>IF(ISBLANK(A87),,IF(COUNTIF('Coder-1'!$A:$A,"="&amp;A87)=0,,COUNTIF('Coder-1'!$A:$A,"="&amp;A87)))</f>
        <v/>
      </c>
      <c r="C87" s="6" t="str">
        <f>IF(ISBLANK(A87),,IF(COUNTIF('Coder-2'!$A:$A,"="&amp;A87)=0,,COUNTIF('Coder-2'!$A:$A,"="&amp;A87)))</f>
        <v/>
      </c>
      <c r="D87" s="6" t="str">
        <f>IF(ISBLANK(A87),,IF(COUNTIF('Coder-3'!$A:$A,"="&amp;A87)=0,,COUNTIF('Coder-3'!$A:$A,"="&amp;A87)))</f>
        <v/>
      </c>
      <c r="E87" s="6" t="str">
        <f>IF(ISBLANK(A87),,IF(COUNTIF('Coder-4'!$A:$A,"="&amp;A87)=0,,COUNTIF('Coder-4'!$A:$A,"="&amp;A87)))</f>
        <v/>
      </c>
    </row>
    <row r="88">
      <c r="A88" s="8">
        <v>44086.0</v>
      </c>
      <c r="B88" s="6" t="str">
        <f>IF(ISBLANK(A88),,IF(COUNTIF('Coder-1'!$A:$A,"="&amp;A88)=0,,COUNTIF('Coder-1'!$A:$A,"="&amp;A88)))</f>
        <v/>
      </c>
      <c r="C88" s="6" t="str">
        <f>IF(ISBLANK(A88),,IF(COUNTIF('Coder-2'!$A:$A,"="&amp;A88)=0,,COUNTIF('Coder-2'!$A:$A,"="&amp;A88)))</f>
        <v/>
      </c>
      <c r="D88" s="6" t="str">
        <f>IF(ISBLANK(A88),,IF(COUNTIF('Coder-3'!$A:$A,"="&amp;A88)=0,,COUNTIF('Coder-3'!$A:$A,"="&amp;A88)))</f>
        <v/>
      </c>
      <c r="E88" s="6" t="str">
        <f>IF(ISBLANK(A88),,IF(COUNTIF('Coder-4'!$A:$A,"="&amp;A88)=0,,COUNTIF('Coder-4'!$A:$A,"="&amp;A88)))</f>
        <v/>
      </c>
    </row>
    <row r="89">
      <c r="A89" s="8">
        <v>44087.0</v>
      </c>
      <c r="B89" s="6" t="str">
        <f>IF(ISBLANK(A89),,IF(COUNTIF('Coder-1'!$A:$A,"="&amp;A89)=0,,COUNTIF('Coder-1'!$A:$A,"="&amp;A89)))</f>
        <v/>
      </c>
      <c r="C89" s="6" t="str">
        <f>IF(ISBLANK(A89),,IF(COUNTIF('Coder-2'!$A:$A,"="&amp;A89)=0,,COUNTIF('Coder-2'!$A:$A,"="&amp;A89)))</f>
        <v/>
      </c>
      <c r="D89" s="6" t="str">
        <f>IF(ISBLANK(A89),,IF(COUNTIF('Coder-3'!$A:$A,"="&amp;A89)=0,,COUNTIF('Coder-3'!$A:$A,"="&amp;A89)))</f>
        <v/>
      </c>
      <c r="E89" s="6" t="str">
        <f>IF(ISBLANK(A89),,IF(COUNTIF('Coder-4'!$A:$A,"="&amp;A89)=0,,COUNTIF('Coder-4'!$A:$A,"="&amp;A89)))</f>
        <v/>
      </c>
    </row>
    <row r="90">
      <c r="A90" s="8">
        <v>44088.0</v>
      </c>
      <c r="B90" s="6" t="str">
        <f>IF(ISBLANK(A90),,IF(COUNTIF('Coder-1'!$A:$A,"="&amp;A90)=0,,COUNTIF('Coder-1'!$A:$A,"="&amp;A90)))</f>
        <v/>
      </c>
      <c r="C90" s="6" t="str">
        <f>IF(ISBLANK(A90),,IF(COUNTIF('Coder-2'!$A:$A,"="&amp;A90)=0,,COUNTIF('Coder-2'!$A:$A,"="&amp;A90)))</f>
        <v/>
      </c>
      <c r="D90" s="6" t="str">
        <f>IF(ISBLANK(A90),,IF(COUNTIF('Coder-3'!$A:$A,"="&amp;A90)=0,,COUNTIF('Coder-3'!$A:$A,"="&amp;A90)))</f>
        <v/>
      </c>
      <c r="E90" s="6" t="str">
        <f>IF(ISBLANK(A90),,IF(COUNTIF('Coder-4'!$A:$A,"="&amp;A90)=0,,COUNTIF('Coder-4'!$A:$A,"="&amp;A90)))</f>
        <v/>
      </c>
    </row>
    <row r="91">
      <c r="A91" s="8">
        <v>44089.0</v>
      </c>
      <c r="B91" s="6" t="str">
        <f>IF(ISBLANK(A91),,IF(COUNTIF('Coder-1'!$A:$A,"="&amp;A91)=0,,COUNTIF('Coder-1'!$A:$A,"="&amp;A91)))</f>
        <v/>
      </c>
      <c r="C91" s="6" t="str">
        <f>IF(ISBLANK(A91),,IF(COUNTIF('Coder-2'!$A:$A,"="&amp;A91)=0,,COUNTIF('Coder-2'!$A:$A,"="&amp;A91)))</f>
        <v/>
      </c>
      <c r="D91" s="6" t="str">
        <f>IF(ISBLANK(A91),,IF(COUNTIF('Coder-3'!$A:$A,"="&amp;A91)=0,,COUNTIF('Coder-3'!$A:$A,"="&amp;A91)))</f>
        <v/>
      </c>
      <c r="E91" s="6" t="str">
        <f>IF(ISBLANK(A91),,IF(COUNTIF('Coder-4'!$A:$A,"="&amp;A91)=0,,COUNTIF('Coder-4'!$A:$A,"="&amp;A91)))</f>
        <v/>
      </c>
    </row>
    <row r="92">
      <c r="A92" s="8">
        <v>44090.0</v>
      </c>
      <c r="B92" s="6" t="str">
        <f>IF(ISBLANK(A92),,IF(COUNTIF('Coder-1'!$A:$A,"="&amp;A92)=0,,COUNTIF('Coder-1'!$A:$A,"="&amp;A92)))</f>
        <v/>
      </c>
      <c r="C92" s="6" t="str">
        <f>IF(ISBLANK(A92),,IF(COUNTIF('Coder-2'!$A:$A,"="&amp;A92)=0,,COUNTIF('Coder-2'!$A:$A,"="&amp;A92)))</f>
        <v/>
      </c>
      <c r="D92" s="6" t="str">
        <f>IF(ISBLANK(A92),,IF(COUNTIF('Coder-3'!$A:$A,"="&amp;A92)=0,,COUNTIF('Coder-3'!$A:$A,"="&amp;A92)))</f>
        <v/>
      </c>
      <c r="E92" s="6" t="str">
        <f>IF(ISBLANK(A92),,IF(COUNTIF('Coder-4'!$A:$A,"="&amp;A92)=0,,COUNTIF('Coder-4'!$A:$A,"="&amp;A92)))</f>
        <v/>
      </c>
    </row>
    <row r="93">
      <c r="A93" s="8">
        <v>44091.0</v>
      </c>
      <c r="B93" s="6" t="str">
        <f>IF(ISBLANK(A93),,IF(COUNTIF('Coder-1'!$A:$A,"="&amp;A93)=0,,COUNTIF('Coder-1'!$A:$A,"="&amp;A93)))</f>
        <v/>
      </c>
      <c r="C93" s="6" t="str">
        <f>IF(ISBLANK(A93),,IF(COUNTIF('Coder-2'!$A:$A,"="&amp;A93)=0,,COUNTIF('Coder-2'!$A:$A,"="&amp;A93)))</f>
        <v/>
      </c>
      <c r="D93" s="6" t="str">
        <f>IF(ISBLANK(A93),,IF(COUNTIF('Coder-3'!$A:$A,"="&amp;A93)=0,,COUNTIF('Coder-3'!$A:$A,"="&amp;A93)))</f>
        <v/>
      </c>
      <c r="E93" s="6" t="str">
        <f>IF(ISBLANK(A93),,IF(COUNTIF('Coder-4'!$A:$A,"="&amp;A93)=0,,COUNTIF('Coder-4'!$A:$A,"="&amp;A93)))</f>
        <v/>
      </c>
    </row>
    <row r="94">
      <c r="A94" s="8">
        <v>44092.0</v>
      </c>
      <c r="B94" s="6" t="str">
        <f>IF(ISBLANK(A94),,IF(COUNTIF('Coder-1'!$A:$A,"="&amp;A94)=0,,COUNTIF('Coder-1'!$A:$A,"="&amp;A94)))</f>
        <v/>
      </c>
      <c r="C94" s="6" t="str">
        <f>IF(ISBLANK(A94),,IF(COUNTIF('Coder-2'!$A:$A,"="&amp;A94)=0,,COUNTIF('Coder-2'!$A:$A,"="&amp;A94)))</f>
        <v/>
      </c>
      <c r="D94" s="6" t="str">
        <f>IF(ISBLANK(A94),,IF(COUNTIF('Coder-3'!$A:$A,"="&amp;A94)=0,,COUNTIF('Coder-3'!$A:$A,"="&amp;A94)))</f>
        <v/>
      </c>
      <c r="E94" s="6" t="str">
        <f>IF(ISBLANK(A94),,IF(COUNTIF('Coder-4'!$A:$A,"="&amp;A94)=0,,COUNTIF('Coder-4'!$A:$A,"="&amp;A94)))</f>
        <v/>
      </c>
    </row>
    <row r="95">
      <c r="A95" s="8">
        <v>44093.0</v>
      </c>
      <c r="B95" s="6" t="str">
        <f>IF(ISBLANK(A95),,IF(COUNTIF('Coder-1'!$A:$A,"="&amp;A95)=0,,COUNTIF('Coder-1'!$A:$A,"="&amp;A95)))</f>
        <v/>
      </c>
      <c r="C95" s="6" t="str">
        <f>IF(ISBLANK(A95),,IF(COUNTIF('Coder-2'!$A:$A,"="&amp;A95)=0,,COUNTIF('Coder-2'!$A:$A,"="&amp;A95)))</f>
        <v/>
      </c>
      <c r="D95" s="6" t="str">
        <f>IF(ISBLANK(A95),,IF(COUNTIF('Coder-3'!$A:$A,"="&amp;A95)=0,,COUNTIF('Coder-3'!$A:$A,"="&amp;A95)))</f>
        <v/>
      </c>
      <c r="E95" s="6" t="str">
        <f>IF(ISBLANK(A95),,IF(COUNTIF('Coder-4'!$A:$A,"="&amp;A95)=0,,COUNTIF('Coder-4'!$A:$A,"="&amp;A95)))</f>
        <v/>
      </c>
    </row>
    <row r="96">
      <c r="A96" s="8">
        <v>44094.0</v>
      </c>
      <c r="B96" s="6" t="str">
        <f>IF(ISBLANK(A96),,IF(COUNTIF('Coder-1'!$A:$A,"="&amp;A96)=0,,COUNTIF('Coder-1'!$A:$A,"="&amp;A96)))</f>
        <v/>
      </c>
      <c r="C96" s="6" t="str">
        <f>IF(ISBLANK(A96),,IF(COUNTIF('Coder-2'!$A:$A,"="&amp;A96)=0,,COUNTIF('Coder-2'!$A:$A,"="&amp;A96)))</f>
        <v/>
      </c>
      <c r="D96" s="6" t="str">
        <f>IF(ISBLANK(A96),,IF(COUNTIF('Coder-3'!$A:$A,"="&amp;A96)=0,,COUNTIF('Coder-3'!$A:$A,"="&amp;A96)))</f>
        <v/>
      </c>
      <c r="E96" s="6" t="str">
        <f>IF(ISBLANK(A96),,IF(COUNTIF('Coder-4'!$A:$A,"="&amp;A96)=0,,COUNTIF('Coder-4'!$A:$A,"="&amp;A96)))</f>
        <v/>
      </c>
    </row>
    <row r="97">
      <c r="A97" s="8">
        <v>44095.0</v>
      </c>
      <c r="B97" s="6" t="str">
        <f>IF(ISBLANK(A97),,IF(COUNTIF('Coder-1'!$A:$A,"="&amp;A97)=0,,COUNTIF('Coder-1'!$A:$A,"="&amp;A97)))</f>
        <v/>
      </c>
      <c r="C97" s="6" t="str">
        <f>IF(ISBLANK(A97),,IF(COUNTIF('Coder-2'!$A:$A,"="&amp;A97)=0,,COUNTIF('Coder-2'!$A:$A,"="&amp;A97)))</f>
        <v/>
      </c>
      <c r="D97" s="6" t="str">
        <f>IF(ISBLANK(A97),,IF(COUNTIF('Coder-3'!$A:$A,"="&amp;A97)=0,,COUNTIF('Coder-3'!$A:$A,"="&amp;A97)))</f>
        <v/>
      </c>
      <c r="E97" s="6" t="str">
        <f>IF(ISBLANK(A97),,IF(COUNTIF('Coder-4'!$A:$A,"="&amp;A97)=0,,COUNTIF('Coder-4'!$A:$A,"="&amp;A97)))</f>
        <v/>
      </c>
    </row>
    <row r="98">
      <c r="A98" s="8">
        <v>44096.0</v>
      </c>
      <c r="B98" s="6" t="str">
        <f>IF(ISBLANK(A98),,IF(COUNTIF('Coder-1'!$A:$A,"="&amp;A98)=0,,COUNTIF('Coder-1'!$A:$A,"="&amp;A98)))</f>
        <v/>
      </c>
      <c r="C98" s="6" t="str">
        <f>IF(ISBLANK(A98),,IF(COUNTIF('Coder-2'!$A:$A,"="&amp;A98)=0,,COUNTIF('Coder-2'!$A:$A,"="&amp;A98)))</f>
        <v/>
      </c>
      <c r="D98" s="6" t="str">
        <f>IF(ISBLANK(A98),,IF(COUNTIF('Coder-3'!$A:$A,"="&amp;A98)=0,,COUNTIF('Coder-3'!$A:$A,"="&amp;A98)))</f>
        <v/>
      </c>
      <c r="E98" s="6" t="str">
        <f>IF(ISBLANK(A98),,IF(COUNTIF('Coder-4'!$A:$A,"="&amp;A98)=0,,COUNTIF('Coder-4'!$A:$A,"="&amp;A98)))</f>
        <v/>
      </c>
    </row>
    <row r="99">
      <c r="A99" s="8">
        <v>44097.0</v>
      </c>
      <c r="B99" s="6" t="str">
        <f>IF(ISBLANK(A99),,IF(COUNTIF('Coder-1'!$A:$A,"="&amp;A99)=0,,COUNTIF('Coder-1'!$A:$A,"="&amp;A99)))</f>
        <v/>
      </c>
      <c r="C99" s="6" t="str">
        <f>IF(ISBLANK(A99),,IF(COUNTIF('Coder-2'!$A:$A,"="&amp;A99)=0,,COUNTIF('Coder-2'!$A:$A,"="&amp;A99)))</f>
        <v/>
      </c>
      <c r="D99" s="6" t="str">
        <f>IF(ISBLANK(A99),,IF(COUNTIF('Coder-3'!$A:$A,"="&amp;A99)=0,,COUNTIF('Coder-3'!$A:$A,"="&amp;A99)))</f>
        <v/>
      </c>
      <c r="E99" s="6" t="str">
        <f>IF(ISBLANK(A99),,IF(COUNTIF('Coder-4'!$A:$A,"="&amp;A99)=0,,COUNTIF('Coder-4'!$A:$A,"="&amp;A99)))</f>
        <v/>
      </c>
    </row>
    <row r="100">
      <c r="A100" s="8">
        <v>44098.0</v>
      </c>
      <c r="B100" s="6" t="str">
        <f>IF(ISBLANK(A100),,IF(COUNTIF('Coder-1'!$A:$A,"="&amp;A100)=0,,COUNTIF('Coder-1'!$A:$A,"="&amp;A100)))</f>
        <v/>
      </c>
      <c r="C100" s="6" t="str">
        <f>IF(ISBLANK(A100),,IF(COUNTIF('Coder-2'!$A:$A,"="&amp;A100)=0,,COUNTIF('Coder-2'!$A:$A,"="&amp;A100)))</f>
        <v/>
      </c>
      <c r="D100" s="6" t="str">
        <f>IF(ISBLANK(A100),,IF(COUNTIF('Coder-3'!$A:$A,"="&amp;A100)=0,,COUNTIF('Coder-3'!$A:$A,"="&amp;A100)))</f>
        <v/>
      </c>
      <c r="E100" s="6" t="str">
        <f>IF(ISBLANK(A100),,IF(COUNTIF('Coder-4'!$A:$A,"="&amp;A100)=0,,COUNTIF('Coder-4'!$A:$A,"="&amp;A100)))</f>
        <v/>
      </c>
    </row>
    <row r="101">
      <c r="A101" s="8">
        <v>44099.0</v>
      </c>
      <c r="B101" s="6" t="str">
        <f>IF(ISBLANK(A101),,IF(COUNTIF('Coder-1'!$A:$A,"="&amp;A101)=0,,COUNTIF('Coder-1'!$A:$A,"="&amp;A101)))</f>
        <v/>
      </c>
      <c r="C101" s="6" t="str">
        <f>IF(ISBLANK(A101),,IF(COUNTIF('Coder-2'!$A:$A,"="&amp;A101)=0,,COUNTIF('Coder-2'!$A:$A,"="&amp;A101)))</f>
        <v/>
      </c>
      <c r="D101" s="6" t="str">
        <f>IF(ISBLANK(A101),,IF(COUNTIF('Coder-3'!$A:$A,"="&amp;A101)=0,,COUNTIF('Coder-3'!$A:$A,"="&amp;A101)))</f>
        <v/>
      </c>
      <c r="E101" s="6" t="str">
        <f>IF(ISBLANK(A101),,IF(COUNTIF('Coder-4'!$A:$A,"="&amp;A101)=0,,COUNTIF('Coder-4'!$A:$A,"="&amp;A101)))</f>
        <v/>
      </c>
    </row>
    <row r="102">
      <c r="A102" s="8">
        <v>44100.0</v>
      </c>
      <c r="B102" s="6" t="str">
        <f>IF(ISBLANK(A102),,IF(COUNTIF('Coder-1'!$A:$A,"="&amp;A102)=0,,COUNTIF('Coder-1'!$A:$A,"="&amp;A102)))</f>
        <v/>
      </c>
      <c r="C102" s="6" t="str">
        <f>IF(ISBLANK(A102),,IF(COUNTIF('Coder-2'!$A:$A,"="&amp;A102)=0,,COUNTIF('Coder-2'!$A:$A,"="&amp;A102)))</f>
        <v/>
      </c>
      <c r="D102" s="6" t="str">
        <f>IF(ISBLANK(A102),,IF(COUNTIF('Coder-3'!$A:$A,"="&amp;A102)=0,,COUNTIF('Coder-3'!$A:$A,"="&amp;A102)))</f>
        <v/>
      </c>
      <c r="E102" s="6" t="str">
        <f>IF(ISBLANK(A102),,IF(COUNTIF('Coder-4'!$A:$A,"="&amp;A102)=0,,COUNTIF('Coder-4'!$A:$A,"="&amp;A102)))</f>
        <v/>
      </c>
    </row>
    <row r="103">
      <c r="A103" s="8">
        <v>44101.0</v>
      </c>
      <c r="B103" s="6" t="str">
        <f>IF(ISBLANK(A103),,IF(COUNTIF('Coder-1'!$A:$A,"="&amp;A103)=0,,COUNTIF('Coder-1'!$A:$A,"="&amp;A103)))</f>
        <v/>
      </c>
      <c r="C103" s="6" t="str">
        <f>IF(ISBLANK(A103),,IF(COUNTIF('Coder-2'!$A:$A,"="&amp;A103)=0,,COUNTIF('Coder-2'!$A:$A,"="&amp;A103)))</f>
        <v/>
      </c>
      <c r="D103" s="6" t="str">
        <f>IF(ISBLANK(A103),,IF(COUNTIF('Coder-3'!$A:$A,"="&amp;A103)=0,,COUNTIF('Coder-3'!$A:$A,"="&amp;A103)))</f>
        <v/>
      </c>
      <c r="E103" s="6" t="str">
        <f>IF(ISBLANK(A103),,IF(COUNTIF('Coder-4'!$A:$A,"="&amp;A103)=0,,COUNTIF('Coder-4'!$A:$A,"="&amp;A103)))</f>
        <v/>
      </c>
    </row>
    <row r="104">
      <c r="A104" s="8">
        <v>44102.0</v>
      </c>
      <c r="B104" s="6" t="str">
        <f>IF(ISBLANK(A104),,IF(COUNTIF('Coder-1'!$A:$A,"="&amp;A104)=0,,COUNTIF('Coder-1'!$A:$A,"="&amp;A104)))</f>
        <v/>
      </c>
      <c r="C104" s="6" t="str">
        <f>IF(ISBLANK(A104),,IF(COUNTIF('Coder-2'!$A:$A,"="&amp;A104)=0,,COUNTIF('Coder-2'!$A:$A,"="&amp;A104)))</f>
        <v/>
      </c>
      <c r="D104" s="6" t="str">
        <f>IF(ISBLANK(A104),,IF(COUNTIF('Coder-3'!$A:$A,"="&amp;A104)=0,,COUNTIF('Coder-3'!$A:$A,"="&amp;A104)))</f>
        <v/>
      </c>
      <c r="E104" s="6" t="str">
        <f>IF(ISBLANK(A104),,IF(COUNTIF('Coder-4'!$A:$A,"="&amp;A104)=0,,COUNTIF('Coder-4'!$A:$A,"="&amp;A104)))</f>
        <v/>
      </c>
    </row>
    <row r="105">
      <c r="A105" s="8">
        <v>44103.0</v>
      </c>
      <c r="B105" s="6" t="str">
        <f>IF(ISBLANK(A105),,IF(COUNTIF('Coder-1'!$A:$A,"="&amp;A105)=0,,COUNTIF('Coder-1'!$A:$A,"="&amp;A105)))</f>
        <v/>
      </c>
      <c r="C105" s="6" t="str">
        <f>IF(ISBLANK(A105),,IF(COUNTIF('Coder-2'!$A:$A,"="&amp;A105)=0,,COUNTIF('Coder-2'!$A:$A,"="&amp;A105)))</f>
        <v/>
      </c>
      <c r="D105" s="6" t="str">
        <f>IF(ISBLANK(A105),,IF(COUNTIF('Coder-3'!$A:$A,"="&amp;A105)=0,,COUNTIF('Coder-3'!$A:$A,"="&amp;A105)))</f>
        <v/>
      </c>
      <c r="E105" s="6" t="str">
        <f>IF(ISBLANK(A105),,IF(COUNTIF('Coder-4'!$A:$A,"="&amp;A105)=0,,COUNTIF('Coder-4'!$A:$A,"="&amp;A105)))</f>
        <v/>
      </c>
    </row>
    <row r="106">
      <c r="A106" s="8">
        <v>44104.0</v>
      </c>
      <c r="B106" s="6" t="str">
        <f>IF(ISBLANK(A106),,IF(COUNTIF('Coder-1'!$A:$A,"="&amp;A106)=0,,COUNTIF('Coder-1'!$A:$A,"="&amp;A106)))</f>
        <v/>
      </c>
      <c r="C106" s="6" t="str">
        <f>IF(ISBLANK(A106),,IF(COUNTIF('Coder-2'!$A:$A,"="&amp;A106)=0,,COUNTIF('Coder-2'!$A:$A,"="&amp;A106)))</f>
        <v/>
      </c>
      <c r="D106" s="6" t="str">
        <f>IF(ISBLANK(A106),,IF(COUNTIF('Coder-3'!$A:$A,"="&amp;A106)=0,,COUNTIF('Coder-3'!$A:$A,"="&amp;A106)))</f>
        <v/>
      </c>
      <c r="E106" s="6" t="str">
        <f>IF(ISBLANK(A106),,IF(COUNTIF('Coder-4'!$A:$A,"="&amp;A106)=0,,COUNTIF('Coder-4'!$A:$A,"="&amp;A106)))</f>
        <v/>
      </c>
    </row>
    <row r="107">
      <c r="A107" s="8">
        <v>44105.0</v>
      </c>
      <c r="B107" s="6" t="str">
        <f>IF(ISBLANK(A107),,IF(COUNTIF('Coder-1'!$A:$A,"="&amp;A107)=0,,COUNTIF('Coder-1'!$A:$A,"="&amp;A107)))</f>
        <v/>
      </c>
      <c r="C107" s="6" t="str">
        <f>IF(ISBLANK(A107),,IF(COUNTIF('Coder-2'!$A:$A,"="&amp;A107)=0,,COUNTIF('Coder-2'!$A:$A,"="&amp;A107)))</f>
        <v/>
      </c>
      <c r="D107" s="6" t="str">
        <f>IF(ISBLANK(A107),,IF(COUNTIF('Coder-3'!$A:$A,"="&amp;A107)=0,,COUNTIF('Coder-3'!$A:$A,"="&amp;A107)))</f>
        <v/>
      </c>
      <c r="E107" s="6" t="str">
        <f>IF(ISBLANK(A107),,IF(COUNTIF('Coder-4'!$A:$A,"="&amp;A107)=0,,COUNTIF('Coder-4'!$A:$A,"="&amp;A107)))</f>
        <v/>
      </c>
    </row>
    <row r="108">
      <c r="A108" s="8">
        <v>44106.0</v>
      </c>
      <c r="B108" s="6" t="str">
        <f>IF(ISBLANK(A108),,IF(COUNTIF('Coder-1'!$A:$A,"="&amp;A108)=0,,COUNTIF('Coder-1'!$A:$A,"="&amp;A108)))</f>
        <v/>
      </c>
      <c r="C108" s="6" t="str">
        <f>IF(ISBLANK(A108),,IF(COUNTIF('Coder-2'!$A:$A,"="&amp;A108)=0,,COUNTIF('Coder-2'!$A:$A,"="&amp;A108)))</f>
        <v/>
      </c>
      <c r="D108" s="6" t="str">
        <f>IF(ISBLANK(A108),,IF(COUNTIF('Coder-3'!$A:$A,"="&amp;A108)=0,,COUNTIF('Coder-3'!$A:$A,"="&amp;A108)))</f>
        <v/>
      </c>
      <c r="E108" s="6" t="str">
        <f>IF(ISBLANK(A108),,IF(COUNTIF('Coder-4'!$A:$A,"="&amp;A108)=0,,COUNTIF('Coder-4'!$A:$A,"="&amp;A108)))</f>
        <v/>
      </c>
    </row>
    <row r="109">
      <c r="A109" s="8">
        <v>44107.0</v>
      </c>
      <c r="B109" s="6" t="str">
        <f>IF(ISBLANK(A109),,IF(COUNTIF('Coder-1'!$A:$A,"="&amp;A109)=0,,COUNTIF('Coder-1'!$A:$A,"="&amp;A109)))</f>
        <v/>
      </c>
      <c r="C109" s="6" t="str">
        <f>IF(ISBLANK(A109),,IF(COUNTIF('Coder-2'!$A:$A,"="&amp;A109)=0,,COUNTIF('Coder-2'!$A:$A,"="&amp;A109)))</f>
        <v/>
      </c>
      <c r="D109" s="6" t="str">
        <f>IF(ISBLANK(A109),,IF(COUNTIF('Coder-3'!$A:$A,"="&amp;A109)=0,,COUNTIF('Coder-3'!$A:$A,"="&amp;A109)))</f>
        <v/>
      </c>
      <c r="E109" s="6" t="str">
        <f>IF(ISBLANK(A109),,IF(COUNTIF('Coder-4'!$A:$A,"="&amp;A109)=0,,COUNTIF('Coder-4'!$A:$A,"="&amp;A109)))</f>
        <v/>
      </c>
    </row>
    <row r="110">
      <c r="A110" s="8">
        <v>44108.0</v>
      </c>
      <c r="B110" s="6" t="str">
        <f>IF(ISBLANK(A110),,IF(COUNTIF('Coder-1'!$A:$A,"="&amp;A110)=0,,COUNTIF('Coder-1'!$A:$A,"="&amp;A110)))</f>
        <v/>
      </c>
      <c r="C110" s="6" t="str">
        <f>IF(ISBLANK(A110),,IF(COUNTIF('Coder-2'!$A:$A,"="&amp;A110)=0,,COUNTIF('Coder-2'!$A:$A,"="&amp;A110)))</f>
        <v/>
      </c>
      <c r="D110" s="6" t="str">
        <f>IF(ISBLANK(A110),,IF(COUNTIF('Coder-3'!$A:$A,"="&amp;A110)=0,,COUNTIF('Coder-3'!$A:$A,"="&amp;A110)))</f>
        <v/>
      </c>
      <c r="E110" s="6" t="str">
        <f>IF(ISBLANK(A110),,IF(COUNTIF('Coder-4'!$A:$A,"="&amp;A110)=0,,COUNTIF('Coder-4'!$A:$A,"="&amp;A110)))</f>
        <v/>
      </c>
    </row>
    <row r="111">
      <c r="A111" s="8">
        <v>44109.0</v>
      </c>
      <c r="B111" s="6" t="str">
        <f>IF(ISBLANK(A111),,IF(COUNTIF('Coder-1'!$A:$A,"="&amp;A111)=0,,COUNTIF('Coder-1'!$A:$A,"="&amp;A111)))</f>
        <v/>
      </c>
      <c r="C111" s="6" t="str">
        <f>IF(ISBLANK(A111),,IF(COUNTIF('Coder-2'!$A:$A,"="&amp;A111)=0,,COUNTIF('Coder-2'!$A:$A,"="&amp;A111)))</f>
        <v/>
      </c>
      <c r="D111" s="6" t="str">
        <f>IF(ISBLANK(A111),,IF(COUNTIF('Coder-3'!$A:$A,"="&amp;A111)=0,,COUNTIF('Coder-3'!$A:$A,"="&amp;A111)))</f>
        <v/>
      </c>
      <c r="E111" s="6" t="str">
        <f>IF(ISBLANK(A111),,IF(COUNTIF('Coder-4'!$A:$A,"="&amp;A111)=0,,COUNTIF('Coder-4'!$A:$A,"="&amp;A111)))</f>
        <v/>
      </c>
    </row>
    <row r="112">
      <c r="A112" s="8">
        <v>44110.0</v>
      </c>
      <c r="B112" s="6" t="str">
        <f>IF(ISBLANK(A112),,IF(COUNTIF('Coder-1'!$A:$A,"="&amp;A112)=0,,COUNTIF('Coder-1'!$A:$A,"="&amp;A112)))</f>
        <v/>
      </c>
      <c r="C112" s="6" t="str">
        <f>IF(ISBLANK(A112),,IF(COUNTIF('Coder-2'!$A:$A,"="&amp;A112)=0,,COUNTIF('Coder-2'!$A:$A,"="&amp;A112)))</f>
        <v/>
      </c>
      <c r="D112" s="6" t="str">
        <f>IF(ISBLANK(A112),,IF(COUNTIF('Coder-3'!$A:$A,"="&amp;A112)=0,,COUNTIF('Coder-3'!$A:$A,"="&amp;A112)))</f>
        <v/>
      </c>
      <c r="E112" s="6" t="str">
        <f>IF(ISBLANK(A112),,IF(COUNTIF('Coder-4'!$A:$A,"="&amp;A112)=0,,COUNTIF('Coder-4'!$A:$A,"="&amp;A112)))</f>
        <v/>
      </c>
    </row>
    <row r="113">
      <c r="A113" s="8">
        <v>44111.0</v>
      </c>
      <c r="B113" s="6" t="str">
        <f>IF(ISBLANK(A113),,IF(COUNTIF('Coder-1'!$A:$A,"="&amp;A113)=0,,COUNTIF('Coder-1'!$A:$A,"="&amp;A113)))</f>
        <v/>
      </c>
      <c r="C113" s="6" t="str">
        <f>IF(ISBLANK(A113),,IF(COUNTIF('Coder-2'!$A:$A,"="&amp;A113)=0,,COUNTIF('Coder-2'!$A:$A,"="&amp;A113)))</f>
        <v/>
      </c>
      <c r="D113" s="6" t="str">
        <f>IF(ISBLANK(A113),,IF(COUNTIF('Coder-3'!$A:$A,"="&amp;A113)=0,,COUNTIF('Coder-3'!$A:$A,"="&amp;A113)))</f>
        <v/>
      </c>
      <c r="E113" s="6" t="str">
        <f>IF(ISBLANK(A113),,IF(COUNTIF('Coder-4'!$A:$A,"="&amp;A113)=0,,COUNTIF('Coder-4'!$A:$A,"="&amp;A113)))</f>
        <v/>
      </c>
    </row>
    <row r="114">
      <c r="A114" s="8">
        <v>44112.0</v>
      </c>
      <c r="B114" s="6" t="str">
        <f>IF(ISBLANK(A114),,IF(COUNTIF('Coder-1'!$A:$A,"="&amp;A114)=0,,COUNTIF('Coder-1'!$A:$A,"="&amp;A114)))</f>
        <v/>
      </c>
      <c r="C114" s="6" t="str">
        <f>IF(ISBLANK(A114),,IF(COUNTIF('Coder-2'!$A:$A,"="&amp;A114)=0,,COUNTIF('Coder-2'!$A:$A,"="&amp;A114)))</f>
        <v/>
      </c>
      <c r="D114" s="6" t="str">
        <f>IF(ISBLANK(A114),,IF(COUNTIF('Coder-3'!$A:$A,"="&amp;A114)=0,,COUNTIF('Coder-3'!$A:$A,"="&amp;A114)))</f>
        <v/>
      </c>
      <c r="E114" s="6" t="str">
        <f>IF(ISBLANK(A114),,IF(COUNTIF('Coder-4'!$A:$A,"="&amp;A114)=0,,COUNTIF('Coder-4'!$A:$A,"="&amp;A114)))</f>
        <v/>
      </c>
    </row>
    <row r="115">
      <c r="A115" s="8">
        <v>44113.0</v>
      </c>
      <c r="B115" s="6" t="str">
        <f>IF(ISBLANK(A115),,IF(COUNTIF('Coder-1'!$A:$A,"="&amp;A115)=0,,COUNTIF('Coder-1'!$A:$A,"="&amp;A115)))</f>
        <v/>
      </c>
      <c r="C115" s="6" t="str">
        <f>IF(ISBLANK(A115),,IF(COUNTIF('Coder-2'!$A:$A,"="&amp;A115)=0,,COUNTIF('Coder-2'!$A:$A,"="&amp;A115)))</f>
        <v/>
      </c>
      <c r="D115" s="6" t="str">
        <f>IF(ISBLANK(A115),,IF(COUNTIF('Coder-3'!$A:$A,"="&amp;A115)=0,,COUNTIF('Coder-3'!$A:$A,"="&amp;A115)))</f>
        <v/>
      </c>
      <c r="E115" s="6" t="str">
        <f>IF(ISBLANK(A115),,IF(COUNTIF('Coder-4'!$A:$A,"="&amp;A115)=0,,COUNTIF('Coder-4'!$A:$A,"="&amp;A115)))</f>
        <v/>
      </c>
    </row>
    <row r="116">
      <c r="A116" s="8">
        <v>44114.0</v>
      </c>
      <c r="B116" s="6" t="str">
        <f>IF(ISBLANK(A116),,IF(COUNTIF('Coder-1'!$A:$A,"="&amp;A116)=0,,COUNTIF('Coder-1'!$A:$A,"="&amp;A116)))</f>
        <v/>
      </c>
      <c r="C116" s="6" t="str">
        <f>IF(ISBLANK(A116),,IF(COUNTIF('Coder-2'!$A:$A,"="&amp;A116)=0,,COUNTIF('Coder-2'!$A:$A,"="&amp;A116)))</f>
        <v/>
      </c>
      <c r="D116" s="6" t="str">
        <f>IF(ISBLANK(A116),,IF(COUNTIF('Coder-3'!$A:$A,"="&amp;A116)=0,,COUNTIF('Coder-3'!$A:$A,"="&amp;A116)))</f>
        <v/>
      </c>
      <c r="E116" s="6" t="str">
        <f>IF(ISBLANK(A116),,IF(COUNTIF('Coder-4'!$A:$A,"="&amp;A116)=0,,COUNTIF('Coder-4'!$A:$A,"="&amp;A116)))</f>
        <v/>
      </c>
    </row>
    <row r="117">
      <c r="A117" s="8">
        <v>44115.0</v>
      </c>
      <c r="B117" s="6" t="str">
        <f>IF(ISBLANK(A117),,IF(COUNTIF('Coder-1'!$A:$A,"="&amp;A117)=0,,COUNTIF('Coder-1'!$A:$A,"="&amp;A117)))</f>
        <v/>
      </c>
      <c r="C117" s="6" t="str">
        <f>IF(ISBLANK(A117),,IF(COUNTIF('Coder-2'!$A:$A,"="&amp;A117)=0,,COUNTIF('Coder-2'!$A:$A,"="&amp;A117)))</f>
        <v/>
      </c>
      <c r="D117" s="6" t="str">
        <f>IF(ISBLANK(A117),,IF(COUNTIF('Coder-3'!$A:$A,"="&amp;A117)=0,,COUNTIF('Coder-3'!$A:$A,"="&amp;A117)))</f>
        <v/>
      </c>
      <c r="E117" s="6" t="str">
        <f>IF(ISBLANK(A117),,IF(COUNTIF('Coder-4'!$A:$A,"="&amp;A117)=0,,COUNTIF('Coder-4'!$A:$A,"="&amp;A117)))</f>
        <v/>
      </c>
    </row>
    <row r="118">
      <c r="A118" s="8">
        <v>44116.0</v>
      </c>
      <c r="B118" s="6" t="str">
        <f>IF(ISBLANK(A118),,IF(COUNTIF('Coder-1'!$A:$A,"="&amp;A118)=0,,COUNTIF('Coder-1'!$A:$A,"="&amp;A118)))</f>
        <v/>
      </c>
      <c r="C118" s="6" t="str">
        <f>IF(ISBLANK(A118),,IF(COUNTIF('Coder-2'!$A:$A,"="&amp;A118)=0,,COUNTIF('Coder-2'!$A:$A,"="&amp;A118)))</f>
        <v/>
      </c>
      <c r="D118" s="6" t="str">
        <f>IF(ISBLANK(A118),,IF(COUNTIF('Coder-3'!$A:$A,"="&amp;A118)=0,,COUNTIF('Coder-3'!$A:$A,"="&amp;A118)))</f>
        <v/>
      </c>
      <c r="E118" s="6" t="str">
        <f>IF(ISBLANK(A118),,IF(COUNTIF('Coder-4'!$A:$A,"="&amp;A118)=0,,COUNTIF('Coder-4'!$A:$A,"="&amp;A118)))</f>
        <v/>
      </c>
    </row>
    <row r="119">
      <c r="A119" s="8">
        <v>44117.0</v>
      </c>
      <c r="B119" s="6" t="str">
        <f>IF(ISBLANK(A119),,IF(COUNTIF('Coder-1'!$A:$A,"="&amp;A119)=0,,COUNTIF('Coder-1'!$A:$A,"="&amp;A119)))</f>
        <v/>
      </c>
      <c r="C119" s="6" t="str">
        <f>IF(ISBLANK(A119),,IF(COUNTIF('Coder-2'!$A:$A,"="&amp;A119)=0,,COUNTIF('Coder-2'!$A:$A,"="&amp;A119)))</f>
        <v/>
      </c>
      <c r="D119" s="6" t="str">
        <f>IF(ISBLANK(A119),,IF(COUNTIF('Coder-3'!$A:$A,"="&amp;A119)=0,,COUNTIF('Coder-3'!$A:$A,"="&amp;A119)))</f>
        <v/>
      </c>
      <c r="E119" s="6" t="str">
        <f>IF(ISBLANK(A119),,IF(COUNTIF('Coder-4'!$A:$A,"="&amp;A119)=0,,COUNTIF('Coder-4'!$A:$A,"="&amp;A119)))</f>
        <v/>
      </c>
    </row>
    <row r="120">
      <c r="A120" s="8">
        <v>44118.0</v>
      </c>
      <c r="B120" s="6" t="str">
        <f>IF(ISBLANK(A120),,IF(COUNTIF('Coder-1'!$A:$A,"="&amp;A120)=0,,COUNTIF('Coder-1'!$A:$A,"="&amp;A120)))</f>
        <v/>
      </c>
      <c r="C120" s="6" t="str">
        <f>IF(ISBLANK(A120),,IF(COUNTIF('Coder-2'!$A:$A,"="&amp;A120)=0,,COUNTIF('Coder-2'!$A:$A,"="&amp;A120)))</f>
        <v/>
      </c>
      <c r="D120" s="6" t="str">
        <f>IF(ISBLANK(A120),,IF(COUNTIF('Coder-3'!$A:$A,"="&amp;A120)=0,,COUNTIF('Coder-3'!$A:$A,"="&amp;A120)))</f>
        <v/>
      </c>
      <c r="E120" s="6" t="str">
        <f>IF(ISBLANK(A120),,IF(COUNTIF('Coder-4'!$A:$A,"="&amp;A120)=0,,COUNTIF('Coder-4'!$A:$A,"="&amp;A120)))</f>
        <v/>
      </c>
    </row>
    <row r="121">
      <c r="A121" s="8">
        <v>44119.0</v>
      </c>
      <c r="B121" s="6" t="str">
        <f>IF(ISBLANK(A121),,IF(COUNTIF('Coder-1'!$A:$A,"="&amp;A121)=0,,COUNTIF('Coder-1'!$A:$A,"="&amp;A121)))</f>
        <v/>
      </c>
      <c r="C121" s="6" t="str">
        <f>IF(ISBLANK(A121),,IF(COUNTIF('Coder-2'!$A:$A,"="&amp;A121)=0,,COUNTIF('Coder-2'!$A:$A,"="&amp;A121)))</f>
        <v/>
      </c>
      <c r="D121" s="6" t="str">
        <f>IF(ISBLANK(A121),,IF(COUNTIF('Coder-3'!$A:$A,"="&amp;A121)=0,,COUNTIF('Coder-3'!$A:$A,"="&amp;A121)))</f>
        <v/>
      </c>
      <c r="E121" s="6" t="str">
        <f>IF(ISBLANK(A121),,IF(COUNTIF('Coder-4'!$A:$A,"="&amp;A121)=0,,COUNTIF('Coder-4'!$A:$A,"="&amp;A121)))</f>
        <v/>
      </c>
    </row>
    <row r="122">
      <c r="A122" s="8">
        <v>44120.0</v>
      </c>
      <c r="B122" s="6" t="str">
        <f>IF(ISBLANK(A122),,IF(COUNTIF('Coder-1'!$A:$A,"="&amp;A122)=0,,COUNTIF('Coder-1'!$A:$A,"="&amp;A122)))</f>
        <v/>
      </c>
      <c r="C122" s="6" t="str">
        <f>IF(ISBLANK(A122),,IF(COUNTIF('Coder-2'!$A:$A,"="&amp;A122)=0,,COUNTIF('Coder-2'!$A:$A,"="&amp;A122)))</f>
        <v/>
      </c>
      <c r="D122" s="6" t="str">
        <f>IF(ISBLANK(A122),,IF(COUNTIF('Coder-3'!$A:$A,"="&amp;A122)=0,,COUNTIF('Coder-3'!$A:$A,"="&amp;A122)))</f>
        <v/>
      </c>
      <c r="E122" s="6" t="str">
        <f>IF(ISBLANK(A122),,IF(COUNTIF('Coder-4'!$A:$A,"="&amp;A122)=0,,COUNTIF('Coder-4'!$A:$A,"="&amp;A122)))</f>
        <v/>
      </c>
    </row>
    <row r="123">
      <c r="A123" s="8">
        <v>44121.0</v>
      </c>
      <c r="B123" s="6" t="str">
        <f>IF(ISBLANK(A123),,IF(COUNTIF('Coder-1'!$A:$A,"="&amp;A123)=0,,COUNTIF('Coder-1'!$A:$A,"="&amp;A123)))</f>
        <v/>
      </c>
      <c r="C123" s="6" t="str">
        <f>IF(ISBLANK(A123),,IF(COUNTIF('Coder-2'!$A:$A,"="&amp;A123)=0,,COUNTIF('Coder-2'!$A:$A,"="&amp;A123)))</f>
        <v/>
      </c>
      <c r="D123" s="6" t="str">
        <f>IF(ISBLANK(A123),,IF(COUNTIF('Coder-3'!$A:$A,"="&amp;A123)=0,,COUNTIF('Coder-3'!$A:$A,"="&amp;A123)))</f>
        <v/>
      </c>
      <c r="E123" s="6" t="str">
        <f>IF(ISBLANK(A123),,IF(COUNTIF('Coder-4'!$A:$A,"="&amp;A123)=0,,COUNTIF('Coder-4'!$A:$A,"="&amp;A123)))</f>
        <v/>
      </c>
    </row>
    <row r="124">
      <c r="A124" s="8">
        <v>44122.0</v>
      </c>
      <c r="B124" s="6" t="str">
        <f>IF(ISBLANK(A124),,IF(COUNTIF('Coder-1'!$A:$A,"="&amp;A124)=0,,COUNTIF('Coder-1'!$A:$A,"="&amp;A124)))</f>
        <v/>
      </c>
      <c r="C124" s="6" t="str">
        <f>IF(ISBLANK(A124),,IF(COUNTIF('Coder-2'!$A:$A,"="&amp;A124)=0,,COUNTIF('Coder-2'!$A:$A,"="&amp;A124)))</f>
        <v/>
      </c>
      <c r="D124" s="6" t="str">
        <f>IF(ISBLANK(A124),,IF(COUNTIF('Coder-3'!$A:$A,"="&amp;A124)=0,,COUNTIF('Coder-3'!$A:$A,"="&amp;A124)))</f>
        <v/>
      </c>
      <c r="E124" s="6" t="str">
        <f>IF(ISBLANK(A124),,IF(COUNTIF('Coder-4'!$A:$A,"="&amp;A124)=0,,COUNTIF('Coder-4'!$A:$A,"="&amp;A124)))</f>
        <v/>
      </c>
    </row>
    <row r="125">
      <c r="A125" s="8">
        <v>44123.0</v>
      </c>
      <c r="B125" s="6" t="str">
        <f>IF(ISBLANK(A125),,IF(COUNTIF('Coder-1'!$A:$A,"="&amp;A125)=0,,COUNTIF('Coder-1'!$A:$A,"="&amp;A125)))</f>
        <v/>
      </c>
      <c r="C125" s="6" t="str">
        <f>IF(ISBLANK(A125),,IF(COUNTIF('Coder-2'!$A:$A,"="&amp;A125)=0,,COUNTIF('Coder-2'!$A:$A,"="&amp;A125)))</f>
        <v/>
      </c>
      <c r="D125" s="6" t="str">
        <f>IF(ISBLANK(A125),,IF(COUNTIF('Coder-3'!$A:$A,"="&amp;A125)=0,,COUNTIF('Coder-3'!$A:$A,"="&amp;A125)))</f>
        <v/>
      </c>
      <c r="E125" s="6" t="str">
        <f>IF(ISBLANK(A125),,IF(COUNTIF('Coder-4'!$A:$A,"="&amp;A125)=0,,COUNTIF('Coder-4'!$A:$A,"="&amp;A125)))</f>
        <v/>
      </c>
    </row>
    <row r="126">
      <c r="A126" s="8">
        <v>44124.0</v>
      </c>
      <c r="B126" s="6" t="str">
        <f>IF(ISBLANK(A126),,IF(COUNTIF('Coder-1'!$A:$A,"="&amp;A126)=0,,COUNTIF('Coder-1'!$A:$A,"="&amp;A126)))</f>
        <v/>
      </c>
      <c r="C126" s="6" t="str">
        <f>IF(ISBLANK(A126),,IF(COUNTIF('Coder-2'!$A:$A,"="&amp;A126)=0,,COUNTIF('Coder-2'!$A:$A,"="&amp;A126)))</f>
        <v/>
      </c>
      <c r="D126" s="6" t="str">
        <f>IF(ISBLANK(A126),,IF(COUNTIF('Coder-3'!$A:$A,"="&amp;A126)=0,,COUNTIF('Coder-3'!$A:$A,"="&amp;A126)))</f>
        <v/>
      </c>
      <c r="E126" s="6" t="str">
        <f>IF(ISBLANK(A126),,IF(COUNTIF('Coder-4'!$A:$A,"="&amp;A126)=0,,COUNTIF('Coder-4'!$A:$A,"="&amp;A126)))</f>
        <v/>
      </c>
    </row>
    <row r="127">
      <c r="A127" s="8">
        <v>44125.0</v>
      </c>
      <c r="B127" s="6" t="str">
        <f>IF(ISBLANK(A127),,IF(COUNTIF('Coder-1'!$A:$A,"="&amp;A127)=0,,COUNTIF('Coder-1'!$A:$A,"="&amp;A127)))</f>
        <v/>
      </c>
      <c r="C127" s="6" t="str">
        <f>IF(ISBLANK(A127),,IF(COUNTIF('Coder-2'!$A:$A,"="&amp;A127)=0,,COUNTIF('Coder-2'!$A:$A,"="&amp;A127)))</f>
        <v/>
      </c>
      <c r="D127" s="6" t="str">
        <f>IF(ISBLANK(A127),,IF(COUNTIF('Coder-3'!$A:$A,"="&amp;A127)=0,,COUNTIF('Coder-3'!$A:$A,"="&amp;A127)))</f>
        <v/>
      </c>
      <c r="E127" s="6" t="str">
        <f>IF(ISBLANK(A127),,IF(COUNTIF('Coder-4'!$A:$A,"="&amp;A127)=0,,COUNTIF('Coder-4'!$A:$A,"="&amp;A127)))</f>
        <v/>
      </c>
    </row>
    <row r="128">
      <c r="A128" s="8">
        <v>44126.0</v>
      </c>
      <c r="B128" s="6" t="str">
        <f>IF(ISBLANK(A128),,IF(COUNTIF('Coder-1'!$A:$A,"="&amp;A128)=0,,COUNTIF('Coder-1'!$A:$A,"="&amp;A128)))</f>
        <v/>
      </c>
      <c r="C128" s="6" t="str">
        <f>IF(ISBLANK(A128),,IF(COUNTIF('Coder-2'!$A:$A,"="&amp;A128)=0,,COUNTIF('Coder-2'!$A:$A,"="&amp;A128)))</f>
        <v/>
      </c>
      <c r="D128" s="6" t="str">
        <f>IF(ISBLANK(A128),,IF(COUNTIF('Coder-3'!$A:$A,"="&amp;A128)=0,,COUNTIF('Coder-3'!$A:$A,"="&amp;A128)))</f>
        <v/>
      </c>
      <c r="E128" s="6" t="str">
        <f>IF(ISBLANK(A128),,IF(COUNTIF('Coder-4'!$A:$A,"="&amp;A128)=0,,COUNTIF('Coder-4'!$A:$A,"="&amp;A128)))</f>
        <v/>
      </c>
    </row>
    <row r="129">
      <c r="A129" s="8">
        <v>44127.0</v>
      </c>
      <c r="B129" s="6" t="str">
        <f>IF(ISBLANK(A129),,IF(COUNTIF('Coder-1'!$A:$A,"="&amp;A129)=0,,COUNTIF('Coder-1'!$A:$A,"="&amp;A129)))</f>
        <v/>
      </c>
      <c r="C129" s="6" t="str">
        <f>IF(ISBLANK(A129),,IF(COUNTIF('Coder-2'!$A:$A,"="&amp;A129)=0,,COUNTIF('Coder-2'!$A:$A,"="&amp;A129)))</f>
        <v/>
      </c>
      <c r="D129" s="6" t="str">
        <f>IF(ISBLANK(A129),,IF(COUNTIF('Coder-3'!$A:$A,"="&amp;A129)=0,,COUNTIF('Coder-3'!$A:$A,"="&amp;A129)))</f>
        <v/>
      </c>
      <c r="E129" s="6" t="str">
        <f>IF(ISBLANK(A129),,IF(COUNTIF('Coder-4'!$A:$A,"="&amp;A129)=0,,COUNTIF('Coder-4'!$A:$A,"="&amp;A129)))</f>
        <v/>
      </c>
    </row>
    <row r="130">
      <c r="A130" s="8">
        <v>44128.0</v>
      </c>
      <c r="B130" s="6" t="str">
        <f>IF(ISBLANK(A130),,IF(COUNTIF('Coder-1'!$A:$A,"="&amp;A130)=0,,COUNTIF('Coder-1'!$A:$A,"="&amp;A130)))</f>
        <v/>
      </c>
      <c r="C130" s="6" t="str">
        <f>IF(ISBLANK(A130),,IF(COUNTIF('Coder-2'!$A:$A,"="&amp;A130)=0,,COUNTIF('Coder-2'!$A:$A,"="&amp;A130)))</f>
        <v/>
      </c>
      <c r="D130" s="6" t="str">
        <f>IF(ISBLANK(A130),,IF(COUNTIF('Coder-3'!$A:$A,"="&amp;A130)=0,,COUNTIF('Coder-3'!$A:$A,"="&amp;A130)))</f>
        <v/>
      </c>
      <c r="E130" s="6" t="str">
        <f>IF(ISBLANK(A130),,IF(COUNTIF('Coder-4'!$A:$A,"="&amp;A130)=0,,COUNTIF('Coder-4'!$A:$A,"="&amp;A130)))</f>
        <v/>
      </c>
    </row>
    <row r="131">
      <c r="A131" s="8">
        <v>44129.0</v>
      </c>
      <c r="B131" s="6" t="str">
        <f>IF(ISBLANK(A131),,IF(COUNTIF('Coder-1'!$A:$A,"="&amp;A131)=0,,COUNTIF('Coder-1'!$A:$A,"="&amp;A131)))</f>
        <v/>
      </c>
      <c r="C131" s="6" t="str">
        <f>IF(ISBLANK(A131),,IF(COUNTIF('Coder-2'!$A:$A,"="&amp;A131)=0,,COUNTIF('Coder-2'!$A:$A,"="&amp;A131)))</f>
        <v/>
      </c>
      <c r="D131" s="6" t="str">
        <f>IF(ISBLANK(A131),,IF(COUNTIF('Coder-3'!$A:$A,"="&amp;A131)=0,,COUNTIF('Coder-3'!$A:$A,"="&amp;A131)))</f>
        <v/>
      </c>
      <c r="E131" s="6" t="str">
        <f>IF(ISBLANK(A131),,IF(COUNTIF('Coder-4'!$A:$A,"="&amp;A131)=0,,COUNTIF('Coder-4'!$A:$A,"="&amp;A131)))</f>
        <v/>
      </c>
    </row>
    <row r="132">
      <c r="A132" s="8">
        <v>44130.0</v>
      </c>
      <c r="B132" s="6" t="str">
        <f>IF(ISBLANK(A132),,IF(COUNTIF('Coder-1'!$A:$A,"="&amp;A132)=0,,COUNTIF('Coder-1'!$A:$A,"="&amp;A132)))</f>
        <v/>
      </c>
      <c r="C132" s="6" t="str">
        <f>IF(ISBLANK(A132),,IF(COUNTIF('Coder-2'!$A:$A,"="&amp;A132)=0,,COUNTIF('Coder-2'!$A:$A,"="&amp;A132)))</f>
        <v/>
      </c>
      <c r="D132" s="6" t="str">
        <f>IF(ISBLANK(A132),,IF(COUNTIF('Coder-3'!$A:$A,"="&amp;A132)=0,,COUNTIF('Coder-3'!$A:$A,"="&amp;A132)))</f>
        <v/>
      </c>
      <c r="E132" s="6" t="str">
        <f>IF(ISBLANK(A132),,IF(COUNTIF('Coder-4'!$A:$A,"="&amp;A132)=0,,COUNTIF('Coder-4'!$A:$A,"="&amp;A132)))</f>
        <v/>
      </c>
    </row>
    <row r="133">
      <c r="A133" s="8">
        <v>44131.0</v>
      </c>
      <c r="B133" s="6" t="str">
        <f>IF(ISBLANK(A133),,IF(COUNTIF('Coder-1'!$A:$A,"="&amp;A133)=0,,COUNTIF('Coder-1'!$A:$A,"="&amp;A133)))</f>
        <v/>
      </c>
      <c r="C133" s="6" t="str">
        <f>IF(ISBLANK(A133),,IF(COUNTIF('Coder-2'!$A:$A,"="&amp;A133)=0,,COUNTIF('Coder-2'!$A:$A,"="&amp;A133)))</f>
        <v/>
      </c>
      <c r="D133" s="6" t="str">
        <f>IF(ISBLANK(A133),,IF(COUNTIF('Coder-3'!$A:$A,"="&amp;A133)=0,,COUNTIF('Coder-3'!$A:$A,"="&amp;A133)))</f>
        <v/>
      </c>
      <c r="E133" s="6" t="str">
        <f>IF(ISBLANK(A133),,IF(COUNTIF('Coder-4'!$A:$A,"="&amp;A133)=0,,COUNTIF('Coder-4'!$A:$A,"="&amp;A133)))</f>
        <v/>
      </c>
    </row>
    <row r="134">
      <c r="A134" s="8">
        <v>44132.0</v>
      </c>
      <c r="B134" s="6" t="str">
        <f>IF(ISBLANK(A134),,IF(COUNTIF('Coder-1'!$A:$A,"="&amp;A134)=0,,COUNTIF('Coder-1'!$A:$A,"="&amp;A134)))</f>
        <v/>
      </c>
      <c r="C134" s="6" t="str">
        <f>IF(ISBLANK(A134),,IF(COUNTIF('Coder-2'!$A:$A,"="&amp;A134)=0,,COUNTIF('Coder-2'!$A:$A,"="&amp;A134)))</f>
        <v/>
      </c>
      <c r="D134" s="6" t="str">
        <f>IF(ISBLANK(A134),,IF(COUNTIF('Coder-3'!$A:$A,"="&amp;A134)=0,,COUNTIF('Coder-3'!$A:$A,"="&amp;A134)))</f>
        <v/>
      </c>
      <c r="E134" s="6" t="str">
        <f>IF(ISBLANK(A134),,IF(COUNTIF('Coder-4'!$A:$A,"="&amp;A134)=0,,COUNTIF('Coder-4'!$A:$A,"="&amp;A134)))</f>
        <v/>
      </c>
    </row>
    <row r="135">
      <c r="A135" s="8">
        <v>44133.0</v>
      </c>
      <c r="B135" s="6" t="str">
        <f>IF(ISBLANK(A135),,IF(COUNTIF('Coder-1'!$A:$A,"="&amp;A135)=0,,COUNTIF('Coder-1'!$A:$A,"="&amp;A135)))</f>
        <v/>
      </c>
      <c r="C135" s="6" t="str">
        <f>IF(ISBLANK(A135),,IF(COUNTIF('Coder-2'!$A:$A,"="&amp;A135)=0,,COUNTIF('Coder-2'!$A:$A,"="&amp;A135)))</f>
        <v/>
      </c>
      <c r="D135" s="6" t="str">
        <f>IF(ISBLANK(A135),,IF(COUNTIF('Coder-3'!$A:$A,"="&amp;A135)=0,,COUNTIF('Coder-3'!$A:$A,"="&amp;A135)))</f>
        <v/>
      </c>
      <c r="E135" s="6" t="str">
        <f>IF(ISBLANK(A135),,IF(COUNTIF('Coder-4'!$A:$A,"="&amp;A135)=0,,COUNTIF('Coder-4'!$A:$A,"="&amp;A135)))</f>
        <v/>
      </c>
    </row>
    <row r="136">
      <c r="A136" s="8">
        <v>44134.0</v>
      </c>
      <c r="B136" s="6" t="str">
        <f>IF(ISBLANK(A136),,IF(COUNTIF('Coder-1'!$A:$A,"="&amp;A136)=0,,COUNTIF('Coder-1'!$A:$A,"="&amp;A136)))</f>
        <v/>
      </c>
      <c r="C136" s="6" t="str">
        <f>IF(ISBLANK(A136),,IF(COUNTIF('Coder-2'!$A:$A,"="&amp;A136)=0,,COUNTIF('Coder-2'!$A:$A,"="&amp;A136)))</f>
        <v/>
      </c>
      <c r="D136" s="6" t="str">
        <f>IF(ISBLANK(A136),,IF(COUNTIF('Coder-3'!$A:$A,"="&amp;A136)=0,,COUNTIF('Coder-3'!$A:$A,"="&amp;A136)))</f>
        <v/>
      </c>
      <c r="E136" s="6" t="str">
        <f>IF(ISBLANK(A136),,IF(COUNTIF('Coder-4'!$A:$A,"="&amp;A136)=0,,COUNTIF('Coder-4'!$A:$A,"="&amp;A136)))</f>
        <v/>
      </c>
    </row>
    <row r="137">
      <c r="A137" s="8">
        <v>44135.0</v>
      </c>
      <c r="B137" s="6" t="str">
        <f>IF(ISBLANK(A137),,IF(COUNTIF('Coder-1'!$A:$A,"="&amp;A137)=0,,COUNTIF('Coder-1'!$A:$A,"="&amp;A137)))</f>
        <v/>
      </c>
      <c r="C137" s="6" t="str">
        <f>IF(ISBLANK(A137),,IF(COUNTIF('Coder-2'!$A:$A,"="&amp;A137)=0,,COUNTIF('Coder-2'!$A:$A,"="&amp;A137)))</f>
        <v/>
      </c>
      <c r="D137" s="6" t="str">
        <f>IF(ISBLANK(A137),,IF(COUNTIF('Coder-3'!$A:$A,"="&amp;A137)=0,,COUNTIF('Coder-3'!$A:$A,"="&amp;A137)))</f>
        <v/>
      </c>
      <c r="E137" s="6" t="str">
        <f>IF(ISBLANK(A137),,IF(COUNTIF('Coder-4'!$A:$A,"="&amp;A137)=0,,COUNTIF('Coder-4'!$A:$A,"="&amp;A137)))</f>
        <v/>
      </c>
    </row>
    <row r="138">
      <c r="A138" s="8">
        <v>44136.0</v>
      </c>
      <c r="B138" s="6" t="str">
        <f>IF(ISBLANK(A138),,IF(COUNTIF('Coder-1'!$A:$A,"="&amp;A138)=0,,COUNTIF('Coder-1'!$A:$A,"="&amp;A138)))</f>
        <v/>
      </c>
      <c r="C138" s="6" t="str">
        <f>IF(ISBLANK(A138),,IF(COUNTIF('Coder-2'!$A:$A,"="&amp;A138)=0,,COUNTIF('Coder-2'!$A:$A,"="&amp;A138)))</f>
        <v/>
      </c>
      <c r="D138" s="6" t="str">
        <f>IF(ISBLANK(A138),,IF(COUNTIF('Coder-3'!$A:$A,"="&amp;A138)=0,,COUNTIF('Coder-3'!$A:$A,"="&amp;A138)))</f>
        <v/>
      </c>
      <c r="E138" s="6" t="str">
        <f>IF(ISBLANK(A138),,IF(COUNTIF('Coder-4'!$A:$A,"="&amp;A138)=0,,COUNTIF('Coder-4'!$A:$A,"="&amp;A138)))</f>
        <v/>
      </c>
    </row>
    <row r="139">
      <c r="A139" s="8">
        <v>44137.0</v>
      </c>
      <c r="B139" s="6" t="str">
        <f>IF(ISBLANK(A139),,IF(COUNTIF('Coder-1'!$A:$A,"="&amp;A139)=0,,COUNTIF('Coder-1'!$A:$A,"="&amp;A139)))</f>
        <v/>
      </c>
      <c r="C139" s="6" t="str">
        <f>IF(ISBLANK(A139),,IF(COUNTIF('Coder-2'!$A:$A,"="&amp;A139)=0,,COUNTIF('Coder-2'!$A:$A,"="&amp;A139)))</f>
        <v/>
      </c>
      <c r="D139" s="6" t="str">
        <f>IF(ISBLANK(A139),,IF(COUNTIF('Coder-3'!$A:$A,"="&amp;A139)=0,,COUNTIF('Coder-3'!$A:$A,"="&amp;A139)))</f>
        <v/>
      </c>
      <c r="E139" s="6" t="str">
        <f>IF(ISBLANK(A139),,IF(COUNTIF('Coder-4'!$A:$A,"="&amp;A139)=0,,COUNTIF('Coder-4'!$A:$A,"="&amp;A139)))</f>
        <v/>
      </c>
    </row>
    <row r="140">
      <c r="A140" s="8">
        <v>44138.0</v>
      </c>
      <c r="B140" s="6" t="str">
        <f>IF(ISBLANK(A140),,IF(COUNTIF('Coder-1'!$A:$A,"="&amp;A140)=0,,COUNTIF('Coder-1'!$A:$A,"="&amp;A140)))</f>
        <v/>
      </c>
      <c r="C140" s="6" t="str">
        <f>IF(ISBLANK(A140),,IF(COUNTIF('Coder-2'!$A:$A,"="&amp;A140)=0,,COUNTIF('Coder-2'!$A:$A,"="&amp;A140)))</f>
        <v/>
      </c>
      <c r="D140" s="6" t="str">
        <f>IF(ISBLANK(A140),,IF(COUNTIF('Coder-3'!$A:$A,"="&amp;A140)=0,,COUNTIF('Coder-3'!$A:$A,"="&amp;A140)))</f>
        <v/>
      </c>
      <c r="E140" s="6" t="str">
        <f>IF(ISBLANK(A140),,IF(COUNTIF('Coder-4'!$A:$A,"="&amp;A140)=0,,COUNTIF('Coder-4'!$A:$A,"="&amp;A140)))</f>
        <v/>
      </c>
    </row>
    <row r="141">
      <c r="A141" s="8">
        <v>44139.0</v>
      </c>
      <c r="B141" s="6" t="str">
        <f>IF(ISBLANK(A141),,IF(COUNTIF('Coder-1'!$A:$A,"="&amp;A141)=0,,COUNTIF('Coder-1'!$A:$A,"="&amp;A141)))</f>
        <v/>
      </c>
      <c r="C141" s="6" t="str">
        <f>IF(ISBLANK(A141),,IF(COUNTIF('Coder-2'!$A:$A,"="&amp;A141)=0,,COUNTIF('Coder-2'!$A:$A,"="&amp;A141)))</f>
        <v/>
      </c>
      <c r="D141" s="6" t="str">
        <f>IF(ISBLANK(A141),,IF(COUNTIF('Coder-3'!$A:$A,"="&amp;A141)=0,,COUNTIF('Coder-3'!$A:$A,"="&amp;A141)))</f>
        <v/>
      </c>
      <c r="E141" s="6" t="str">
        <f>IF(ISBLANK(A141),,IF(COUNTIF('Coder-4'!$A:$A,"="&amp;A141)=0,,COUNTIF('Coder-4'!$A:$A,"="&amp;A141)))</f>
        <v/>
      </c>
    </row>
    <row r="142">
      <c r="A142" s="8">
        <v>44140.0</v>
      </c>
      <c r="B142" s="6" t="str">
        <f>IF(ISBLANK(A142),,IF(COUNTIF('Coder-1'!$A:$A,"="&amp;A142)=0,,COUNTIF('Coder-1'!$A:$A,"="&amp;A142)))</f>
        <v/>
      </c>
      <c r="C142" s="6" t="str">
        <f>IF(ISBLANK(A142),,IF(COUNTIF('Coder-2'!$A:$A,"="&amp;A142)=0,,COUNTIF('Coder-2'!$A:$A,"="&amp;A142)))</f>
        <v/>
      </c>
      <c r="D142" s="6" t="str">
        <f>IF(ISBLANK(A142),,IF(COUNTIF('Coder-3'!$A:$A,"="&amp;A142)=0,,COUNTIF('Coder-3'!$A:$A,"="&amp;A142)))</f>
        <v/>
      </c>
      <c r="E142" s="6" t="str">
        <f>IF(ISBLANK(A142),,IF(COUNTIF('Coder-4'!$A:$A,"="&amp;A142)=0,,COUNTIF('Coder-4'!$A:$A,"="&amp;A142)))</f>
        <v/>
      </c>
    </row>
    <row r="143">
      <c r="A143" s="8">
        <v>44141.0</v>
      </c>
      <c r="B143" s="6" t="str">
        <f>IF(ISBLANK(A143),,IF(COUNTIF('Coder-1'!$A:$A,"="&amp;A143)=0,,COUNTIF('Coder-1'!$A:$A,"="&amp;A143)))</f>
        <v/>
      </c>
      <c r="C143" s="6" t="str">
        <f>IF(ISBLANK(A143),,IF(COUNTIF('Coder-2'!$A:$A,"="&amp;A143)=0,,COUNTIF('Coder-2'!$A:$A,"="&amp;A143)))</f>
        <v/>
      </c>
      <c r="D143" s="6" t="str">
        <f>IF(ISBLANK(A143),,IF(COUNTIF('Coder-3'!$A:$A,"="&amp;A143)=0,,COUNTIF('Coder-3'!$A:$A,"="&amp;A143)))</f>
        <v/>
      </c>
      <c r="E143" s="6" t="str">
        <f>IF(ISBLANK(A143),,IF(COUNTIF('Coder-4'!$A:$A,"="&amp;A143)=0,,COUNTIF('Coder-4'!$A:$A,"="&amp;A143)))</f>
        <v/>
      </c>
    </row>
    <row r="144">
      <c r="A144" s="8">
        <v>44142.0</v>
      </c>
      <c r="B144" s="6" t="str">
        <f>IF(ISBLANK(A144),,IF(COUNTIF('Coder-1'!$A:$A,"="&amp;A144)=0,,COUNTIF('Coder-1'!$A:$A,"="&amp;A144)))</f>
        <v/>
      </c>
      <c r="C144" s="6" t="str">
        <f>IF(ISBLANK(A144),,IF(COUNTIF('Coder-2'!$A:$A,"="&amp;A144)=0,,COUNTIF('Coder-2'!$A:$A,"="&amp;A144)))</f>
        <v/>
      </c>
      <c r="D144" s="6" t="str">
        <f>IF(ISBLANK(A144),,IF(COUNTIF('Coder-3'!$A:$A,"="&amp;A144)=0,,COUNTIF('Coder-3'!$A:$A,"="&amp;A144)))</f>
        <v/>
      </c>
      <c r="E144" s="6" t="str">
        <f>IF(ISBLANK(A144),,IF(COUNTIF('Coder-4'!$A:$A,"="&amp;A144)=0,,COUNTIF('Coder-4'!$A:$A,"="&amp;A144)))</f>
        <v/>
      </c>
    </row>
    <row r="145">
      <c r="A145" s="8">
        <v>44143.0</v>
      </c>
      <c r="B145" s="6" t="str">
        <f>IF(ISBLANK(A145),,IF(COUNTIF('Coder-1'!$A:$A,"="&amp;A145)=0,,COUNTIF('Coder-1'!$A:$A,"="&amp;A145)))</f>
        <v/>
      </c>
      <c r="C145" s="6" t="str">
        <f>IF(ISBLANK(A145),,IF(COUNTIF('Coder-2'!$A:$A,"="&amp;A145)=0,,COUNTIF('Coder-2'!$A:$A,"="&amp;A145)))</f>
        <v/>
      </c>
      <c r="D145" s="6" t="str">
        <f>IF(ISBLANK(A145),,IF(COUNTIF('Coder-3'!$A:$A,"="&amp;A145)=0,,COUNTIF('Coder-3'!$A:$A,"="&amp;A145)))</f>
        <v/>
      </c>
      <c r="E145" s="6" t="str">
        <f>IF(ISBLANK(A145),,IF(COUNTIF('Coder-4'!$A:$A,"="&amp;A145)=0,,COUNTIF('Coder-4'!$A:$A,"="&amp;A145)))</f>
        <v/>
      </c>
    </row>
    <row r="146">
      <c r="A146" s="8">
        <v>44144.0</v>
      </c>
      <c r="B146" s="6" t="str">
        <f>IF(ISBLANK(A146),,IF(COUNTIF('Coder-1'!$A:$A,"="&amp;A146)=0,,COUNTIF('Coder-1'!$A:$A,"="&amp;A146)))</f>
        <v/>
      </c>
      <c r="C146" s="6" t="str">
        <f>IF(ISBLANK(A146),,IF(COUNTIF('Coder-2'!$A:$A,"="&amp;A146)=0,,COUNTIF('Coder-2'!$A:$A,"="&amp;A146)))</f>
        <v/>
      </c>
      <c r="D146" s="6" t="str">
        <f>IF(ISBLANK(A146),,IF(COUNTIF('Coder-3'!$A:$A,"="&amp;A146)=0,,COUNTIF('Coder-3'!$A:$A,"="&amp;A146)))</f>
        <v/>
      </c>
      <c r="E146" s="6" t="str">
        <f>IF(ISBLANK(A146),,IF(COUNTIF('Coder-4'!$A:$A,"="&amp;A146)=0,,COUNTIF('Coder-4'!$A:$A,"="&amp;A146)))</f>
        <v/>
      </c>
    </row>
    <row r="147">
      <c r="A147" s="8">
        <v>44145.0</v>
      </c>
      <c r="B147" s="6" t="str">
        <f>IF(ISBLANK(A147),,IF(COUNTIF('Coder-1'!$A:$A,"="&amp;A147)=0,,COUNTIF('Coder-1'!$A:$A,"="&amp;A147)))</f>
        <v/>
      </c>
      <c r="C147" s="6" t="str">
        <f>IF(ISBLANK(A147),,IF(COUNTIF('Coder-2'!$A:$A,"="&amp;A147)=0,,COUNTIF('Coder-2'!$A:$A,"="&amp;A147)))</f>
        <v/>
      </c>
      <c r="D147" s="6" t="str">
        <f>IF(ISBLANK(A147),,IF(COUNTIF('Coder-3'!$A:$A,"="&amp;A147)=0,,COUNTIF('Coder-3'!$A:$A,"="&amp;A147)))</f>
        <v/>
      </c>
      <c r="E147" s="6" t="str">
        <f>IF(ISBLANK(A147),,IF(COUNTIF('Coder-4'!$A:$A,"="&amp;A147)=0,,COUNTIF('Coder-4'!$A:$A,"="&amp;A147)))</f>
        <v/>
      </c>
    </row>
    <row r="148">
      <c r="A148" s="8">
        <v>44146.0</v>
      </c>
      <c r="B148" s="6" t="str">
        <f>IF(ISBLANK(A148),,IF(COUNTIF('Coder-1'!$A:$A,"="&amp;A148)=0,,COUNTIF('Coder-1'!$A:$A,"="&amp;A148)))</f>
        <v/>
      </c>
      <c r="C148" s="6" t="str">
        <f>IF(ISBLANK(A148),,IF(COUNTIF('Coder-2'!$A:$A,"="&amp;A148)=0,,COUNTIF('Coder-2'!$A:$A,"="&amp;A148)))</f>
        <v/>
      </c>
      <c r="D148" s="6" t="str">
        <f>IF(ISBLANK(A148),,IF(COUNTIF('Coder-3'!$A:$A,"="&amp;A148)=0,,COUNTIF('Coder-3'!$A:$A,"="&amp;A148)))</f>
        <v/>
      </c>
      <c r="E148" s="6" t="str">
        <f>IF(ISBLANK(A148),,IF(COUNTIF('Coder-4'!$A:$A,"="&amp;A148)=0,,COUNTIF('Coder-4'!$A:$A,"="&amp;A148)))</f>
        <v/>
      </c>
    </row>
    <row r="149">
      <c r="A149" s="8">
        <v>44147.0</v>
      </c>
      <c r="B149" s="6" t="str">
        <f>IF(ISBLANK(A149),,IF(COUNTIF('Coder-1'!$A:$A,"="&amp;A149)=0,,COUNTIF('Coder-1'!$A:$A,"="&amp;A149)))</f>
        <v/>
      </c>
      <c r="C149" s="6" t="str">
        <f>IF(ISBLANK(A149),,IF(COUNTIF('Coder-2'!$A:$A,"="&amp;A149)=0,,COUNTIF('Coder-2'!$A:$A,"="&amp;A149)))</f>
        <v/>
      </c>
      <c r="D149" s="6" t="str">
        <f>IF(ISBLANK(A149),,IF(COUNTIF('Coder-3'!$A:$A,"="&amp;A149)=0,,COUNTIF('Coder-3'!$A:$A,"="&amp;A149)))</f>
        <v/>
      </c>
      <c r="E149" s="6" t="str">
        <f>IF(ISBLANK(A149),,IF(COUNTIF('Coder-4'!$A:$A,"="&amp;A149)=0,,COUNTIF('Coder-4'!$A:$A,"="&amp;A149)))</f>
        <v/>
      </c>
    </row>
    <row r="150">
      <c r="A150" s="8">
        <v>44148.0</v>
      </c>
      <c r="B150" s="6" t="str">
        <f>IF(ISBLANK(A150),,IF(COUNTIF('Coder-1'!$A:$A,"="&amp;A150)=0,,COUNTIF('Coder-1'!$A:$A,"="&amp;A150)))</f>
        <v/>
      </c>
      <c r="C150" s="6" t="str">
        <f>IF(ISBLANK(A150),,IF(COUNTIF('Coder-2'!$A:$A,"="&amp;A150)=0,,COUNTIF('Coder-2'!$A:$A,"="&amp;A150)))</f>
        <v/>
      </c>
      <c r="D150" s="6" t="str">
        <f>IF(ISBLANK(A150),,IF(COUNTIF('Coder-3'!$A:$A,"="&amp;A150)=0,,COUNTIF('Coder-3'!$A:$A,"="&amp;A150)))</f>
        <v/>
      </c>
      <c r="E150" s="6" t="str">
        <f>IF(ISBLANK(A150),,IF(COUNTIF('Coder-4'!$A:$A,"="&amp;A150)=0,,COUNTIF('Coder-4'!$A:$A,"="&amp;A150)))</f>
        <v/>
      </c>
    </row>
    <row r="151">
      <c r="A151" s="8">
        <v>44149.0</v>
      </c>
      <c r="B151" s="6" t="str">
        <f>IF(ISBLANK(A151),,IF(COUNTIF('Coder-1'!$A:$A,"="&amp;A151)=0,,COUNTIF('Coder-1'!$A:$A,"="&amp;A151)))</f>
        <v/>
      </c>
      <c r="C151" s="6" t="str">
        <f>IF(ISBLANK(A151),,IF(COUNTIF('Coder-2'!$A:$A,"="&amp;A151)=0,,COUNTIF('Coder-2'!$A:$A,"="&amp;A151)))</f>
        <v/>
      </c>
      <c r="D151" s="6" t="str">
        <f>IF(ISBLANK(A151),,IF(COUNTIF('Coder-3'!$A:$A,"="&amp;A151)=0,,COUNTIF('Coder-3'!$A:$A,"="&amp;A151)))</f>
        <v/>
      </c>
      <c r="E151" s="6" t="str">
        <f>IF(ISBLANK(A151),,IF(COUNTIF('Coder-4'!$A:$A,"="&amp;A151)=0,,COUNTIF('Coder-4'!$A:$A,"="&amp;A151)))</f>
        <v/>
      </c>
    </row>
    <row r="152">
      <c r="A152" s="8">
        <v>44150.0</v>
      </c>
      <c r="B152" s="6" t="str">
        <f>IF(ISBLANK(A152),,IF(COUNTIF('Coder-1'!$A:$A,"="&amp;A152)=0,,COUNTIF('Coder-1'!$A:$A,"="&amp;A152)))</f>
        <v/>
      </c>
      <c r="C152" s="6" t="str">
        <f>IF(ISBLANK(A152),,IF(COUNTIF('Coder-2'!$A:$A,"="&amp;A152)=0,,COUNTIF('Coder-2'!$A:$A,"="&amp;A152)))</f>
        <v/>
      </c>
      <c r="D152" s="6" t="str">
        <f>IF(ISBLANK(A152),,IF(COUNTIF('Coder-3'!$A:$A,"="&amp;A152)=0,,COUNTIF('Coder-3'!$A:$A,"="&amp;A152)))</f>
        <v/>
      </c>
      <c r="E152" s="6" t="str">
        <f>IF(ISBLANK(A152),,IF(COUNTIF('Coder-4'!$A:$A,"="&amp;A152)=0,,COUNTIF('Coder-4'!$A:$A,"="&amp;A152)))</f>
        <v/>
      </c>
    </row>
    <row r="153">
      <c r="A153" s="8">
        <v>44151.0</v>
      </c>
      <c r="B153" s="6" t="str">
        <f>IF(ISBLANK(A153),,IF(COUNTIF('Coder-1'!$A:$A,"="&amp;A153)=0,,COUNTIF('Coder-1'!$A:$A,"="&amp;A153)))</f>
        <v/>
      </c>
      <c r="C153" s="6" t="str">
        <f>IF(ISBLANK(A153),,IF(COUNTIF('Coder-2'!$A:$A,"="&amp;A153)=0,,COUNTIF('Coder-2'!$A:$A,"="&amp;A153)))</f>
        <v/>
      </c>
      <c r="D153" s="6" t="str">
        <f>IF(ISBLANK(A153),,IF(COUNTIF('Coder-3'!$A:$A,"="&amp;A153)=0,,COUNTIF('Coder-3'!$A:$A,"="&amp;A153)))</f>
        <v/>
      </c>
      <c r="E153" s="6" t="str">
        <f>IF(ISBLANK(A153),,IF(COUNTIF('Coder-4'!$A:$A,"="&amp;A153)=0,,COUNTIF('Coder-4'!$A:$A,"="&amp;A153)))</f>
        <v/>
      </c>
    </row>
    <row r="154">
      <c r="A154" s="8">
        <v>44152.0</v>
      </c>
      <c r="B154" s="6" t="str">
        <f>IF(ISBLANK(A154),,IF(COUNTIF('Coder-1'!$A:$A,"="&amp;A154)=0,,COUNTIF('Coder-1'!$A:$A,"="&amp;A154)))</f>
        <v/>
      </c>
      <c r="C154" s="6" t="str">
        <f>IF(ISBLANK(A154),,IF(COUNTIF('Coder-2'!$A:$A,"="&amp;A154)=0,,COUNTIF('Coder-2'!$A:$A,"="&amp;A154)))</f>
        <v/>
      </c>
      <c r="D154" s="6" t="str">
        <f>IF(ISBLANK(A154),,IF(COUNTIF('Coder-3'!$A:$A,"="&amp;A154)=0,,COUNTIF('Coder-3'!$A:$A,"="&amp;A154)))</f>
        <v/>
      </c>
      <c r="E154" s="6" t="str">
        <f>IF(ISBLANK(A154),,IF(COUNTIF('Coder-4'!$A:$A,"="&amp;A154)=0,,COUNTIF('Coder-4'!$A:$A,"="&amp;A154)))</f>
        <v/>
      </c>
    </row>
    <row r="155">
      <c r="A155" s="8">
        <v>44153.0</v>
      </c>
      <c r="B155" s="6" t="str">
        <f>IF(ISBLANK(A155),,IF(COUNTIF('Coder-1'!$A:$A,"="&amp;A155)=0,,COUNTIF('Coder-1'!$A:$A,"="&amp;A155)))</f>
        <v/>
      </c>
      <c r="C155" s="6" t="str">
        <f>IF(ISBLANK(A155),,IF(COUNTIF('Coder-2'!$A:$A,"="&amp;A155)=0,,COUNTIF('Coder-2'!$A:$A,"="&amp;A155)))</f>
        <v/>
      </c>
      <c r="D155" s="6" t="str">
        <f>IF(ISBLANK(A155),,IF(COUNTIF('Coder-3'!$A:$A,"="&amp;A155)=0,,COUNTIF('Coder-3'!$A:$A,"="&amp;A155)))</f>
        <v/>
      </c>
      <c r="E155" s="6" t="str">
        <f>IF(ISBLANK(A155),,IF(COUNTIF('Coder-4'!$A:$A,"="&amp;A155)=0,,COUNTIF('Coder-4'!$A:$A,"="&amp;A155)))</f>
        <v/>
      </c>
    </row>
    <row r="156">
      <c r="A156" s="8">
        <v>44154.0</v>
      </c>
      <c r="B156" s="6" t="str">
        <f>IF(ISBLANK(A156),,IF(COUNTIF('Coder-1'!$A:$A,"="&amp;A156)=0,,COUNTIF('Coder-1'!$A:$A,"="&amp;A156)))</f>
        <v/>
      </c>
      <c r="C156" s="6" t="str">
        <f>IF(ISBLANK(A156),,IF(COUNTIF('Coder-2'!$A:$A,"="&amp;A156)=0,,COUNTIF('Coder-2'!$A:$A,"="&amp;A156)))</f>
        <v/>
      </c>
      <c r="D156" s="6" t="str">
        <f>IF(ISBLANK(A156),,IF(COUNTIF('Coder-3'!$A:$A,"="&amp;A156)=0,,COUNTIF('Coder-3'!$A:$A,"="&amp;A156)))</f>
        <v/>
      </c>
      <c r="E156" s="6" t="str">
        <f>IF(ISBLANK(A156),,IF(COUNTIF('Coder-4'!$A:$A,"="&amp;A156)=0,,COUNTIF('Coder-4'!$A:$A,"="&amp;A156)))</f>
        <v/>
      </c>
    </row>
    <row r="157">
      <c r="A157" s="8">
        <v>44155.0</v>
      </c>
      <c r="B157" s="6" t="str">
        <f>IF(ISBLANK(A157),,IF(COUNTIF('Coder-1'!$A:$A,"="&amp;A157)=0,,COUNTIF('Coder-1'!$A:$A,"="&amp;A157)))</f>
        <v/>
      </c>
      <c r="C157" s="6" t="str">
        <f>IF(ISBLANK(A157),,IF(COUNTIF('Coder-2'!$A:$A,"="&amp;A157)=0,,COUNTIF('Coder-2'!$A:$A,"="&amp;A157)))</f>
        <v/>
      </c>
      <c r="D157" s="6" t="str">
        <f>IF(ISBLANK(A157),,IF(COUNTIF('Coder-3'!$A:$A,"="&amp;A157)=0,,COUNTIF('Coder-3'!$A:$A,"="&amp;A157)))</f>
        <v/>
      </c>
      <c r="E157" s="6" t="str">
        <f>IF(ISBLANK(A157),,IF(COUNTIF('Coder-4'!$A:$A,"="&amp;A157)=0,,COUNTIF('Coder-4'!$A:$A,"="&amp;A157)))</f>
        <v/>
      </c>
    </row>
    <row r="158">
      <c r="A158" s="8">
        <v>44156.0</v>
      </c>
      <c r="B158" s="6" t="str">
        <f>IF(ISBLANK(A158),,IF(COUNTIF('Coder-1'!$A:$A,"="&amp;A158)=0,,COUNTIF('Coder-1'!$A:$A,"="&amp;A158)))</f>
        <v/>
      </c>
      <c r="C158" s="6" t="str">
        <f>IF(ISBLANK(A158),,IF(COUNTIF('Coder-2'!$A:$A,"="&amp;A158)=0,,COUNTIF('Coder-2'!$A:$A,"="&amp;A158)))</f>
        <v/>
      </c>
      <c r="D158" s="6" t="str">
        <f>IF(ISBLANK(A158),,IF(COUNTIF('Coder-3'!$A:$A,"="&amp;A158)=0,,COUNTIF('Coder-3'!$A:$A,"="&amp;A158)))</f>
        <v/>
      </c>
      <c r="E158" s="6" t="str">
        <f>IF(ISBLANK(A158),,IF(COUNTIF('Coder-4'!$A:$A,"="&amp;A158)=0,,COUNTIF('Coder-4'!$A:$A,"="&amp;A158)))</f>
        <v/>
      </c>
    </row>
    <row r="159">
      <c r="A159" s="8">
        <v>44157.0</v>
      </c>
      <c r="B159" s="6" t="str">
        <f>IF(ISBLANK(A159),,IF(COUNTIF('Coder-1'!$A:$A,"="&amp;A159)=0,,COUNTIF('Coder-1'!$A:$A,"="&amp;A159)))</f>
        <v/>
      </c>
      <c r="C159" s="6" t="str">
        <f>IF(ISBLANK(A159),,IF(COUNTIF('Coder-2'!$A:$A,"="&amp;A159)=0,,COUNTIF('Coder-2'!$A:$A,"="&amp;A159)))</f>
        <v/>
      </c>
      <c r="D159" s="6" t="str">
        <f>IF(ISBLANK(A159),,IF(COUNTIF('Coder-3'!$A:$A,"="&amp;A159)=0,,COUNTIF('Coder-3'!$A:$A,"="&amp;A159)))</f>
        <v/>
      </c>
      <c r="E159" s="6" t="str">
        <f>IF(ISBLANK(A159),,IF(COUNTIF('Coder-4'!$A:$A,"="&amp;A159)=0,,COUNTIF('Coder-4'!$A:$A,"="&amp;A159)))</f>
        <v/>
      </c>
    </row>
    <row r="160">
      <c r="A160" s="8">
        <v>44158.0</v>
      </c>
      <c r="B160" s="6" t="str">
        <f>IF(ISBLANK(A160),,IF(COUNTIF('Coder-1'!$A:$A,"="&amp;A160)=0,,COUNTIF('Coder-1'!$A:$A,"="&amp;A160)))</f>
        <v/>
      </c>
      <c r="C160" s="6" t="str">
        <f>IF(ISBLANK(A160),,IF(COUNTIF('Coder-2'!$A:$A,"="&amp;A160)=0,,COUNTIF('Coder-2'!$A:$A,"="&amp;A160)))</f>
        <v/>
      </c>
      <c r="D160" s="6" t="str">
        <f>IF(ISBLANK(A160),,IF(COUNTIF('Coder-3'!$A:$A,"="&amp;A160)=0,,COUNTIF('Coder-3'!$A:$A,"="&amp;A160)))</f>
        <v/>
      </c>
      <c r="E160" s="6" t="str">
        <f>IF(ISBLANK(A160),,IF(COUNTIF('Coder-4'!$A:$A,"="&amp;A160)=0,,COUNTIF('Coder-4'!$A:$A,"="&amp;A160)))</f>
        <v/>
      </c>
    </row>
    <row r="161">
      <c r="A161" s="8">
        <v>44159.0</v>
      </c>
      <c r="B161" s="6" t="str">
        <f>IF(ISBLANK(A161),,IF(COUNTIF('Coder-1'!$A:$A,"="&amp;A161)=0,,COUNTIF('Coder-1'!$A:$A,"="&amp;A161)))</f>
        <v/>
      </c>
      <c r="C161" s="6" t="str">
        <f>IF(ISBLANK(A161),,IF(COUNTIF('Coder-2'!$A:$A,"="&amp;A161)=0,,COUNTIF('Coder-2'!$A:$A,"="&amp;A161)))</f>
        <v/>
      </c>
      <c r="D161" s="6" t="str">
        <f>IF(ISBLANK(A161),,IF(COUNTIF('Coder-3'!$A:$A,"="&amp;A161)=0,,COUNTIF('Coder-3'!$A:$A,"="&amp;A161)))</f>
        <v/>
      </c>
      <c r="E161" s="6" t="str">
        <f>IF(ISBLANK(A161),,IF(COUNTIF('Coder-4'!$A:$A,"="&amp;A161)=0,,COUNTIF('Coder-4'!$A:$A,"="&amp;A161)))</f>
        <v/>
      </c>
    </row>
    <row r="162">
      <c r="A162" s="8">
        <v>44160.0</v>
      </c>
      <c r="B162" s="6" t="str">
        <f>IF(ISBLANK(A162),,IF(COUNTIF('Coder-1'!$A:$A,"="&amp;A162)=0,,COUNTIF('Coder-1'!$A:$A,"="&amp;A162)))</f>
        <v/>
      </c>
      <c r="C162" s="6" t="str">
        <f>IF(ISBLANK(A162),,IF(COUNTIF('Coder-2'!$A:$A,"="&amp;A162)=0,,COUNTIF('Coder-2'!$A:$A,"="&amp;A162)))</f>
        <v/>
      </c>
      <c r="D162" s="6" t="str">
        <f>IF(ISBLANK(A162),,IF(COUNTIF('Coder-3'!$A:$A,"="&amp;A162)=0,,COUNTIF('Coder-3'!$A:$A,"="&amp;A162)))</f>
        <v/>
      </c>
      <c r="E162" s="6" t="str">
        <f>IF(ISBLANK(A162),,IF(COUNTIF('Coder-4'!$A:$A,"="&amp;A162)=0,,COUNTIF('Coder-4'!$A:$A,"="&amp;A162)))</f>
        <v/>
      </c>
    </row>
    <row r="163">
      <c r="A163" s="8">
        <v>44161.0</v>
      </c>
      <c r="B163" s="6" t="str">
        <f>IF(ISBLANK(A163),,IF(COUNTIF('Coder-1'!$A:$A,"="&amp;A163)=0,,COUNTIF('Coder-1'!$A:$A,"="&amp;A163)))</f>
        <v/>
      </c>
      <c r="C163" s="6" t="str">
        <f>IF(ISBLANK(A163),,IF(COUNTIF('Coder-2'!$A:$A,"="&amp;A163)=0,,COUNTIF('Coder-2'!$A:$A,"="&amp;A163)))</f>
        <v/>
      </c>
      <c r="D163" s="6" t="str">
        <f>IF(ISBLANK(A163),,IF(COUNTIF('Coder-3'!$A:$A,"="&amp;A163)=0,,COUNTIF('Coder-3'!$A:$A,"="&amp;A163)))</f>
        <v/>
      </c>
      <c r="E163" s="6" t="str">
        <f>IF(ISBLANK(A163),,IF(COUNTIF('Coder-4'!$A:$A,"="&amp;A163)=0,,COUNTIF('Coder-4'!$A:$A,"="&amp;A163)))</f>
        <v/>
      </c>
    </row>
    <row r="164">
      <c r="A164" s="8">
        <v>44162.0</v>
      </c>
      <c r="B164" s="6" t="str">
        <f>IF(ISBLANK(A164),,IF(COUNTIF('Coder-1'!$A:$A,"="&amp;A164)=0,,COUNTIF('Coder-1'!$A:$A,"="&amp;A164)))</f>
        <v/>
      </c>
      <c r="C164" s="6" t="str">
        <f>IF(ISBLANK(A164),,IF(COUNTIF('Coder-2'!$A:$A,"="&amp;A164)=0,,COUNTIF('Coder-2'!$A:$A,"="&amp;A164)))</f>
        <v/>
      </c>
      <c r="D164" s="6" t="str">
        <f>IF(ISBLANK(A164),,IF(COUNTIF('Coder-3'!$A:$A,"="&amp;A164)=0,,COUNTIF('Coder-3'!$A:$A,"="&amp;A164)))</f>
        <v/>
      </c>
      <c r="E164" s="6" t="str">
        <f>IF(ISBLANK(A164),,IF(COUNTIF('Coder-4'!$A:$A,"="&amp;A164)=0,,COUNTIF('Coder-4'!$A:$A,"="&amp;A164)))</f>
        <v/>
      </c>
    </row>
    <row r="165">
      <c r="A165" s="8">
        <v>44163.0</v>
      </c>
      <c r="B165" s="6" t="str">
        <f>IF(ISBLANK(A165),,IF(COUNTIF('Coder-1'!$A:$A,"="&amp;A165)=0,,COUNTIF('Coder-1'!$A:$A,"="&amp;A165)))</f>
        <v/>
      </c>
      <c r="C165" s="6" t="str">
        <f>IF(ISBLANK(A165),,IF(COUNTIF('Coder-2'!$A:$A,"="&amp;A165)=0,,COUNTIF('Coder-2'!$A:$A,"="&amp;A165)))</f>
        <v/>
      </c>
      <c r="D165" s="6" t="str">
        <f>IF(ISBLANK(A165),,IF(COUNTIF('Coder-3'!$A:$A,"="&amp;A165)=0,,COUNTIF('Coder-3'!$A:$A,"="&amp;A165)))</f>
        <v/>
      </c>
      <c r="E165" s="6" t="str">
        <f>IF(ISBLANK(A165),,IF(COUNTIF('Coder-4'!$A:$A,"="&amp;A165)=0,,COUNTIF('Coder-4'!$A:$A,"="&amp;A165)))</f>
        <v/>
      </c>
    </row>
    <row r="166">
      <c r="A166" s="8">
        <v>44164.0</v>
      </c>
      <c r="B166" s="6" t="str">
        <f>IF(ISBLANK(A166),,IF(COUNTIF('Coder-1'!$A:$A,"="&amp;A166)=0,,COUNTIF('Coder-1'!$A:$A,"="&amp;A166)))</f>
        <v/>
      </c>
      <c r="C166" s="6" t="str">
        <f>IF(ISBLANK(A166),,IF(COUNTIF('Coder-2'!$A:$A,"="&amp;A166)=0,,COUNTIF('Coder-2'!$A:$A,"="&amp;A166)))</f>
        <v/>
      </c>
      <c r="D166" s="6" t="str">
        <f>IF(ISBLANK(A166),,IF(COUNTIF('Coder-3'!$A:$A,"="&amp;A166)=0,,COUNTIF('Coder-3'!$A:$A,"="&amp;A166)))</f>
        <v/>
      </c>
      <c r="E166" s="6" t="str">
        <f>IF(ISBLANK(A166),,IF(COUNTIF('Coder-4'!$A:$A,"="&amp;A166)=0,,COUNTIF('Coder-4'!$A:$A,"="&amp;A166)))</f>
        <v/>
      </c>
    </row>
    <row r="167">
      <c r="A167" s="8">
        <v>44165.0</v>
      </c>
      <c r="B167" s="6" t="str">
        <f>IF(ISBLANK(A167),,IF(COUNTIF('Coder-1'!$A:$A,"="&amp;A167)=0,,COUNTIF('Coder-1'!$A:$A,"="&amp;A167)))</f>
        <v/>
      </c>
      <c r="C167" s="6" t="str">
        <f>IF(ISBLANK(A167),,IF(COUNTIF('Coder-2'!$A:$A,"="&amp;A167)=0,,COUNTIF('Coder-2'!$A:$A,"="&amp;A167)))</f>
        <v/>
      </c>
      <c r="D167" s="6" t="str">
        <f>IF(ISBLANK(A167),,IF(COUNTIF('Coder-3'!$A:$A,"="&amp;A167)=0,,COUNTIF('Coder-3'!$A:$A,"="&amp;A167)))</f>
        <v/>
      </c>
      <c r="E167" s="6" t="str">
        <f>IF(ISBLANK(A167),,IF(COUNTIF('Coder-4'!$A:$A,"="&amp;A167)=0,,COUNTIF('Coder-4'!$A:$A,"="&amp;A167)))</f>
        <v/>
      </c>
    </row>
    <row r="168">
      <c r="A168" s="8">
        <v>44166.0</v>
      </c>
      <c r="B168" s="6" t="str">
        <f>IF(ISBLANK(A168),,IF(COUNTIF('Coder-1'!$A:$A,"="&amp;A168)=0,,COUNTIF('Coder-1'!$A:$A,"="&amp;A168)))</f>
        <v/>
      </c>
      <c r="C168" s="6" t="str">
        <f>IF(ISBLANK(A168),,IF(COUNTIF('Coder-2'!$A:$A,"="&amp;A168)=0,,COUNTIF('Coder-2'!$A:$A,"="&amp;A168)))</f>
        <v/>
      </c>
      <c r="D168" s="6" t="str">
        <f>IF(ISBLANK(A168),,IF(COUNTIF('Coder-3'!$A:$A,"="&amp;A168)=0,,COUNTIF('Coder-3'!$A:$A,"="&amp;A168)))</f>
        <v/>
      </c>
      <c r="E168" s="6" t="str">
        <f>IF(ISBLANK(A168),,IF(COUNTIF('Coder-4'!$A:$A,"="&amp;A168)=0,,COUNTIF('Coder-4'!$A:$A,"="&amp;A168)))</f>
        <v/>
      </c>
    </row>
    <row r="169">
      <c r="A169" s="8">
        <v>44167.0</v>
      </c>
      <c r="B169" s="6" t="str">
        <f>IF(ISBLANK(A169),,IF(COUNTIF('Coder-1'!$A:$A,"="&amp;A169)=0,,COUNTIF('Coder-1'!$A:$A,"="&amp;A169)))</f>
        <v/>
      </c>
      <c r="C169" s="6" t="str">
        <f>IF(ISBLANK(A169),,IF(COUNTIF('Coder-2'!$A:$A,"="&amp;A169)=0,,COUNTIF('Coder-2'!$A:$A,"="&amp;A169)))</f>
        <v/>
      </c>
      <c r="D169" s="6" t="str">
        <f>IF(ISBLANK(A169),,IF(COUNTIF('Coder-3'!$A:$A,"="&amp;A169)=0,,COUNTIF('Coder-3'!$A:$A,"="&amp;A169)))</f>
        <v/>
      </c>
      <c r="E169" s="6" t="str">
        <f>IF(ISBLANK(A169),,IF(COUNTIF('Coder-4'!$A:$A,"="&amp;A169)=0,,COUNTIF('Coder-4'!$A:$A,"="&amp;A169)))</f>
        <v/>
      </c>
    </row>
    <row r="170">
      <c r="A170" s="8">
        <v>44168.0</v>
      </c>
      <c r="B170" s="6" t="str">
        <f>IF(ISBLANK(A170),,IF(COUNTIF('Coder-1'!$A:$A,"="&amp;A170)=0,,COUNTIF('Coder-1'!$A:$A,"="&amp;A170)))</f>
        <v/>
      </c>
      <c r="C170" s="6" t="str">
        <f>IF(ISBLANK(A170),,IF(COUNTIF('Coder-2'!$A:$A,"="&amp;A170)=0,,COUNTIF('Coder-2'!$A:$A,"="&amp;A170)))</f>
        <v/>
      </c>
      <c r="D170" s="6" t="str">
        <f>IF(ISBLANK(A170),,IF(COUNTIF('Coder-3'!$A:$A,"="&amp;A170)=0,,COUNTIF('Coder-3'!$A:$A,"="&amp;A170)))</f>
        <v/>
      </c>
      <c r="E170" s="6" t="str">
        <f>IF(ISBLANK(A170),,IF(COUNTIF('Coder-4'!$A:$A,"="&amp;A170)=0,,COUNTIF('Coder-4'!$A:$A,"="&amp;A170)))</f>
        <v/>
      </c>
    </row>
    <row r="171">
      <c r="A171" s="8">
        <v>44169.0</v>
      </c>
      <c r="B171" s="6" t="str">
        <f>IF(ISBLANK(A171),,IF(COUNTIF('Coder-1'!$A:$A,"="&amp;A171)=0,,COUNTIF('Coder-1'!$A:$A,"="&amp;A171)))</f>
        <v/>
      </c>
      <c r="C171" s="6" t="str">
        <f>IF(ISBLANK(A171),,IF(COUNTIF('Coder-2'!$A:$A,"="&amp;A171)=0,,COUNTIF('Coder-2'!$A:$A,"="&amp;A171)))</f>
        <v/>
      </c>
      <c r="D171" s="6" t="str">
        <f>IF(ISBLANK(A171),,IF(COUNTIF('Coder-3'!$A:$A,"="&amp;A171)=0,,COUNTIF('Coder-3'!$A:$A,"="&amp;A171)))</f>
        <v/>
      </c>
      <c r="E171" s="6" t="str">
        <f>IF(ISBLANK(A171),,IF(COUNTIF('Coder-4'!$A:$A,"="&amp;A171)=0,,COUNTIF('Coder-4'!$A:$A,"="&amp;A171)))</f>
        <v/>
      </c>
    </row>
    <row r="172">
      <c r="A172" s="8">
        <v>44170.0</v>
      </c>
      <c r="B172" s="6" t="str">
        <f>IF(ISBLANK(A172),,IF(COUNTIF('Coder-1'!$A:$A,"="&amp;A172)=0,,COUNTIF('Coder-1'!$A:$A,"="&amp;A172)))</f>
        <v/>
      </c>
      <c r="C172" s="6" t="str">
        <f>IF(ISBLANK(A172),,IF(COUNTIF('Coder-2'!$A:$A,"="&amp;A172)=0,,COUNTIF('Coder-2'!$A:$A,"="&amp;A172)))</f>
        <v/>
      </c>
      <c r="D172" s="6" t="str">
        <f>IF(ISBLANK(A172),,IF(COUNTIF('Coder-3'!$A:$A,"="&amp;A172)=0,,COUNTIF('Coder-3'!$A:$A,"="&amp;A172)))</f>
        <v/>
      </c>
      <c r="E172" s="6" t="str">
        <f>IF(ISBLANK(A172),,IF(COUNTIF('Coder-4'!$A:$A,"="&amp;A172)=0,,COUNTIF('Coder-4'!$A:$A,"="&amp;A172)))</f>
        <v/>
      </c>
    </row>
    <row r="173">
      <c r="A173" s="8">
        <v>44171.0</v>
      </c>
      <c r="B173" s="6" t="str">
        <f>IF(ISBLANK(A173),,IF(COUNTIF('Coder-1'!$A:$A,"="&amp;A173)=0,,COUNTIF('Coder-1'!$A:$A,"="&amp;A173)))</f>
        <v/>
      </c>
      <c r="C173" s="6" t="str">
        <f>IF(ISBLANK(A173),,IF(COUNTIF('Coder-2'!$A:$A,"="&amp;A173)=0,,COUNTIF('Coder-2'!$A:$A,"="&amp;A173)))</f>
        <v/>
      </c>
      <c r="D173" s="6" t="str">
        <f>IF(ISBLANK(A173),,IF(COUNTIF('Coder-3'!$A:$A,"="&amp;A173)=0,,COUNTIF('Coder-3'!$A:$A,"="&amp;A173)))</f>
        <v/>
      </c>
      <c r="E173" s="6" t="str">
        <f>IF(ISBLANK(A173),,IF(COUNTIF('Coder-4'!$A:$A,"="&amp;A173)=0,,COUNTIF('Coder-4'!$A:$A,"="&amp;A173)))</f>
        <v/>
      </c>
    </row>
    <row r="174">
      <c r="A174" s="8">
        <v>44172.0</v>
      </c>
      <c r="B174" s="6" t="str">
        <f>IF(ISBLANK(A174),,IF(COUNTIF('Coder-1'!$A:$A,"="&amp;A174)=0,,COUNTIF('Coder-1'!$A:$A,"="&amp;A174)))</f>
        <v/>
      </c>
      <c r="C174" s="6" t="str">
        <f>IF(ISBLANK(A174),,IF(COUNTIF('Coder-2'!$A:$A,"="&amp;A174)=0,,COUNTIF('Coder-2'!$A:$A,"="&amp;A174)))</f>
        <v/>
      </c>
      <c r="D174" s="6" t="str">
        <f>IF(ISBLANK(A174),,IF(COUNTIF('Coder-3'!$A:$A,"="&amp;A174)=0,,COUNTIF('Coder-3'!$A:$A,"="&amp;A174)))</f>
        <v/>
      </c>
      <c r="E174" s="6" t="str">
        <f>IF(ISBLANK(A174),,IF(COUNTIF('Coder-4'!$A:$A,"="&amp;A174)=0,,COUNTIF('Coder-4'!$A:$A,"="&amp;A174)))</f>
        <v/>
      </c>
    </row>
    <row r="175">
      <c r="A175" s="8">
        <v>44173.0</v>
      </c>
      <c r="B175" s="6" t="str">
        <f>IF(ISBLANK(A175),,IF(COUNTIF('Coder-1'!$A:$A,"="&amp;A175)=0,,COUNTIF('Coder-1'!$A:$A,"="&amp;A175)))</f>
        <v/>
      </c>
      <c r="C175" s="6" t="str">
        <f>IF(ISBLANK(A175),,IF(COUNTIF('Coder-2'!$A:$A,"="&amp;A175)=0,,COUNTIF('Coder-2'!$A:$A,"="&amp;A175)))</f>
        <v/>
      </c>
      <c r="D175" s="6" t="str">
        <f>IF(ISBLANK(A175),,IF(COUNTIF('Coder-3'!$A:$A,"="&amp;A175)=0,,COUNTIF('Coder-3'!$A:$A,"="&amp;A175)))</f>
        <v/>
      </c>
      <c r="E175" s="6" t="str">
        <f>IF(ISBLANK(A175),,IF(COUNTIF('Coder-4'!$A:$A,"="&amp;A175)=0,,COUNTIF('Coder-4'!$A:$A,"="&amp;A175)))</f>
        <v/>
      </c>
    </row>
    <row r="176">
      <c r="A176" s="8">
        <v>44174.0</v>
      </c>
      <c r="B176" s="6" t="str">
        <f>IF(ISBLANK(A176),,IF(COUNTIF('Coder-1'!$A:$A,"="&amp;A176)=0,,COUNTIF('Coder-1'!$A:$A,"="&amp;A176)))</f>
        <v/>
      </c>
      <c r="C176" s="6" t="str">
        <f>IF(ISBLANK(A176),,IF(COUNTIF('Coder-2'!$A:$A,"="&amp;A176)=0,,COUNTIF('Coder-2'!$A:$A,"="&amp;A176)))</f>
        <v/>
      </c>
      <c r="D176" s="6" t="str">
        <f>IF(ISBLANK(A176),,IF(COUNTIF('Coder-3'!$A:$A,"="&amp;A176)=0,,COUNTIF('Coder-3'!$A:$A,"="&amp;A176)))</f>
        <v/>
      </c>
      <c r="E176" s="6" t="str">
        <f>IF(ISBLANK(A176),,IF(COUNTIF('Coder-4'!$A:$A,"="&amp;A176)=0,,COUNTIF('Coder-4'!$A:$A,"="&amp;A176)))</f>
        <v/>
      </c>
    </row>
    <row r="177">
      <c r="A177" s="8">
        <v>44175.0</v>
      </c>
      <c r="B177" s="6" t="str">
        <f>IF(ISBLANK(A177),,IF(COUNTIF('Coder-1'!$A:$A,"="&amp;A177)=0,,COUNTIF('Coder-1'!$A:$A,"="&amp;A177)))</f>
        <v/>
      </c>
      <c r="C177" s="6" t="str">
        <f>IF(ISBLANK(A177),,IF(COUNTIF('Coder-2'!$A:$A,"="&amp;A177)=0,,COUNTIF('Coder-2'!$A:$A,"="&amp;A177)))</f>
        <v/>
      </c>
      <c r="D177" s="6" t="str">
        <f>IF(ISBLANK(A177),,IF(COUNTIF('Coder-3'!$A:$A,"="&amp;A177)=0,,COUNTIF('Coder-3'!$A:$A,"="&amp;A177)))</f>
        <v/>
      </c>
      <c r="E177" s="6" t="str">
        <f>IF(ISBLANK(A177),,IF(COUNTIF('Coder-4'!$A:$A,"="&amp;A177)=0,,COUNTIF('Coder-4'!$A:$A,"="&amp;A177)))</f>
        <v/>
      </c>
    </row>
    <row r="178">
      <c r="A178" s="8">
        <v>44176.0</v>
      </c>
      <c r="B178" s="6" t="str">
        <f>IF(ISBLANK(A178),,IF(COUNTIF('Coder-1'!$A:$A,"="&amp;A178)=0,,COUNTIF('Coder-1'!$A:$A,"="&amp;A178)))</f>
        <v/>
      </c>
      <c r="C178" s="6" t="str">
        <f>IF(ISBLANK(A178),,IF(COUNTIF('Coder-2'!$A:$A,"="&amp;A178)=0,,COUNTIF('Coder-2'!$A:$A,"="&amp;A178)))</f>
        <v/>
      </c>
      <c r="D178" s="6" t="str">
        <f>IF(ISBLANK(A178),,IF(COUNTIF('Coder-3'!$A:$A,"="&amp;A178)=0,,COUNTIF('Coder-3'!$A:$A,"="&amp;A178)))</f>
        <v/>
      </c>
      <c r="E178" s="6" t="str">
        <f>IF(ISBLANK(A178),,IF(COUNTIF('Coder-4'!$A:$A,"="&amp;A178)=0,,COUNTIF('Coder-4'!$A:$A,"="&amp;A178)))</f>
        <v/>
      </c>
    </row>
    <row r="179">
      <c r="A179" s="8">
        <v>44177.0</v>
      </c>
      <c r="B179" s="6" t="str">
        <f>IF(ISBLANK(A179),,IF(COUNTIF('Coder-1'!$A:$A,"="&amp;A179)=0,,COUNTIF('Coder-1'!$A:$A,"="&amp;A179)))</f>
        <v/>
      </c>
      <c r="C179" s="6" t="str">
        <f>IF(ISBLANK(A179),,IF(COUNTIF('Coder-2'!$A:$A,"="&amp;A179)=0,,COUNTIF('Coder-2'!$A:$A,"="&amp;A179)))</f>
        <v/>
      </c>
      <c r="D179" s="6" t="str">
        <f>IF(ISBLANK(A179),,IF(COUNTIF('Coder-3'!$A:$A,"="&amp;A179)=0,,COUNTIF('Coder-3'!$A:$A,"="&amp;A179)))</f>
        <v/>
      </c>
      <c r="E179" s="6" t="str">
        <f>IF(ISBLANK(A179),,IF(COUNTIF('Coder-4'!$A:$A,"="&amp;A179)=0,,COUNTIF('Coder-4'!$A:$A,"="&amp;A179)))</f>
        <v/>
      </c>
    </row>
    <row r="180">
      <c r="A180" s="8">
        <v>44178.0</v>
      </c>
      <c r="B180" s="6" t="str">
        <f>IF(ISBLANK(A180),,IF(COUNTIF('Coder-1'!$A:$A,"="&amp;A180)=0,,COUNTIF('Coder-1'!$A:$A,"="&amp;A180)))</f>
        <v/>
      </c>
      <c r="C180" s="6" t="str">
        <f>IF(ISBLANK(A180),,IF(COUNTIF('Coder-2'!$A:$A,"="&amp;A180)=0,,COUNTIF('Coder-2'!$A:$A,"="&amp;A180)))</f>
        <v/>
      </c>
      <c r="D180" s="6" t="str">
        <f>IF(ISBLANK(A180),,IF(COUNTIF('Coder-3'!$A:$A,"="&amp;A180)=0,,COUNTIF('Coder-3'!$A:$A,"="&amp;A180)))</f>
        <v/>
      </c>
      <c r="E180" s="6" t="str">
        <f>IF(ISBLANK(A180),,IF(COUNTIF('Coder-4'!$A:$A,"="&amp;A180)=0,,COUNTIF('Coder-4'!$A:$A,"="&amp;A180)))</f>
        <v/>
      </c>
    </row>
    <row r="181">
      <c r="A181" s="8">
        <v>44179.0</v>
      </c>
      <c r="B181" s="6" t="str">
        <f>IF(ISBLANK(A181),,IF(COUNTIF('Coder-1'!$A:$A,"="&amp;A181)=0,,COUNTIF('Coder-1'!$A:$A,"="&amp;A181)))</f>
        <v/>
      </c>
      <c r="C181" s="6" t="str">
        <f>IF(ISBLANK(A181),,IF(COUNTIF('Coder-2'!$A:$A,"="&amp;A181)=0,,COUNTIF('Coder-2'!$A:$A,"="&amp;A181)))</f>
        <v/>
      </c>
      <c r="D181" s="6" t="str">
        <f>IF(ISBLANK(A181),,IF(COUNTIF('Coder-3'!$A:$A,"="&amp;A181)=0,,COUNTIF('Coder-3'!$A:$A,"="&amp;A181)))</f>
        <v/>
      </c>
      <c r="E181" s="6" t="str">
        <f>IF(ISBLANK(A181),,IF(COUNTIF('Coder-4'!$A:$A,"="&amp;A181)=0,,COUNTIF('Coder-4'!$A:$A,"="&amp;A181)))</f>
        <v/>
      </c>
    </row>
    <row r="182">
      <c r="A182" s="8">
        <v>44180.0</v>
      </c>
      <c r="B182" s="6" t="str">
        <f>IF(ISBLANK(A182),,IF(COUNTIF('Coder-1'!$A:$A,"="&amp;A182)=0,,COUNTIF('Coder-1'!$A:$A,"="&amp;A182)))</f>
        <v/>
      </c>
      <c r="C182" s="6" t="str">
        <f>IF(ISBLANK(A182),,IF(COUNTIF('Coder-2'!$A:$A,"="&amp;A182)=0,,COUNTIF('Coder-2'!$A:$A,"="&amp;A182)))</f>
        <v/>
      </c>
      <c r="D182" s="6" t="str">
        <f>IF(ISBLANK(A182),,IF(COUNTIF('Coder-3'!$A:$A,"="&amp;A182)=0,,COUNTIF('Coder-3'!$A:$A,"="&amp;A182)))</f>
        <v/>
      </c>
      <c r="E182" s="6" t="str">
        <f>IF(ISBLANK(A182),,IF(COUNTIF('Coder-4'!$A:$A,"="&amp;A182)=0,,COUNTIF('Coder-4'!$A:$A,"="&amp;A182)))</f>
        <v/>
      </c>
    </row>
    <row r="183">
      <c r="A183" s="8">
        <v>44181.0</v>
      </c>
      <c r="B183" s="6" t="str">
        <f>IF(ISBLANK(A183),,IF(COUNTIF('Coder-1'!$A:$A,"="&amp;A183)=0,,COUNTIF('Coder-1'!$A:$A,"="&amp;A183)))</f>
        <v/>
      </c>
      <c r="C183" s="6" t="str">
        <f>IF(ISBLANK(A183),,IF(COUNTIF('Coder-2'!$A:$A,"="&amp;A183)=0,,COUNTIF('Coder-2'!$A:$A,"="&amp;A183)))</f>
        <v/>
      </c>
      <c r="D183" s="6" t="str">
        <f>IF(ISBLANK(A183),,IF(COUNTIF('Coder-3'!$A:$A,"="&amp;A183)=0,,COUNTIF('Coder-3'!$A:$A,"="&amp;A183)))</f>
        <v/>
      </c>
      <c r="E183" s="6" t="str">
        <f>IF(ISBLANK(A183),,IF(COUNTIF('Coder-4'!$A:$A,"="&amp;A183)=0,,COUNTIF('Coder-4'!$A:$A,"="&amp;A183)))</f>
        <v/>
      </c>
    </row>
    <row r="184">
      <c r="A184" s="8">
        <v>44182.0</v>
      </c>
      <c r="B184" s="6" t="str">
        <f>IF(ISBLANK(A184),,IF(COUNTIF('Coder-1'!$A:$A,"="&amp;A184)=0,,COUNTIF('Coder-1'!$A:$A,"="&amp;A184)))</f>
        <v/>
      </c>
      <c r="C184" s="6" t="str">
        <f>IF(ISBLANK(A184),,IF(COUNTIF('Coder-2'!$A:$A,"="&amp;A184)=0,,COUNTIF('Coder-2'!$A:$A,"="&amp;A184)))</f>
        <v/>
      </c>
      <c r="D184" s="6" t="str">
        <f>IF(ISBLANK(A184),,IF(COUNTIF('Coder-3'!$A:$A,"="&amp;A184)=0,,COUNTIF('Coder-3'!$A:$A,"="&amp;A184)))</f>
        <v/>
      </c>
      <c r="E184" s="6" t="str">
        <f>IF(ISBLANK(A184),,IF(COUNTIF('Coder-4'!$A:$A,"="&amp;A184)=0,,COUNTIF('Coder-4'!$A:$A,"="&amp;A184)))</f>
        <v/>
      </c>
    </row>
    <row r="185">
      <c r="A185" s="8">
        <v>44183.0</v>
      </c>
      <c r="B185" s="6" t="str">
        <f>IF(ISBLANK(A185),,IF(COUNTIF('Coder-1'!$A:$A,"="&amp;A185)=0,,COUNTIF('Coder-1'!$A:$A,"="&amp;A185)))</f>
        <v/>
      </c>
      <c r="C185" s="6" t="str">
        <f>IF(ISBLANK(A185),,IF(COUNTIF('Coder-2'!$A:$A,"="&amp;A185)=0,,COUNTIF('Coder-2'!$A:$A,"="&amp;A185)))</f>
        <v/>
      </c>
      <c r="D185" s="6" t="str">
        <f>IF(ISBLANK(A185),,IF(COUNTIF('Coder-3'!$A:$A,"="&amp;A185)=0,,COUNTIF('Coder-3'!$A:$A,"="&amp;A185)))</f>
        <v/>
      </c>
      <c r="E185" s="6" t="str">
        <f>IF(ISBLANK(A185),,IF(COUNTIF('Coder-4'!$A:$A,"="&amp;A185)=0,,COUNTIF('Coder-4'!$A:$A,"="&amp;A185)))</f>
        <v/>
      </c>
    </row>
    <row r="186">
      <c r="A186" s="8">
        <v>44184.0</v>
      </c>
      <c r="B186" s="6" t="str">
        <f>IF(ISBLANK(A186),,IF(COUNTIF('Coder-1'!$A:$A,"="&amp;A186)=0,,COUNTIF('Coder-1'!$A:$A,"="&amp;A186)))</f>
        <v/>
      </c>
      <c r="C186" s="6" t="str">
        <f>IF(ISBLANK(A186),,IF(COUNTIF('Coder-2'!$A:$A,"="&amp;A186)=0,,COUNTIF('Coder-2'!$A:$A,"="&amp;A186)))</f>
        <v/>
      </c>
      <c r="D186" s="6" t="str">
        <f>IF(ISBLANK(A186),,IF(COUNTIF('Coder-3'!$A:$A,"="&amp;A186)=0,,COUNTIF('Coder-3'!$A:$A,"="&amp;A186)))</f>
        <v/>
      </c>
      <c r="E186" s="6" t="str">
        <f>IF(ISBLANK(A186),,IF(COUNTIF('Coder-4'!$A:$A,"="&amp;A186)=0,,COUNTIF('Coder-4'!$A:$A,"="&amp;A186)))</f>
        <v/>
      </c>
    </row>
    <row r="187">
      <c r="A187" s="8">
        <v>44185.0</v>
      </c>
      <c r="B187" s="6" t="str">
        <f>IF(ISBLANK(A187),,IF(COUNTIF('Coder-1'!$A:$A,"="&amp;A187)=0,,COUNTIF('Coder-1'!$A:$A,"="&amp;A187)))</f>
        <v/>
      </c>
      <c r="C187" s="6" t="str">
        <f>IF(ISBLANK(A187),,IF(COUNTIF('Coder-2'!$A:$A,"="&amp;A187)=0,,COUNTIF('Coder-2'!$A:$A,"="&amp;A187)))</f>
        <v/>
      </c>
      <c r="D187" s="6" t="str">
        <f>IF(ISBLANK(A187),,IF(COUNTIF('Coder-3'!$A:$A,"="&amp;A187)=0,,COUNTIF('Coder-3'!$A:$A,"="&amp;A187)))</f>
        <v/>
      </c>
      <c r="E187" s="6" t="str">
        <f>IF(ISBLANK(A187),,IF(COUNTIF('Coder-4'!$A:$A,"="&amp;A187)=0,,COUNTIF('Coder-4'!$A:$A,"="&amp;A187)))</f>
        <v/>
      </c>
    </row>
    <row r="188">
      <c r="A188" s="8">
        <v>44186.0</v>
      </c>
      <c r="B188" s="6" t="str">
        <f>IF(ISBLANK(A188),,IF(COUNTIF('Coder-1'!$A:$A,"="&amp;A188)=0,,COUNTIF('Coder-1'!$A:$A,"="&amp;A188)))</f>
        <v/>
      </c>
      <c r="C188" s="6" t="str">
        <f>IF(ISBLANK(A188),,IF(COUNTIF('Coder-2'!$A:$A,"="&amp;A188)=0,,COUNTIF('Coder-2'!$A:$A,"="&amp;A188)))</f>
        <v/>
      </c>
      <c r="D188" s="6" t="str">
        <f>IF(ISBLANK(A188),,IF(COUNTIF('Coder-3'!$A:$A,"="&amp;A188)=0,,COUNTIF('Coder-3'!$A:$A,"="&amp;A188)))</f>
        <v/>
      </c>
      <c r="E188" s="6" t="str">
        <f>IF(ISBLANK(A188),,IF(COUNTIF('Coder-4'!$A:$A,"="&amp;A188)=0,,COUNTIF('Coder-4'!$A:$A,"="&amp;A188)))</f>
        <v/>
      </c>
    </row>
    <row r="189">
      <c r="A189" s="8">
        <v>44187.0</v>
      </c>
      <c r="B189" s="6" t="str">
        <f>IF(ISBLANK(A189),,IF(COUNTIF('Coder-1'!$A:$A,"="&amp;A189)=0,,COUNTIF('Coder-1'!$A:$A,"="&amp;A189)))</f>
        <v/>
      </c>
      <c r="C189" s="6" t="str">
        <f>IF(ISBLANK(A189),,IF(COUNTIF('Coder-2'!$A:$A,"="&amp;A189)=0,,COUNTIF('Coder-2'!$A:$A,"="&amp;A189)))</f>
        <v/>
      </c>
      <c r="D189" s="6" t="str">
        <f>IF(ISBLANK(A189),,IF(COUNTIF('Coder-3'!$A:$A,"="&amp;A189)=0,,COUNTIF('Coder-3'!$A:$A,"="&amp;A189)))</f>
        <v/>
      </c>
      <c r="E189" s="6" t="str">
        <f>IF(ISBLANK(A189),,IF(COUNTIF('Coder-4'!$A:$A,"="&amp;A189)=0,,COUNTIF('Coder-4'!$A:$A,"="&amp;A189)))</f>
        <v/>
      </c>
    </row>
    <row r="190">
      <c r="A190" s="8">
        <v>44188.0</v>
      </c>
      <c r="B190" s="6" t="str">
        <f>IF(ISBLANK(A190),,IF(COUNTIF('Coder-1'!$A:$A,"="&amp;A190)=0,,COUNTIF('Coder-1'!$A:$A,"="&amp;A190)))</f>
        <v/>
      </c>
      <c r="C190" s="6" t="str">
        <f>IF(ISBLANK(A190),,IF(COUNTIF('Coder-2'!$A:$A,"="&amp;A190)=0,,COUNTIF('Coder-2'!$A:$A,"="&amp;A190)))</f>
        <v/>
      </c>
      <c r="D190" s="6" t="str">
        <f>IF(ISBLANK(A190),,IF(COUNTIF('Coder-3'!$A:$A,"="&amp;A190)=0,,COUNTIF('Coder-3'!$A:$A,"="&amp;A190)))</f>
        <v/>
      </c>
      <c r="E190" s="6" t="str">
        <f>IF(ISBLANK(A190),,IF(COUNTIF('Coder-4'!$A:$A,"="&amp;A190)=0,,COUNTIF('Coder-4'!$A:$A,"="&amp;A190)))</f>
        <v/>
      </c>
    </row>
    <row r="191">
      <c r="A191" s="8">
        <v>44189.0</v>
      </c>
      <c r="B191" s="6" t="str">
        <f>IF(ISBLANK(A191),,IF(COUNTIF('Coder-1'!$A:$A,"="&amp;A191)=0,,COUNTIF('Coder-1'!$A:$A,"="&amp;A191)))</f>
        <v/>
      </c>
      <c r="C191" s="6" t="str">
        <f>IF(ISBLANK(A191),,IF(COUNTIF('Coder-2'!$A:$A,"="&amp;A191)=0,,COUNTIF('Coder-2'!$A:$A,"="&amp;A191)))</f>
        <v/>
      </c>
      <c r="D191" s="6" t="str">
        <f>IF(ISBLANK(A191),,IF(COUNTIF('Coder-3'!$A:$A,"="&amp;A191)=0,,COUNTIF('Coder-3'!$A:$A,"="&amp;A191)))</f>
        <v/>
      </c>
      <c r="E191" s="6" t="str">
        <f>IF(ISBLANK(A191),,IF(COUNTIF('Coder-4'!$A:$A,"="&amp;A191)=0,,COUNTIF('Coder-4'!$A:$A,"="&amp;A191)))</f>
        <v/>
      </c>
    </row>
    <row r="192">
      <c r="A192" s="8">
        <v>44190.0</v>
      </c>
      <c r="B192" s="6" t="str">
        <f>IF(ISBLANK(A192),,IF(COUNTIF('Coder-1'!$A:$A,"="&amp;A192)=0,,COUNTIF('Coder-1'!$A:$A,"="&amp;A192)))</f>
        <v/>
      </c>
      <c r="C192" s="6" t="str">
        <f>IF(ISBLANK(A192),,IF(COUNTIF('Coder-2'!$A:$A,"="&amp;A192)=0,,COUNTIF('Coder-2'!$A:$A,"="&amp;A192)))</f>
        <v/>
      </c>
      <c r="D192" s="6" t="str">
        <f>IF(ISBLANK(A192),,IF(COUNTIF('Coder-3'!$A:$A,"="&amp;A192)=0,,COUNTIF('Coder-3'!$A:$A,"="&amp;A192)))</f>
        <v/>
      </c>
      <c r="E192" s="6" t="str">
        <f>IF(ISBLANK(A192),,IF(COUNTIF('Coder-4'!$A:$A,"="&amp;A192)=0,,COUNTIF('Coder-4'!$A:$A,"="&amp;A192)))</f>
        <v/>
      </c>
    </row>
    <row r="193">
      <c r="A193" s="8">
        <v>44191.0</v>
      </c>
      <c r="B193" s="6" t="str">
        <f>IF(ISBLANK(A193),,IF(COUNTIF('Coder-1'!$A:$A,"="&amp;A193)=0,,COUNTIF('Coder-1'!$A:$A,"="&amp;A193)))</f>
        <v/>
      </c>
      <c r="C193" s="6" t="str">
        <f>IF(ISBLANK(A193),,IF(COUNTIF('Coder-2'!$A:$A,"="&amp;A193)=0,,COUNTIF('Coder-2'!$A:$A,"="&amp;A193)))</f>
        <v/>
      </c>
      <c r="D193" s="6" t="str">
        <f>IF(ISBLANK(A193),,IF(COUNTIF('Coder-3'!$A:$A,"="&amp;A193)=0,,COUNTIF('Coder-3'!$A:$A,"="&amp;A193)))</f>
        <v/>
      </c>
      <c r="E193" s="6" t="str">
        <f>IF(ISBLANK(A193),,IF(COUNTIF('Coder-4'!$A:$A,"="&amp;A193)=0,,COUNTIF('Coder-4'!$A:$A,"="&amp;A193)))</f>
        <v/>
      </c>
    </row>
    <row r="194">
      <c r="A194" s="8">
        <v>44192.0</v>
      </c>
      <c r="B194" s="6" t="str">
        <f>IF(ISBLANK(A194),,IF(COUNTIF('Coder-1'!$A:$A,"="&amp;A194)=0,,COUNTIF('Coder-1'!$A:$A,"="&amp;A194)))</f>
        <v/>
      </c>
      <c r="C194" s="6" t="str">
        <f>IF(ISBLANK(A194),,IF(COUNTIF('Coder-2'!$A:$A,"="&amp;A194)=0,,COUNTIF('Coder-2'!$A:$A,"="&amp;A194)))</f>
        <v/>
      </c>
      <c r="D194" s="6" t="str">
        <f>IF(ISBLANK(A194),,IF(COUNTIF('Coder-3'!$A:$A,"="&amp;A194)=0,,COUNTIF('Coder-3'!$A:$A,"="&amp;A194)))</f>
        <v/>
      </c>
      <c r="E194" s="6" t="str">
        <f>IF(ISBLANK(A194),,IF(COUNTIF('Coder-4'!$A:$A,"="&amp;A194)=0,,COUNTIF('Coder-4'!$A:$A,"="&amp;A194)))</f>
        <v/>
      </c>
    </row>
    <row r="195">
      <c r="A195" s="8">
        <v>44193.0</v>
      </c>
      <c r="B195" s="6" t="str">
        <f>IF(ISBLANK(A195),,IF(COUNTIF('Coder-1'!$A:$A,"="&amp;A195)=0,,COUNTIF('Coder-1'!$A:$A,"="&amp;A195)))</f>
        <v/>
      </c>
      <c r="C195" s="6" t="str">
        <f>IF(ISBLANK(A195),,IF(COUNTIF('Coder-2'!$A:$A,"="&amp;A195)=0,,COUNTIF('Coder-2'!$A:$A,"="&amp;A195)))</f>
        <v/>
      </c>
      <c r="D195" s="6" t="str">
        <f>IF(ISBLANK(A195),,IF(COUNTIF('Coder-3'!$A:$A,"="&amp;A195)=0,,COUNTIF('Coder-3'!$A:$A,"="&amp;A195)))</f>
        <v/>
      </c>
      <c r="E195" s="6" t="str">
        <f>IF(ISBLANK(A195),,IF(COUNTIF('Coder-4'!$A:$A,"="&amp;A195)=0,,COUNTIF('Coder-4'!$A:$A,"="&amp;A195)))</f>
        <v/>
      </c>
    </row>
    <row r="196">
      <c r="A196" s="8">
        <v>44194.0</v>
      </c>
      <c r="B196" s="6" t="str">
        <f>IF(ISBLANK(A196),,IF(COUNTIF('Coder-1'!$A:$A,"="&amp;A196)=0,,COUNTIF('Coder-1'!$A:$A,"="&amp;A196)))</f>
        <v/>
      </c>
      <c r="C196" s="6" t="str">
        <f>IF(ISBLANK(A196),,IF(COUNTIF('Coder-2'!$A:$A,"="&amp;A196)=0,,COUNTIF('Coder-2'!$A:$A,"="&amp;A196)))</f>
        <v/>
      </c>
      <c r="D196" s="6" t="str">
        <f>IF(ISBLANK(A196),,IF(COUNTIF('Coder-3'!$A:$A,"="&amp;A196)=0,,COUNTIF('Coder-3'!$A:$A,"="&amp;A196)))</f>
        <v/>
      </c>
      <c r="E196" s="6" t="str">
        <f>IF(ISBLANK(A196),,IF(COUNTIF('Coder-4'!$A:$A,"="&amp;A196)=0,,COUNTIF('Coder-4'!$A:$A,"="&amp;A196)))</f>
        <v/>
      </c>
    </row>
    <row r="197">
      <c r="A197" s="8">
        <v>44195.0</v>
      </c>
      <c r="B197" s="6" t="str">
        <f>IF(ISBLANK(A197),,IF(COUNTIF('Coder-1'!$A:$A,"="&amp;A197)=0,,COUNTIF('Coder-1'!$A:$A,"="&amp;A197)))</f>
        <v/>
      </c>
      <c r="C197" s="6" t="str">
        <f>IF(ISBLANK(A197),,IF(COUNTIF('Coder-2'!$A:$A,"="&amp;A197)=0,,COUNTIF('Coder-2'!$A:$A,"="&amp;A197)))</f>
        <v/>
      </c>
      <c r="D197" s="6" t="str">
        <f>IF(ISBLANK(A197),,IF(COUNTIF('Coder-3'!$A:$A,"="&amp;A197)=0,,COUNTIF('Coder-3'!$A:$A,"="&amp;A197)))</f>
        <v/>
      </c>
      <c r="E197" s="6" t="str">
        <f>IF(ISBLANK(A197),,IF(COUNTIF('Coder-4'!$A:$A,"="&amp;A197)=0,,COUNTIF('Coder-4'!$A:$A,"="&amp;A197)))</f>
        <v/>
      </c>
    </row>
    <row r="198">
      <c r="A198" s="8">
        <v>44196.0</v>
      </c>
      <c r="B198" s="6" t="str">
        <f>IF(ISBLANK(A198),,IF(COUNTIF('Coder-1'!$A:$A,"="&amp;A198)=0,,COUNTIF('Coder-1'!$A:$A,"="&amp;A198)))</f>
        <v/>
      </c>
      <c r="C198" s="6" t="str">
        <f>IF(ISBLANK(A198),,IF(COUNTIF('Coder-2'!$A:$A,"="&amp;A198)=0,,COUNTIF('Coder-2'!$A:$A,"="&amp;A198)))</f>
        <v/>
      </c>
      <c r="D198" s="6" t="str">
        <f>IF(ISBLANK(A198),,IF(COUNTIF('Coder-3'!$A:$A,"="&amp;A198)=0,,COUNTIF('Coder-3'!$A:$A,"="&amp;A198)))</f>
        <v/>
      </c>
      <c r="E198" s="6" t="str">
        <f>IF(ISBLANK(A198),,IF(COUNTIF('Coder-4'!$A:$A,"="&amp;A198)=0,,COUNTIF('Coder-4'!$A:$A,"="&amp;A198)))</f>
        <v/>
      </c>
    </row>
    <row r="199">
      <c r="A199" s="8">
        <v>44197.0</v>
      </c>
      <c r="B199" s="6" t="str">
        <f>IF(ISBLANK(A199),,IF(COUNTIF('Coder-1'!$A:$A,"="&amp;A199)=0,,COUNTIF('Coder-1'!$A:$A,"="&amp;A199)))</f>
        <v/>
      </c>
      <c r="C199" s="6" t="str">
        <f>IF(ISBLANK(A199),,IF(COUNTIF('Coder-2'!$A:$A,"="&amp;A199)=0,,COUNTIF('Coder-2'!$A:$A,"="&amp;A199)))</f>
        <v/>
      </c>
      <c r="D199" s="6" t="str">
        <f>IF(ISBLANK(A199),,IF(COUNTIF('Coder-3'!$A:$A,"="&amp;A199)=0,,COUNTIF('Coder-3'!$A:$A,"="&amp;A199)))</f>
        <v/>
      </c>
      <c r="E199" s="6" t="str">
        <f>IF(ISBLANK(A199),,IF(COUNTIF('Coder-4'!$A:$A,"="&amp;A199)=0,,COUNTIF('Coder-4'!$A:$A,"="&amp;A199)))</f>
        <v/>
      </c>
    </row>
    <row r="200">
      <c r="A200" s="8">
        <v>44198.0</v>
      </c>
      <c r="B200" s="6" t="str">
        <f>IF(ISBLANK(A200),,IF(COUNTIF('Coder-1'!$A:$A,"="&amp;A200)=0,,COUNTIF('Coder-1'!$A:$A,"="&amp;A200)))</f>
        <v/>
      </c>
      <c r="C200" s="6" t="str">
        <f>IF(ISBLANK(A200),,IF(COUNTIF('Coder-2'!$A:$A,"="&amp;A200)=0,,COUNTIF('Coder-2'!$A:$A,"="&amp;A200)))</f>
        <v/>
      </c>
      <c r="D200" s="6" t="str">
        <f>IF(ISBLANK(A200),,IF(COUNTIF('Coder-3'!$A:$A,"="&amp;A200)=0,,COUNTIF('Coder-3'!$A:$A,"="&amp;A200)))</f>
        <v/>
      </c>
      <c r="E200" s="6" t="str">
        <f>IF(ISBLANK(A200),,IF(COUNTIF('Coder-4'!$A:$A,"="&amp;A200)=0,,COUNTIF('Coder-4'!$A:$A,"="&amp;A200)))</f>
        <v/>
      </c>
    </row>
    <row r="201">
      <c r="A201" s="8">
        <v>44199.0</v>
      </c>
      <c r="B201" s="6" t="str">
        <f>IF(ISBLANK(A201),,IF(COUNTIF('Coder-1'!$A:$A,"="&amp;A201)=0,,COUNTIF('Coder-1'!$A:$A,"="&amp;A201)))</f>
        <v/>
      </c>
      <c r="C201" s="6" t="str">
        <f>IF(ISBLANK(A201),,IF(COUNTIF('Coder-2'!$A:$A,"="&amp;A201)=0,,COUNTIF('Coder-2'!$A:$A,"="&amp;A201)))</f>
        <v/>
      </c>
      <c r="D201" s="6" t="str">
        <f>IF(ISBLANK(A201),,IF(COUNTIF('Coder-3'!$A:$A,"="&amp;A201)=0,,COUNTIF('Coder-3'!$A:$A,"="&amp;A201)))</f>
        <v/>
      </c>
      <c r="E201" s="6" t="str">
        <f>IF(ISBLANK(A201),,IF(COUNTIF('Coder-4'!$A:$A,"="&amp;A201)=0,,COUNTIF('Coder-4'!$A:$A,"="&amp;A201)))</f>
        <v/>
      </c>
    </row>
    <row r="202">
      <c r="A202" s="8">
        <v>44200.0</v>
      </c>
      <c r="B202" s="6" t="str">
        <f>IF(ISBLANK(A202),,IF(COUNTIF('Coder-1'!$A:$A,"="&amp;A202)=0,,COUNTIF('Coder-1'!$A:$A,"="&amp;A202)))</f>
        <v/>
      </c>
      <c r="C202" s="6" t="str">
        <f>IF(ISBLANK(A202),,IF(COUNTIF('Coder-2'!$A:$A,"="&amp;A202)=0,,COUNTIF('Coder-2'!$A:$A,"="&amp;A202)))</f>
        <v/>
      </c>
      <c r="D202" s="6" t="str">
        <f>IF(ISBLANK(A202),,IF(COUNTIF('Coder-3'!$A:$A,"="&amp;A202)=0,,COUNTIF('Coder-3'!$A:$A,"="&amp;A202)))</f>
        <v/>
      </c>
      <c r="E202" s="6" t="str">
        <f>IF(ISBLANK(A202),,IF(COUNTIF('Coder-4'!$A:$A,"="&amp;A202)=0,,COUNTIF('Coder-4'!$A:$A,"="&amp;A202)))</f>
        <v/>
      </c>
    </row>
    <row r="203">
      <c r="A203" s="8">
        <v>44201.0</v>
      </c>
      <c r="B203" s="6" t="str">
        <f>IF(ISBLANK(A203),,IF(COUNTIF('Coder-1'!$A:$A,"="&amp;A203)=0,,COUNTIF('Coder-1'!$A:$A,"="&amp;A203)))</f>
        <v/>
      </c>
      <c r="C203" s="6" t="str">
        <f>IF(ISBLANK(A203),,IF(COUNTIF('Coder-2'!$A:$A,"="&amp;A203)=0,,COUNTIF('Coder-2'!$A:$A,"="&amp;A203)))</f>
        <v/>
      </c>
      <c r="D203" s="6" t="str">
        <f>IF(ISBLANK(A203),,IF(COUNTIF('Coder-3'!$A:$A,"="&amp;A203)=0,,COUNTIF('Coder-3'!$A:$A,"="&amp;A203)))</f>
        <v/>
      </c>
      <c r="E203" s="6" t="str">
        <f>IF(ISBLANK(A203),,IF(COUNTIF('Coder-4'!$A:$A,"="&amp;A203)=0,,COUNTIF('Coder-4'!$A:$A,"="&amp;A203)))</f>
        <v/>
      </c>
    </row>
    <row r="204">
      <c r="A204" s="8">
        <v>44202.0</v>
      </c>
      <c r="B204" s="6" t="str">
        <f>IF(ISBLANK(A204),,IF(COUNTIF('Coder-1'!$A:$A,"="&amp;A204)=0,,COUNTIF('Coder-1'!$A:$A,"="&amp;A204)))</f>
        <v/>
      </c>
      <c r="C204" s="6" t="str">
        <f>IF(ISBLANK(A204),,IF(COUNTIF('Coder-2'!$A:$A,"="&amp;A204)=0,,COUNTIF('Coder-2'!$A:$A,"="&amp;A204)))</f>
        <v/>
      </c>
      <c r="D204" s="6" t="str">
        <f>IF(ISBLANK(A204),,IF(COUNTIF('Coder-3'!$A:$A,"="&amp;A204)=0,,COUNTIF('Coder-3'!$A:$A,"="&amp;A204)))</f>
        <v/>
      </c>
      <c r="E204" s="6" t="str">
        <f>IF(ISBLANK(A204),,IF(COUNTIF('Coder-4'!$A:$A,"="&amp;A204)=0,,COUNTIF('Coder-4'!$A:$A,"="&amp;A204)))</f>
        <v/>
      </c>
    </row>
    <row r="205">
      <c r="A205" s="8">
        <v>44203.0</v>
      </c>
      <c r="B205" s="6" t="str">
        <f>IF(ISBLANK(A205),,IF(COUNTIF('Coder-1'!$A:$A,"="&amp;A205)=0,,COUNTIF('Coder-1'!$A:$A,"="&amp;A205)))</f>
        <v/>
      </c>
      <c r="C205" s="6" t="str">
        <f>IF(ISBLANK(A205),,IF(COUNTIF('Coder-2'!$A:$A,"="&amp;A205)=0,,COUNTIF('Coder-2'!$A:$A,"="&amp;A205)))</f>
        <v/>
      </c>
      <c r="D205" s="6" t="str">
        <f>IF(ISBLANK(A205),,IF(COUNTIF('Coder-3'!$A:$A,"="&amp;A205)=0,,COUNTIF('Coder-3'!$A:$A,"="&amp;A205)))</f>
        <v/>
      </c>
      <c r="E205" s="6" t="str">
        <f>IF(ISBLANK(A205),,IF(COUNTIF('Coder-4'!$A:$A,"="&amp;A205)=0,,COUNTIF('Coder-4'!$A:$A,"="&amp;A205)))</f>
        <v/>
      </c>
    </row>
    <row r="206">
      <c r="A206" s="8">
        <v>44204.0</v>
      </c>
      <c r="B206" s="6" t="str">
        <f>IF(ISBLANK(A206),,IF(COUNTIF('Coder-1'!$A:$A,"="&amp;A206)=0,,COUNTIF('Coder-1'!$A:$A,"="&amp;A206)))</f>
        <v/>
      </c>
      <c r="C206" s="6" t="str">
        <f>IF(ISBLANK(A206),,IF(COUNTIF('Coder-2'!$A:$A,"="&amp;A206)=0,,COUNTIF('Coder-2'!$A:$A,"="&amp;A206)))</f>
        <v/>
      </c>
      <c r="D206" s="6" t="str">
        <f>IF(ISBLANK(A206),,IF(COUNTIF('Coder-3'!$A:$A,"="&amp;A206)=0,,COUNTIF('Coder-3'!$A:$A,"="&amp;A206)))</f>
        <v/>
      </c>
      <c r="E206" s="6" t="str">
        <f>IF(ISBLANK(A206),,IF(COUNTIF('Coder-4'!$A:$A,"="&amp;A206)=0,,COUNTIF('Coder-4'!$A:$A,"="&amp;A206)))</f>
        <v/>
      </c>
    </row>
    <row r="207">
      <c r="A207" s="8">
        <v>44205.0</v>
      </c>
      <c r="B207" s="6" t="str">
        <f>IF(ISBLANK(A207),,IF(COUNTIF('Coder-1'!$A:$A,"="&amp;A207)=0,,COUNTIF('Coder-1'!$A:$A,"="&amp;A207)))</f>
        <v/>
      </c>
      <c r="C207" s="6" t="str">
        <f>IF(ISBLANK(A207),,IF(COUNTIF('Coder-2'!$A:$A,"="&amp;A207)=0,,COUNTIF('Coder-2'!$A:$A,"="&amp;A207)))</f>
        <v/>
      </c>
      <c r="D207" s="6" t="str">
        <f>IF(ISBLANK(A207),,IF(COUNTIF('Coder-3'!$A:$A,"="&amp;A207)=0,,COUNTIF('Coder-3'!$A:$A,"="&amp;A207)))</f>
        <v/>
      </c>
      <c r="E207" s="6" t="str">
        <f>IF(ISBLANK(A207),,IF(COUNTIF('Coder-4'!$A:$A,"="&amp;A207)=0,,COUNTIF('Coder-4'!$A:$A,"="&amp;A207)))</f>
        <v/>
      </c>
    </row>
    <row r="208">
      <c r="A208" s="9"/>
      <c r="B208" s="6" t="str">
        <f>IF(ISBLANK(A208),,IF(COUNTIF('Coder-1'!$A:$A,"="&amp;A208)=0,,COUNTIF('Coder-1'!$A:$A,"="&amp;A208)))</f>
        <v/>
      </c>
      <c r="C208" s="6" t="str">
        <f>IF(ISBLANK(A208),,IF(COUNTIF('Coder-2'!$A:$A,"="&amp;A208)=0,,COUNTIF('Coder-2'!$A:$A,"="&amp;A208)))</f>
        <v/>
      </c>
      <c r="D208" s="6" t="str">
        <f>IF(ISBLANK(A208),,IF(COUNTIF('Coder-3'!$A:$A,"="&amp;A208)=0,,COUNTIF('Coder-3'!$A:$A,"="&amp;A208)))</f>
        <v/>
      </c>
      <c r="E208" s="6" t="str">
        <f>IF(ISBLANK(A208),,IF(COUNTIF('Coder-4'!$A:$A,"="&amp;A208)=0,,COUNTIF('Coder-4'!$A:$A,"="&amp;A208)))</f>
        <v/>
      </c>
    </row>
    <row r="209">
      <c r="A209" s="9"/>
      <c r="B209" s="6" t="str">
        <f>IF(ISBLANK(A209),,IF(COUNTIF('Coder-1'!$A:$A,"="&amp;A209)=0,,COUNTIF('Coder-1'!$A:$A,"="&amp;A209)))</f>
        <v/>
      </c>
      <c r="C209" s="6" t="str">
        <f>IF(ISBLANK(A209),,IF(COUNTIF('Coder-2'!$A:$A,"="&amp;A209)=0,,COUNTIF('Coder-2'!$A:$A,"="&amp;A209)))</f>
        <v/>
      </c>
      <c r="D209" s="6" t="str">
        <f>IF(ISBLANK(A209),,IF(COUNTIF('Coder-3'!$A:$A,"="&amp;A209)=0,,COUNTIF('Coder-3'!$A:$A,"="&amp;A209)))</f>
        <v/>
      </c>
      <c r="E209" s="6" t="str">
        <f>IF(ISBLANK(A209),,IF(COUNTIF('Coder-4'!$A:$A,"="&amp;A209)=0,,COUNTIF('Coder-4'!$A:$A,"="&amp;A209)))</f>
        <v/>
      </c>
    </row>
    <row r="210">
      <c r="A210" s="9"/>
      <c r="B210" s="6" t="str">
        <f>IF(ISBLANK(A210),,IF(COUNTIF('Coder-1'!$A:$A,"="&amp;A210)=0,,COUNTIF('Coder-1'!$A:$A,"="&amp;A210)))</f>
        <v/>
      </c>
      <c r="C210" s="6" t="str">
        <f>IF(ISBLANK(A210),,IF(COUNTIF('Coder-2'!$A:$A,"="&amp;A210)=0,,COUNTIF('Coder-2'!$A:$A,"="&amp;A210)))</f>
        <v/>
      </c>
      <c r="D210" s="6" t="str">
        <f>IF(ISBLANK(A210),,IF(COUNTIF('Coder-3'!$A:$A,"="&amp;A210)=0,,COUNTIF('Coder-3'!$A:$A,"="&amp;A210)))</f>
        <v/>
      </c>
      <c r="E210" s="6" t="str">
        <f>IF(ISBLANK(A210),,IF(COUNTIF('Coder-4'!$A:$A,"="&amp;A210)=0,,COUNTIF('Coder-4'!$A:$A,"="&amp;A210)))</f>
        <v/>
      </c>
    </row>
    <row r="211">
      <c r="A211" s="9"/>
      <c r="B211" s="6" t="str">
        <f>IF(ISBLANK(A211),,IF(COUNTIF('Coder-1'!$A:$A,"="&amp;A211)=0,,COUNTIF('Coder-1'!$A:$A,"="&amp;A211)))</f>
        <v/>
      </c>
      <c r="C211" s="6" t="str">
        <f>IF(ISBLANK(A211),,IF(COUNTIF('Coder-2'!$A:$A,"="&amp;A211)=0,,COUNTIF('Coder-2'!$A:$A,"="&amp;A211)))</f>
        <v/>
      </c>
      <c r="D211" s="6" t="str">
        <f>IF(ISBLANK(A211),,IF(COUNTIF('Coder-3'!$A:$A,"="&amp;A211)=0,,COUNTIF('Coder-3'!$A:$A,"="&amp;A211)))</f>
        <v/>
      </c>
      <c r="E211" s="6" t="str">
        <f>IF(ISBLANK(A211),,IF(COUNTIF('Coder-4'!$A:$A,"="&amp;A211)=0,,COUNTIF('Coder-4'!$A:$A,"="&amp;A211)))</f>
        <v/>
      </c>
    </row>
    <row r="212">
      <c r="A212" s="9"/>
      <c r="B212" s="6" t="str">
        <f>IF(ISBLANK(A212),,IF(COUNTIF('Coder-1'!$A:$A,"="&amp;A212)=0,,COUNTIF('Coder-1'!$A:$A,"="&amp;A212)))</f>
        <v/>
      </c>
      <c r="C212" s="6" t="str">
        <f>IF(ISBLANK(A212),,IF(COUNTIF('Coder-2'!$A:$A,"="&amp;A212)=0,,COUNTIF('Coder-2'!$A:$A,"="&amp;A212)))</f>
        <v/>
      </c>
      <c r="D212" s="6" t="str">
        <f>IF(ISBLANK(A212),,IF(COUNTIF('Coder-3'!$A:$A,"="&amp;A212)=0,,COUNTIF('Coder-3'!$A:$A,"="&amp;A212)))</f>
        <v/>
      </c>
      <c r="E212" s="6" t="str">
        <f>IF(ISBLANK(A212),,IF(COUNTIF('Coder-4'!$A:$A,"="&amp;A212)=0,,COUNTIF('Coder-4'!$A:$A,"="&amp;A212)))</f>
        <v/>
      </c>
    </row>
    <row r="213">
      <c r="A213" s="9"/>
      <c r="B213" s="6" t="str">
        <f>IF(ISBLANK(A213),,IF(COUNTIF('Coder-1'!$A:$A,"="&amp;A213)=0,,COUNTIF('Coder-1'!$A:$A,"="&amp;A213)))</f>
        <v/>
      </c>
      <c r="C213" s="6" t="str">
        <f>IF(ISBLANK(A213),,IF(COUNTIF('Coder-2'!$A:$A,"="&amp;A213)=0,,COUNTIF('Coder-2'!$A:$A,"="&amp;A213)))</f>
        <v/>
      </c>
      <c r="D213" s="6" t="str">
        <f>IF(ISBLANK(A213),,IF(COUNTIF('Coder-3'!$A:$A,"="&amp;A213)=0,,COUNTIF('Coder-3'!$A:$A,"="&amp;A213)))</f>
        <v/>
      </c>
      <c r="E213" s="6" t="str">
        <f>IF(ISBLANK(A213),,IF(COUNTIF('Coder-4'!$A:$A,"="&amp;A213)=0,,COUNTIF('Coder-4'!$A:$A,"="&amp;A213)))</f>
        <v/>
      </c>
    </row>
    <row r="214">
      <c r="A214" s="9"/>
      <c r="B214" s="6" t="str">
        <f>IF(ISBLANK(A214),,IF(COUNTIF('Coder-1'!$A:$A,"="&amp;A214)=0,,COUNTIF('Coder-1'!$A:$A,"="&amp;A214)))</f>
        <v/>
      </c>
      <c r="C214" s="6" t="str">
        <f>IF(ISBLANK(A214),,IF(COUNTIF('Coder-2'!$A:$A,"="&amp;A214)=0,,COUNTIF('Coder-2'!$A:$A,"="&amp;A214)))</f>
        <v/>
      </c>
      <c r="D214" s="6" t="str">
        <f>IF(ISBLANK(A214),,IF(COUNTIF('Coder-3'!$A:$A,"="&amp;A214)=0,,COUNTIF('Coder-3'!$A:$A,"="&amp;A214)))</f>
        <v/>
      </c>
      <c r="E214" s="6" t="str">
        <f>IF(ISBLANK(A214),,IF(COUNTIF('Coder-4'!$A:$A,"="&amp;A214)=0,,COUNTIF('Coder-4'!$A:$A,"="&amp;A214)))</f>
        <v/>
      </c>
    </row>
    <row r="215">
      <c r="A215" s="9"/>
      <c r="B215" s="6" t="str">
        <f>IF(ISBLANK(A215),,IF(COUNTIF('Coder-1'!$A:$A,"="&amp;A215)=0,,COUNTIF('Coder-1'!$A:$A,"="&amp;A215)))</f>
        <v/>
      </c>
      <c r="C215" s="6" t="str">
        <f>IF(ISBLANK(A215),,IF(COUNTIF('Coder-2'!$A:$A,"="&amp;A215)=0,,COUNTIF('Coder-2'!$A:$A,"="&amp;A215)))</f>
        <v/>
      </c>
      <c r="D215" s="6" t="str">
        <f>IF(ISBLANK(A215),,IF(COUNTIF('Coder-3'!$A:$A,"="&amp;A215)=0,,COUNTIF('Coder-3'!$A:$A,"="&amp;A215)))</f>
        <v/>
      </c>
      <c r="E215" s="6" t="str">
        <f>IF(ISBLANK(A215),,IF(COUNTIF('Coder-4'!$A:$A,"="&amp;A215)=0,,COUNTIF('Coder-4'!$A:$A,"="&amp;A215)))</f>
        <v/>
      </c>
    </row>
    <row r="216">
      <c r="A216" s="9"/>
      <c r="B216" s="6" t="str">
        <f>IF(ISBLANK(A216),,IF(COUNTIF('Coder-1'!$A:$A,"="&amp;A216)=0,,COUNTIF('Coder-1'!$A:$A,"="&amp;A216)))</f>
        <v/>
      </c>
      <c r="C216" s="6" t="str">
        <f>IF(ISBLANK(A216),,IF(COUNTIF('Coder-2'!$A:$A,"="&amp;A216)=0,,COUNTIF('Coder-2'!$A:$A,"="&amp;A216)))</f>
        <v/>
      </c>
      <c r="D216" s="6" t="str">
        <f>IF(ISBLANK(A216),,IF(COUNTIF('Coder-3'!$A:$A,"="&amp;A216)=0,,COUNTIF('Coder-3'!$A:$A,"="&amp;A216)))</f>
        <v/>
      </c>
      <c r="E216" s="6" t="str">
        <f>IF(ISBLANK(A216),,IF(COUNTIF('Coder-4'!$A:$A,"="&amp;A216)=0,,COUNTIF('Coder-4'!$A:$A,"="&amp;A216)))</f>
        <v/>
      </c>
    </row>
    <row r="217">
      <c r="A217" s="9"/>
      <c r="B217" s="6" t="str">
        <f>IF(ISBLANK(A217),,IF(COUNTIF('Coder-1'!$A:$A,"="&amp;A217)=0,,COUNTIF('Coder-1'!$A:$A,"="&amp;A217)))</f>
        <v/>
      </c>
      <c r="C217" s="6" t="str">
        <f>IF(ISBLANK(A217),,IF(COUNTIF('Coder-2'!$A:$A,"="&amp;A217)=0,,COUNTIF('Coder-2'!$A:$A,"="&amp;A217)))</f>
        <v/>
      </c>
      <c r="D217" s="6" t="str">
        <f>IF(ISBLANK(A217),,IF(COUNTIF('Coder-3'!$A:$A,"="&amp;A217)=0,,COUNTIF('Coder-3'!$A:$A,"="&amp;A217)))</f>
        <v/>
      </c>
      <c r="E217" s="6" t="str">
        <f>IF(ISBLANK(A217),,IF(COUNTIF('Coder-4'!$A:$A,"="&amp;A217)=0,,COUNTIF('Coder-4'!$A:$A,"="&amp;A217)))</f>
        <v/>
      </c>
    </row>
    <row r="218">
      <c r="A218" s="9"/>
      <c r="B218" s="6" t="str">
        <f>IF(ISBLANK(A218),,IF(COUNTIF('Coder-1'!$A:$A,"="&amp;A218)=0,,COUNTIF('Coder-1'!$A:$A,"="&amp;A218)))</f>
        <v/>
      </c>
      <c r="C218" s="6" t="str">
        <f>IF(ISBLANK(A218),,IF(COUNTIF('Coder-2'!$A:$A,"="&amp;A218)=0,,COUNTIF('Coder-2'!$A:$A,"="&amp;A218)))</f>
        <v/>
      </c>
      <c r="D218" s="6" t="str">
        <f>IF(ISBLANK(A218),,IF(COUNTIF('Coder-3'!$A:$A,"="&amp;A218)=0,,COUNTIF('Coder-3'!$A:$A,"="&amp;A218)))</f>
        <v/>
      </c>
      <c r="E218" s="6" t="str">
        <f>IF(ISBLANK(A218),,IF(COUNTIF('Coder-4'!$A:$A,"="&amp;A218)=0,,COUNTIF('Coder-4'!$A:$A,"="&amp;A218)))</f>
        <v/>
      </c>
    </row>
    <row r="219">
      <c r="A219" s="9"/>
      <c r="B219" s="6" t="str">
        <f>IF(ISBLANK(A219),,IF(COUNTIF('Coder-1'!$A:$A,"="&amp;A219)=0,,COUNTIF('Coder-1'!$A:$A,"="&amp;A219)))</f>
        <v/>
      </c>
      <c r="C219" s="6" t="str">
        <f>IF(ISBLANK(A219),,IF(COUNTIF('Coder-2'!$A:$A,"="&amp;A219)=0,,COUNTIF('Coder-2'!$A:$A,"="&amp;A219)))</f>
        <v/>
      </c>
      <c r="D219" s="6" t="str">
        <f>IF(ISBLANK(A219),,IF(COUNTIF('Coder-3'!$A:$A,"="&amp;A219)=0,,COUNTIF('Coder-3'!$A:$A,"="&amp;A219)))</f>
        <v/>
      </c>
      <c r="E219" s="6" t="str">
        <f>IF(ISBLANK(A219),,IF(COUNTIF('Coder-4'!$A:$A,"="&amp;A219)=0,,COUNTIF('Coder-4'!$A:$A,"="&amp;A219)))</f>
        <v/>
      </c>
    </row>
    <row r="220">
      <c r="A220" s="9"/>
      <c r="B220" s="6" t="str">
        <f>IF(ISBLANK(A220),,IF(COUNTIF('Coder-1'!$A:$A,"="&amp;A220)=0,,COUNTIF('Coder-1'!$A:$A,"="&amp;A220)))</f>
        <v/>
      </c>
      <c r="C220" s="6" t="str">
        <f>IF(ISBLANK(A220),,IF(COUNTIF('Coder-2'!$A:$A,"="&amp;A220)=0,,COUNTIF('Coder-2'!$A:$A,"="&amp;A220)))</f>
        <v/>
      </c>
      <c r="D220" s="6" t="str">
        <f>IF(ISBLANK(A220),,IF(COUNTIF('Coder-3'!$A:$A,"="&amp;A220)=0,,COUNTIF('Coder-3'!$A:$A,"="&amp;A220)))</f>
        <v/>
      </c>
      <c r="E220" s="6" t="str">
        <f>IF(ISBLANK(A220),,IF(COUNTIF('Coder-4'!$A:$A,"="&amp;A220)=0,,COUNTIF('Coder-4'!$A:$A,"="&amp;A220)))</f>
        <v/>
      </c>
    </row>
    <row r="221">
      <c r="A221" s="9"/>
      <c r="B221" s="6" t="str">
        <f>IF(ISBLANK(A221),,IF(COUNTIF('Coder-1'!$A:$A,"="&amp;A221)=0,,COUNTIF('Coder-1'!$A:$A,"="&amp;A221)))</f>
        <v/>
      </c>
      <c r="C221" s="6" t="str">
        <f>IF(ISBLANK(A221),,IF(COUNTIF('Coder-2'!$A:$A,"="&amp;A221)=0,,COUNTIF('Coder-2'!$A:$A,"="&amp;A221)))</f>
        <v/>
      </c>
      <c r="D221" s="6" t="str">
        <f>IF(ISBLANK(A221),,IF(COUNTIF('Coder-3'!$A:$A,"="&amp;A221)=0,,COUNTIF('Coder-3'!$A:$A,"="&amp;A221)))</f>
        <v/>
      </c>
      <c r="E221" s="6" t="str">
        <f>IF(ISBLANK(A221),,IF(COUNTIF('Coder-4'!$A:$A,"="&amp;A221)=0,,COUNTIF('Coder-4'!$A:$A,"="&amp;A221)))</f>
        <v/>
      </c>
    </row>
    <row r="222">
      <c r="A222" s="9"/>
      <c r="B222" s="6" t="str">
        <f>IF(ISBLANK(A222),,IF(COUNTIF('Coder-1'!$A:$A,"="&amp;A222)=0,,COUNTIF('Coder-1'!$A:$A,"="&amp;A222)))</f>
        <v/>
      </c>
      <c r="C222" s="6" t="str">
        <f>IF(ISBLANK(A222),,IF(COUNTIF('Coder-2'!$A:$A,"="&amp;A222)=0,,COUNTIF('Coder-2'!$A:$A,"="&amp;A222)))</f>
        <v/>
      </c>
      <c r="D222" s="6" t="str">
        <f>IF(ISBLANK(A222),,IF(COUNTIF('Coder-3'!$A:$A,"="&amp;A222)=0,,COUNTIF('Coder-3'!$A:$A,"="&amp;A222)))</f>
        <v/>
      </c>
      <c r="E222" s="6" t="str">
        <f>IF(ISBLANK(A222),,IF(COUNTIF('Coder-4'!$A:$A,"="&amp;A222)=0,,COUNTIF('Coder-4'!$A:$A,"="&amp;A222)))</f>
        <v/>
      </c>
    </row>
    <row r="223">
      <c r="A223" s="9"/>
      <c r="B223" s="6" t="str">
        <f>IF(ISBLANK(A223),,IF(COUNTIF('Coder-1'!$A:$A,"="&amp;A223)=0,,COUNTIF('Coder-1'!$A:$A,"="&amp;A223)))</f>
        <v/>
      </c>
      <c r="C223" s="6" t="str">
        <f>IF(ISBLANK(A223),,IF(COUNTIF('Coder-2'!$A:$A,"="&amp;A223)=0,,COUNTIF('Coder-2'!$A:$A,"="&amp;A223)))</f>
        <v/>
      </c>
      <c r="D223" s="6" t="str">
        <f>IF(ISBLANK(A223),,IF(COUNTIF('Coder-3'!$A:$A,"="&amp;A223)=0,,COUNTIF('Coder-3'!$A:$A,"="&amp;A223)))</f>
        <v/>
      </c>
      <c r="E223" s="6" t="str">
        <f>IF(ISBLANK(A223),,IF(COUNTIF('Coder-4'!$A:$A,"="&amp;A223)=0,,COUNTIF('Coder-4'!$A:$A,"="&amp;A223)))</f>
        <v/>
      </c>
    </row>
    <row r="224">
      <c r="A224" s="9"/>
      <c r="B224" s="6" t="str">
        <f>IF(ISBLANK(A224),,IF(COUNTIF('Coder-1'!$A:$A,"="&amp;A224)=0,,COUNTIF('Coder-1'!$A:$A,"="&amp;A224)))</f>
        <v/>
      </c>
      <c r="C224" s="6" t="str">
        <f>IF(ISBLANK(A224),,IF(COUNTIF('Coder-2'!$A:$A,"="&amp;A224)=0,,COUNTIF('Coder-2'!$A:$A,"="&amp;A224)))</f>
        <v/>
      </c>
      <c r="D224" s="6" t="str">
        <f>IF(ISBLANK(A224),,IF(COUNTIF('Coder-3'!$A:$A,"="&amp;A224)=0,,COUNTIF('Coder-3'!$A:$A,"="&amp;A224)))</f>
        <v/>
      </c>
      <c r="E224" s="6" t="str">
        <f>IF(ISBLANK(A224),,IF(COUNTIF('Coder-4'!$A:$A,"="&amp;A224)=0,,COUNTIF('Coder-4'!$A:$A,"="&amp;A224)))</f>
        <v/>
      </c>
    </row>
    <row r="225">
      <c r="A225" s="9"/>
      <c r="B225" s="6" t="str">
        <f>IF(ISBLANK(A225),,IF(COUNTIF('Coder-1'!$A:$A,"="&amp;A225)=0,,COUNTIF('Coder-1'!$A:$A,"="&amp;A225)))</f>
        <v/>
      </c>
      <c r="C225" s="6" t="str">
        <f>IF(ISBLANK(A225),,IF(COUNTIF('Coder-2'!$A:$A,"="&amp;A225)=0,,COUNTIF('Coder-2'!$A:$A,"="&amp;A225)))</f>
        <v/>
      </c>
      <c r="D225" s="6" t="str">
        <f>IF(ISBLANK(A225),,IF(COUNTIF('Coder-3'!$A:$A,"="&amp;A225)=0,,COUNTIF('Coder-3'!$A:$A,"="&amp;A225)))</f>
        <v/>
      </c>
      <c r="E225" s="6" t="str">
        <f>IF(ISBLANK(A225),,IF(COUNTIF('Coder-4'!$A:$A,"="&amp;A225)=0,,COUNTIF('Coder-4'!$A:$A,"="&amp;A225)))</f>
        <v/>
      </c>
    </row>
    <row r="226">
      <c r="A226" s="9"/>
      <c r="B226" s="6" t="str">
        <f>IF(ISBLANK(A226),,IF(COUNTIF('Coder-1'!$A:$A,"="&amp;A226)=0,,COUNTIF('Coder-1'!$A:$A,"="&amp;A226)))</f>
        <v/>
      </c>
      <c r="C226" s="6" t="str">
        <f>IF(ISBLANK(A226),,IF(COUNTIF('Coder-2'!$A:$A,"="&amp;A226)=0,,COUNTIF('Coder-2'!$A:$A,"="&amp;A226)))</f>
        <v/>
      </c>
      <c r="D226" s="6" t="str">
        <f>IF(ISBLANK(A226),,IF(COUNTIF('Coder-3'!$A:$A,"="&amp;A226)=0,,COUNTIF('Coder-3'!$A:$A,"="&amp;A226)))</f>
        <v/>
      </c>
      <c r="E226" s="6" t="str">
        <f>IF(ISBLANK(A226),,IF(COUNTIF('Coder-4'!$A:$A,"="&amp;A226)=0,,COUNTIF('Coder-4'!$A:$A,"="&amp;A226)))</f>
        <v/>
      </c>
    </row>
    <row r="227">
      <c r="A227" s="9"/>
      <c r="B227" s="6" t="str">
        <f>IF(ISBLANK(A227),,IF(COUNTIF('Coder-1'!$A:$A,"="&amp;A227)=0,,COUNTIF('Coder-1'!$A:$A,"="&amp;A227)))</f>
        <v/>
      </c>
      <c r="C227" s="6" t="str">
        <f>IF(ISBLANK(A227),,IF(COUNTIF('Coder-2'!$A:$A,"="&amp;A227)=0,,COUNTIF('Coder-2'!$A:$A,"="&amp;A227)))</f>
        <v/>
      </c>
      <c r="D227" s="6" t="str">
        <f>IF(ISBLANK(A227),,IF(COUNTIF('Coder-3'!$A:$A,"="&amp;A227)=0,,COUNTIF('Coder-3'!$A:$A,"="&amp;A227)))</f>
        <v/>
      </c>
      <c r="E227" s="6" t="str">
        <f>IF(ISBLANK(A227),,IF(COUNTIF('Coder-4'!$A:$A,"="&amp;A227)=0,,COUNTIF('Coder-4'!$A:$A,"="&amp;A227)))</f>
        <v/>
      </c>
    </row>
    <row r="228">
      <c r="A228" s="9"/>
      <c r="B228" s="6" t="str">
        <f>IF(ISBLANK(A228),,IF(COUNTIF('Coder-1'!$A:$A,"="&amp;A228)=0,,COUNTIF('Coder-1'!$A:$A,"="&amp;A228)))</f>
        <v/>
      </c>
      <c r="C228" s="6" t="str">
        <f>IF(ISBLANK(A228),,IF(COUNTIF('Coder-2'!$A:$A,"="&amp;A228)=0,,COUNTIF('Coder-2'!$A:$A,"="&amp;A228)))</f>
        <v/>
      </c>
      <c r="D228" s="6" t="str">
        <f>IF(ISBLANK(A228),,IF(COUNTIF('Coder-3'!$A:$A,"="&amp;A228)=0,,COUNTIF('Coder-3'!$A:$A,"="&amp;A228)))</f>
        <v/>
      </c>
      <c r="E228" s="6" t="str">
        <f>IF(ISBLANK(A228),,IF(COUNTIF('Coder-4'!$A:$A,"="&amp;A228)=0,,COUNTIF('Coder-4'!$A:$A,"="&amp;A228)))</f>
        <v/>
      </c>
    </row>
    <row r="229">
      <c r="A229" s="9"/>
      <c r="B229" s="6" t="str">
        <f>IF(ISBLANK(A229),,IF(COUNTIF('Coder-1'!$A:$A,"="&amp;A229)=0,,COUNTIF('Coder-1'!$A:$A,"="&amp;A229)))</f>
        <v/>
      </c>
      <c r="C229" s="6" t="str">
        <f>IF(ISBLANK(A229),,IF(COUNTIF('Coder-2'!$A:$A,"="&amp;A229)=0,,COUNTIF('Coder-2'!$A:$A,"="&amp;A229)))</f>
        <v/>
      </c>
      <c r="D229" s="6" t="str">
        <f>IF(ISBLANK(A229),,IF(COUNTIF('Coder-3'!$A:$A,"="&amp;A229)=0,,COUNTIF('Coder-3'!$A:$A,"="&amp;A229)))</f>
        <v/>
      </c>
      <c r="E229" s="6" t="str">
        <f>IF(ISBLANK(A229),,IF(COUNTIF('Coder-4'!$A:$A,"="&amp;A229)=0,,COUNTIF('Coder-4'!$A:$A,"="&amp;A229)))</f>
        <v/>
      </c>
    </row>
    <row r="230">
      <c r="A230" s="9"/>
      <c r="B230" s="6" t="str">
        <f>IF(ISBLANK(A230),,IF(COUNTIF('Coder-1'!$A:$A,"="&amp;A230)=0,,COUNTIF('Coder-1'!$A:$A,"="&amp;A230)))</f>
        <v/>
      </c>
      <c r="C230" s="6" t="str">
        <f>IF(ISBLANK(A230),,IF(COUNTIF('Coder-2'!$A:$A,"="&amp;A230)=0,,COUNTIF('Coder-2'!$A:$A,"="&amp;A230)))</f>
        <v/>
      </c>
      <c r="D230" s="6" t="str">
        <f>IF(ISBLANK(A230),,IF(COUNTIF('Coder-3'!$A:$A,"="&amp;A230)=0,,COUNTIF('Coder-3'!$A:$A,"="&amp;A230)))</f>
        <v/>
      </c>
      <c r="E230" s="6" t="str">
        <f>IF(ISBLANK(A230),,IF(COUNTIF('Coder-4'!$A:$A,"="&amp;A230)=0,,COUNTIF('Coder-4'!$A:$A,"="&amp;A230)))</f>
        <v/>
      </c>
    </row>
    <row r="231">
      <c r="A231" s="9"/>
      <c r="B231" s="6" t="str">
        <f>IF(ISBLANK(A231),,IF(COUNTIF('Coder-1'!$A:$A,"="&amp;A231)=0,,COUNTIF('Coder-1'!$A:$A,"="&amp;A231)))</f>
        <v/>
      </c>
      <c r="C231" s="6" t="str">
        <f>IF(ISBLANK(A231),,IF(COUNTIF('Coder-2'!$A:$A,"="&amp;A231)=0,,COUNTIF('Coder-2'!$A:$A,"="&amp;A231)))</f>
        <v/>
      </c>
      <c r="D231" s="6" t="str">
        <f>IF(ISBLANK(A231),,IF(COUNTIF('Coder-3'!$A:$A,"="&amp;A231)=0,,COUNTIF('Coder-3'!$A:$A,"="&amp;A231)))</f>
        <v/>
      </c>
      <c r="E231" s="6" t="str">
        <f>IF(ISBLANK(A231),,IF(COUNTIF('Coder-4'!$A:$A,"="&amp;A231)=0,,COUNTIF('Coder-4'!$A:$A,"="&amp;A231)))</f>
        <v/>
      </c>
    </row>
    <row r="232">
      <c r="A232" s="9"/>
      <c r="B232" s="6" t="str">
        <f>IF(ISBLANK(A232),,IF(COUNTIF('Coder-1'!$A:$A,"="&amp;A232)=0,,COUNTIF('Coder-1'!$A:$A,"="&amp;A232)))</f>
        <v/>
      </c>
      <c r="C232" s="6" t="str">
        <f>IF(ISBLANK(A232),,IF(COUNTIF('Coder-2'!$A:$A,"="&amp;A232)=0,,COUNTIF('Coder-2'!$A:$A,"="&amp;A232)))</f>
        <v/>
      </c>
      <c r="E232" s="6" t="str">
        <f>IF(ISBLANK(A232),,IF(COUNTIF('Coder-4'!$A:$A,"="&amp;A232)=0,,COUNTIF('Coder-4'!$A:$A,"="&amp;A232)))</f>
        <v/>
      </c>
    </row>
    <row r="233">
      <c r="A233" s="9"/>
      <c r="B233" s="6" t="str">
        <f>IF(ISBLANK(A233),,IF(COUNTIF('Coder-1'!$A:$A,"="&amp;A233)=0,,COUNTIF('Coder-1'!$A:$A,"="&amp;A233)))</f>
        <v/>
      </c>
      <c r="C233" s="6" t="str">
        <f>IF(ISBLANK(A233),,IF(COUNTIF('Coder-2'!$A:$A,"="&amp;A233)=0,,COUNTIF('Coder-2'!$A:$A,"="&amp;A233)))</f>
        <v/>
      </c>
      <c r="E233" s="6" t="str">
        <f>IF(ISBLANK(A233),,IF(COUNTIF('Coder-4'!$A:$A,"="&amp;A233)=0,,COUNTIF('Coder-4'!$A:$A,"="&amp;A233)))</f>
        <v/>
      </c>
    </row>
    <row r="234">
      <c r="A234" s="9"/>
      <c r="B234" s="6" t="str">
        <f>IF(ISBLANK(A234),,IF(COUNTIF('Coder-1'!$A:$A,"="&amp;A234)=0,,COUNTIF('Coder-1'!$A:$A,"="&amp;A234)))</f>
        <v/>
      </c>
      <c r="C234" s="6" t="str">
        <f>IF(ISBLANK(A234),,IF(COUNTIF('Coder-2'!$A:$A,"="&amp;A234)=0,,COUNTIF('Coder-2'!$A:$A,"="&amp;A234)))</f>
        <v/>
      </c>
    </row>
    <row r="235">
      <c r="A235" s="9"/>
      <c r="B235" s="6" t="str">
        <f>IF(ISBLANK(A235),,IF(COUNTIF('Coder-1'!$A:$A,"="&amp;A235)=0,,COUNTIF('Coder-1'!$A:$A,"="&amp;A235)))</f>
        <v/>
      </c>
      <c r="C235" s="6" t="str">
        <f>IF(ISBLANK(A235),,IF(COUNTIF('Coder-2'!$A:$A,"="&amp;A235)=0,,COUNTIF('Coder-2'!$A:$A,"="&amp;A235)))</f>
        <v/>
      </c>
    </row>
    <row r="236">
      <c r="A236" s="9"/>
      <c r="B236" s="6" t="str">
        <f>IF(ISBLANK(A236),,IF(COUNTIF('Coder-1'!$A:$A,"="&amp;A236)=0,,COUNTIF('Coder-1'!$A:$A,"="&amp;A236)))</f>
        <v/>
      </c>
      <c r="C236" s="6" t="str">
        <f>IF(ISBLANK(A236),,IF(COUNTIF('Coder-2'!$A:$A,"="&amp;A236)=0,,COUNTIF('Coder-2'!$A:$A,"="&amp;A236)))</f>
        <v/>
      </c>
    </row>
    <row r="237">
      <c r="A237" s="9"/>
      <c r="B237" s="6" t="str">
        <f>IF(ISBLANK(A237),,IF(COUNTIF('Coder-1'!$A:$A,"="&amp;A237)=0,,COUNTIF('Coder-1'!$A:$A,"="&amp;A237)))</f>
        <v/>
      </c>
      <c r="C237" s="6" t="str">
        <f>IF(ISBLANK(A237),,IF(COUNTIF('Coder-2'!$A:$A,"="&amp;A237)=0,,COUNTIF('Coder-2'!$A:$A,"="&amp;A237)))</f>
        <v/>
      </c>
    </row>
    <row r="238">
      <c r="A238" s="9"/>
      <c r="B238" s="6" t="str">
        <f>IF(ISBLANK(A238),,IF(COUNTIF('Coder-1'!$A:$A,"="&amp;A238)=0,,COUNTIF('Coder-1'!$A:$A,"="&amp;A238)))</f>
        <v/>
      </c>
      <c r="C238" s="6" t="str">
        <f>IF(ISBLANK(A238),,IF(COUNTIF('Coder-2'!$A:$A,"="&amp;A238)=0,,COUNTIF('Coder-2'!$A:$A,"="&amp;A238)))</f>
        <v/>
      </c>
    </row>
    <row r="239">
      <c r="A239" s="9"/>
      <c r="B239" s="6" t="str">
        <f>IF(ISBLANK(A239),,IF(COUNTIF('Coder-1'!$A:$A,"="&amp;A239)=0,,COUNTIF('Coder-1'!$A:$A,"="&amp;A239)))</f>
        <v/>
      </c>
      <c r="C239" s="6" t="str">
        <f>IF(ISBLANK(A239),,IF(COUNTIF('Coder-2'!$A:$A,"="&amp;A239)=0,,COUNTIF('Coder-2'!$A:$A,"="&amp;A239)))</f>
        <v/>
      </c>
    </row>
    <row r="240">
      <c r="A240" s="9"/>
      <c r="B240" s="6" t="str">
        <f>IF(ISBLANK(A240),,IF(COUNTIF('Coder-1'!$A:$A,"="&amp;A240)=0,,COUNTIF('Coder-1'!$A:$A,"="&amp;A240)))</f>
        <v/>
      </c>
      <c r="C240" s="6" t="str">
        <f>IF(ISBLANK(A240),,IF(COUNTIF('Coder-2'!$A:$A,"="&amp;A240)=0,,COUNTIF('Coder-2'!$A:$A,"="&amp;A240)))</f>
        <v/>
      </c>
    </row>
    <row r="241">
      <c r="A241" s="9"/>
      <c r="B241" s="6" t="str">
        <f>IF(ISBLANK(A241),,IF(COUNTIF('Coder-1'!$A:$A,"="&amp;A241)=0,,COUNTIF('Coder-1'!$A:$A,"="&amp;A241)))</f>
        <v/>
      </c>
      <c r="C241" s="6" t="str">
        <f>IF(ISBLANK(A241),,IF(COUNTIF('Coder-2'!$A:$A,"="&amp;A241)=0,,COUNTIF('Coder-2'!$A:$A,"="&amp;A241)))</f>
        <v/>
      </c>
    </row>
    <row r="242">
      <c r="A242" s="9"/>
      <c r="B242" s="6" t="str">
        <f>IF(ISBLANK(A242),,IF(COUNTIF('Coder-1'!$A:$A,"="&amp;A242)=0,,COUNTIF('Coder-1'!$A:$A,"="&amp;A242)))</f>
        <v/>
      </c>
      <c r="C242" s="6" t="str">
        <f>IF(ISBLANK(A242),,IF(COUNTIF('Coder-2'!$A:$A,"="&amp;A242)=0,,COUNTIF('Coder-2'!$A:$A,"="&amp;A242)))</f>
        <v/>
      </c>
    </row>
    <row r="243">
      <c r="A243" s="9"/>
      <c r="B243" s="6" t="str">
        <f>IF(ISBLANK(A243),,IF(COUNTIF('Coder-1'!$A:$A,"="&amp;A243)=0,,COUNTIF('Coder-1'!$A:$A,"="&amp;A243)))</f>
        <v/>
      </c>
      <c r="C243" s="6" t="str">
        <f>IF(ISBLANK(A243),,IF(COUNTIF('Coder-2'!$A:$A,"="&amp;A243)=0,,COUNTIF('Coder-2'!$A:$A,"="&amp;A243)))</f>
        <v/>
      </c>
    </row>
    <row r="244">
      <c r="A244" s="9"/>
      <c r="B244" s="6" t="str">
        <f>IF(ISBLANK(A244),,IF(COUNTIF('Coder-1'!$A:$A,"="&amp;A244)=0,,COUNTIF('Coder-1'!$A:$A,"="&amp;A244)))</f>
        <v/>
      </c>
      <c r="C244" s="6" t="str">
        <f>IF(ISBLANK(A244),,IF(COUNTIF('Coder-2'!$A:$A,"="&amp;A244)=0,,COUNTIF('Coder-2'!$A:$A,"="&amp;A244)))</f>
        <v/>
      </c>
    </row>
    <row r="245">
      <c r="A245" s="9"/>
      <c r="B245" s="6" t="str">
        <f>IF(ISBLANK(A245),,IF(COUNTIF('Coder-1'!$A:$A,"="&amp;A245)=0,,COUNTIF('Coder-1'!$A:$A,"="&amp;A245)))</f>
        <v/>
      </c>
      <c r="C245" s="6" t="str">
        <f>IF(ISBLANK(A245),,IF(COUNTIF('Coder-2'!$A:$A,"="&amp;A245)=0,,COUNTIF('Coder-2'!$A:$A,"="&amp;A245)))</f>
        <v/>
      </c>
    </row>
    <row r="246">
      <c r="A246" s="9"/>
      <c r="B246" s="6" t="str">
        <f>IF(ISBLANK(A246),,IF(COUNTIF('Coder-1'!$A:$A,"="&amp;A246)=0,,COUNTIF('Coder-1'!$A:$A,"="&amp;A246)))</f>
        <v/>
      </c>
      <c r="C246" s="6" t="str">
        <f>IF(ISBLANK(A246),,IF(COUNTIF('Coder-2'!$A:$A,"="&amp;A246)=0,,COUNTIF('Coder-2'!$A:$A,"="&amp;A246)))</f>
        <v/>
      </c>
    </row>
    <row r="247">
      <c r="A247" s="9"/>
      <c r="B247" s="6" t="str">
        <f>IF(ISBLANK(A247),,IF(COUNTIF('Coder-1'!$A:$A,"="&amp;A247)=0,,COUNTIF('Coder-1'!$A:$A,"="&amp;A247)))</f>
        <v/>
      </c>
      <c r="C247" s="6" t="str">
        <f>IF(ISBLANK(A247),,IF(COUNTIF('Coder-2'!$A:$A,"="&amp;A247)=0,,COUNTIF('Coder-2'!$A:$A,"="&amp;A247)))</f>
        <v/>
      </c>
    </row>
    <row r="248">
      <c r="A248" s="9"/>
      <c r="B248" s="6" t="str">
        <f>IF(ISBLANK(A248),,IF(COUNTIF('Coder-1'!$A:$A,"="&amp;A248)=0,,COUNTIF('Coder-1'!$A:$A,"="&amp;A248)))</f>
        <v/>
      </c>
      <c r="C248" s="6" t="str">
        <f>IF(ISBLANK(A248),,IF(COUNTIF('Coder-2'!$A:$A,"="&amp;A248)=0,,COUNTIF('Coder-2'!$A:$A,"="&amp;A248)))</f>
        <v/>
      </c>
    </row>
    <row r="249">
      <c r="A249" s="9"/>
      <c r="B249" s="6" t="str">
        <f>IF(ISBLANK(A249),,IF(COUNTIF('Coder-1'!$A:$A,"="&amp;A249)=0,,COUNTIF('Coder-1'!$A:$A,"="&amp;A249)))</f>
        <v/>
      </c>
      <c r="C249" s="6" t="str">
        <f>IF(ISBLANK(A249),,IF(COUNTIF('Coder-2'!$A:$A,"="&amp;A249)=0,,COUNTIF('Coder-2'!$A:$A,"="&amp;A249)))</f>
        <v/>
      </c>
    </row>
    <row r="250">
      <c r="A250" s="9"/>
      <c r="B250" s="6" t="str">
        <f>IF(ISBLANK(A250),,IF(COUNTIF('Coder-1'!$A:$A,"="&amp;A250)=0,,COUNTIF('Coder-1'!$A:$A,"="&amp;A250)))</f>
        <v/>
      </c>
      <c r="C250" s="6" t="str">
        <f>IF(ISBLANK(A250),,IF(COUNTIF('Coder-2'!$A:$A,"="&amp;A250)=0,,COUNTIF('Coder-2'!$A:$A,"="&amp;A250)))</f>
        <v/>
      </c>
    </row>
    <row r="251">
      <c r="A251" s="9"/>
      <c r="B251" s="6" t="str">
        <f>IF(ISBLANK(A251),,IF(COUNTIF('Coder-1'!$A:$A,"="&amp;A251)=0,,COUNTIF('Coder-1'!$A:$A,"="&amp;A251)))</f>
        <v/>
      </c>
      <c r="C251" s="6" t="str">
        <f>IF(ISBLANK(A251),,IF(COUNTIF('Coder-2'!$A:$A,"="&amp;A251)=0,,COUNTIF('Coder-2'!$A:$A,"="&amp;A251)))</f>
        <v/>
      </c>
    </row>
    <row r="252">
      <c r="A252" s="9"/>
      <c r="B252" s="6" t="str">
        <f>IF(ISBLANK(A252),,IF(COUNTIF('Coder-1'!$A:$A,"="&amp;A252)=0,,COUNTIF('Coder-1'!$A:$A,"="&amp;A252)))</f>
        <v/>
      </c>
      <c r="C252" s="6" t="str">
        <f>IF(ISBLANK(A252),,IF(COUNTIF('Coder-2'!$A:$A,"="&amp;A252)=0,,COUNTIF('Coder-2'!$A:$A,"="&amp;A252)))</f>
        <v/>
      </c>
    </row>
    <row r="253">
      <c r="A253" s="9"/>
      <c r="B253" s="6" t="str">
        <f>IF(ISBLANK(A253),,IF(COUNTIF('Coder-1'!$A:$A,"="&amp;A253)=0,,COUNTIF('Coder-1'!$A:$A,"="&amp;A253)))</f>
        <v/>
      </c>
      <c r="C253" s="6" t="str">
        <f>IF(ISBLANK(A253),,IF(COUNTIF('Coder-2'!$A:$A,"="&amp;A253)=0,,COUNTIF('Coder-2'!$A:$A,"="&amp;A253)))</f>
        <v/>
      </c>
    </row>
    <row r="254">
      <c r="A254" s="9"/>
      <c r="B254" s="6" t="str">
        <f>IF(ISBLANK(A254),,IF(COUNTIF('Coder-1'!$A:$A,"="&amp;A254)=0,,COUNTIF('Coder-1'!$A:$A,"="&amp;A254)))</f>
        <v/>
      </c>
      <c r="C254" s="6" t="str">
        <f>IF(ISBLANK(A254),,IF(COUNTIF('Coder-2'!$A:$A,"="&amp;A254)=0,,COUNTIF('Coder-2'!$A:$A,"="&amp;A254)))</f>
        <v/>
      </c>
    </row>
    <row r="255">
      <c r="A255" s="9"/>
      <c r="B255" s="6" t="str">
        <f>IF(ISBLANK(A255),,IF(COUNTIF('Coder-1'!$A:$A,"="&amp;A255)=0,,COUNTIF('Coder-1'!$A:$A,"="&amp;A255)))</f>
        <v/>
      </c>
      <c r="C255" s="6" t="str">
        <f>IF(ISBLANK(A255),,IF(COUNTIF('Coder-2'!$A:$A,"="&amp;A255)=0,,COUNTIF('Coder-2'!$A:$A,"="&amp;A255)))</f>
        <v/>
      </c>
    </row>
    <row r="256">
      <c r="A256" s="9"/>
      <c r="B256" s="6" t="str">
        <f>IF(ISBLANK(A256),,IF(COUNTIF('Coder-1'!$A:$A,"="&amp;A256)=0,,COUNTIF('Coder-1'!$A:$A,"="&amp;A256)))</f>
        <v/>
      </c>
      <c r="C256" s="6" t="str">
        <f>IF(ISBLANK(A256),,IF(COUNTIF('Coder-2'!$A:$A,"="&amp;A256)=0,,COUNTIF('Coder-2'!$A:$A,"="&amp;A256)))</f>
        <v/>
      </c>
    </row>
    <row r="257">
      <c r="A257" s="9"/>
      <c r="B257" s="6" t="str">
        <f>IF(ISBLANK(A257),,IF(COUNTIF('Coder-1'!$A:$A,"="&amp;A257)=0,,COUNTIF('Coder-1'!$A:$A,"="&amp;A257)))</f>
        <v/>
      </c>
      <c r="C257" s="6" t="str">
        <f>IF(ISBLANK(A257),,IF(COUNTIF('Coder-2'!$A:$A,"="&amp;A257)=0,,COUNTIF('Coder-2'!$A:$A,"="&amp;A257)))</f>
        <v/>
      </c>
    </row>
    <row r="258">
      <c r="A258" s="9"/>
      <c r="B258" s="6" t="str">
        <f>IF(ISBLANK(A258),,IF(COUNTIF('Coder-1'!$A:$A,"="&amp;A258)=0,,COUNTIF('Coder-1'!$A:$A,"="&amp;A258)))</f>
        <v/>
      </c>
      <c r="C258" s="6" t="str">
        <f>IF(ISBLANK(A258),,IF(COUNTIF('Coder-2'!$A:$A,"="&amp;A258)=0,,COUNTIF('Coder-2'!$A:$A,"="&amp;A258)))</f>
        <v/>
      </c>
    </row>
    <row r="259">
      <c r="A259" s="9"/>
      <c r="B259" s="6" t="str">
        <f>IF(ISBLANK(A259),,IF(COUNTIF('Coder-1'!$A:$A,"="&amp;A259)=0,,COUNTIF('Coder-1'!$A:$A,"="&amp;A259)))</f>
        <v/>
      </c>
      <c r="C259" s="6" t="str">
        <f>IF(ISBLANK(A259),,IF(COUNTIF('Coder-2'!$A:$A,"="&amp;A259)=0,,COUNTIF('Coder-2'!$A:$A,"="&amp;A259)))</f>
        <v/>
      </c>
    </row>
    <row r="260">
      <c r="A260" s="9"/>
      <c r="B260" s="6" t="str">
        <f>IF(ISBLANK(A260),,IF(COUNTIF('Coder-1'!$A:$A,"="&amp;A260)=0,,COUNTIF('Coder-1'!$A:$A,"="&amp;A260)))</f>
        <v/>
      </c>
      <c r="C260" s="6" t="str">
        <f>IF(ISBLANK(A260),,IF(COUNTIF('Coder-2'!$A:$A,"="&amp;A260)=0,,COUNTIF('Coder-2'!$A:$A,"="&amp;A260)))</f>
        <v/>
      </c>
    </row>
    <row r="261">
      <c r="A261" s="9"/>
      <c r="B261" s="6" t="str">
        <f>IF(ISBLANK(A261),,IF(COUNTIF('Coder-1'!$A:$A,"="&amp;A261)=0,,COUNTIF('Coder-1'!$A:$A,"="&amp;A261)))</f>
        <v/>
      </c>
      <c r="C261" s="6" t="str">
        <f>IF(ISBLANK(A261),,IF(COUNTIF('Coder-2'!$A:$A,"="&amp;A261)=0,,COUNTIF('Coder-2'!$A:$A,"="&amp;A261)))</f>
        <v/>
      </c>
    </row>
    <row r="262">
      <c r="A262" s="9"/>
      <c r="B262" s="6" t="str">
        <f>IF(ISBLANK(A262),,IF(COUNTIF('Coder-1'!$A:$A,"="&amp;A262)=0,,COUNTIF('Coder-1'!$A:$A,"="&amp;A262)))</f>
        <v/>
      </c>
      <c r="C262" s="6" t="str">
        <f>IF(ISBLANK(A262),,IF(COUNTIF('Coder-2'!$A:$A,"="&amp;A262)=0,,COUNTIF('Coder-2'!$A:$A,"="&amp;A262)))</f>
        <v/>
      </c>
    </row>
    <row r="263">
      <c r="A263" s="9"/>
      <c r="B263" s="6" t="str">
        <f>IF(ISBLANK(A263),,IF(COUNTIF('Coder-1'!$A:$A,"="&amp;A263)=0,,COUNTIF('Coder-1'!$A:$A,"="&amp;A263)))</f>
        <v/>
      </c>
      <c r="C263" s="6" t="str">
        <f>IF(ISBLANK(A263),,IF(COUNTIF('Coder-2'!$A:$A,"="&amp;A263)=0,,COUNTIF('Coder-2'!$A:$A,"="&amp;A263)))</f>
        <v/>
      </c>
    </row>
    <row r="264">
      <c r="A264" s="9"/>
      <c r="B264" s="6" t="str">
        <f>IF(ISBLANK(A264),,IF(COUNTIF('Coder-1'!$A:$A,"="&amp;A264)=0,,COUNTIF('Coder-1'!$A:$A,"="&amp;A264)))</f>
        <v/>
      </c>
      <c r="C264" s="6" t="str">
        <f>IF(ISBLANK(A264),,IF(COUNTIF('Coder-2'!$A:$A,"="&amp;A264)=0,,COUNTIF('Coder-2'!$A:$A,"="&amp;A264)))</f>
        <v/>
      </c>
    </row>
    <row r="265">
      <c r="A265" s="9"/>
      <c r="B265" s="6" t="str">
        <f>IF(ISBLANK(A265),,IF(COUNTIF('Coder-1'!$A:$A,"="&amp;A265)=0,,COUNTIF('Coder-1'!$A:$A,"="&amp;A265)))</f>
        <v/>
      </c>
      <c r="C265" s="6" t="str">
        <f>IF(ISBLANK(A265),,IF(COUNTIF('Coder-2'!$A:$A,"="&amp;A265)=0,,COUNTIF('Coder-2'!$A:$A,"="&amp;A265)))</f>
        <v/>
      </c>
    </row>
    <row r="266">
      <c r="A266" s="9"/>
      <c r="B266" s="6" t="str">
        <f>IF(ISBLANK(A266),,IF(COUNTIF('Coder-1'!$A:$A,"="&amp;A266)=0,,COUNTIF('Coder-1'!$A:$A,"="&amp;A266)))</f>
        <v/>
      </c>
      <c r="C266" s="6" t="str">
        <f>IF(ISBLANK(A266),,IF(COUNTIF('Coder-2'!$A:$A,"="&amp;A266)=0,,COUNTIF('Coder-2'!$A:$A,"="&amp;A266)))</f>
        <v/>
      </c>
    </row>
    <row r="267">
      <c r="A267" s="9"/>
      <c r="B267" s="6" t="str">
        <f>IF(ISBLANK(A267),,IF(COUNTIF('Coder-1'!$A:$A,"="&amp;A267)=0,,COUNTIF('Coder-1'!$A:$A,"="&amp;A267)))</f>
        <v/>
      </c>
      <c r="C267" s="6" t="str">
        <f>IF(ISBLANK(A267),,IF(COUNTIF('Coder-2'!$A:$A,"="&amp;A267)=0,,COUNTIF('Coder-2'!$A:$A,"="&amp;A267)))</f>
        <v/>
      </c>
    </row>
    <row r="268">
      <c r="A268" s="9"/>
      <c r="B268" s="6" t="str">
        <f>IF(ISBLANK(A268),,IF(COUNTIF('Coder-1'!$A:$A,"="&amp;A268)=0,,COUNTIF('Coder-1'!$A:$A,"="&amp;A268)))</f>
        <v/>
      </c>
      <c r="C268" s="6" t="str">
        <f>IF(ISBLANK(A268),,IF(COUNTIF('Coder-2'!$A:$A,"="&amp;A268)=0,,COUNTIF('Coder-2'!$A:$A,"="&amp;A268)))</f>
        <v/>
      </c>
    </row>
    <row r="269">
      <c r="A269" s="9"/>
      <c r="B269" s="6" t="str">
        <f>IF(ISBLANK(A269),,IF(COUNTIF('Coder-1'!$A:$A,"="&amp;A269)=0,,COUNTIF('Coder-1'!$A:$A,"="&amp;A269)))</f>
        <v/>
      </c>
      <c r="C269" s="6" t="str">
        <f>IF(ISBLANK(A269),,IF(COUNTIF('Coder-2'!$A:$A,"="&amp;A269)=0,,COUNTIF('Coder-2'!$A:$A,"="&amp;A269)))</f>
        <v/>
      </c>
    </row>
    <row r="270">
      <c r="A270" s="9"/>
      <c r="B270" s="6" t="str">
        <f>IF(ISBLANK(A270),,IF(COUNTIF('Coder-1'!$A:$A,"="&amp;A270)=0,,COUNTIF('Coder-1'!$A:$A,"="&amp;A270)))</f>
        <v/>
      </c>
      <c r="C270" s="6" t="str">
        <f>IF(ISBLANK(A270),,IF(COUNTIF('Coder-2'!$A:$A,"="&amp;A270)=0,,COUNTIF('Coder-2'!$A:$A,"="&amp;A270)))</f>
        <v/>
      </c>
    </row>
    <row r="271">
      <c r="A271" s="9"/>
      <c r="B271" s="6" t="str">
        <f>IF(ISBLANK(A271),,IF(COUNTIF('Coder-1'!$A:$A,"="&amp;A271)=0,,COUNTIF('Coder-1'!$A:$A,"="&amp;A271)))</f>
        <v/>
      </c>
      <c r="C271" s="6" t="str">
        <f>IF(ISBLANK(A271),,IF(COUNTIF('Coder-2'!$A:$A,"="&amp;A271)=0,,COUNTIF('Coder-2'!$A:$A,"="&amp;A271)))</f>
        <v/>
      </c>
    </row>
    <row r="272">
      <c r="A272" s="9"/>
      <c r="B272" s="6" t="str">
        <f>IF(ISBLANK(A272),,IF(COUNTIF('Coder-1'!$A:$A,"="&amp;A272)=0,,COUNTIF('Coder-1'!$A:$A,"="&amp;A272)))</f>
        <v/>
      </c>
      <c r="C272" s="6" t="str">
        <f>IF(ISBLANK(A272),,IF(COUNTIF('Coder-2'!$A:$A,"="&amp;A272)=0,,COUNTIF('Coder-2'!$A:$A,"="&amp;A272)))</f>
        <v/>
      </c>
    </row>
    <row r="273">
      <c r="A273" s="9"/>
      <c r="B273" s="6" t="str">
        <f>IF(ISBLANK(A273),,IF(COUNTIF('Coder-1'!$A:$A,"="&amp;A273)=0,,COUNTIF('Coder-1'!$A:$A,"="&amp;A273)))</f>
        <v/>
      </c>
      <c r="C273" s="6" t="str">
        <f>IF(ISBLANK(A273),,IF(COUNTIF('Coder-2'!$A:$A,"="&amp;A273)=0,,COUNTIF('Coder-2'!$A:$A,"="&amp;A273)))</f>
        <v/>
      </c>
    </row>
    <row r="274">
      <c r="A274" s="9"/>
      <c r="B274" s="6" t="str">
        <f>IF(ISBLANK(A274),,IF(COUNTIF('Coder-1'!$A:$A,"="&amp;A274)=0,,COUNTIF('Coder-1'!$A:$A,"="&amp;A274)))</f>
        <v/>
      </c>
      <c r="C274" s="6" t="str">
        <f>IF(ISBLANK(A274),,IF(COUNTIF('Coder-2'!$A:$A,"="&amp;A274)=0,,COUNTIF('Coder-2'!$A:$A,"="&amp;A274)))</f>
        <v/>
      </c>
    </row>
    <row r="275">
      <c r="A275" s="9"/>
      <c r="B275" s="6" t="str">
        <f>IF(ISBLANK(A275),,IF(COUNTIF('Coder-1'!$A:$A,"="&amp;A275)=0,,COUNTIF('Coder-1'!$A:$A,"="&amp;A275)))</f>
        <v/>
      </c>
      <c r="C275" s="6" t="str">
        <f>IF(ISBLANK(A275),,IF(COUNTIF('Coder-2'!$A:$A,"="&amp;A275)=0,,COUNTIF('Coder-2'!$A:$A,"="&amp;A275)))</f>
        <v/>
      </c>
    </row>
    <row r="276">
      <c r="A276" s="9"/>
      <c r="B276" s="6" t="str">
        <f>IF(ISBLANK(A276),,IF(COUNTIF('Coder-1'!$A:$A,"="&amp;A276)=0,,COUNTIF('Coder-1'!$A:$A,"="&amp;A276)))</f>
        <v/>
      </c>
      <c r="C276" s="6" t="str">
        <f>IF(ISBLANK(A276),,IF(COUNTIF('Coder-2'!$A:$A,"="&amp;A276)=0,,COUNTIF('Coder-2'!$A:$A,"="&amp;A276)))</f>
        <v/>
      </c>
    </row>
    <row r="277">
      <c r="A277" s="9"/>
      <c r="B277" s="6" t="str">
        <f>IF(ISBLANK(A277),,IF(COUNTIF('Coder-1'!$A:$A,"="&amp;A277)=0,,COUNTIF('Coder-1'!$A:$A,"="&amp;A277)))</f>
        <v/>
      </c>
      <c r="C277" s="6" t="str">
        <f>IF(ISBLANK(A277),,IF(COUNTIF('Coder-2'!$A:$A,"="&amp;A277)=0,,COUNTIF('Coder-2'!$A:$A,"="&amp;A277)))</f>
        <v/>
      </c>
    </row>
    <row r="278">
      <c r="A278" s="9"/>
      <c r="B278" s="6" t="str">
        <f>IF(ISBLANK(A278),,IF(COUNTIF('Coder-1'!$A:$A,"="&amp;A278)=0,,COUNTIF('Coder-1'!$A:$A,"="&amp;A278)))</f>
        <v/>
      </c>
      <c r="C278" s="6" t="str">
        <f>IF(ISBLANK(A278),,IF(COUNTIF('Coder-2'!$A:$A,"="&amp;A278)=0,,COUNTIF('Coder-2'!$A:$A,"="&amp;A278)))</f>
        <v/>
      </c>
    </row>
    <row r="279">
      <c r="A279" s="9"/>
      <c r="B279" s="6" t="str">
        <f>IF(ISBLANK(A279),,IF(COUNTIF('Coder-1'!$A:$A,"="&amp;A279)=0,,COUNTIF('Coder-1'!$A:$A,"="&amp;A279)))</f>
        <v/>
      </c>
      <c r="C279" s="6" t="str">
        <f>IF(ISBLANK(A279),,IF(COUNTIF('Coder-2'!$A:$A,"="&amp;A279)=0,,COUNTIF('Coder-2'!$A:$A,"="&amp;A279)))</f>
        <v/>
      </c>
    </row>
    <row r="280">
      <c r="A280" s="9"/>
      <c r="B280" s="6" t="str">
        <f>IF(ISBLANK(A280),,IF(COUNTIF('Coder-1'!$A:$A,"="&amp;A280)=0,,COUNTIF('Coder-1'!$A:$A,"="&amp;A280)))</f>
        <v/>
      </c>
      <c r="C280" s="6" t="str">
        <f>IF(ISBLANK(A280),,IF(COUNTIF('Coder-2'!$A:$A,"="&amp;A280)=0,,COUNTIF('Coder-2'!$A:$A,"="&amp;A280)))</f>
        <v/>
      </c>
    </row>
    <row r="281">
      <c r="A281" s="9"/>
      <c r="B281" s="6" t="str">
        <f>IF(ISBLANK(A281),,IF(COUNTIF('Coder-1'!$A:$A,"="&amp;A281)=0,,COUNTIF('Coder-1'!$A:$A,"="&amp;A281)))</f>
        <v/>
      </c>
      <c r="C281" s="6" t="str">
        <f>IF(ISBLANK(A281),,IF(COUNTIF('Coder-2'!$A:$A,"="&amp;A281)=0,,COUNTIF('Coder-2'!$A:$A,"="&amp;A281)))</f>
        <v/>
      </c>
    </row>
    <row r="282">
      <c r="A282" s="9"/>
      <c r="B282" s="6" t="str">
        <f>IF(ISBLANK(A282),,IF(COUNTIF('Coder-1'!$A:$A,"="&amp;A282)=0,,COUNTIF('Coder-1'!$A:$A,"="&amp;A282)))</f>
        <v/>
      </c>
      <c r="C282" s="6" t="str">
        <f>IF(ISBLANK(A282),,IF(COUNTIF('Coder-2'!$A:$A,"="&amp;A282)=0,,COUNTIF('Coder-2'!$A:$A,"="&amp;A282)))</f>
        <v/>
      </c>
    </row>
    <row r="283">
      <c r="A283" s="9"/>
      <c r="B283" s="6" t="str">
        <f>IF(ISBLANK(A283),,IF(COUNTIF('Coder-1'!$A:$A,"="&amp;A283)=0,,COUNTIF('Coder-1'!$A:$A,"="&amp;A283)))</f>
        <v/>
      </c>
      <c r="C283" s="6" t="str">
        <f>IF(ISBLANK(A283),,IF(COUNTIF('Coder-2'!$A:$A,"="&amp;A283)=0,,COUNTIF('Coder-2'!$A:$A,"="&amp;A283)))</f>
        <v/>
      </c>
    </row>
    <row r="284">
      <c r="A284" s="9"/>
      <c r="B284" s="6" t="str">
        <f>IF(ISBLANK(A284),,IF(COUNTIF('Coder-1'!$A:$A,"="&amp;A284)=0,,COUNTIF('Coder-1'!$A:$A,"="&amp;A284)))</f>
        <v/>
      </c>
      <c r="C284" s="6" t="str">
        <f>IF(ISBLANK(A284),,IF(COUNTIF('Coder-2'!$A:$A,"="&amp;A284)=0,,COUNTIF('Coder-2'!$A:$A,"="&amp;A284)))</f>
        <v/>
      </c>
    </row>
    <row r="285">
      <c r="A285" s="9"/>
      <c r="B285" s="6" t="str">
        <f>IF(ISBLANK(A285),,IF(COUNTIF('Coder-1'!$A:$A,"="&amp;A285)=0,,COUNTIF('Coder-1'!$A:$A,"="&amp;A285)))</f>
        <v/>
      </c>
      <c r="C285" s="6" t="str">
        <f>IF(ISBLANK(A285),,IF(COUNTIF('Coder-2'!$A:$A,"="&amp;A285)=0,,COUNTIF('Coder-2'!$A:$A,"="&amp;A285)))</f>
        <v/>
      </c>
    </row>
    <row r="286">
      <c r="A286" s="9"/>
      <c r="B286" s="6" t="str">
        <f>IF(ISBLANK(A286),,IF(COUNTIF('Coder-1'!$A:$A,"="&amp;A286)=0,,COUNTIF('Coder-1'!$A:$A,"="&amp;A286)))</f>
        <v/>
      </c>
      <c r="C286" s="6" t="str">
        <f>IF(ISBLANK(A286),,IF(COUNTIF('Coder-2'!$A:$A,"="&amp;A286)=0,,COUNTIF('Coder-2'!$A:$A,"="&amp;A286)))</f>
        <v/>
      </c>
    </row>
    <row r="287">
      <c r="A287" s="9"/>
      <c r="B287" s="6" t="str">
        <f>IF(ISBLANK(A287),,IF(COUNTIF('Coder-1'!$A:$A,"="&amp;A287)=0,,COUNTIF('Coder-1'!$A:$A,"="&amp;A287)))</f>
        <v/>
      </c>
      <c r="C287" s="6" t="str">
        <f>IF(ISBLANK(A287),,IF(COUNTIF('Coder-2'!$A:$A,"="&amp;A287)=0,,COUNTIF('Coder-2'!$A:$A,"="&amp;A287)))</f>
        <v/>
      </c>
    </row>
    <row r="288">
      <c r="A288" s="9"/>
      <c r="B288" s="6" t="str">
        <f>IF(ISBLANK(A288),,IF(COUNTIF('Coder-1'!$A:$A,"="&amp;A288)=0,,COUNTIF('Coder-1'!$A:$A,"="&amp;A288)))</f>
        <v/>
      </c>
      <c r="C288" s="6" t="str">
        <f>IF(ISBLANK(A288),,IF(COUNTIF('Coder-2'!$A:$A,"="&amp;A288)=0,,COUNTIF('Coder-2'!$A:$A,"="&amp;A288)))</f>
        <v/>
      </c>
    </row>
    <row r="289">
      <c r="A289" s="9"/>
      <c r="B289" s="6" t="str">
        <f>IF(ISBLANK(A289),,IF(COUNTIF('Coder-1'!$A:$A,"="&amp;A289)=0,,COUNTIF('Coder-1'!$A:$A,"="&amp;A289)))</f>
        <v/>
      </c>
      <c r="C289" s="6" t="str">
        <f>IF(ISBLANK(A289),,IF(COUNTIF('Coder-2'!$A:$A,"="&amp;A289)=0,,COUNTIF('Coder-2'!$A:$A,"="&amp;A289)))</f>
        <v/>
      </c>
    </row>
    <row r="290">
      <c r="A290" s="9"/>
      <c r="B290" s="6" t="str">
        <f>IF(ISBLANK(A290),,IF(COUNTIF('Coder-1'!$A:$A,"="&amp;A290)=0,,COUNTIF('Coder-1'!$A:$A,"="&amp;A290)))</f>
        <v/>
      </c>
      <c r="C290" s="6" t="str">
        <f>IF(ISBLANK(A290),,IF(COUNTIF('Coder-2'!$A:$A,"="&amp;A290)=0,,COUNTIF('Coder-2'!$A:$A,"="&amp;A290)))</f>
        <v/>
      </c>
    </row>
    <row r="291">
      <c r="A291" s="9"/>
      <c r="B291" s="6" t="str">
        <f>IF(ISBLANK(A291),,IF(COUNTIF('Coder-1'!$A:$A,"="&amp;A291)=0,,COUNTIF('Coder-1'!$A:$A,"="&amp;A291)))</f>
        <v/>
      </c>
      <c r="C291" s="6" t="str">
        <f>IF(ISBLANK(A291),,IF(COUNTIF('Coder-2'!$A:$A,"="&amp;A291)=0,,COUNTIF('Coder-2'!$A:$A,"="&amp;A291)))</f>
        <v/>
      </c>
    </row>
    <row r="292">
      <c r="A292" s="9"/>
      <c r="B292" s="6" t="str">
        <f>IF(ISBLANK(A292),,IF(COUNTIF('Coder-1'!$A:$A,"="&amp;A292)=0,,COUNTIF('Coder-1'!$A:$A,"="&amp;A292)))</f>
        <v/>
      </c>
      <c r="C292" s="6" t="str">
        <f>IF(ISBLANK(A292),,IF(COUNTIF('Coder-2'!$A:$A,"="&amp;A292)=0,,COUNTIF('Coder-2'!$A:$A,"="&amp;A292)))</f>
        <v/>
      </c>
    </row>
    <row r="293">
      <c r="A293" s="9"/>
      <c r="B293" s="6" t="str">
        <f>IF(ISBLANK(A293),,IF(COUNTIF('Coder-1'!$A:$A,"="&amp;A293)=0,,COUNTIF('Coder-1'!$A:$A,"="&amp;A293)))</f>
        <v/>
      </c>
      <c r="C293" s="6" t="str">
        <f>IF(ISBLANK(A293),,IF(COUNTIF('Coder-2'!$A:$A,"="&amp;A293)=0,,COUNTIF('Coder-2'!$A:$A,"="&amp;A293)))</f>
        <v/>
      </c>
    </row>
    <row r="294">
      <c r="A294" s="9"/>
      <c r="B294" s="6" t="str">
        <f>IF(ISBLANK(A294),,IF(COUNTIF('Coder-1'!$A:$A,"="&amp;A294)=0,,COUNTIF('Coder-1'!$A:$A,"="&amp;A294)))</f>
        <v/>
      </c>
      <c r="C294" s="6" t="str">
        <f>IF(ISBLANK(A294),,IF(COUNTIF('Coder-2'!$A:$A,"="&amp;A294)=0,,COUNTIF('Coder-2'!$A:$A,"="&amp;A294)))</f>
        <v/>
      </c>
    </row>
    <row r="295">
      <c r="A295" s="9"/>
      <c r="B295" s="6" t="str">
        <f>IF(ISBLANK(A295),,IF(COUNTIF('Coder-1'!$A:$A,"="&amp;A295)=0,,COUNTIF('Coder-1'!$A:$A,"="&amp;A295)))</f>
        <v/>
      </c>
      <c r="C295" s="6" t="str">
        <f>IF(ISBLANK(A295),,IF(COUNTIF('Coder-2'!$A:$A,"="&amp;A295)=0,,COUNTIF('Coder-2'!$A:$A,"="&amp;A295)))</f>
        <v/>
      </c>
    </row>
    <row r="296">
      <c r="A296" s="9"/>
      <c r="B296" s="6" t="str">
        <f>IF(ISBLANK(A296),,IF(COUNTIF('Coder-1'!$A:$A,"="&amp;A296)=0,,COUNTIF('Coder-1'!$A:$A,"="&amp;A296)))</f>
        <v/>
      </c>
      <c r="C296" s="6" t="str">
        <f>IF(ISBLANK(A296),,IF(COUNTIF('Coder-2'!$A:$A,"="&amp;A296)=0,,COUNTIF('Coder-2'!$A:$A,"="&amp;A296)))</f>
        <v/>
      </c>
    </row>
    <row r="297">
      <c r="A297" s="9"/>
      <c r="B297" s="6" t="str">
        <f>IF(ISBLANK(A297),,IF(COUNTIF('Coder-1'!$A:$A,"="&amp;A297)=0,,COUNTIF('Coder-1'!$A:$A,"="&amp;A297)))</f>
        <v/>
      </c>
      <c r="C297" s="6" t="str">
        <f>IF(ISBLANK(A297),,IF(COUNTIF('Coder-2'!$A:$A,"="&amp;A297)=0,,COUNTIF('Coder-2'!$A:$A,"="&amp;A297)))</f>
        <v/>
      </c>
    </row>
    <row r="298">
      <c r="A298" s="9"/>
      <c r="B298" s="6" t="str">
        <f>IF(ISBLANK(A298),,IF(COUNTIF('Coder-1'!$A:$A,"="&amp;A298)=0,,COUNTIF('Coder-1'!$A:$A,"="&amp;A298)))</f>
        <v/>
      </c>
      <c r="C298" s="6" t="str">
        <f>IF(ISBLANK(A298),,IF(COUNTIF('Coder-2'!$A:$A,"="&amp;A298)=0,,COUNTIF('Coder-2'!$A:$A,"="&amp;A298)))</f>
        <v/>
      </c>
    </row>
    <row r="299">
      <c r="A299" s="9"/>
      <c r="B299" s="6" t="str">
        <f>IF(ISBLANK(A299),,IF(COUNTIF('Coder-1'!$A:$A,"="&amp;A299)=0,,COUNTIF('Coder-1'!$A:$A,"="&amp;A299)))</f>
        <v/>
      </c>
      <c r="C299" s="6" t="str">
        <f>IF(ISBLANK(A299),,IF(COUNTIF('Coder-2'!$A:$A,"="&amp;A299)=0,,COUNTIF('Coder-2'!$A:$A,"="&amp;A299)))</f>
        <v/>
      </c>
    </row>
    <row r="300">
      <c r="A300" s="9"/>
      <c r="B300" s="6" t="str">
        <f>IF(ISBLANK(A300),,IF(COUNTIF('Coder-1'!$A:$A,"="&amp;A300)=0,,COUNTIF('Coder-1'!$A:$A,"="&amp;A300)))</f>
        <v/>
      </c>
      <c r="C300" s="6" t="str">
        <f>IF(ISBLANK(A300),,IF(COUNTIF('Coder-2'!$A:$A,"="&amp;A300)=0,,COUNTIF('Coder-2'!$A:$A,"="&amp;A300)))</f>
        <v/>
      </c>
    </row>
    <row r="301">
      <c r="A301" s="9"/>
      <c r="B301" s="6" t="str">
        <f>IF(ISBLANK(A301),,IF(COUNTIF('Coder-1'!$A:$A,"="&amp;A301)=0,,COUNTIF('Coder-1'!$A:$A,"="&amp;A301)))</f>
        <v/>
      </c>
      <c r="C301" s="6" t="str">
        <f>IF(ISBLANK(A301),,IF(COUNTIF('Coder-2'!$A:$A,"="&amp;A301)=0,,COUNTIF('Coder-2'!$A:$A,"="&amp;A301)))</f>
        <v/>
      </c>
    </row>
    <row r="302">
      <c r="A302" s="9"/>
      <c r="B302" s="6" t="str">
        <f>IF(ISBLANK(A302),,IF(COUNTIF('Coder-1'!$A:$A,"="&amp;A302)=0,,COUNTIF('Coder-1'!$A:$A,"="&amp;A302)))</f>
        <v/>
      </c>
      <c r="C302" s="6" t="str">
        <f>IF(ISBLANK(A302),,IF(COUNTIF('Coder-2'!$A:$A,"="&amp;A302)=0,,COUNTIF('Coder-2'!$A:$A,"="&amp;A302)))</f>
        <v/>
      </c>
    </row>
    <row r="303">
      <c r="A303" s="9"/>
      <c r="B303" s="6" t="str">
        <f>IF(ISBLANK(A303),,IF(COUNTIF('Coder-1'!$A:$A,"="&amp;A303)=0,,COUNTIF('Coder-1'!$A:$A,"="&amp;A303)))</f>
        <v/>
      </c>
      <c r="C303" s="6" t="str">
        <f>IF(ISBLANK(A303),,IF(COUNTIF('Coder-2'!$A:$A,"="&amp;A303)=0,,COUNTIF('Coder-2'!$A:$A,"="&amp;A303)))</f>
        <v/>
      </c>
    </row>
    <row r="304">
      <c r="A304" s="9"/>
      <c r="B304" s="6" t="str">
        <f>IF(ISBLANK(A304),,IF(COUNTIF('Coder-1'!$A:$A,"="&amp;A304)=0,,COUNTIF('Coder-1'!$A:$A,"="&amp;A304)))</f>
        <v/>
      </c>
      <c r="C304" s="6" t="str">
        <f>IF(ISBLANK(A304),,IF(COUNTIF('Coder-2'!$A:$A,"="&amp;A304)=0,,COUNTIF('Coder-2'!$A:$A,"="&amp;A304)))</f>
        <v/>
      </c>
    </row>
    <row r="305">
      <c r="A305" s="9"/>
      <c r="B305" s="6" t="str">
        <f>IF(ISBLANK(A305),,IF(COUNTIF('Coder-1'!$A:$A,"="&amp;A305)=0,,COUNTIF('Coder-1'!$A:$A,"="&amp;A305)))</f>
        <v/>
      </c>
      <c r="C305" s="6" t="str">
        <f>IF(ISBLANK(A305),,IF(COUNTIF('Coder-2'!$A:$A,"="&amp;A305)=0,,COUNTIF('Coder-2'!$A:$A,"="&amp;A305)))</f>
        <v/>
      </c>
    </row>
    <row r="306">
      <c r="A306" s="9"/>
      <c r="B306" s="6" t="str">
        <f>IF(ISBLANK(A306),,IF(COUNTIF('Coder-1'!$A:$A,"="&amp;A306)=0,,COUNTIF('Coder-1'!$A:$A,"="&amp;A306)))</f>
        <v/>
      </c>
      <c r="C306" s="6" t="str">
        <f>IF(ISBLANK(A306),,IF(COUNTIF('Coder-2'!$A:$A,"="&amp;A306)=0,,COUNTIF('Coder-2'!$A:$A,"="&amp;A306)))</f>
        <v/>
      </c>
    </row>
    <row r="307">
      <c r="A307" s="9"/>
      <c r="B307" s="6" t="str">
        <f>IF(ISBLANK(A307),,IF(COUNTIF('Coder-1'!$A:$A,"="&amp;A307)=0,,COUNTIF('Coder-1'!$A:$A,"="&amp;A307)))</f>
        <v/>
      </c>
      <c r="C307" s="6" t="str">
        <f>IF(ISBLANK(A307),,IF(COUNTIF('Coder-2'!$A:$A,"="&amp;A307)=0,,COUNTIF('Coder-2'!$A:$A,"="&amp;A307)))</f>
        <v/>
      </c>
    </row>
    <row r="308">
      <c r="A308" s="9"/>
      <c r="B308" s="6" t="str">
        <f>IF(ISBLANK(A308),,IF(COUNTIF('Coder-1'!$A:$A,"="&amp;A308)=0,,COUNTIF('Coder-1'!$A:$A,"="&amp;A308)))</f>
        <v/>
      </c>
      <c r="C308" s="6" t="str">
        <f>IF(ISBLANK(A308),,IF(COUNTIF('Coder-2'!$A:$A,"="&amp;A308)=0,,COUNTIF('Coder-2'!$A:$A,"="&amp;A308)))</f>
        <v/>
      </c>
    </row>
    <row r="309">
      <c r="A309" s="9"/>
      <c r="B309" s="6" t="str">
        <f>IF(ISBLANK(A309),,IF(COUNTIF('Coder-1'!$A:$A,"="&amp;A309)=0,,COUNTIF('Coder-1'!$A:$A,"="&amp;A309)))</f>
        <v/>
      </c>
      <c r="C309" s="6" t="str">
        <f>IF(ISBLANK(A309),,IF(COUNTIF('Coder-2'!$A:$A,"="&amp;A309)=0,,COUNTIF('Coder-2'!$A:$A,"="&amp;A309)))</f>
        <v/>
      </c>
    </row>
    <row r="310">
      <c r="A310" s="9"/>
      <c r="B310" s="6" t="str">
        <f>IF(ISBLANK(A310),,IF(COUNTIF('Coder-1'!$A:$A,"="&amp;A310)=0,,COUNTIF('Coder-1'!$A:$A,"="&amp;A310)))</f>
        <v/>
      </c>
      <c r="C310" s="6" t="str">
        <f>IF(ISBLANK(A310),,IF(COUNTIF('Coder-2'!$A:$A,"="&amp;A310)=0,,COUNTIF('Coder-2'!$A:$A,"="&amp;A310)))</f>
        <v/>
      </c>
    </row>
    <row r="311">
      <c r="A311" s="9"/>
      <c r="B311" s="6" t="str">
        <f>IF(ISBLANK(A311),,IF(COUNTIF('Coder-1'!$A:$A,"="&amp;A311)=0,,COUNTIF('Coder-1'!$A:$A,"="&amp;A311)))</f>
        <v/>
      </c>
      <c r="C311" s="6" t="str">
        <f>IF(ISBLANK(A311),,IF(COUNTIF('Coder-2'!$A:$A,"="&amp;A311)=0,,COUNTIF('Coder-2'!$A:$A,"="&amp;A311)))</f>
        <v/>
      </c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</sheetData>
  <conditionalFormatting sqref="F2">
    <cfRule type="expression" dxfId="0" priority="1">
      <formula>$A1 = Today()</formula>
    </cfRule>
  </conditionalFormatting>
  <conditionalFormatting sqref="A2:A3">
    <cfRule type="expression" dxfId="0" priority="2">
      <formula>$A2 = Today()</formula>
    </cfRule>
  </conditionalFormatting>
  <conditionalFormatting sqref="B1:E1">
    <cfRule type="expression" dxfId="0" priority="3">
      <formula>$A3 = Today()</formula>
    </cfRule>
  </conditionalFormatting>
  <conditionalFormatting sqref="H11">
    <cfRule type="expression" dxfId="0" priority="4">
      <formula>$A10 = Today()</formula>
    </cfRule>
  </conditionalFormatting>
  <conditionalFormatting sqref="F1 H1:H9 K1:Z1003 G2:G1003 I2:J1003 F3:F1003 A4:E1003 H12:H1003">
    <cfRule type="expression" dxfId="0" priority="5">
      <formula>$A1 = Today()</formula>
    </cfRule>
  </conditionalFormatting>
  <conditionalFormatting sqref="B2:E2">
    <cfRule type="cellIs" dxfId="1" priority="6" operator="equal">
      <formula>0</formula>
    </cfRule>
  </conditionalFormatting>
  <conditionalFormatting sqref="B2:E2">
    <cfRule type="cellIs" dxfId="2" priority="7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9.88"/>
    <col hidden="1" min="6" max="9" width="12.63"/>
  </cols>
  <sheetData>
    <row r="1">
      <c r="A1" s="10" t="s">
        <v>5</v>
      </c>
      <c r="B1" s="11" t="s">
        <v>6</v>
      </c>
      <c r="C1" s="10" t="s">
        <v>7</v>
      </c>
      <c r="D1" s="12" t="str">
        <f>IFERROR(__xludf.DUMMYFUNCTION("IF(COUNTUNIQUE(B3:B1000)&gt;0,COUNTUNIQUE(B3:B1000),)"),"")</f>
        <v/>
      </c>
      <c r="E1" s="13" t="s">
        <v>8</v>
      </c>
      <c r="F1" s="14"/>
      <c r="G1" s="14"/>
      <c r="H1" s="14"/>
      <c r="I1" s="14"/>
      <c r="J1" s="14" t="str">
        <f>IF((COUNTA(B:B)-2)/(DATEDIF(A3,TODAY(),"D")+1)&gt;0,(COUNTA(B:B)-2)/(DATEDIF(A3,TODAY(),"D")+1),)</f>
        <v/>
      </c>
      <c r="K1" s="10"/>
      <c r="L1" s="10" t="s">
        <v>9</v>
      </c>
      <c r="M1" s="12"/>
      <c r="N1" s="15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>
      <c r="A2" s="16" t="s">
        <v>10</v>
      </c>
      <c r="B2" s="10" t="s">
        <v>11</v>
      </c>
      <c r="C2" s="17" t="s">
        <v>12</v>
      </c>
      <c r="D2" s="10" t="s">
        <v>13</v>
      </c>
      <c r="E2" s="10" t="s">
        <v>14</v>
      </c>
      <c r="F2" s="10" t="s">
        <v>15</v>
      </c>
      <c r="G2" s="10"/>
      <c r="H2" s="10"/>
      <c r="I2" s="10"/>
      <c r="J2" s="10" t="s">
        <v>16</v>
      </c>
      <c r="K2" s="10" t="s">
        <v>17</v>
      </c>
      <c r="L2" s="10" t="s">
        <v>18</v>
      </c>
      <c r="M2" s="18"/>
      <c r="N2" s="10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>
      <c r="A3" s="19"/>
      <c r="C3" s="20" t="str">
        <f>IFERROR(__xludf.DUMMYFUNCTION("IF(ISBLANK(B3),,IFERROR(array_constrain(FILTER('Leetcode分类顺序表'!B:J,'Leetcode分类顺序表'!A:A = B3), 1, 10000000),IFERROR(FILTER(Algoexpert.io!B:D,Algoexpert.io!A:A = B3),FILTER('Leetcode List'!B:J,'Leetcode List'!A:A = B3))))"),"")</f>
        <v/>
      </c>
      <c r="D3" s="20"/>
      <c r="E3" s="20"/>
      <c r="F3" s="20"/>
      <c r="G3" s="20"/>
      <c r="H3" s="20"/>
      <c r="I3" s="20"/>
      <c r="J3" s="20"/>
      <c r="K3" s="20"/>
      <c r="L3" s="20" t="str">
        <f t="shared" ref="L3:L211" si="1">IF(ISBLANK(B3),,COUNTIF(B:B,"="&amp;B3)-1)</f>
        <v/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>
      <c r="A4" s="19"/>
      <c r="B4" s="21"/>
      <c r="C4" s="20" t="str">
        <f>IFERROR(__xludf.DUMMYFUNCTION("IF(ISBLANK(B4),,IFERROR(array_constrain(FILTER('Leetcode分类顺序表'!B:J,'Leetcode分类顺序表'!A:A = B4), 1, 10000000),IFERROR(FILTER(Algoexpert.io!B:D,Algoexpert.io!A:A = B4),FILTER('Leetcode List'!B:J,'Leetcode List'!A:A = B4))))"),"")</f>
        <v/>
      </c>
      <c r="D4" s="20"/>
      <c r="E4" s="20"/>
      <c r="F4" s="20"/>
      <c r="G4" s="20"/>
      <c r="H4" s="20"/>
      <c r="I4" s="20"/>
      <c r="J4" s="20"/>
      <c r="K4" s="20"/>
      <c r="L4" s="20" t="str">
        <f t="shared" si="1"/>
        <v/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>
      <c r="A5" s="19"/>
      <c r="B5" s="21"/>
      <c r="C5" s="20" t="str">
        <f>IFERROR(__xludf.DUMMYFUNCTION("IF(ISBLANK(B5),,IFERROR(array_constrain(FILTER('Leetcode分类顺序表'!B:J,'Leetcode分类顺序表'!A:A = B5), 1, 10000000),IFERROR(FILTER(Algoexpert.io!B:D,Algoexpert.io!A:A = B5),FILTER('Leetcode List'!B:J,'Leetcode List'!A:A = B5))))"),"")</f>
        <v/>
      </c>
      <c r="D5" s="20"/>
      <c r="E5" s="20"/>
      <c r="F5" s="20"/>
      <c r="G5" s="20"/>
      <c r="H5" s="20"/>
      <c r="I5" s="20"/>
      <c r="J5" s="20"/>
      <c r="K5" s="20"/>
      <c r="L5" s="20" t="str">
        <f t="shared" si="1"/>
        <v/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>
      <c r="A6" s="19"/>
      <c r="B6" s="21"/>
      <c r="C6" s="20" t="str">
        <f>IFERROR(__xludf.DUMMYFUNCTION("IF(ISBLANK(B6),,IFERROR(array_constrain(FILTER('Leetcode分类顺序表'!B:J,'Leetcode分类顺序表'!A:A = B6), 1, 10000000),IFERROR(FILTER(Algoexpert.io!B:D,Algoexpert.io!A:A = B6),FILTER('Leetcode List'!B:J,'Leetcode List'!A:A = B6))))"),"")</f>
        <v/>
      </c>
      <c r="D6" s="20"/>
      <c r="E6" s="20"/>
      <c r="F6" s="20"/>
      <c r="G6" s="20"/>
      <c r="H6" s="20"/>
      <c r="I6" s="20"/>
      <c r="J6" s="20"/>
      <c r="K6" s="20"/>
      <c r="L6" s="20" t="str">
        <f t="shared" si="1"/>
        <v/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>
      <c r="A7" s="19"/>
      <c r="B7" s="21"/>
      <c r="C7" s="20" t="str">
        <f>IFERROR(__xludf.DUMMYFUNCTION("IF(ISBLANK(B7),,IFERROR(array_constrain(FILTER('Leetcode分类顺序表'!B:J,'Leetcode分类顺序表'!A:A = B7), 1, 10000000),IFERROR(FILTER(Algoexpert.io!B:D,Algoexpert.io!A:A = B7),FILTER('Leetcode List'!B:J,'Leetcode List'!A:A = B7))))"),"")</f>
        <v/>
      </c>
      <c r="D7" s="20"/>
      <c r="E7" s="20"/>
      <c r="F7" s="20"/>
      <c r="G7" s="20"/>
      <c r="H7" s="20"/>
      <c r="I7" s="20"/>
      <c r="J7" s="20"/>
      <c r="K7" s="20"/>
      <c r="L7" s="20" t="str">
        <f t="shared" si="1"/>
        <v/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>
      <c r="A8" s="19"/>
      <c r="B8" s="21"/>
      <c r="C8" s="20" t="str">
        <f>IFERROR(__xludf.DUMMYFUNCTION("IF(ISBLANK(B8),,IFERROR(array_constrain(FILTER('Leetcode分类顺序表'!B:J,'Leetcode分类顺序表'!A:A = B8), 1, 10000000),IFERROR(FILTER(Algoexpert.io!B:D,Algoexpert.io!A:A = B8),FILTER('Leetcode List'!B:J,'Leetcode List'!A:A = B8))))"),"")</f>
        <v/>
      </c>
      <c r="D8" s="20"/>
      <c r="E8" s="20"/>
      <c r="F8" s="20"/>
      <c r="G8" s="20"/>
      <c r="H8" s="20"/>
      <c r="I8" s="20"/>
      <c r="J8" s="20"/>
      <c r="K8" s="20"/>
      <c r="L8" s="20" t="str">
        <f t="shared" si="1"/>
        <v/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>
      <c r="A9" s="19"/>
      <c r="B9" s="21"/>
      <c r="C9" s="20" t="str">
        <f>IFERROR(__xludf.DUMMYFUNCTION("IF(ISBLANK(B9),,IFERROR(array_constrain(FILTER('Leetcode分类顺序表'!B:J,'Leetcode分类顺序表'!A:A = B9), 1, 10000000),IFERROR(FILTER(Algoexpert.io!B:D,Algoexpert.io!A:A = B9),FILTER('Leetcode List'!B:J,'Leetcode List'!A:A = B9))))"),"")</f>
        <v/>
      </c>
      <c r="D9" s="20"/>
      <c r="E9" s="20"/>
      <c r="F9" s="20"/>
      <c r="G9" s="20"/>
      <c r="H9" s="20"/>
      <c r="I9" s="20"/>
      <c r="J9" s="20"/>
      <c r="K9" s="20"/>
      <c r="L9" s="20" t="str">
        <f t="shared" si="1"/>
        <v/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>
      <c r="A10" s="19"/>
      <c r="B10" s="21"/>
      <c r="C10" s="20" t="str">
        <f>IFERROR(__xludf.DUMMYFUNCTION("IF(ISBLANK(B10),,IFERROR(array_constrain(FILTER('Leetcode分类顺序表'!B:J,'Leetcode分类顺序表'!A:A = B10), 1, 10000000),IFERROR(FILTER(Algoexpert.io!B:D,Algoexpert.io!A:A = B10),FILTER('Leetcode List'!B:J,'Leetcode List'!A:A = B10))))"),"")</f>
        <v/>
      </c>
      <c r="D10" s="20"/>
      <c r="E10" s="20"/>
      <c r="F10" s="20"/>
      <c r="G10" s="20"/>
      <c r="H10" s="20"/>
      <c r="I10" s="20"/>
      <c r="J10" s="20"/>
      <c r="K10" s="20"/>
      <c r="L10" s="20" t="str">
        <f t="shared" si="1"/>
        <v/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>
      <c r="A11" s="19"/>
      <c r="B11" s="21"/>
      <c r="C11" s="20" t="str">
        <f>IFERROR(__xludf.DUMMYFUNCTION("IF(ISBLANK(B11),,IFERROR(array_constrain(FILTER('Leetcode分类顺序表'!B:J,'Leetcode分类顺序表'!A:A = B11), 1, 10000000),IFERROR(FILTER(Algoexpert.io!B:D,Algoexpert.io!A:A = B11),FILTER('Leetcode List'!B:J,'Leetcode List'!A:A = B11))))"),"")</f>
        <v/>
      </c>
      <c r="D11" s="20"/>
      <c r="E11" s="20"/>
      <c r="F11" s="20"/>
      <c r="G11" s="20"/>
      <c r="H11" s="20"/>
      <c r="I11" s="20"/>
      <c r="J11" s="20"/>
      <c r="K11" s="20"/>
      <c r="L11" s="20" t="str">
        <f t="shared" si="1"/>
        <v/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>
      <c r="A12" s="19"/>
      <c r="B12" s="21"/>
      <c r="C12" s="20" t="str">
        <f>IFERROR(__xludf.DUMMYFUNCTION("IF(ISBLANK(B12),,IFERROR(array_constrain(FILTER('Leetcode分类顺序表'!B:J,'Leetcode分类顺序表'!A:A = B12), 1, 10000000),IFERROR(FILTER(Algoexpert.io!B:D,Algoexpert.io!A:A = B12),FILTER('Leetcode List'!B:J,'Leetcode List'!A:A = B12))))"),"")</f>
        <v/>
      </c>
      <c r="D12" s="20"/>
      <c r="E12" s="20"/>
      <c r="F12" s="20"/>
      <c r="G12" s="20"/>
      <c r="H12" s="20"/>
      <c r="I12" s="20"/>
      <c r="J12" s="20"/>
      <c r="K12" s="20"/>
      <c r="L12" s="20" t="str">
        <f t="shared" si="1"/>
        <v/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>
      <c r="A13" s="19"/>
      <c r="B13" s="21"/>
      <c r="C13" s="20" t="str">
        <f>IFERROR(__xludf.DUMMYFUNCTION("IF(ISBLANK(B13),,IFERROR(array_constrain(FILTER('Leetcode分类顺序表'!B:J,'Leetcode分类顺序表'!A:A = B13), 1, 10000000),IFERROR(FILTER(Algoexpert.io!B:D,Algoexpert.io!A:A = B13),FILTER('Leetcode List'!B:J,'Leetcode List'!A:A = B13))))"),"")</f>
        <v/>
      </c>
      <c r="D13" s="20"/>
      <c r="E13" s="20"/>
      <c r="F13" s="20"/>
      <c r="G13" s="20"/>
      <c r="H13" s="20"/>
      <c r="I13" s="20"/>
      <c r="J13" s="20"/>
      <c r="K13" s="20"/>
      <c r="L13" s="20" t="str">
        <f t="shared" si="1"/>
        <v/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>
      <c r="A14" s="19"/>
      <c r="B14" s="21"/>
      <c r="C14" s="20" t="str">
        <f>IFERROR(__xludf.DUMMYFUNCTION("IF(ISBLANK(B14),,IFERROR(array_constrain(FILTER('Leetcode分类顺序表'!B:J,'Leetcode分类顺序表'!A:A = B14), 1, 10000000),IFERROR(FILTER(Algoexpert.io!B:D,Algoexpert.io!A:A = B14),FILTER('Leetcode List'!B:J,'Leetcode List'!A:A = B14))))"),"")</f>
        <v/>
      </c>
      <c r="D14" s="20"/>
      <c r="E14" s="20"/>
      <c r="F14" s="20"/>
      <c r="G14" s="20"/>
      <c r="H14" s="20"/>
      <c r="I14" s="20"/>
      <c r="J14" s="20"/>
      <c r="K14" s="20"/>
      <c r="L14" s="20" t="str">
        <f t="shared" si="1"/>
        <v/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>
      <c r="A15" s="19"/>
      <c r="B15" s="21"/>
      <c r="C15" s="20" t="str">
        <f>IFERROR(__xludf.DUMMYFUNCTION("IF(ISBLANK(B15),,IFERROR(array_constrain(FILTER('Leetcode分类顺序表'!B:J,'Leetcode分类顺序表'!A:A = B15), 1, 10000000),IFERROR(FILTER(Algoexpert.io!B:D,Algoexpert.io!A:A = B15),FILTER('Leetcode List'!B:J,'Leetcode List'!A:A = B15))))"),"")</f>
        <v/>
      </c>
      <c r="D15" s="20"/>
      <c r="E15" s="20"/>
      <c r="F15" s="20"/>
      <c r="G15" s="20"/>
      <c r="H15" s="20"/>
      <c r="I15" s="20"/>
      <c r="J15" s="20"/>
      <c r="K15" s="20"/>
      <c r="L15" s="20" t="str">
        <f t="shared" si="1"/>
        <v/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>
      <c r="A16" s="19"/>
      <c r="B16" s="21"/>
      <c r="C16" s="20" t="str">
        <f>IFERROR(__xludf.DUMMYFUNCTION("IF(ISBLANK(B16),,IFERROR(array_constrain(FILTER('Leetcode分类顺序表'!B:J,'Leetcode分类顺序表'!A:A = B16), 1, 10000000),IFERROR(FILTER(Algoexpert.io!B:D,Algoexpert.io!A:A = B16),FILTER('Leetcode List'!B:J,'Leetcode List'!A:A = B16))))"),"")</f>
        <v/>
      </c>
      <c r="D16" s="20"/>
      <c r="E16" s="20"/>
      <c r="F16" s="20"/>
      <c r="G16" s="20"/>
      <c r="H16" s="20"/>
      <c r="I16" s="20"/>
      <c r="J16" s="20"/>
      <c r="K16" s="20"/>
      <c r="L16" s="20" t="str">
        <f t="shared" si="1"/>
        <v/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>
      <c r="A17" s="19"/>
      <c r="B17" s="21"/>
      <c r="C17" s="20" t="str">
        <f>IFERROR(__xludf.DUMMYFUNCTION("IF(ISBLANK(B17),,IFERROR(array_constrain(FILTER('Leetcode分类顺序表'!B:J,'Leetcode分类顺序表'!A:A = B17), 1, 10000000),IFERROR(FILTER(Algoexpert.io!B:D,Algoexpert.io!A:A = B17),FILTER('Leetcode List'!B:J,'Leetcode List'!A:A = B17))))"),"")</f>
        <v/>
      </c>
      <c r="D17" s="20"/>
      <c r="E17" s="20"/>
      <c r="F17" s="20"/>
      <c r="G17" s="20"/>
      <c r="H17" s="20"/>
      <c r="I17" s="20"/>
      <c r="J17" s="20"/>
      <c r="K17" s="20"/>
      <c r="L17" s="20" t="str">
        <f t="shared" si="1"/>
        <v/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>
      <c r="A18" s="19"/>
      <c r="B18" s="21"/>
      <c r="C18" s="20" t="str">
        <f>IFERROR(__xludf.DUMMYFUNCTION("IF(ISBLANK(B18),,IFERROR(array_constrain(FILTER('Leetcode分类顺序表'!B:J,'Leetcode分类顺序表'!A:A = B18), 1, 10000000),IFERROR(FILTER(Algoexpert.io!B:D,Algoexpert.io!A:A = B18),FILTER('Leetcode List'!B:J,'Leetcode List'!A:A = B18))))"),"")</f>
        <v/>
      </c>
      <c r="D18" s="20"/>
      <c r="E18" s="20"/>
      <c r="F18" s="20"/>
      <c r="G18" s="20"/>
      <c r="H18" s="20"/>
      <c r="I18" s="20"/>
      <c r="J18" s="20"/>
      <c r="K18" s="20"/>
      <c r="L18" s="20" t="str">
        <f t="shared" si="1"/>
        <v/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>
      <c r="A19" s="19"/>
      <c r="B19" s="21"/>
      <c r="C19" s="20" t="str">
        <f>IFERROR(__xludf.DUMMYFUNCTION("IF(ISBLANK(B19),,IFERROR(array_constrain(FILTER('Leetcode分类顺序表'!B:J,'Leetcode分类顺序表'!A:A = B19), 1, 10000000),IFERROR(FILTER(Algoexpert.io!B:D,Algoexpert.io!A:A = B19),FILTER('Leetcode List'!B:J,'Leetcode List'!A:A = B19))))"),"")</f>
        <v/>
      </c>
      <c r="D19" s="20"/>
      <c r="E19" s="20"/>
      <c r="F19" s="20"/>
      <c r="G19" s="20"/>
      <c r="H19" s="20"/>
      <c r="I19" s="20"/>
      <c r="J19" s="20"/>
      <c r="K19" s="20"/>
      <c r="L19" s="20" t="str">
        <f t="shared" si="1"/>
        <v/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>
      <c r="A20" s="19"/>
      <c r="B20" s="21"/>
      <c r="C20" s="20" t="str">
        <f>IFERROR(__xludf.DUMMYFUNCTION("IF(ISBLANK(B20),,IFERROR(array_constrain(FILTER('Leetcode分类顺序表'!B:J,'Leetcode分类顺序表'!A:A = B20), 1, 10000000),IFERROR(FILTER(Algoexpert.io!B:D,Algoexpert.io!A:A = B20),FILTER('Leetcode List'!B:J,'Leetcode List'!A:A = B20))))"),"")</f>
        <v/>
      </c>
      <c r="D20" s="20"/>
      <c r="E20" s="20"/>
      <c r="F20" s="20"/>
      <c r="G20" s="20"/>
      <c r="H20" s="20"/>
      <c r="I20" s="20"/>
      <c r="J20" s="20"/>
      <c r="K20" s="20"/>
      <c r="L20" s="20" t="str">
        <f t="shared" si="1"/>
        <v/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>
      <c r="A21" s="19"/>
      <c r="B21" s="21"/>
      <c r="C21" s="20" t="str">
        <f>IFERROR(__xludf.DUMMYFUNCTION("IF(ISBLANK(B21),,IFERROR(array_constrain(FILTER('Leetcode分类顺序表'!B:J,'Leetcode分类顺序表'!A:A = B21), 1, 10000000),IFERROR(FILTER(Algoexpert.io!B:D,Algoexpert.io!A:A = B21),FILTER('Leetcode List'!B:J,'Leetcode List'!A:A = B21))))"),"")</f>
        <v/>
      </c>
      <c r="D21" s="20"/>
      <c r="E21" s="20"/>
      <c r="F21" s="20"/>
      <c r="G21" s="20"/>
      <c r="H21" s="20"/>
      <c r="I21" s="20"/>
      <c r="J21" s="20"/>
      <c r="K21" s="20"/>
      <c r="L21" s="20" t="str">
        <f t="shared" si="1"/>
        <v/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>
      <c r="A22" s="19"/>
      <c r="B22" s="21"/>
      <c r="C22" s="20" t="str">
        <f>IFERROR(__xludf.DUMMYFUNCTION("IF(ISBLANK(B22),,IFERROR(array_constrain(FILTER('Leetcode分类顺序表'!B:J,'Leetcode分类顺序表'!A:A = B22), 1, 10000000),IFERROR(FILTER(Algoexpert.io!B:D,Algoexpert.io!A:A = B22),FILTER('Leetcode List'!B:J,'Leetcode List'!A:A = B22))))"),"")</f>
        <v/>
      </c>
      <c r="D22" s="20"/>
      <c r="E22" s="20"/>
      <c r="F22" s="20"/>
      <c r="G22" s="20"/>
      <c r="H22" s="20"/>
      <c r="I22" s="20"/>
      <c r="J22" s="20"/>
      <c r="K22" s="20"/>
      <c r="L22" s="20" t="str">
        <f t="shared" si="1"/>
        <v/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>
      <c r="A23" s="19"/>
      <c r="B23" s="21"/>
      <c r="C23" s="20" t="str">
        <f>IFERROR(__xludf.DUMMYFUNCTION("IF(ISBLANK(B23),,IFERROR(array_constrain(FILTER('Leetcode分类顺序表'!B:J,'Leetcode分类顺序表'!A:A = B23), 1, 10000000),IFERROR(FILTER(Algoexpert.io!B:D,Algoexpert.io!A:A = B23),FILTER('Leetcode List'!B:J,'Leetcode List'!A:A = B23))))"),"")</f>
        <v/>
      </c>
      <c r="D23" s="20"/>
      <c r="E23" s="20"/>
      <c r="F23" s="20"/>
      <c r="G23" s="20"/>
      <c r="H23" s="20"/>
      <c r="I23" s="20"/>
      <c r="J23" s="20"/>
      <c r="K23" s="20"/>
      <c r="L23" s="20" t="str">
        <f t="shared" si="1"/>
        <v/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>
      <c r="A24" s="19"/>
      <c r="B24" s="21"/>
      <c r="C24" s="20" t="str">
        <f>IFERROR(__xludf.DUMMYFUNCTION("IF(ISBLANK(B24),,IFERROR(array_constrain(FILTER('Leetcode分类顺序表'!B:J,'Leetcode分类顺序表'!A:A = B24), 1, 10000000),IFERROR(FILTER(Algoexpert.io!B:D,Algoexpert.io!A:A = B24),FILTER('Leetcode List'!B:J,'Leetcode List'!A:A = B24))))"),"")</f>
        <v/>
      </c>
      <c r="D24" s="20"/>
      <c r="E24" s="20"/>
      <c r="F24" s="20"/>
      <c r="G24" s="20"/>
      <c r="H24" s="20"/>
      <c r="I24" s="20"/>
      <c r="J24" s="20"/>
      <c r="K24" s="20"/>
      <c r="L24" s="20" t="str">
        <f t="shared" si="1"/>
        <v/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>
      <c r="A25" s="19"/>
      <c r="B25" s="21"/>
      <c r="C25" s="20" t="str">
        <f>IFERROR(__xludf.DUMMYFUNCTION("IF(ISBLANK(B25),,IFERROR(array_constrain(FILTER('Leetcode分类顺序表'!B:J,'Leetcode分类顺序表'!A:A = B25), 1, 10000000),IFERROR(FILTER(Algoexpert.io!B:D,Algoexpert.io!A:A = B25),FILTER('Leetcode List'!B:J,'Leetcode List'!A:A = B25))))"),"")</f>
        <v/>
      </c>
      <c r="D25" s="20"/>
      <c r="E25" s="20"/>
      <c r="F25" s="20"/>
      <c r="G25" s="20"/>
      <c r="H25" s="20"/>
      <c r="I25" s="20"/>
      <c r="J25" s="20"/>
      <c r="K25" s="20"/>
      <c r="L25" s="20" t="str">
        <f t="shared" si="1"/>
        <v/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>
      <c r="A26" s="19"/>
      <c r="B26" s="21"/>
      <c r="C26" s="20" t="str">
        <f>IFERROR(__xludf.DUMMYFUNCTION("IF(ISBLANK(B26),,IFERROR(array_constrain(FILTER('Leetcode分类顺序表'!B:J,'Leetcode分类顺序表'!A:A = B26), 1, 10000000),IFERROR(FILTER(Algoexpert.io!B:D,Algoexpert.io!A:A = B26),FILTER('Leetcode List'!B:J,'Leetcode List'!A:A = B26))))"),"")</f>
        <v/>
      </c>
      <c r="D26" s="20"/>
      <c r="E26" s="20"/>
      <c r="F26" s="20"/>
      <c r="G26" s="20"/>
      <c r="H26" s="20"/>
      <c r="I26" s="20"/>
      <c r="J26" s="20"/>
      <c r="K26" s="20"/>
      <c r="L26" s="20" t="str">
        <f t="shared" si="1"/>
        <v/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>
      <c r="A27" s="19"/>
      <c r="B27" s="21"/>
      <c r="C27" s="20" t="str">
        <f>IFERROR(__xludf.DUMMYFUNCTION("IF(ISBLANK(B27),,IFERROR(array_constrain(FILTER('Leetcode分类顺序表'!B:J,'Leetcode分类顺序表'!A:A = B27), 1, 10000000),IFERROR(FILTER(Algoexpert.io!B:D,Algoexpert.io!A:A = B27),FILTER('Leetcode List'!B:J,'Leetcode List'!A:A = B27))))"),"")</f>
        <v/>
      </c>
      <c r="D27" s="20"/>
      <c r="E27" s="20"/>
      <c r="F27" s="20"/>
      <c r="G27" s="20"/>
      <c r="H27" s="20"/>
      <c r="I27" s="20"/>
      <c r="J27" s="20"/>
      <c r="K27" s="20"/>
      <c r="L27" s="20" t="str">
        <f t="shared" si="1"/>
        <v/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>
      <c r="A28" s="19"/>
      <c r="B28" s="21"/>
      <c r="C28" s="20" t="str">
        <f>IFERROR(__xludf.DUMMYFUNCTION("IF(ISBLANK(B28),,IFERROR(array_constrain(FILTER('Leetcode分类顺序表'!B:J,'Leetcode分类顺序表'!A:A = B28), 1, 10000000),IFERROR(FILTER(Algoexpert.io!B:D,Algoexpert.io!A:A = B28),FILTER('Leetcode List'!B:J,'Leetcode List'!A:A = B28))))"),"")</f>
        <v/>
      </c>
      <c r="D28" s="20"/>
      <c r="E28" s="20"/>
      <c r="F28" s="20"/>
      <c r="G28" s="20"/>
      <c r="H28" s="20"/>
      <c r="I28" s="20"/>
      <c r="J28" s="20"/>
      <c r="K28" s="20"/>
      <c r="L28" s="20" t="str">
        <f t="shared" si="1"/>
        <v/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>
      <c r="A29" s="19"/>
      <c r="B29" s="21"/>
      <c r="C29" s="20" t="str">
        <f>IFERROR(__xludf.DUMMYFUNCTION("IF(ISBLANK(B29),,IFERROR(array_constrain(FILTER('Leetcode分类顺序表'!B:J,'Leetcode分类顺序表'!A:A = B29), 1, 10000000),IFERROR(FILTER(Algoexpert.io!B:D,Algoexpert.io!A:A = B29),FILTER('Leetcode List'!B:J,'Leetcode List'!A:A = B29))))"),"")</f>
        <v/>
      </c>
      <c r="D29" s="20"/>
      <c r="E29" s="20"/>
      <c r="F29" s="20"/>
      <c r="G29" s="20"/>
      <c r="H29" s="20"/>
      <c r="I29" s="20"/>
      <c r="J29" s="20"/>
      <c r="K29" s="20"/>
      <c r="L29" s="20" t="str">
        <f t="shared" si="1"/>
        <v/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>
      <c r="A30" s="19"/>
      <c r="B30" s="21"/>
      <c r="C30" s="20" t="str">
        <f>IFERROR(__xludf.DUMMYFUNCTION("IF(ISBLANK(B30),,IFERROR(array_constrain(FILTER('Leetcode分类顺序表'!B:J,'Leetcode分类顺序表'!A:A = B30), 1, 10000000),IFERROR(FILTER(Algoexpert.io!B:D,Algoexpert.io!A:A = B30),FILTER('Leetcode List'!B:J,'Leetcode List'!A:A = B30))))"),"")</f>
        <v/>
      </c>
      <c r="D30" s="20"/>
      <c r="E30" s="20"/>
      <c r="F30" s="20"/>
      <c r="G30" s="20"/>
      <c r="H30" s="20"/>
      <c r="I30" s="20"/>
      <c r="J30" s="20"/>
      <c r="K30" s="20"/>
      <c r="L30" s="20" t="str">
        <f t="shared" si="1"/>
        <v/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>
      <c r="A31" s="19"/>
      <c r="B31" s="21"/>
      <c r="C31" s="20" t="str">
        <f>IFERROR(__xludf.DUMMYFUNCTION("IF(ISBLANK(B31),,IFERROR(array_constrain(FILTER('Leetcode分类顺序表'!B:J,'Leetcode分类顺序表'!A:A = B31), 1, 10000000),IFERROR(FILTER(Algoexpert.io!B:D,Algoexpert.io!A:A = B31),FILTER('Leetcode List'!B:J,'Leetcode List'!A:A = B31))))"),"")</f>
        <v/>
      </c>
      <c r="D31" s="20"/>
      <c r="E31" s="20"/>
      <c r="F31" s="20"/>
      <c r="G31" s="20"/>
      <c r="H31" s="20"/>
      <c r="I31" s="20"/>
      <c r="J31" s="20"/>
      <c r="K31" s="20"/>
      <c r="L31" s="20" t="str">
        <f t="shared" si="1"/>
        <v/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>
      <c r="A32" s="19"/>
      <c r="B32" s="21"/>
      <c r="C32" s="20" t="str">
        <f>IFERROR(__xludf.DUMMYFUNCTION("IF(ISBLANK(B32),,IFERROR(array_constrain(FILTER('Leetcode分类顺序表'!B:J,'Leetcode分类顺序表'!A:A = B32), 1, 10000000),IFERROR(FILTER(Algoexpert.io!B:D,Algoexpert.io!A:A = B32),FILTER('Leetcode List'!B:J,'Leetcode List'!A:A = B32))))"),"")</f>
        <v/>
      </c>
      <c r="D32" s="20"/>
      <c r="E32" s="20"/>
      <c r="F32" s="20"/>
      <c r="G32" s="20"/>
      <c r="H32" s="20"/>
      <c r="I32" s="20"/>
      <c r="J32" s="20"/>
      <c r="K32" s="20"/>
      <c r="L32" s="20" t="str">
        <f t="shared" si="1"/>
        <v/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>
      <c r="A33" s="19"/>
      <c r="B33" s="21"/>
      <c r="C33" s="20" t="str">
        <f>IFERROR(__xludf.DUMMYFUNCTION("IF(ISBLANK(B33),,IFERROR(array_constrain(FILTER('Leetcode分类顺序表'!B:J,'Leetcode分类顺序表'!A:A = B33), 1, 10000000),IFERROR(FILTER(Algoexpert.io!B:D,Algoexpert.io!A:A = B33),FILTER('Leetcode List'!B:J,'Leetcode List'!A:A = B33))))"),"")</f>
        <v/>
      </c>
      <c r="D33" s="20"/>
      <c r="E33" s="20"/>
      <c r="F33" s="20"/>
      <c r="G33" s="20"/>
      <c r="H33" s="20"/>
      <c r="I33" s="20"/>
      <c r="J33" s="20"/>
      <c r="K33" s="20"/>
      <c r="L33" s="20" t="str">
        <f t="shared" si="1"/>
        <v/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>
      <c r="A34" s="19"/>
      <c r="B34" s="21"/>
      <c r="C34" s="20" t="str">
        <f>IFERROR(__xludf.DUMMYFUNCTION("IF(ISBLANK(B34),,IFERROR(array_constrain(FILTER('Leetcode分类顺序表'!B:J,'Leetcode分类顺序表'!A:A = B34), 1, 10000000),IFERROR(FILTER(Algoexpert.io!B:D,Algoexpert.io!A:A = B34),FILTER('Leetcode List'!B:J,'Leetcode List'!A:A = B34))))"),"")</f>
        <v/>
      </c>
      <c r="D34" s="20"/>
      <c r="E34" s="20"/>
      <c r="F34" s="20"/>
      <c r="G34" s="20"/>
      <c r="H34" s="20"/>
      <c r="I34" s="20"/>
      <c r="J34" s="20"/>
      <c r="K34" s="20"/>
      <c r="L34" s="20" t="str">
        <f t="shared" si="1"/>
        <v/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>
      <c r="A35" s="19"/>
      <c r="B35" s="21"/>
      <c r="C35" s="20" t="str">
        <f>IFERROR(__xludf.DUMMYFUNCTION("IF(ISBLANK(B35),,IFERROR(array_constrain(FILTER('Leetcode分类顺序表'!B:J,'Leetcode分类顺序表'!A:A = B35), 1, 10000000),IFERROR(FILTER(Algoexpert.io!B:D,Algoexpert.io!A:A = B35),FILTER('Leetcode List'!B:J,'Leetcode List'!A:A = B35))))"),"")</f>
        <v/>
      </c>
      <c r="D35" s="20"/>
      <c r="E35" s="20"/>
      <c r="F35" s="20"/>
      <c r="G35" s="20"/>
      <c r="H35" s="20"/>
      <c r="I35" s="20"/>
      <c r="J35" s="20"/>
      <c r="K35" s="20"/>
      <c r="L35" s="20" t="str">
        <f t="shared" si="1"/>
        <v/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>
      <c r="A36" s="19"/>
      <c r="B36" s="21"/>
      <c r="C36" s="20" t="str">
        <f>IFERROR(__xludf.DUMMYFUNCTION("IF(ISBLANK(B36),,IFERROR(array_constrain(FILTER('Leetcode分类顺序表'!B:J,'Leetcode分类顺序表'!A:A = B36), 1, 10000000),IFERROR(FILTER(Algoexpert.io!B:D,Algoexpert.io!A:A = B36),FILTER('Leetcode List'!B:J,'Leetcode List'!A:A = B36))))"),"")</f>
        <v/>
      </c>
      <c r="D36" s="20"/>
      <c r="E36" s="20"/>
      <c r="F36" s="20"/>
      <c r="G36" s="20"/>
      <c r="H36" s="20"/>
      <c r="I36" s="20"/>
      <c r="J36" s="20"/>
      <c r="K36" s="20"/>
      <c r="L36" s="20" t="str">
        <f t="shared" si="1"/>
        <v/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>
      <c r="A37" s="19"/>
      <c r="B37" s="21"/>
      <c r="C37" s="20" t="str">
        <f>IFERROR(__xludf.DUMMYFUNCTION("IF(ISBLANK(B37),,IFERROR(array_constrain(FILTER('Leetcode分类顺序表'!B:J,'Leetcode分类顺序表'!A:A = B37), 1, 10000000),IFERROR(FILTER(Algoexpert.io!B:D,Algoexpert.io!A:A = B37),FILTER('Leetcode List'!B:J,'Leetcode List'!A:A = B37))))"),"")</f>
        <v/>
      </c>
      <c r="D37" s="20"/>
      <c r="E37" s="20"/>
      <c r="F37" s="20"/>
      <c r="G37" s="20"/>
      <c r="H37" s="20"/>
      <c r="I37" s="20"/>
      <c r="J37" s="20"/>
      <c r="K37" s="20"/>
      <c r="L37" s="20" t="str">
        <f t="shared" si="1"/>
        <v/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>
      <c r="A38" s="19"/>
      <c r="B38" s="21"/>
      <c r="C38" s="20" t="str">
        <f>IFERROR(__xludf.DUMMYFUNCTION("IF(ISBLANK(B38),,IFERROR(array_constrain(FILTER('Leetcode分类顺序表'!B:J,'Leetcode分类顺序表'!A:A = B38), 1, 10000000),IFERROR(FILTER(Algoexpert.io!B:D,Algoexpert.io!A:A = B38),FILTER('Leetcode List'!B:J,'Leetcode List'!A:A = B38))))"),"")</f>
        <v/>
      </c>
      <c r="D38" s="20"/>
      <c r="E38" s="20"/>
      <c r="F38" s="20"/>
      <c r="G38" s="20"/>
      <c r="H38" s="20"/>
      <c r="I38" s="20"/>
      <c r="J38" s="20"/>
      <c r="K38" s="20"/>
      <c r="L38" s="20" t="str">
        <f t="shared" si="1"/>
        <v/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>
      <c r="A39" s="19"/>
      <c r="B39" s="21"/>
      <c r="C39" s="20" t="str">
        <f>IFERROR(__xludf.DUMMYFUNCTION("IF(ISBLANK(B39),,IFERROR(array_constrain(FILTER('Leetcode分类顺序表'!B:J,'Leetcode分类顺序表'!A:A = B39), 1, 10000000),IFERROR(FILTER(Algoexpert.io!B:D,Algoexpert.io!A:A = B39),FILTER('Leetcode List'!B:J,'Leetcode List'!A:A = B39))))"),"")</f>
        <v/>
      </c>
      <c r="D39" s="20"/>
      <c r="E39" s="20"/>
      <c r="F39" s="20"/>
      <c r="G39" s="20"/>
      <c r="H39" s="20"/>
      <c r="I39" s="20"/>
      <c r="J39" s="20"/>
      <c r="K39" s="20"/>
      <c r="L39" s="20" t="str">
        <f t="shared" si="1"/>
        <v/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>
      <c r="A40" s="19"/>
      <c r="B40" s="21"/>
      <c r="C40" s="20" t="str">
        <f>IFERROR(__xludf.DUMMYFUNCTION("IF(ISBLANK(B40),,IFERROR(array_constrain(FILTER('Leetcode分类顺序表'!B:J,'Leetcode分类顺序表'!A:A = B40), 1, 10000000),IFERROR(FILTER(Algoexpert.io!B:D,Algoexpert.io!A:A = B40),FILTER('Leetcode List'!B:J,'Leetcode List'!A:A = B40))))"),"")</f>
        <v/>
      </c>
      <c r="D40" s="20"/>
      <c r="E40" s="20"/>
      <c r="F40" s="20"/>
      <c r="G40" s="20"/>
      <c r="H40" s="20"/>
      <c r="I40" s="20"/>
      <c r="J40" s="20"/>
      <c r="K40" s="20"/>
      <c r="L40" s="20" t="str">
        <f t="shared" si="1"/>
        <v/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>
      <c r="A41" s="19"/>
      <c r="B41" s="21"/>
      <c r="C41" s="20" t="str">
        <f>IFERROR(__xludf.DUMMYFUNCTION("IF(ISBLANK(B41),,IFERROR(array_constrain(FILTER('Leetcode分类顺序表'!B:J,'Leetcode分类顺序表'!A:A = B41), 1, 10000000),IFERROR(FILTER(Algoexpert.io!B:D,Algoexpert.io!A:A = B41),FILTER('Leetcode List'!B:J,'Leetcode List'!A:A = B41))))"),"")</f>
        <v/>
      </c>
      <c r="D41" s="20"/>
      <c r="E41" s="20"/>
      <c r="F41" s="20"/>
      <c r="G41" s="20"/>
      <c r="H41" s="20"/>
      <c r="I41" s="20"/>
      <c r="J41" s="20"/>
      <c r="K41" s="20"/>
      <c r="L41" s="20" t="str">
        <f t="shared" si="1"/>
        <v/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>
      <c r="A42" s="19"/>
      <c r="B42" s="21"/>
      <c r="C42" s="20" t="str">
        <f>IFERROR(__xludf.DUMMYFUNCTION("IF(ISBLANK(B42),,IFERROR(array_constrain(FILTER('Leetcode分类顺序表'!B:J,'Leetcode分类顺序表'!A:A = B42), 1, 10000000),IFERROR(FILTER(Algoexpert.io!B:D,Algoexpert.io!A:A = B42),FILTER('Leetcode List'!B:J,'Leetcode List'!A:A = B42))))"),"")</f>
        <v/>
      </c>
      <c r="D42" s="20"/>
      <c r="E42" s="20"/>
      <c r="F42" s="20"/>
      <c r="G42" s="20"/>
      <c r="H42" s="20"/>
      <c r="I42" s="20"/>
      <c r="J42" s="20"/>
      <c r="K42" s="20"/>
      <c r="L42" s="20" t="str">
        <f t="shared" si="1"/>
        <v/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>
      <c r="A43" s="19"/>
      <c r="B43" s="21"/>
      <c r="C43" s="20" t="str">
        <f>IFERROR(__xludf.DUMMYFUNCTION("IF(ISBLANK(B43),,IFERROR(array_constrain(FILTER('Leetcode分类顺序表'!B:J,'Leetcode分类顺序表'!A:A = B43), 1, 10000000),IFERROR(FILTER(Algoexpert.io!B:D,Algoexpert.io!A:A = B43),FILTER('Leetcode List'!B:J,'Leetcode List'!A:A = B43))))"),"")</f>
        <v/>
      </c>
      <c r="D43" s="20"/>
      <c r="E43" s="20"/>
      <c r="F43" s="20"/>
      <c r="G43" s="20"/>
      <c r="H43" s="20"/>
      <c r="I43" s="20"/>
      <c r="J43" s="20"/>
      <c r="K43" s="20"/>
      <c r="L43" s="20" t="str">
        <f t="shared" si="1"/>
        <v/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>
      <c r="A44" s="19"/>
      <c r="B44" s="21"/>
      <c r="C44" s="20" t="str">
        <f>IFERROR(__xludf.DUMMYFUNCTION("IF(ISBLANK(B44),,IFERROR(array_constrain(FILTER('Leetcode分类顺序表'!B:J,'Leetcode分类顺序表'!A:A = B44), 1, 10000000),IFERROR(FILTER(Algoexpert.io!B:D,Algoexpert.io!A:A = B44),FILTER('Leetcode List'!B:J,'Leetcode List'!A:A = B44))))"),"")</f>
        <v/>
      </c>
      <c r="D44" s="20"/>
      <c r="E44" s="20"/>
      <c r="F44" s="20"/>
      <c r="G44" s="20"/>
      <c r="H44" s="20"/>
      <c r="I44" s="20"/>
      <c r="J44" s="20"/>
      <c r="K44" s="20"/>
      <c r="L44" s="20" t="str">
        <f t="shared" si="1"/>
        <v/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>
      <c r="A45" s="19"/>
      <c r="B45" s="21"/>
      <c r="C45" s="20" t="str">
        <f>IFERROR(__xludf.DUMMYFUNCTION("IF(ISBLANK(B45),,IFERROR(array_constrain(FILTER('Leetcode分类顺序表'!B:J,'Leetcode分类顺序表'!A:A = B45), 1, 10000000),IFERROR(FILTER(Algoexpert.io!B:D,Algoexpert.io!A:A = B45),FILTER('Leetcode List'!B:J,'Leetcode List'!A:A = B45))))"),"")</f>
        <v/>
      </c>
      <c r="D45" s="20"/>
      <c r="E45" s="20"/>
      <c r="F45" s="20"/>
      <c r="G45" s="20"/>
      <c r="H45" s="20"/>
      <c r="I45" s="20"/>
      <c r="J45" s="20"/>
      <c r="K45" s="20"/>
      <c r="L45" s="20" t="str">
        <f t="shared" si="1"/>
        <v/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>
      <c r="A46" s="19"/>
      <c r="B46" s="21"/>
      <c r="C46" s="20" t="str">
        <f>IFERROR(__xludf.DUMMYFUNCTION("IF(ISBLANK(B46),,IFERROR(array_constrain(FILTER('Leetcode分类顺序表'!B:J,'Leetcode分类顺序表'!A:A = B46), 1, 10000000),IFERROR(FILTER(Algoexpert.io!B:D,Algoexpert.io!A:A = B46),FILTER('Leetcode List'!B:J,'Leetcode List'!A:A = B46))))"),"")</f>
        <v/>
      </c>
      <c r="D46" s="20"/>
      <c r="E46" s="20"/>
      <c r="F46" s="20"/>
      <c r="G46" s="20"/>
      <c r="H46" s="20"/>
      <c r="I46" s="20"/>
      <c r="J46" s="20"/>
      <c r="K46" s="20"/>
      <c r="L46" s="20" t="str">
        <f t="shared" si="1"/>
        <v/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>
      <c r="A47" s="19"/>
      <c r="B47" s="21"/>
      <c r="C47" s="20" t="str">
        <f>IFERROR(__xludf.DUMMYFUNCTION("IF(ISBLANK(B47),,IFERROR(array_constrain(FILTER('Leetcode分类顺序表'!B:J,'Leetcode分类顺序表'!A:A = B47), 1, 10000000),IFERROR(FILTER(Algoexpert.io!B:D,Algoexpert.io!A:A = B47),FILTER('Leetcode List'!B:J,'Leetcode List'!A:A = B47))))"),"")</f>
        <v/>
      </c>
      <c r="D47" s="20"/>
      <c r="E47" s="20"/>
      <c r="F47" s="20"/>
      <c r="G47" s="20"/>
      <c r="H47" s="20"/>
      <c r="I47" s="20"/>
      <c r="J47" s="20"/>
      <c r="K47" s="20"/>
      <c r="L47" s="20" t="str">
        <f t="shared" si="1"/>
        <v/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>
      <c r="A48" s="19"/>
      <c r="B48" s="21"/>
      <c r="C48" s="20" t="str">
        <f>IFERROR(__xludf.DUMMYFUNCTION("IF(ISBLANK(B48),,IFERROR(array_constrain(FILTER('Leetcode分类顺序表'!B:J,'Leetcode分类顺序表'!A:A = B48), 1, 10000000),IFERROR(FILTER(Algoexpert.io!B:D,Algoexpert.io!A:A = B48),FILTER('Leetcode List'!B:J,'Leetcode List'!A:A = B48))))"),"")</f>
        <v/>
      </c>
      <c r="D48" s="20"/>
      <c r="E48" s="20"/>
      <c r="F48" s="20"/>
      <c r="G48" s="20"/>
      <c r="H48" s="20"/>
      <c r="I48" s="20"/>
      <c r="J48" s="20"/>
      <c r="K48" s="20"/>
      <c r="L48" s="20" t="str">
        <f t="shared" si="1"/>
        <v/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>
      <c r="A49" s="19"/>
      <c r="B49" s="21"/>
      <c r="C49" s="20" t="str">
        <f>IFERROR(__xludf.DUMMYFUNCTION("IF(ISBLANK(B49),,IFERROR(array_constrain(FILTER('Leetcode分类顺序表'!B:J,'Leetcode分类顺序表'!A:A = B49), 1, 10000000),IFERROR(FILTER(Algoexpert.io!B:D,Algoexpert.io!A:A = B49),FILTER('Leetcode List'!B:J,'Leetcode List'!A:A = B49))))"),"")</f>
        <v/>
      </c>
      <c r="D49" s="20"/>
      <c r="E49" s="20"/>
      <c r="F49" s="20"/>
      <c r="G49" s="20"/>
      <c r="H49" s="20"/>
      <c r="I49" s="20"/>
      <c r="J49" s="20"/>
      <c r="K49" s="20"/>
      <c r="L49" s="20" t="str">
        <f t="shared" si="1"/>
        <v/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>
      <c r="A50" s="19"/>
      <c r="B50" s="21"/>
      <c r="C50" s="20" t="str">
        <f>IFERROR(__xludf.DUMMYFUNCTION("IF(ISBLANK(B50),,IFERROR(array_constrain(FILTER('Leetcode分类顺序表'!B:J,'Leetcode分类顺序表'!A:A = B50), 1, 10000000),IFERROR(FILTER(Algoexpert.io!B:D,Algoexpert.io!A:A = B50),FILTER('Leetcode List'!B:J,'Leetcode List'!A:A = B50))))"),"")</f>
        <v/>
      </c>
      <c r="D50" s="20"/>
      <c r="E50" s="20"/>
      <c r="F50" s="20"/>
      <c r="G50" s="20"/>
      <c r="H50" s="20"/>
      <c r="I50" s="20"/>
      <c r="J50" s="20"/>
      <c r="K50" s="20"/>
      <c r="L50" s="20" t="str">
        <f t="shared" si="1"/>
        <v/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>
      <c r="A51" s="19"/>
      <c r="B51" s="21"/>
      <c r="C51" s="20" t="str">
        <f>IFERROR(__xludf.DUMMYFUNCTION("IF(ISBLANK(B51),,IFERROR(array_constrain(FILTER('Leetcode分类顺序表'!B:J,'Leetcode分类顺序表'!A:A = B51), 1, 10000000),IFERROR(FILTER(Algoexpert.io!B:D,Algoexpert.io!A:A = B51),FILTER('Leetcode List'!B:J,'Leetcode List'!A:A = B51))))"),"")</f>
        <v/>
      </c>
      <c r="D51" s="20"/>
      <c r="E51" s="20"/>
      <c r="F51" s="20"/>
      <c r="G51" s="20"/>
      <c r="H51" s="20"/>
      <c r="I51" s="20"/>
      <c r="J51" s="20"/>
      <c r="K51" s="20"/>
      <c r="L51" s="20" t="str">
        <f t="shared" si="1"/>
        <v/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>
      <c r="A52" s="19"/>
      <c r="B52" s="21"/>
      <c r="C52" s="20" t="str">
        <f>IFERROR(__xludf.DUMMYFUNCTION("IF(ISBLANK(B52),,IFERROR(array_constrain(FILTER('Leetcode分类顺序表'!B:J,'Leetcode分类顺序表'!A:A = B52), 1, 10000000),IFERROR(FILTER(Algoexpert.io!B:D,Algoexpert.io!A:A = B52),FILTER('Leetcode List'!B:J,'Leetcode List'!A:A = B52))))"),"")</f>
        <v/>
      </c>
      <c r="D52" s="20"/>
      <c r="E52" s="20"/>
      <c r="F52" s="20"/>
      <c r="G52" s="20"/>
      <c r="H52" s="20"/>
      <c r="I52" s="20"/>
      <c r="J52" s="20"/>
      <c r="K52" s="20"/>
      <c r="L52" s="20" t="str">
        <f t="shared" si="1"/>
        <v/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>
      <c r="A53" s="19"/>
      <c r="B53" s="21"/>
      <c r="C53" s="20" t="str">
        <f>IFERROR(__xludf.DUMMYFUNCTION("IF(ISBLANK(B53),,IFERROR(array_constrain(FILTER('Leetcode分类顺序表'!B:J,'Leetcode分类顺序表'!A:A = B53), 1, 10000000),IFERROR(FILTER(Algoexpert.io!B:D,Algoexpert.io!A:A = B53),FILTER('Leetcode List'!B:J,'Leetcode List'!A:A = B53))))"),"")</f>
        <v/>
      </c>
      <c r="D53" s="20"/>
      <c r="E53" s="20"/>
      <c r="F53" s="20"/>
      <c r="G53" s="20"/>
      <c r="H53" s="20"/>
      <c r="I53" s="20"/>
      <c r="J53" s="20"/>
      <c r="K53" s="20"/>
      <c r="L53" s="20" t="str">
        <f t="shared" si="1"/>
        <v/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>
      <c r="A54" s="19"/>
      <c r="B54" s="21"/>
      <c r="C54" s="20" t="str">
        <f>IFERROR(__xludf.DUMMYFUNCTION("IF(ISBLANK(B54),,IFERROR(array_constrain(FILTER('Leetcode分类顺序表'!B:J,'Leetcode分类顺序表'!A:A = B54), 1, 10000000),IFERROR(FILTER(Algoexpert.io!B:D,Algoexpert.io!A:A = B54),FILTER('Leetcode List'!B:J,'Leetcode List'!A:A = B54))))"),"")</f>
        <v/>
      </c>
      <c r="D54" s="20"/>
      <c r="E54" s="20"/>
      <c r="F54" s="20"/>
      <c r="G54" s="20"/>
      <c r="H54" s="20"/>
      <c r="I54" s="20"/>
      <c r="J54" s="20"/>
      <c r="K54" s="20"/>
      <c r="L54" s="20" t="str">
        <f t="shared" si="1"/>
        <v/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>
      <c r="A55" s="19"/>
      <c r="B55" s="21"/>
      <c r="C55" s="20" t="str">
        <f>IFERROR(__xludf.DUMMYFUNCTION("IF(ISBLANK(B55),,IFERROR(array_constrain(FILTER('Leetcode分类顺序表'!B:J,'Leetcode分类顺序表'!A:A = B55), 1, 10000000),IFERROR(FILTER(Algoexpert.io!B:D,Algoexpert.io!A:A = B55),FILTER('Leetcode List'!B:J,'Leetcode List'!A:A = B55))))"),"")</f>
        <v/>
      </c>
      <c r="D55" s="20"/>
      <c r="E55" s="20"/>
      <c r="F55" s="20"/>
      <c r="G55" s="20"/>
      <c r="H55" s="20"/>
      <c r="I55" s="20"/>
      <c r="J55" s="20"/>
      <c r="K55" s="20"/>
      <c r="L55" s="20" t="str">
        <f t="shared" si="1"/>
        <v/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>
      <c r="A56" s="19"/>
      <c r="B56" s="21"/>
      <c r="C56" s="20" t="str">
        <f>IFERROR(__xludf.DUMMYFUNCTION("IF(ISBLANK(B56),,IFERROR(array_constrain(FILTER('Leetcode分类顺序表'!B:J,'Leetcode分类顺序表'!A:A = B56), 1, 10000000),IFERROR(FILTER(Algoexpert.io!B:D,Algoexpert.io!A:A = B56),FILTER('Leetcode List'!B:J,'Leetcode List'!A:A = B56))))"),"")</f>
        <v/>
      </c>
      <c r="D56" s="20"/>
      <c r="E56" s="20"/>
      <c r="F56" s="20"/>
      <c r="G56" s="20"/>
      <c r="H56" s="20"/>
      <c r="I56" s="20"/>
      <c r="J56" s="20"/>
      <c r="K56" s="20"/>
      <c r="L56" s="20" t="str">
        <f t="shared" si="1"/>
        <v/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>
      <c r="A57" s="19"/>
      <c r="B57" s="21"/>
      <c r="C57" s="20" t="str">
        <f>IFERROR(__xludf.DUMMYFUNCTION("IF(ISBLANK(B57),,IFERROR(array_constrain(FILTER('Leetcode分类顺序表'!B:J,'Leetcode分类顺序表'!A:A = B57), 1, 10000000),IFERROR(FILTER(Algoexpert.io!B:D,Algoexpert.io!A:A = B57),FILTER('Leetcode List'!B:J,'Leetcode List'!A:A = B57))))"),"")</f>
        <v/>
      </c>
      <c r="D57" s="20"/>
      <c r="E57" s="20"/>
      <c r="F57" s="20"/>
      <c r="G57" s="20"/>
      <c r="H57" s="20"/>
      <c r="I57" s="20"/>
      <c r="J57" s="20"/>
      <c r="K57" s="20"/>
      <c r="L57" s="20" t="str">
        <f t="shared" si="1"/>
        <v/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>
      <c r="A58" s="19"/>
      <c r="B58" s="21"/>
      <c r="C58" s="20" t="str">
        <f>IFERROR(__xludf.DUMMYFUNCTION("IF(ISBLANK(B58),,IFERROR(array_constrain(FILTER('Leetcode分类顺序表'!B:J,'Leetcode分类顺序表'!A:A = B58), 1, 10000000),IFERROR(FILTER(Algoexpert.io!B:D,Algoexpert.io!A:A = B58),FILTER('Leetcode List'!B:J,'Leetcode List'!A:A = B58))))"),"")</f>
        <v/>
      </c>
      <c r="D58" s="20"/>
      <c r="E58" s="20"/>
      <c r="F58" s="20"/>
      <c r="G58" s="20"/>
      <c r="H58" s="20"/>
      <c r="I58" s="20"/>
      <c r="J58" s="20"/>
      <c r="K58" s="20"/>
      <c r="L58" s="20" t="str">
        <f t="shared" si="1"/>
        <v/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>
      <c r="A59" s="22"/>
      <c r="B59" s="21"/>
      <c r="C59" s="20" t="str">
        <f>IFERROR(__xludf.DUMMYFUNCTION("IF(ISBLANK(B59),,IFERROR(array_constrain(FILTER('Leetcode分类顺序表'!B:J,'Leetcode分类顺序表'!A:A = B59), 1, 10000000),IFERROR(FILTER(Algoexpert.io!B:D,Algoexpert.io!A:A = B59),FILTER('Leetcode List'!B:J,'Leetcode List'!A:A = B59))))"),"")</f>
        <v/>
      </c>
      <c r="D59" s="20"/>
      <c r="E59" s="20"/>
      <c r="F59" s="20"/>
      <c r="G59" s="20"/>
      <c r="H59" s="20"/>
      <c r="I59" s="20"/>
      <c r="J59" s="20"/>
      <c r="K59" s="20"/>
      <c r="L59" s="20" t="str">
        <f t="shared" si="1"/>
        <v/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>
      <c r="A60" s="22"/>
      <c r="B60" s="20"/>
      <c r="C60" s="20" t="str">
        <f>IFERROR(__xludf.DUMMYFUNCTION("IF(ISBLANK(B60),,IFERROR(array_constrain(FILTER('Leetcode分类顺序表'!B:J,'Leetcode分类顺序表'!A:A = B60), 1, 10000000),IFERROR(FILTER(Algoexpert.io!B:D,Algoexpert.io!A:A = B60),FILTER('Leetcode List'!B:J,'Leetcode List'!A:A = B60))))"),"")</f>
        <v/>
      </c>
      <c r="D60" s="20"/>
      <c r="E60" s="20"/>
      <c r="F60" s="20"/>
      <c r="G60" s="20"/>
      <c r="H60" s="20"/>
      <c r="I60" s="20"/>
      <c r="J60" s="20"/>
      <c r="K60" s="20"/>
      <c r="L60" s="20" t="str">
        <f t="shared" si="1"/>
        <v/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>
      <c r="A61" s="22"/>
      <c r="B61" s="20"/>
      <c r="C61" s="20" t="str">
        <f>IFERROR(__xludf.DUMMYFUNCTION("IF(ISBLANK(B61),,IFERROR(array_constrain(FILTER('Leetcode分类顺序表'!B:J,'Leetcode分类顺序表'!A:A = B61), 1, 10000000),IFERROR(FILTER(Algoexpert.io!B:D,Algoexpert.io!A:A = B61),FILTER('Leetcode List'!B:J,'Leetcode List'!A:A = B61))))"),"")</f>
        <v/>
      </c>
      <c r="D61" s="20"/>
      <c r="E61" s="20"/>
      <c r="F61" s="20"/>
      <c r="G61" s="20"/>
      <c r="H61" s="20"/>
      <c r="I61" s="20"/>
      <c r="J61" s="20"/>
      <c r="K61" s="20"/>
      <c r="L61" s="20" t="str">
        <f t="shared" si="1"/>
        <v/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>
      <c r="A62" s="22"/>
      <c r="B62" s="20"/>
      <c r="C62" s="20" t="str">
        <f>IFERROR(__xludf.DUMMYFUNCTION("IF(ISBLANK(B62),,IFERROR(array_constrain(FILTER('Leetcode分类顺序表'!B:J,'Leetcode分类顺序表'!A:A = B62), 1, 10000000),IFERROR(FILTER(Algoexpert.io!B:D,Algoexpert.io!A:A = B62),FILTER('Leetcode List'!B:J,'Leetcode List'!A:A = B62))))"),"")</f>
        <v/>
      </c>
      <c r="D62" s="20"/>
      <c r="E62" s="20"/>
      <c r="F62" s="20"/>
      <c r="G62" s="20"/>
      <c r="H62" s="20"/>
      <c r="I62" s="20"/>
      <c r="J62" s="20"/>
      <c r="K62" s="20"/>
      <c r="L62" s="20" t="str">
        <f t="shared" si="1"/>
        <v/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>
      <c r="A63" s="22"/>
      <c r="B63" s="20"/>
      <c r="C63" s="20" t="str">
        <f>IFERROR(__xludf.DUMMYFUNCTION("IF(ISBLANK(B63),,IFERROR(array_constrain(FILTER('Leetcode分类顺序表'!B:J,'Leetcode分类顺序表'!A:A = B63), 1, 10000000),IFERROR(FILTER(Algoexpert.io!B:D,Algoexpert.io!A:A = B63),FILTER('Leetcode List'!B:J,'Leetcode List'!A:A = B63))))"),"")</f>
        <v/>
      </c>
      <c r="D63" s="20"/>
      <c r="E63" s="20"/>
      <c r="F63" s="20"/>
      <c r="G63" s="20"/>
      <c r="H63" s="20"/>
      <c r="I63" s="20"/>
      <c r="J63" s="20"/>
      <c r="K63" s="20"/>
      <c r="L63" s="20" t="str">
        <f t="shared" si="1"/>
        <v/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>
      <c r="A64" s="22"/>
      <c r="B64" s="20"/>
      <c r="C64" s="20" t="str">
        <f>IFERROR(__xludf.DUMMYFUNCTION("IF(ISBLANK(B64),,IFERROR(array_constrain(FILTER('Leetcode分类顺序表'!B:J,'Leetcode分类顺序表'!A:A = B64), 1, 10000000),IFERROR(FILTER(Algoexpert.io!B:D,Algoexpert.io!A:A = B64),FILTER('Leetcode List'!B:J,'Leetcode List'!A:A = B64))))"),"")</f>
        <v/>
      </c>
      <c r="D64" s="20"/>
      <c r="E64" s="20"/>
      <c r="F64" s="20"/>
      <c r="G64" s="20"/>
      <c r="H64" s="20"/>
      <c r="I64" s="20"/>
      <c r="J64" s="20"/>
      <c r="K64" s="20"/>
      <c r="L64" s="20" t="str">
        <f t="shared" si="1"/>
        <v/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>
      <c r="A65" s="22"/>
      <c r="B65" s="20"/>
      <c r="C65" s="20" t="str">
        <f>IFERROR(__xludf.DUMMYFUNCTION("IF(ISBLANK(B65),,IFERROR(array_constrain(FILTER('Leetcode分类顺序表'!B:J,'Leetcode分类顺序表'!A:A = B65), 1, 10000000),IFERROR(FILTER(Algoexpert.io!B:D,Algoexpert.io!A:A = B65),FILTER('Leetcode List'!B:J,'Leetcode List'!A:A = B65))))"),"")</f>
        <v/>
      </c>
      <c r="D65" s="20"/>
      <c r="E65" s="20"/>
      <c r="F65" s="20"/>
      <c r="G65" s="20"/>
      <c r="H65" s="20"/>
      <c r="I65" s="20"/>
      <c r="J65" s="20"/>
      <c r="K65" s="20"/>
      <c r="L65" s="20" t="str">
        <f t="shared" si="1"/>
        <v/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>
      <c r="A66" s="22"/>
      <c r="B66" s="20"/>
      <c r="C66" s="20" t="str">
        <f>IFERROR(__xludf.DUMMYFUNCTION("IF(ISBLANK(B66),,IFERROR(array_constrain(FILTER('Leetcode分类顺序表'!B:J,'Leetcode分类顺序表'!A:A = B66), 1, 10000000),IFERROR(FILTER(Algoexpert.io!B:D,Algoexpert.io!A:A = B66),FILTER('Leetcode List'!B:J,'Leetcode List'!A:A = B66))))"),"")</f>
        <v/>
      </c>
      <c r="D66" s="20"/>
      <c r="E66" s="20"/>
      <c r="F66" s="20"/>
      <c r="G66" s="20"/>
      <c r="H66" s="20"/>
      <c r="I66" s="20"/>
      <c r="J66" s="20"/>
      <c r="K66" s="20"/>
      <c r="L66" s="20" t="str">
        <f t="shared" si="1"/>
        <v/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>
      <c r="A67" s="22"/>
      <c r="B67" s="20"/>
      <c r="C67" s="20" t="str">
        <f>IFERROR(__xludf.DUMMYFUNCTION("IF(ISBLANK(B67),,IFERROR(array_constrain(FILTER('Leetcode分类顺序表'!B:J,'Leetcode分类顺序表'!A:A = B67), 1, 10000000),IFERROR(FILTER(Algoexpert.io!B:D,Algoexpert.io!A:A = B67),FILTER('Leetcode List'!B:J,'Leetcode List'!A:A = B67))))"),"")</f>
        <v/>
      </c>
      <c r="D67" s="20"/>
      <c r="E67" s="20"/>
      <c r="F67" s="20"/>
      <c r="G67" s="20"/>
      <c r="H67" s="20"/>
      <c r="I67" s="20"/>
      <c r="J67" s="20"/>
      <c r="K67" s="20"/>
      <c r="L67" s="20" t="str">
        <f t="shared" si="1"/>
        <v/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>
      <c r="A68" s="22"/>
      <c r="B68" s="20"/>
      <c r="C68" s="20" t="str">
        <f>IFERROR(__xludf.DUMMYFUNCTION("IF(ISBLANK(B68),,IFERROR(array_constrain(FILTER('Leetcode分类顺序表'!B:J,'Leetcode分类顺序表'!A:A = B68), 1, 10000000),IFERROR(FILTER(Algoexpert.io!B:D,Algoexpert.io!A:A = B68),FILTER('Leetcode List'!B:J,'Leetcode List'!A:A = B68))))"),"")</f>
        <v/>
      </c>
      <c r="D68" s="20"/>
      <c r="E68" s="20"/>
      <c r="F68" s="20"/>
      <c r="G68" s="20"/>
      <c r="H68" s="20"/>
      <c r="I68" s="20"/>
      <c r="J68" s="20"/>
      <c r="K68" s="20"/>
      <c r="L68" s="20" t="str">
        <f t="shared" si="1"/>
        <v/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>
      <c r="A69" s="22"/>
      <c r="B69" s="20"/>
      <c r="C69" s="20" t="str">
        <f>IFERROR(__xludf.DUMMYFUNCTION("IF(ISBLANK(B69),,IFERROR(array_constrain(FILTER('Leetcode分类顺序表'!B:J,'Leetcode分类顺序表'!A:A = B69), 1, 10000000),IFERROR(FILTER(Algoexpert.io!B:D,Algoexpert.io!A:A = B69),FILTER('Leetcode List'!B:J,'Leetcode List'!A:A = B69))))"),"")</f>
        <v/>
      </c>
      <c r="D69" s="20"/>
      <c r="E69" s="20"/>
      <c r="F69" s="20"/>
      <c r="G69" s="20"/>
      <c r="H69" s="20"/>
      <c r="I69" s="20"/>
      <c r="J69" s="20"/>
      <c r="K69" s="20"/>
      <c r="L69" s="20" t="str">
        <f t="shared" si="1"/>
        <v/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>
      <c r="A70" s="22"/>
      <c r="B70" s="20"/>
      <c r="C70" s="20" t="str">
        <f>IFERROR(__xludf.DUMMYFUNCTION("IF(ISBLANK(B70),,IFERROR(array_constrain(FILTER('Leetcode分类顺序表'!B:J,'Leetcode分类顺序表'!A:A = B70), 1, 10000000),IFERROR(FILTER(Algoexpert.io!B:D,Algoexpert.io!A:A = B70),FILTER('Leetcode List'!B:J,'Leetcode List'!A:A = B70))))"),"")</f>
        <v/>
      </c>
      <c r="D70" s="20"/>
      <c r="E70" s="20"/>
      <c r="F70" s="20"/>
      <c r="G70" s="20"/>
      <c r="H70" s="20"/>
      <c r="I70" s="20"/>
      <c r="J70" s="20"/>
      <c r="K70" s="20"/>
      <c r="L70" s="20" t="str">
        <f t="shared" si="1"/>
        <v/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>
      <c r="A71" s="22"/>
      <c r="B71" s="20"/>
      <c r="C71" s="20" t="str">
        <f>IFERROR(__xludf.DUMMYFUNCTION("IF(ISBLANK(B71),,IFERROR(array_constrain(FILTER('Leetcode分类顺序表'!B:J,'Leetcode分类顺序表'!A:A = B71), 1, 10000000),IFERROR(FILTER(Algoexpert.io!B:D,Algoexpert.io!A:A = B71),FILTER('Leetcode List'!B:J,'Leetcode List'!A:A = B71))))"),"")</f>
        <v/>
      </c>
      <c r="D71" s="20"/>
      <c r="E71" s="20"/>
      <c r="F71" s="20"/>
      <c r="G71" s="20"/>
      <c r="H71" s="20"/>
      <c r="I71" s="20"/>
      <c r="J71" s="20"/>
      <c r="K71" s="20"/>
      <c r="L71" s="20" t="str">
        <f t="shared" si="1"/>
        <v/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>
      <c r="A72" s="22"/>
      <c r="B72" s="20"/>
      <c r="C72" s="20" t="str">
        <f>IFERROR(__xludf.DUMMYFUNCTION("IF(ISBLANK(B72),,IFERROR(array_constrain(FILTER('Leetcode分类顺序表'!B:J,'Leetcode分类顺序表'!A:A = B72), 1, 10000000),IFERROR(FILTER(Algoexpert.io!B:D,Algoexpert.io!A:A = B72),FILTER('Leetcode List'!B:J,'Leetcode List'!A:A = B72))))"),"")</f>
        <v/>
      </c>
      <c r="D72" s="20"/>
      <c r="E72" s="20"/>
      <c r="F72" s="20"/>
      <c r="G72" s="20"/>
      <c r="H72" s="20"/>
      <c r="I72" s="20"/>
      <c r="J72" s="20"/>
      <c r="K72" s="20"/>
      <c r="L72" s="20" t="str">
        <f t="shared" si="1"/>
        <v/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>
      <c r="A73" s="22"/>
      <c r="B73" s="20"/>
      <c r="C73" s="20" t="str">
        <f>IFERROR(__xludf.DUMMYFUNCTION("IF(ISBLANK(B73),,IFERROR(array_constrain(FILTER('Leetcode分类顺序表'!B:J,'Leetcode分类顺序表'!A:A = B73), 1, 10000000),IFERROR(FILTER(Algoexpert.io!B:D,Algoexpert.io!A:A = B73),FILTER('Leetcode List'!B:J,'Leetcode List'!A:A = B73))))"),"")</f>
        <v/>
      </c>
      <c r="D73" s="20"/>
      <c r="E73" s="20"/>
      <c r="F73" s="20"/>
      <c r="G73" s="20"/>
      <c r="H73" s="20"/>
      <c r="I73" s="20"/>
      <c r="J73" s="20"/>
      <c r="K73" s="20"/>
      <c r="L73" s="20" t="str">
        <f t="shared" si="1"/>
        <v/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>
      <c r="A74" s="22"/>
      <c r="B74" s="20"/>
      <c r="C74" s="20" t="str">
        <f>IFERROR(__xludf.DUMMYFUNCTION("IF(ISBLANK(B74),,IFERROR(array_constrain(FILTER('Leetcode分类顺序表'!B:J,'Leetcode分类顺序表'!A:A = B74), 1, 10000000),IFERROR(FILTER(Algoexpert.io!B:D,Algoexpert.io!A:A = B74),FILTER('Leetcode List'!B:J,'Leetcode List'!A:A = B74))))"),"")</f>
        <v/>
      </c>
      <c r="D74" s="20"/>
      <c r="E74" s="20"/>
      <c r="F74" s="20"/>
      <c r="G74" s="20"/>
      <c r="H74" s="20"/>
      <c r="I74" s="20"/>
      <c r="J74" s="20"/>
      <c r="K74" s="20"/>
      <c r="L74" s="20" t="str">
        <f t="shared" si="1"/>
        <v/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>
      <c r="A75" s="22"/>
      <c r="B75" s="20"/>
      <c r="C75" s="20" t="str">
        <f>IFERROR(__xludf.DUMMYFUNCTION("IF(ISBLANK(B75),,IFERROR(array_constrain(FILTER('Leetcode分类顺序表'!B:J,'Leetcode分类顺序表'!A:A = B75), 1, 10000000),IFERROR(FILTER(Algoexpert.io!B:D,Algoexpert.io!A:A = B75),FILTER('Leetcode List'!B:J,'Leetcode List'!A:A = B75))))"),"")</f>
        <v/>
      </c>
      <c r="D75" s="20"/>
      <c r="E75" s="20"/>
      <c r="F75" s="20"/>
      <c r="G75" s="20"/>
      <c r="H75" s="20"/>
      <c r="I75" s="20"/>
      <c r="J75" s="20"/>
      <c r="K75" s="20"/>
      <c r="L75" s="20" t="str">
        <f t="shared" si="1"/>
        <v/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>
      <c r="A76" s="22"/>
      <c r="B76" s="20"/>
      <c r="C76" s="20" t="str">
        <f>IFERROR(__xludf.DUMMYFUNCTION("IF(ISBLANK(B76),,IFERROR(array_constrain(FILTER('Leetcode分类顺序表'!B:J,'Leetcode分类顺序表'!A:A = B76), 1, 10000000),IFERROR(FILTER(Algoexpert.io!B:D,Algoexpert.io!A:A = B76),FILTER('Leetcode List'!B:J,'Leetcode List'!A:A = B76))))"),"")</f>
        <v/>
      </c>
      <c r="D76" s="20"/>
      <c r="E76" s="20"/>
      <c r="F76" s="20"/>
      <c r="G76" s="20"/>
      <c r="H76" s="20"/>
      <c r="I76" s="20"/>
      <c r="J76" s="20"/>
      <c r="K76" s="20"/>
      <c r="L76" s="20" t="str">
        <f t="shared" si="1"/>
        <v/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>
      <c r="A77" s="22"/>
      <c r="B77" s="20"/>
      <c r="C77" s="20" t="str">
        <f>IFERROR(__xludf.DUMMYFUNCTION("IF(ISBLANK(B77),,IFERROR(array_constrain(FILTER('Leetcode分类顺序表'!B:J,'Leetcode分类顺序表'!A:A = B77), 1, 10000000),IFERROR(FILTER(Algoexpert.io!B:D,Algoexpert.io!A:A = B77),FILTER('Leetcode List'!B:J,'Leetcode List'!A:A = B77))))"),"")</f>
        <v/>
      </c>
      <c r="D77" s="20"/>
      <c r="E77" s="20"/>
      <c r="F77" s="20"/>
      <c r="G77" s="20"/>
      <c r="H77" s="20"/>
      <c r="I77" s="20"/>
      <c r="J77" s="20"/>
      <c r="K77" s="20"/>
      <c r="L77" s="20" t="str">
        <f t="shared" si="1"/>
        <v/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>
      <c r="A78" s="22"/>
      <c r="B78" s="20"/>
      <c r="C78" s="20" t="str">
        <f>IFERROR(__xludf.DUMMYFUNCTION("IF(ISBLANK(B78),,IFERROR(array_constrain(FILTER('Leetcode分类顺序表'!B:J,'Leetcode分类顺序表'!A:A = B78), 1, 10000000),IFERROR(FILTER(Algoexpert.io!B:D,Algoexpert.io!A:A = B78),FILTER('Leetcode List'!B:J,'Leetcode List'!A:A = B78))))"),"")</f>
        <v/>
      </c>
      <c r="D78" s="20"/>
      <c r="E78" s="20"/>
      <c r="F78" s="20"/>
      <c r="G78" s="20"/>
      <c r="H78" s="20"/>
      <c r="I78" s="20"/>
      <c r="J78" s="20"/>
      <c r="K78" s="20"/>
      <c r="L78" s="20" t="str">
        <f t="shared" si="1"/>
        <v/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>
      <c r="A79" s="22"/>
      <c r="B79" s="20"/>
      <c r="C79" s="20" t="str">
        <f>IFERROR(__xludf.DUMMYFUNCTION("IF(ISBLANK(B79),,IFERROR(array_constrain(FILTER('Leetcode分类顺序表'!B:J,'Leetcode分类顺序表'!A:A = B79), 1, 10000000),IFERROR(FILTER(Algoexpert.io!B:D,Algoexpert.io!A:A = B79),FILTER('Leetcode List'!B:J,'Leetcode List'!A:A = B79))))"),"")</f>
        <v/>
      </c>
      <c r="D79" s="20"/>
      <c r="E79" s="20"/>
      <c r="F79" s="20"/>
      <c r="G79" s="20"/>
      <c r="H79" s="20"/>
      <c r="I79" s="20"/>
      <c r="J79" s="20"/>
      <c r="K79" s="20"/>
      <c r="L79" s="20" t="str">
        <f t="shared" si="1"/>
        <v/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>
      <c r="A80" s="22"/>
      <c r="B80" s="20"/>
      <c r="C80" s="20" t="str">
        <f>IFERROR(__xludf.DUMMYFUNCTION("IF(ISBLANK(B80),,IFERROR(array_constrain(FILTER('Leetcode分类顺序表'!B:J,'Leetcode分类顺序表'!A:A = B80), 1, 10000000),IFERROR(FILTER(Algoexpert.io!B:D,Algoexpert.io!A:A = B80),FILTER('Leetcode List'!B:J,'Leetcode List'!A:A = B80))))"),"")</f>
        <v/>
      </c>
      <c r="D80" s="20"/>
      <c r="E80" s="20"/>
      <c r="F80" s="20"/>
      <c r="G80" s="20"/>
      <c r="H80" s="20"/>
      <c r="I80" s="20"/>
      <c r="J80" s="20"/>
      <c r="K80" s="20"/>
      <c r="L80" s="20" t="str">
        <f t="shared" si="1"/>
        <v/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>
      <c r="A81" s="22"/>
      <c r="B81" s="20"/>
      <c r="C81" s="20" t="str">
        <f>IFERROR(__xludf.DUMMYFUNCTION("IF(ISBLANK(B81),,IFERROR(array_constrain(FILTER('Leetcode分类顺序表'!B:J,'Leetcode分类顺序表'!A:A = B81), 1, 10000000),IFERROR(FILTER(Algoexpert.io!B:D,Algoexpert.io!A:A = B81),FILTER('Leetcode List'!B:J,'Leetcode List'!A:A = B81))))"),"")</f>
        <v/>
      </c>
      <c r="D81" s="20"/>
      <c r="E81" s="20"/>
      <c r="F81" s="20"/>
      <c r="G81" s="20"/>
      <c r="H81" s="20"/>
      <c r="I81" s="20"/>
      <c r="J81" s="20"/>
      <c r="K81" s="20"/>
      <c r="L81" s="20" t="str">
        <f t="shared" si="1"/>
        <v/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>
      <c r="A82" s="22"/>
      <c r="B82" s="20"/>
      <c r="C82" s="20" t="str">
        <f>IFERROR(__xludf.DUMMYFUNCTION("IF(ISBLANK(B82),,IFERROR(array_constrain(FILTER('Leetcode分类顺序表'!B:J,'Leetcode分类顺序表'!A:A = B82), 1, 10000000),IFERROR(FILTER(Algoexpert.io!B:D,Algoexpert.io!A:A = B82),FILTER('Leetcode List'!B:J,'Leetcode List'!A:A = B82))))"),"")</f>
        <v/>
      </c>
      <c r="D82" s="20"/>
      <c r="E82" s="20"/>
      <c r="F82" s="20"/>
      <c r="G82" s="20"/>
      <c r="H82" s="20"/>
      <c r="I82" s="20"/>
      <c r="J82" s="20"/>
      <c r="K82" s="20"/>
      <c r="L82" s="20" t="str">
        <f t="shared" si="1"/>
        <v/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>
      <c r="A83" s="22"/>
      <c r="B83" s="20"/>
      <c r="C83" s="20" t="str">
        <f>IFERROR(__xludf.DUMMYFUNCTION("IF(ISBLANK(B83),,IFERROR(array_constrain(FILTER('Leetcode分类顺序表'!B:J,'Leetcode分类顺序表'!A:A = B83), 1, 10000000),IFERROR(FILTER(Algoexpert.io!B:D,Algoexpert.io!A:A = B83),FILTER('Leetcode List'!B:J,'Leetcode List'!A:A = B83))))"),"")</f>
        <v/>
      </c>
      <c r="D83" s="20"/>
      <c r="E83" s="20"/>
      <c r="F83" s="20"/>
      <c r="G83" s="20"/>
      <c r="H83" s="20"/>
      <c r="I83" s="20"/>
      <c r="J83" s="20"/>
      <c r="K83" s="20"/>
      <c r="L83" s="20" t="str">
        <f t="shared" si="1"/>
        <v/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>
      <c r="A84" s="22"/>
      <c r="B84" s="20"/>
      <c r="C84" s="20" t="str">
        <f>IFERROR(__xludf.DUMMYFUNCTION("IF(ISBLANK(B84),,IFERROR(array_constrain(FILTER('Leetcode分类顺序表'!B:J,'Leetcode分类顺序表'!A:A = B84), 1, 10000000),IFERROR(FILTER(Algoexpert.io!B:D,Algoexpert.io!A:A = B84),FILTER('Leetcode List'!B:J,'Leetcode List'!A:A = B84))))"),"")</f>
        <v/>
      </c>
      <c r="D84" s="20"/>
      <c r="E84" s="20"/>
      <c r="F84" s="20"/>
      <c r="G84" s="20"/>
      <c r="H84" s="20"/>
      <c r="I84" s="20"/>
      <c r="J84" s="20"/>
      <c r="K84" s="20"/>
      <c r="L84" s="20" t="str">
        <f t="shared" si="1"/>
        <v/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>
      <c r="A85" s="22"/>
      <c r="B85" s="20"/>
      <c r="C85" s="20" t="str">
        <f>IFERROR(__xludf.DUMMYFUNCTION("IF(ISBLANK(B85),,IFERROR(array_constrain(FILTER('Leetcode分类顺序表'!B:J,'Leetcode分类顺序表'!A:A = B85), 1, 10000000),IFERROR(FILTER(Algoexpert.io!B:D,Algoexpert.io!A:A = B85),FILTER('Leetcode List'!B:J,'Leetcode List'!A:A = B85))))"),"")</f>
        <v/>
      </c>
      <c r="D85" s="20"/>
      <c r="E85" s="20"/>
      <c r="F85" s="20"/>
      <c r="G85" s="20"/>
      <c r="H85" s="20"/>
      <c r="I85" s="20"/>
      <c r="J85" s="20"/>
      <c r="K85" s="20"/>
      <c r="L85" s="20" t="str">
        <f t="shared" si="1"/>
        <v/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>
      <c r="A86" s="22"/>
      <c r="B86" s="20"/>
      <c r="C86" s="20" t="str">
        <f>IFERROR(__xludf.DUMMYFUNCTION("IF(ISBLANK(B86),,IFERROR(array_constrain(FILTER('Leetcode分类顺序表'!B:J,'Leetcode分类顺序表'!A:A = B86), 1, 10000000),IFERROR(FILTER(Algoexpert.io!B:D,Algoexpert.io!A:A = B86),FILTER('Leetcode List'!B:J,'Leetcode List'!A:A = B86))))"),"")</f>
        <v/>
      </c>
      <c r="D86" s="20"/>
      <c r="E86" s="20"/>
      <c r="F86" s="20"/>
      <c r="G86" s="20"/>
      <c r="H86" s="20"/>
      <c r="I86" s="20"/>
      <c r="J86" s="20"/>
      <c r="K86" s="20"/>
      <c r="L86" s="20" t="str">
        <f t="shared" si="1"/>
        <v/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>
      <c r="A87" s="22"/>
      <c r="B87" s="20"/>
      <c r="C87" s="20" t="str">
        <f>IFERROR(__xludf.DUMMYFUNCTION("IF(ISBLANK(B87),,IFERROR(array_constrain(FILTER('Leetcode分类顺序表'!B:J,'Leetcode分类顺序表'!A:A = B87), 1, 10000000),IFERROR(FILTER(Algoexpert.io!B:D,Algoexpert.io!A:A = B87),FILTER('Leetcode List'!B:J,'Leetcode List'!A:A = B87))))"),"")</f>
        <v/>
      </c>
      <c r="D87" s="20"/>
      <c r="E87" s="20"/>
      <c r="F87" s="20"/>
      <c r="G87" s="20"/>
      <c r="H87" s="20"/>
      <c r="I87" s="20"/>
      <c r="J87" s="20"/>
      <c r="K87" s="20"/>
      <c r="L87" s="20" t="str">
        <f t="shared" si="1"/>
        <v/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>
      <c r="A88" s="22"/>
      <c r="B88" s="20"/>
      <c r="C88" s="20" t="str">
        <f>IFERROR(__xludf.DUMMYFUNCTION("IF(ISBLANK(B88),,IFERROR(array_constrain(FILTER('Leetcode分类顺序表'!B:J,'Leetcode分类顺序表'!A:A = B88), 1, 10000000),IFERROR(FILTER(Algoexpert.io!B:D,Algoexpert.io!A:A = B88),FILTER('Leetcode List'!B:J,'Leetcode List'!A:A = B88))))"),"")</f>
        <v/>
      </c>
      <c r="D88" s="20"/>
      <c r="E88" s="20"/>
      <c r="F88" s="20"/>
      <c r="G88" s="20"/>
      <c r="H88" s="20"/>
      <c r="I88" s="20"/>
      <c r="J88" s="20"/>
      <c r="K88" s="20"/>
      <c r="L88" s="20" t="str">
        <f t="shared" si="1"/>
        <v/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>
      <c r="A89" s="22"/>
      <c r="B89" s="20"/>
      <c r="C89" s="20" t="str">
        <f>IFERROR(__xludf.DUMMYFUNCTION("IF(ISBLANK(B89),,IFERROR(array_constrain(FILTER('Leetcode分类顺序表'!B:J,'Leetcode分类顺序表'!A:A = B89), 1, 10000000),IFERROR(FILTER(Algoexpert.io!B:D,Algoexpert.io!A:A = B89),FILTER('Leetcode List'!B:J,'Leetcode List'!A:A = B89))))"),"")</f>
        <v/>
      </c>
      <c r="D89" s="20"/>
      <c r="E89" s="20"/>
      <c r="F89" s="20"/>
      <c r="G89" s="20"/>
      <c r="H89" s="20"/>
      <c r="I89" s="20"/>
      <c r="J89" s="20"/>
      <c r="K89" s="20"/>
      <c r="L89" s="20" t="str">
        <f t="shared" si="1"/>
        <v/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>
      <c r="A90" s="22"/>
      <c r="B90" s="20"/>
      <c r="C90" s="20" t="str">
        <f>IFERROR(__xludf.DUMMYFUNCTION("IF(ISBLANK(B90),,IFERROR(array_constrain(FILTER('Leetcode分类顺序表'!B:J,'Leetcode分类顺序表'!A:A = B90), 1, 10000000),IFERROR(FILTER(Algoexpert.io!B:D,Algoexpert.io!A:A = B90),FILTER('Leetcode List'!B:J,'Leetcode List'!A:A = B90))))"),"")</f>
        <v/>
      </c>
      <c r="D90" s="20"/>
      <c r="E90" s="20"/>
      <c r="F90" s="20"/>
      <c r="G90" s="20"/>
      <c r="H90" s="20"/>
      <c r="I90" s="20"/>
      <c r="J90" s="20"/>
      <c r="K90" s="20"/>
      <c r="L90" s="20" t="str">
        <f t="shared" si="1"/>
        <v/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>
      <c r="A91" s="22"/>
      <c r="B91" s="20"/>
      <c r="C91" s="20" t="str">
        <f>IFERROR(__xludf.DUMMYFUNCTION("IF(ISBLANK(B91),,IFERROR(array_constrain(FILTER('Leetcode分类顺序表'!B:J,'Leetcode分类顺序表'!A:A = B91), 1, 10000000),IFERROR(FILTER(Algoexpert.io!B:D,Algoexpert.io!A:A = B91),FILTER('Leetcode List'!B:J,'Leetcode List'!A:A = B91))))"),"")</f>
        <v/>
      </c>
      <c r="D91" s="20"/>
      <c r="E91" s="20"/>
      <c r="F91" s="20"/>
      <c r="G91" s="20"/>
      <c r="H91" s="20"/>
      <c r="I91" s="20"/>
      <c r="J91" s="20"/>
      <c r="K91" s="20"/>
      <c r="L91" s="20" t="str">
        <f t="shared" si="1"/>
        <v/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>
      <c r="A92" s="22"/>
      <c r="B92" s="20"/>
      <c r="C92" s="20" t="str">
        <f>IFERROR(__xludf.DUMMYFUNCTION("IF(ISBLANK(B92),,IFERROR(array_constrain(FILTER('Leetcode分类顺序表'!B:J,'Leetcode分类顺序表'!A:A = B92), 1, 10000000),IFERROR(FILTER(Algoexpert.io!B:D,Algoexpert.io!A:A = B92),FILTER('Leetcode List'!B:J,'Leetcode List'!A:A = B92))))"),"")</f>
        <v/>
      </c>
      <c r="D92" s="20"/>
      <c r="E92" s="20"/>
      <c r="F92" s="20"/>
      <c r="G92" s="20"/>
      <c r="H92" s="20"/>
      <c r="I92" s="20"/>
      <c r="J92" s="20"/>
      <c r="K92" s="20"/>
      <c r="L92" s="20" t="str">
        <f t="shared" si="1"/>
        <v/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>
      <c r="A93" s="22"/>
      <c r="B93" s="20"/>
      <c r="C93" s="20" t="str">
        <f>IFERROR(__xludf.DUMMYFUNCTION("IF(ISBLANK(B93),,IFERROR(array_constrain(FILTER('Leetcode分类顺序表'!B:J,'Leetcode分类顺序表'!A:A = B93), 1, 10000000),IFERROR(FILTER(Algoexpert.io!B:D,Algoexpert.io!A:A = B93),FILTER('Leetcode List'!B:J,'Leetcode List'!A:A = B93))))"),"")</f>
        <v/>
      </c>
      <c r="D93" s="20"/>
      <c r="E93" s="20"/>
      <c r="F93" s="20"/>
      <c r="G93" s="20"/>
      <c r="H93" s="20"/>
      <c r="I93" s="20"/>
      <c r="J93" s="20"/>
      <c r="K93" s="20"/>
      <c r="L93" s="20" t="str">
        <f t="shared" si="1"/>
        <v/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>
      <c r="A94" s="22"/>
      <c r="B94" s="20"/>
      <c r="C94" s="20" t="str">
        <f>IFERROR(__xludf.DUMMYFUNCTION("IF(ISBLANK(B94),,IFERROR(array_constrain(FILTER('Leetcode分类顺序表'!B:J,'Leetcode分类顺序表'!A:A = B94), 1, 10000000),IFERROR(FILTER(Algoexpert.io!B:D,Algoexpert.io!A:A = B94),FILTER('Leetcode List'!B:J,'Leetcode List'!A:A = B94))))"),"")</f>
        <v/>
      </c>
      <c r="D94" s="20"/>
      <c r="E94" s="20"/>
      <c r="F94" s="20"/>
      <c r="G94" s="20"/>
      <c r="H94" s="20"/>
      <c r="I94" s="20"/>
      <c r="J94" s="20"/>
      <c r="K94" s="20"/>
      <c r="L94" s="20" t="str">
        <f t="shared" si="1"/>
        <v/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>
      <c r="A95" s="22"/>
      <c r="B95" s="20"/>
      <c r="C95" s="20" t="str">
        <f>IFERROR(__xludf.DUMMYFUNCTION("IF(ISBLANK(B95),,IFERROR(array_constrain(FILTER('Leetcode分类顺序表'!B:J,'Leetcode分类顺序表'!A:A = B95), 1, 10000000),IFERROR(FILTER(Algoexpert.io!B:D,Algoexpert.io!A:A = B95),FILTER('Leetcode List'!B:J,'Leetcode List'!A:A = B95))))"),"")</f>
        <v/>
      </c>
      <c r="D95" s="20"/>
      <c r="E95" s="20"/>
      <c r="F95" s="20"/>
      <c r="G95" s="20"/>
      <c r="H95" s="20"/>
      <c r="I95" s="20"/>
      <c r="J95" s="20"/>
      <c r="K95" s="20"/>
      <c r="L95" s="20" t="str">
        <f t="shared" si="1"/>
        <v/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>
      <c r="A96" s="22"/>
      <c r="B96" s="20"/>
      <c r="C96" s="20" t="str">
        <f>IFERROR(__xludf.DUMMYFUNCTION("IF(ISBLANK(B96),,IFERROR(array_constrain(FILTER('Leetcode分类顺序表'!B:J,'Leetcode分类顺序表'!A:A = B96), 1, 10000000),IFERROR(FILTER(Algoexpert.io!B:D,Algoexpert.io!A:A = B96),FILTER('Leetcode List'!B:J,'Leetcode List'!A:A = B96))))"),"")</f>
        <v/>
      </c>
      <c r="D96" s="20"/>
      <c r="E96" s="20"/>
      <c r="F96" s="20"/>
      <c r="G96" s="20"/>
      <c r="H96" s="20"/>
      <c r="I96" s="20"/>
      <c r="J96" s="20"/>
      <c r="K96" s="20"/>
      <c r="L96" s="20" t="str">
        <f t="shared" si="1"/>
        <v/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>
      <c r="A97" s="22"/>
      <c r="B97" s="20"/>
      <c r="C97" s="20" t="str">
        <f>IFERROR(__xludf.DUMMYFUNCTION("IF(ISBLANK(B97),,IFERROR(array_constrain(FILTER('Leetcode分类顺序表'!B:J,'Leetcode分类顺序表'!A:A = B97), 1, 10000000),IFERROR(FILTER(Algoexpert.io!B:D,Algoexpert.io!A:A = B97),FILTER('Leetcode List'!B:J,'Leetcode List'!A:A = B97))))"),"")</f>
        <v/>
      </c>
      <c r="D97" s="20"/>
      <c r="E97" s="20"/>
      <c r="F97" s="20"/>
      <c r="G97" s="20"/>
      <c r="H97" s="20"/>
      <c r="I97" s="20"/>
      <c r="J97" s="20"/>
      <c r="K97" s="20"/>
      <c r="L97" s="20" t="str">
        <f t="shared" si="1"/>
        <v/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>
      <c r="A98" s="22"/>
      <c r="B98" s="20"/>
      <c r="C98" s="20" t="str">
        <f>IFERROR(__xludf.DUMMYFUNCTION("IF(ISBLANK(B98),,IFERROR(array_constrain(FILTER('Leetcode分类顺序表'!B:J,'Leetcode分类顺序表'!A:A = B98), 1, 10000000),IFERROR(FILTER(Algoexpert.io!B:D,Algoexpert.io!A:A = B98),FILTER('Leetcode List'!B:J,'Leetcode List'!A:A = B98))))"),"")</f>
        <v/>
      </c>
      <c r="D98" s="20"/>
      <c r="E98" s="20"/>
      <c r="F98" s="20"/>
      <c r="G98" s="20"/>
      <c r="H98" s="20"/>
      <c r="I98" s="20"/>
      <c r="J98" s="20"/>
      <c r="K98" s="20"/>
      <c r="L98" s="20" t="str">
        <f t="shared" si="1"/>
        <v/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>
      <c r="A99" s="22"/>
      <c r="B99" s="20"/>
      <c r="C99" s="20" t="str">
        <f>IFERROR(__xludf.DUMMYFUNCTION("IF(ISBLANK(B99),,IFERROR(array_constrain(FILTER('Leetcode分类顺序表'!B:J,'Leetcode分类顺序表'!A:A = B99), 1, 10000000),IFERROR(FILTER(Algoexpert.io!B:D,Algoexpert.io!A:A = B99),FILTER('Leetcode List'!B:J,'Leetcode List'!A:A = B99))))"),"")</f>
        <v/>
      </c>
      <c r="D99" s="20"/>
      <c r="E99" s="20"/>
      <c r="F99" s="20"/>
      <c r="G99" s="20"/>
      <c r="H99" s="20"/>
      <c r="I99" s="20"/>
      <c r="J99" s="20"/>
      <c r="K99" s="20"/>
      <c r="L99" s="20" t="str">
        <f t="shared" si="1"/>
        <v/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>
      <c r="A100" s="22"/>
      <c r="B100" s="20"/>
      <c r="C100" s="20" t="str">
        <f>IFERROR(__xludf.DUMMYFUNCTION("IF(ISBLANK(B100),,IFERROR(array_constrain(FILTER('Leetcode分类顺序表'!B:J,'Leetcode分类顺序表'!A:A = B100), 1, 10000000),IFERROR(FILTER(Algoexpert.io!B:D,Algoexpert.io!A:A = B100),FILTER('Leetcode List'!B:J,'Leetcode List'!A:A = B100))))"),"")</f>
        <v/>
      </c>
      <c r="D100" s="20"/>
      <c r="E100" s="20"/>
      <c r="F100" s="20"/>
      <c r="G100" s="20"/>
      <c r="H100" s="20"/>
      <c r="I100" s="20"/>
      <c r="J100" s="20"/>
      <c r="K100" s="20"/>
      <c r="L100" s="20" t="str">
        <f t="shared" si="1"/>
        <v/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>
      <c r="A101" s="22"/>
      <c r="B101" s="20"/>
      <c r="C101" s="20" t="str">
        <f>IFERROR(__xludf.DUMMYFUNCTION("IF(ISBLANK(B101),,IFERROR(array_constrain(FILTER('Leetcode分类顺序表'!B:J,'Leetcode分类顺序表'!A:A = B101), 1, 10000000),IFERROR(FILTER(Algoexpert.io!B:D,Algoexpert.io!A:A = B101),FILTER('Leetcode List'!B:J,'Leetcode List'!A:A = B101))))"),"")</f>
        <v/>
      </c>
      <c r="D101" s="20"/>
      <c r="E101" s="20"/>
      <c r="F101" s="20"/>
      <c r="G101" s="20"/>
      <c r="H101" s="20"/>
      <c r="I101" s="20"/>
      <c r="J101" s="20"/>
      <c r="K101" s="20"/>
      <c r="L101" s="20" t="str">
        <f t="shared" si="1"/>
        <v/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>
      <c r="A102" s="22"/>
      <c r="B102" s="20"/>
      <c r="C102" s="20" t="str">
        <f>IFERROR(__xludf.DUMMYFUNCTION("IF(ISBLANK(B102),,IFERROR(array_constrain(FILTER('Leetcode分类顺序表'!B:J,'Leetcode分类顺序表'!A:A = B102), 1, 10000000),IFERROR(FILTER(Algoexpert.io!B:D,Algoexpert.io!A:A = B102),FILTER('Leetcode List'!B:J,'Leetcode List'!A:A = B102))))"),"")</f>
        <v/>
      </c>
      <c r="D102" s="20"/>
      <c r="E102" s="20"/>
      <c r="F102" s="20"/>
      <c r="G102" s="20"/>
      <c r="H102" s="20"/>
      <c r="I102" s="20"/>
      <c r="J102" s="20"/>
      <c r="K102" s="20"/>
      <c r="L102" s="20" t="str">
        <f t="shared" si="1"/>
        <v/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>
      <c r="A103" s="22"/>
      <c r="B103" s="20"/>
      <c r="C103" s="20" t="str">
        <f>IFERROR(__xludf.DUMMYFUNCTION("IF(ISBLANK(B103),,IFERROR(array_constrain(FILTER('Leetcode分类顺序表'!B:J,'Leetcode分类顺序表'!A:A = B103), 1, 10000000),IFERROR(FILTER(Algoexpert.io!B:D,Algoexpert.io!A:A = B103),FILTER('Leetcode List'!B:J,'Leetcode List'!A:A = B103))))"),"")</f>
        <v/>
      </c>
      <c r="D103" s="20"/>
      <c r="E103" s="20"/>
      <c r="F103" s="20"/>
      <c r="G103" s="20"/>
      <c r="H103" s="20"/>
      <c r="I103" s="20"/>
      <c r="J103" s="20"/>
      <c r="K103" s="20"/>
      <c r="L103" s="20" t="str">
        <f t="shared" si="1"/>
        <v/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>
      <c r="A104" s="22"/>
      <c r="B104" s="20"/>
      <c r="C104" s="20" t="str">
        <f>IFERROR(__xludf.DUMMYFUNCTION("IF(ISBLANK(B104),,IFERROR(array_constrain(FILTER('Leetcode分类顺序表'!B:J,'Leetcode分类顺序表'!A:A = B104), 1, 10000000),IFERROR(FILTER(Algoexpert.io!B:D,Algoexpert.io!A:A = B104),FILTER('Leetcode List'!B:J,'Leetcode List'!A:A = B104))))"),"")</f>
        <v/>
      </c>
      <c r="D104" s="20"/>
      <c r="E104" s="20"/>
      <c r="F104" s="20"/>
      <c r="G104" s="20"/>
      <c r="H104" s="20"/>
      <c r="I104" s="20"/>
      <c r="J104" s="20"/>
      <c r="K104" s="20"/>
      <c r="L104" s="20" t="str">
        <f t="shared" si="1"/>
        <v/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>
      <c r="A105" s="22"/>
      <c r="B105" s="20"/>
      <c r="C105" s="20" t="str">
        <f>IFERROR(__xludf.DUMMYFUNCTION("IF(ISBLANK(B105),,IFERROR(array_constrain(FILTER('Leetcode分类顺序表'!B:J,'Leetcode分类顺序表'!A:A = B105), 1, 10000000),IFERROR(FILTER(Algoexpert.io!B:D,Algoexpert.io!A:A = B105),FILTER('Leetcode List'!B:J,'Leetcode List'!A:A = B105))))"),"")</f>
        <v/>
      </c>
      <c r="D105" s="20"/>
      <c r="E105" s="20"/>
      <c r="F105" s="20"/>
      <c r="G105" s="20"/>
      <c r="H105" s="20"/>
      <c r="I105" s="20"/>
      <c r="J105" s="20"/>
      <c r="K105" s="20"/>
      <c r="L105" s="20" t="str">
        <f t="shared" si="1"/>
        <v/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>
      <c r="A106" s="22"/>
      <c r="B106" s="20"/>
      <c r="C106" s="20" t="str">
        <f>IFERROR(__xludf.DUMMYFUNCTION("IF(ISBLANK(B106),,IFERROR(array_constrain(FILTER('Leetcode分类顺序表'!B:J,'Leetcode分类顺序表'!A:A = B106), 1, 10000000),IFERROR(FILTER(Algoexpert.io!B:D,Algoexpert.io!A:A = B106),FILTER('Leetcode List'!B:J,'Leetcode List'!A:A = B106))))"),"")</f>
        <v/>
      </c>
      <c r="D106" s="20"/>
      <c r="E106" s="20"/>
      <c r="F106" s="20"/>
      <c r="G106" s="20"/>
      <c r="H106" s="20"/>
      <c r="I106" s="20"/>
      <c r="J106" s="20"/>
      <c r="K106" s="20"/>
      <c r="L106" s="20" t="str">
        <f t="shared" si="1"/>
        <v/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>
      <c r="A107" s="22"/>
      <c r="B107" s="20"/>
      <c r="C107" s="20" t="str">
        <f>IFERROR(__xludf.DUMMYFUNCTION("IF(ISBLANK(B107),,IFERROR(array_constrain(FILTER('Leetcode分类顺序表'!B:J,'Leetcode分类顺序表'!A:A = B107), 1, 10000000),IFERROR(FILTER(Algoexpert.io!B:D,Algoexpert.io!A:A = B107),FILTER('Leetcode List'!B:J,'Leetcode List'!A:A = B107))))"),"")</f>
        <v/>
      </c>
      <c r="D107" s="20"/>
      <c r="E107" s="20"/>
      <c r="F107" s="20"/>
      <c r="G107" s="20"/>
      <c r="H107" s="20"/>
      <c r="I107" s="20"/>
      <c r="J107" s="20"/>
      <c r="K107" s="20"/>
      <c r="L107" s="20" t="str">
        <f t="shared" si="1"/>
        <v/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>
      <c r="A108" s="22"/>
      <c r="B108" s="20"/>
      <c r="C108" s="20" t="str">
        <f>IFERROR(__xludf.DUMMYFUNCTION("IF(ISBLANK(B108),,IFERROR(array_constrain(FILTER('Leetcode分类顺序表'!B:J,'Leetcode分类顺序表'!A:A = B108), 1, 10000000),IFERROR(FILTER(Algoexpert.io!B:D,Algoexpert.io!A:A = B108),FILTER('Leetcode List'!B:J,'Leetcode List'!A:A = B108))))"),"")</f>
        <v/>
      </c>
      <c r="D108" s="20"/>
      <c r="E108" s="20"/>
      <c r="F108" s="20"/>
      <c r="G108" s="20"/>
      <c r="H108" s="20"/>
      <c r="I108" s="20"/>
      <c r="J108" s="20"/>
      <c r="K108" s="20"/>
      <c r="L108" s="20" t="str">
        <f t="shared" si="1"/>
        <v/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>
      <c r="A109" s="22"/>
      <c r="B109" s="20"/>
      <c r="C109" s="20" t="str">
        <f>IFERROR(__xludf.DUMMYFUNCTION("IF(ISBLANK(B109),,IFERROR(array_constrain(FILTER('Leetcode分类顺序表'!B:J,'Leetcode分类顺序表'!A:A = B109), 1, 10000000),IFERROR(FILTER(Algoexpert.io!B:D,Algoexpert.io!A:A = B109),FILTER('Leetcode List'!B:J,'Leetcode List'!A:A = B109))))"),"")</f>
        <v/>
      </c>
      <c r="D109" s="20"/>
      <c r="E109" s="20"/>
      <c r="F109" s="20"/>
      <c r="G109" s="20"/>
      <c r="H109" s="20"/>
      <c r="I109" s="20"/>
      <c r="J109" s="20"/>
      <c r="K109" s="20"/>
      <c r="L109" s="20" t="str">
        <f t="shared" si="1"/>
        <v/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>
      <c r="A110" s="22"/>
      <c r="B110" s="20"/>
      <c r="C110" s="20" t="str">
        <f>IFERROR(__xludf.DUMMYFUNCTION("IF(ISBLANK(B110),,IFERROR(array_constrain(FILTER('Leetcode分类顺序表'!B:J,'Leetcode分类顺序表'!A:A = B110), 1, 10000000),IFERROR(FILTER(Algoexpert.io!B:D,Algoexpert.io!A:A = B110),FILTER('Leetcode List'!B:J,'Leetcode List'!A:A = B110))))"),"")</f>
        <v/>
      </c>
      <c r="D110" s="20"/>
      <c r="E110" s="20"/>
      <c r="F110" s="20"/>
      <c r="G110" s="20"/>
      <c r="H110" s="20"/>
      <c r="I110" s="20"/>
      <c r="J110" s="20"/>
      <c r="K110" s="20"/>
      <c r="L110" s="20" t="str">
        <f t="shared" si="1"/>
        <v/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>
      <c r="A111" s="22"/>
      <c r="B111" s="20"/>
      <c r="C111" s="20" t="str">
        <f>IFERROR(__xludf.DUMMYFUNCTION("IF(ISBLANK(B111),,IFERROR(array_constrain(FILTER('Leetcode分类顺序表'!B:J,'Leetcode分类顺序表'!A:A = B111), 1, 10000000),IFERROR(FILTER(Algoexpert.io!B:D,Algoexpert.io!A:A = B111),FILTER('Leetcode List'!B:J,'Leetcode List'!A:A = B111))))"),"")</f>
        <v/>
      </c>
      <c r="D111" s="20"/>
      <c r="E111" s="20"/>
      <c r="F111" s="20"/>
      <c r="G111" s="20"/>
      <c r="H111" s="20"/>
      <c r="I111" s="20"/>
      <c r="J111" s="20"/>
      <c r="K111" s="20"/>
      <c r="L111" s="20" t="str">
        <f t="shared" si="1"/>
        <v/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>
      <c r="A112" s="22"/>
      <c r="B112" s="20"/>
      <c r="C112" s="20" t="str">
        <f>IFERROR(__xludf.DUMMYFUNCTION("IF(ISBLANK(B112),,IFERROR(array_constrain(FILTER('Leetcode分类顺序表'!B:J,'Leetcode分类顺序表'!A:A = B112), 1, 10000000),IFERROR(FILTER(Algoexpert.io!B:D,Algoexpert.io!A:A = B112),FILTER('Leetcode List'!B:J,'Leetcode List'!A:A = B112))))"),"")</f>
        <v/>
      </c>
      <c r="D112" s="20"/>
      <c r="E112" s="20"/>
      <c r="F112" s="20"/>
      <c r="G112" s="20"/>
      <c r="H112" s="20"/>
      <c r="I112" s="20"/>
      <c r="J112" s="20"/>
      <c r="K112" s="20"/>
      <c r="L112" s="20" t="str">
        <f t="shared" si="1"/>
        <v/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>
      <c r="A113" s="22"/>
      <c r="B113" s="20"/>
      <c r="C113" s="20" t="str">
        <f>IFERROR(__xludf.DUMMYFUNCTION("IF(ISBLANK(B113),,IFERROR(array_constrain(FILTER('Leetcode分类顺序表'!B:J,'Leetcode分类顺序表'!A:A = B113), 1, 10000000),IFERROR(FILTER(Algoexpert.io!B:D,Algoexpert.io!A:A = B113),FILTER('Leetcode List'!B:J,'Leetcode List'!A:A = B113))))"),"")</f>
        <v/>
      </c>
      <c r="D113" s="20"/>
      <c r="E113" s="20"/>
      <c r="F113" s="20"/>
      <c r="G113" s="20"/>
      <c r="H113" s="20"/>
      <c r="I113" s="20"/>
      <c r="J113" s="20"/>
      <c r="K113" s="20"/>
      <c r="L113" s="20" t="str">
        <f t="shared" si="1"/>
        <v/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>
      <c r="A114" s="22"/>
      <c r="B114" s="20"/>
      <c r="C114" s="20" t="str">
        <f>IFERROR(__xludf.DUMMYFUNCTION("IF(ISBLANK(B114),,IFERROR(array_constrain(FILTER('Leetcode分类顺序表'!B:J,'Leetcode分类顺序表'!A:A = B114), 1, 10000000),IFERROR(FILTER(Algoexpert.io!B:D,Algoexpert.io!A:A = B114),FILTER('Leetcode List'!B:J,'Leetcode List'!A:A = B114))))"),"")</f>
        <v/>
      </c>
      <c r="D114" s="20"/>
      <c r="E114" s="20"/>
      <c r="F114" s="20"/>
      <c r="G114" s="20"/>
      <c r="H114" s="20"/>
      <c r="I114" s="20"/>
      <c r="J114" s="20"/>
      <c r="K114" s="20"/>
      <c r="L114" s="20" t="str">
        <f t="shared" si="1"/>
        <v/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>
      <c r="A115" s="22"/>
      <c r="B115" s="20"/>
      <c r="C115" s="20" t="str">
        <f>IFERROR(__xludf.DUMMYFUNCTION("IF(ISBLANK(B115),,IFERROR(array_constrain(FILTER('Leetcode分类顺序表'!B:J,'Leetcode分类顺序表'!A:A = B115), 1, 10000000),IFERROR(FILTER(Algoexpert.io!B:D,Algoexpert.io!A:A = B115),FILTER('Leetcode List'!B:J,'Leetcode List'!A:A = B115))))"),"")</f>
        <v/>
      </c>
      <c r="D115" s="20"/>
      <c r="E115" s="20"/>
      <c r="F115" s="20"/>
      <c r="G115" s="20"/>
      <c r="H115" s="20"/>
      <c r="I115" s="20"/>
      <c r="J115" s="20"/>
      <c r="K115" s="20"/>
      <c r="L115" s="20" t="str">
        <f t="shared" si="1"/>
        <v/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>
      <c r="A116" s="22"/>
      <c r="B116" s="20"/>
      <c r="C116" s="20" t="str">
        <f>IFERROR(__xludf.DUMMYFUNCTION("IF(ISBLANK(B116),,IFERROR(array_constrain(FILTER('Leetcode分类顺序表'!B:J,'Leetcode分类顺序表'!A:A = B116), 1, 10000000),IFERROR(FILTER(Algoexpert.io!B:D,Algoexpert.io!A:A = B116),FILTER('Leetcode List'!B:J,'Leetcode List'!A:A = B116))))"),"")</f>
        <v/>
      </c>
      <c r="D116" s="20"/>
      <c r="E116" s="20"/>
      <c r="F116" s="20"/>
      <c r="G116" s="20"/>
      <c r="H116" s="20"/>
      <c r="I116" s="20"/>
      <c r="J116" s="20"/>
      <c r="K116" s="20"/>
      <c r="L116" s="20" t="str">
        <f t="shared" si="1"/>
        <v/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>
      <c r="A117" s="22"/>
      <c r="B117" s="20"/>
      <c r="C117" s="20" t="str">
        <f>IFERROR(__xludf.DUMMYFUNCTION("IF(ISBLANK(B117),,IFERROR(array_constrain(FILTER('Leetcode分类顺序表'!B:J,'Leetcode分类顺序表'!A:A = B117), 1, 10000000),IFERROR(FILTER(Algoexpert.io!B:D,Algoexpert.io!A:A = B117),FILTER('Leetcode List'!B:J,'Leetcode List'!A:A = B117))))"),"")</f>
        <v/>
      </c>
      <c r="D117" s="20"/>
      <c r="E117" s="20"/>
      <c r="F117" s="20"/>
      <c r="G117" s="20"/>
      <c r="H117" s="20"/>
      <c r="I117" s="20"/>
      <c r="J117" s="20"/>
      <c r="K117" s="20"/>
      <c r="L117" s="20" t="str">
        <f t="shared" si="1"/>
        <v/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>
      <c r="A118" s="22"/>
      <c r="B118" s="20"/>
      <c r="C118" s="20" t="str">
        <f>IFERROR(__xludf.DUMMYFUNCTION("IF(ISBLANK(B118),,IFERROR(array_constrain(FILTER('Leetcode分类顺序表'!B:J,'Leetcode分类顺序表'!A:A = B118), 1, 10000000),IFERROR(FILTER(Algoexpert.io!B:D,Algoexpert.io!A:A = B118),FILTER('Leetcode List'!B:J,'Leetcode List'!A:A = B118))))"),"")</f>
        <v/>
      </c>
      <c r="D118" s="20"/>
      <c r="E118" s="20"/>
      <c r="F118" s="20"/>
      <c r="G118" s="20"/>
      <c r="H118" s="20"/>
      <c r="I118" s="20"/>
      <c r="J118" s="20"/>
      <c r="K118" s="20"/>
      <c r="L118" s="20" t="str">
        <f t="shared" si="1"/>
        <v/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>
      <c r="A119" s="22"/>
      <c r="B119" s="20"/>
      <c r="C119" s="20" t="str">
        <f>IFERROR(__xludf.DUMMYFUNCTION("IF(ISBLANK(B119),,IFERROR(array_constrain(FILTER('Leetcode分类顺序表'!B:J,'Leetcode分类顺序表'!A:A = B119), 1, 10000000),IFERROR(FILTER(Algoexpert.io!B:D,Algoexpert.io!A:A = B119),FILTER('Leetcode List'!B:J,'Leetcode List'!A:A = B119))))"),"")</f>
        <v/>
      </c>
      <c r="D119" s="20"/>
      <c r="E119" s="20"/>
      <c r="F119" s="20"/>
      <c r="G119" s="20"/>
      <c r="H119" s="20"/>
      <c r="I119" s="20"/>
      <c r="J119" s="20"/>
      <c r="K119" s="20"/>
      <c r="L119" s="20" t="str">
        <f t="shared" si="1"/>
        <v/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>
      <c r="A120" s="22"/>
      <c r="B120" s="20"/>
      <c r="C120" s="20" t="str">
        <f>IFERROR(__xludf.DUMMYFUNCTION("IF(ISBLANK(B120),,IFERROR(array_constrain(FILTER('Leetcode分类顺序表'!B:J,'Leetcode分类顺序表'!A:A = B120), 1, 10000000),IFERROR(FILTER(Algoexpert.io!B:D,Algoexpert.io!A:A = B120),FILTER('Leetcode List'!B:J,'Leetcode List'!A:A = B120))))"),"")</f>
        <v/>
      </c>
      <c r="D120" s="20"/>
      <c r="E120" s="20"/>
      <c r="F120" s="20"/>
      <c r="G120" s="20"/>
      <c r="H120" s="20"/>
      <c r="I120" s="20"/>
      <c r="J120" s="20"/>
      <c r="K120" s="20"/>
      <c r="L120" s="20" t="str">
        <f t="shared" si="1"/>
        <v/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>
      <c r="A121" s="22"/>
      <c r="B121" s="20"/>
      <c r="C121" s="20" t="str">
        <f>IFERROR(__xludf.DUMMYFUNCTION("IF(ISBLANK(B121),,IFERROR(array_constrain(FILTER('Leetcode分类顺序表'!B:J,'Leetcode分类顺序表'!A:A = B121), 1, 10000000),IFERROR(FILTER(Algoexpert.io!B:D,Algoexpert.io!A:A = B121),FILTER('Leetcode List'!B:J,'Leetcode List'!A:A = B121))))"),"")</f>
        <v/>
      </c>
      <c r="D121" s="20"/>
      <c r="E121" s="20"/>
      <c r="F121" s="20"/>
      <c r="G121" s="20"/>
      <c r="H121" s="20"/>
      <c r="I121" s="20"/>
      <c r="J121" s="20"/>
      <c r="K121" s="20"/>
      <c r="L121" s="20" t="str">
        <f t="shared" si="1"/>
        <v/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>
      <c r="A122" s="22"/>
      <c r="B122" s="20"/>
      <c r="C122" s="20" t="str">
        <f>IFERROR(__xludf.DUMMYFUNCTION("IF(ISBLANK(B122),,IFERROR(array_constrain(FILTER('Leetcode分类顺序表'!B:J,'Leetcode分类顺序表'!A:A = B122), 1, 10000000),IFERROR(FILTER(Algoexpert.io!B:D,Algoexpert.io!A:A = B122),FILTER('Leetcode List'!B:J,'Leetcode List'!A:A = B122))))"),"")</f>
        <v/>
      </c>
      <c r="D122" s="20"/>
      <c r="E122" s="20"/>
      <c r="F122" s="20"/>
      <c r="G122" s="20"/>
      <c r="H122" s="20"/>
      <c r="I122" s="20"/>
      <c r="J122" s="20"/>
      <c r="K122" s="20"/>
      <c r="L122" s="20" t="str">
        <f t="shared" si="1"/>
        <v/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>
      <c r="A123" s="22"/>
      <c r="B123" s="20"/>
      <c r="C123" s="20" t="str">
        <f>IFERROR(__xludf.DUMMYFUNCTION("IF(ISBLANK(B123),,IFERROR(array_constrain(FILTER('Leetcode分类顺序表'!B:J,'Leetcode分类顺序表'!A:A = B123), 1, 10000000),IFERROR(FILTER(Algoexpert.io!B:D,Algoexpert.io!A:A = B123),FILTER('Leetcode List'!B:J,'Leetcode List'!A:A = B123))))"),"")</f>
        <v/>
      </c>
      <c r="D123" s="20"/>
      <c r="E123" s="20"/>
      <c r="F123" s="20"/>
      <c r="G123" s="20"/>
      <c r="H123" s="20"/>
      <c r="I123" s="20"/>
      <c r="J123" s="20"/>
      <c r="K123" s="20"/>
      <c r="L123" s="20" t="str">
        <f t="shared" si="1"/>
        <v/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>
      <c r="A124" s="22"/>
      <c r="B124" s="20"/>
      <c r="C124" s="20" t="str">
        <f>IFERROR(__xludf.DUMMYFUNCTION("IF(ISBLANK(B124),,IFERROR(array_constrain(FILTER('Leetcode分类顺序表'!B:J,'Leetcode分类顺序表'!A:A = B124), 1, 10000000),IFERROR(FILTER(Algoexpert.io!B:D,Algoexpert.io!A:A = B124),FILTER('Leetcode List'!B:J,'Leetcode List'!A:A = B124))))"),"")</f>
        <v/>
      </c>
      <c r="D124" s="20"/>
      <c r="E124" s="20"/>
      <c r="F124" s="20"/>
      <c r="G124" s="20"/>
      <c r="H124" s="20"/>
      <c r="I124" s="20"/>
      <c r="J124" s="20"/>
      <c r="K124" s="20"/>
      <c r="L124" s="20" t="str">
        <f t="shared" si="1"/>
        <v/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>
      <c r="A125" s="22"/>
      <c r="B125" s="20"/>
      <c r="C125" s="20" t="str">
        <f>IFERROR(__xludf.DUMMYFUNCTION("IF(ISBLANK(B125),,IFERROR(array_constrain(FILTER('Leetcode分类顺序表'!B:J,'Leetcode分类顺序表'!A:A = B125), 1, 10000000),IFERROR(FILTER(Algoexpert.io!B:D,Algoexpert.io!A:A = B125),FILTER('Leetcode List'!B:J,'Leetcode List'!A:A = B125))))"),"")</f>
        <v/>
      </c>
      <c r="D125" s="20"/>
      <c r="E125" s="20"/>
      <c r="F125" s="20"/>
      <c r="G125" s="20"/>
      <c r="H125" s="20"/>
      <c r="I125" s="20"/>
      <c r="J125" s="20"/>
      <c r="K125" s="20"/>
      <c r="L125" s="20" t="str">
        <f t="shared" si="1"/>
        <v/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>
      <c r="A126" s="22"/>
      <c r="B126" s="20"/>
      <c r="C126" s="20" t="str">
        <f>IFERROR(__xludf.DUMMYFUNCTION("IF(ISBLANK(B126),,IFERROR(array_constrain(FILTER('Leetcode分类顺序表'!B:J,'Leetcode分类顺序表'!A:A = B126), 1, 10000000),IFERROR(FILTER(Algoexpert.io!B:D,Algoexpert.io!A:A = B126),FILTER('Leetcode List'!B:J,'Leetcode List'!A:A = B126))))"),"")</f>
        <v/>
      </c>
      <c r="D126" s="20"/>
      <c r="E126" s="20"/>
      <c r="F126" s="20"/>
      <c r="G126" s="20"/>
      <c r="H126" s="20"/>
      <c r="I126" s="20"/>
      <c r="J126" s="20"/>
      <c r="K126" s="20"/>
      <c r="L126" s="20" t="str">
        <f t="shared" si="1"/>
        <v/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>
      <c r="A127" s="22"/>
      <c r="B127" s="20"/>
      <c r="C127" s="20" t="str">
        <f>IFERROR(__xludf.DUMMYFUNCTION("IF(ISBLANK(B127),,IFERROR(array_constrain(FILTER('Leetcode分类顺序表'!B:J,'Leetcode分类顺序表'!A:A = B127), 1, 10000000),IFERROR(FILTER(Algoexpert.io!B:D,Algoexpert.io!A:A = B127),FILTER('Leetcode List'!B:J,'Leetcode List'!A:A = B127))))"),"")</f>
        <v/>
      </c>
      <c r="D127" s="20"/>
      <c r="E127" s="20"/>
      <c r="F127" s="20"/>
      <c r="G127" s="20"/>
      <c r="H127" s="20"/>
      <c r="I127" s="20"/>
      <c r="J127" s="20"/>
      <c r="K127" s="20"/>
      <c r="L127" s="20" t="str">
        <f t="shared" si="1"/>
        <v/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>
      <c r="A128" s="22"/>
      <c r="B128" s="20"/>
      <c r="C128" s="20" t="str">
        <f>IFERROR(__xludf.DUMMYFUNCTION("IF(ISBLANK(B128),,IFERROR(array_constrain(FILTER('Leetcode分类顺序表'!B:J,'Leetcode分类顺序表'!A:A = B128), 1, 10000000),IFERROR(FILTER(Algoexpert.io!B:D,Algoexpert.io!A:A = B128),FILTER('Leetcode List'!B:J,'Leetcode List'!A:A = B128))))"),"")</f>
        <v/>
      </c>
      <c r="D128" s="20"/>
      <c r="E128" s="20"/>
      <c r="F128" s="20"/>
      <c r="G128" s="20"/>
      <c r="H128" s="20"/>
      <c r="I128" s="20"/>
      <c r="J128" s="20"/>
      <c r="K128" s="20"/>
      <c r="L128" s="20" t="str">
        <f t="shared" si="1"/>
        <v/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>
      <c r="A129" s="22"/>
      <c r="B129" s="20"/>
      <c r="C129" s="20" t="str">
        <f>IFERROR(__xludf.DUMMYFUNCTION("IF(ISBLANK(B129),,IFERROR(array_constrain(FILTER('Leetcode分类顺序表'!B:J,'Leetcode分类顺序表'!A:A = B129), 1, 10000000),IFERROR(FILTER(Algoexpert.io!B:D,Algoexpert.io!A:A = B129),FILTER('Leetcode List'!B:J,'Leetcode List'!A:A = B129))))"),"")</f>
        <v/>
      </c>
      <c r="D129" s="20"/>
      <c r="E129" s="20"/>
      <c r="F129" s="20"/>
      <c r="G129" s="20"/>
      <c r="H129" s="20"/>
      <c r="I129" s="20"/>
      <c r="J129" s="20"/>
      <c r="K129" s="20"/>
      <c r="L129" s="20" t="str">
        <f t="shared" si="1"/>
        <v/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>
      <c r="A130" s="22"/>
      <c r="B130" s="20"/>
      <c r="C130" s="20" t="str">
        <f>IFERROR(__xludf.DUMMYFUNCTION("IF(ISBLANK(B130),,IFERROR(array_constrain(FILTER('Leetcode分类顺序表'!B:J,'Leetcode分类顺序表'!A:A = B130), 1, 10000000),IFERROR(FILTER(Algoexpert.io!B:D,Algoexpert.io!A:A = B130),FILTER('Leetcode List'!B:J,'Leetcode List'!A:A = B130))))"),"")</f>
        <v/>
      </c>
      <c r="D130" s="20"/>
      <c r="E130" s="20"/>
      <c r="F130" s="20"/>
      <c r="G130" s="20"/>
      <c r="H130" s="20"/>
      <c r="I130" s="20"/>
      <c r="J130" s="20"/>
      <c r="K130" s="20"/>
      <c r="L130" s="20" t="str">
        <f t="shared" si="1"/>
        <v/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>
      <c r="A131" s="22"/>
      <c r="B131" s="20"/>
      <c r="C131" s="20" t="str">
        <f>IFERROR(__xludf.DUMMYFUNCTION("IF(ISBLANK(B131),,IFERROR(array_constrain(FILTER('Leetcode分类顺序表'!B:J,'Leetcode分类顺序表'!A:A = B131), 1, 10000000),IFERROR(FILTER(Algoexpert.io!B:D,Algoexpert.io!A:A = B131),FILTER('Leetcode List'!B:J,'Leetcode List'!A:A = B131))))"),"")</f>
        <v/>
      </c>
      <c r="D131" s="20"/>
      <c r="E131" s="20"/>
      <c r="F131" s="20"/>
      <c r="G131" s="20"/>
      <c r="H131" s="20"/>
      <c r="I131" s="20"/>
      <c r="J131" s="20"/>
      <c r="K131" s="20"/>
      <c r="L131" s="20" t="str">
        <f t="shared" si="1"/>
        <v/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>
      <c r="A132" s="22"/>
      <c r="B132" s="20"/>
      <c r="C132" s="20" t="str">
        <f>IFERROR(__xludf.DUMMYFUNCTION("IF(ISBLANK(B132),,IFERROR(array_constrain(FILTER('Leetcode分类顺序表'!B:J,'Leetcode分类顺序表'!A:A = B132), 1, 10000000),IFERROR(FILTER(Algoexpert.io!B:D,Algoexpert.io!A:A = B132),FILTER('Leetcode List'!B:J,'Leetcode List'!A:A = B132))))"),"")</f>
        <v/>
      </c>
      <c r="D132" s="20"/>
      <c r="E132" s="20"/>
      <c r="F132" s="20"/>
      <c r="G132" s="20"/>
      <c r="H132" s="20"/>
      <c r="I132" s="20"/>
      <c r="J132" s="20"/>
      <c r="K132" s="20"/>
      <c r="L132" s="20" t="str">
        <f t="shared" si="1"/>
        <v/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>
      <c r="A133" s="22"/>
      <c r="B133" s="20"/>
      <c r="C133" s="20" t="str">
        <f>IFERROR(__xludf.DUMMYFUNCTION("IF(ISBLANK(B133),,IFERROR(array_constrain(FILTER('Leetcode分类顺序表'!B:J,'Leetcode分类顺序表'!A:A = B133), 1, 10000000),IFERROR(FILTER(Algoexpert.io!B:D,Algoexpert.io!A:A = B133),FILTER('Leetcode List'!B:J,'Leetcode List'!A:A = B133))))"),"")</f>
        <v/>
      </c>
      <c r="D133" s="20"/>
      <c r="E133" s="20"/>
      <c r="F133" s="20"/>
      <c r="G133" s="20"/>
      <c r="H133" s="20"/>
      <c r="I133" s="20"/>
      <c r="J133" s="20"/>
      <c r="K133" s="20"/>
      <c r="L133" s="20" t="str">
        <f t="shared" si="1"/>
        <v/>
      </c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>
      <c r="A134" s="22"/>
      <c r="B134" s="20"/>
      <c r="C134" s="20" t="str">
        <f>IFERROR(__xludf.DUMMYFUNCTION("IF(ISBLANK(B134),,IFERROR(array_constrain(FILTER('Leetcode分类顺序表'!B:J,'Leetcode分类顺序表'!A:A = B134), 1, 10000000),IFERROR(FILTER(Algoexpert.io!B:D,Algoexpert.io!A:A = B134),FILTER('Leetcode List'!B:J,'Leetcode List'!A:A = B134))))"),"")</f>
        <v/>
      </c>
      <c r="D134" s="20"/>
      <c r="E134" s="20"/>
      <c r="F134" s="20"/>
      <c r="G134" s="20"/>
      <c r="H134" s="20"/>
      <c r="I134" s="20"/>
      <c r="J134" s="20"/>
      <c r="K134" s="20"/>
      <c r="L134" s="20" t="str">
        <f t="shared" si="1"/>
        <v/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>
      <c r="A135" s="22"/>
      <c r="B135" s="20"/>
      <c r="C135" s="20" t="str">
        <f>IFERROR(__xludf.DUMMYFUNCTION("IF(ISBLANK(B135),,IFERROR(array_constrain(FILTER('Leetcode分类顺序表'!B:J,'Leetcode分类顺序表'!A:A = B135), 1, 10000000),IFERROR(FILTER(Algoexpert.io!B:D,Algoexpert.io!A:A = B135),FILTER('Leetcode List'!B:J,'Leetcode List'!A:A = B135))))"),"")</f>
        <v/>
      </c>
      <c r="D135" s="20"/>
      <c r="E135" s="20"/>
      <c r="F135" s="20"/>
      <c r="G135" s="20"/>
      <c r="H135" s="20"/>
      <c r="I135" s="20"/>
      <c r="J135" s="20"/>
      <c r="K135" s="20"/>
      <c r="L135" s="20" t="str">
        <f t="shared" si="1"/>
        <v/>
      </c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>
      <c r="A136" s="22"/>
      <c r="B136" s="20"/>
      <c r="C136" s="20" t="str">
        <f>IFERROR(__xludf.DUMMYFUNCTION("IF(ISBLANK(B136),,IFERROR(array_constrain(FILTER('Leetcode分类顺序表'!B:J,'Leetcode分类顺序表'!A:A = B136), 1, 10000000),IFERROR(FILTER(Algoexpert.io!B:D,Algoexpert.io!A:A = B136),FILTER('Leetcode List'!B:J,'Leetcode List'!A:A = B136))))"),"")</f>
        <v/>
      </c>
      <c r="D136" s="20"/>
      <c r="E136" s="20"/>
      <c r="F136" s="20"/>
      <c r="G136" s="20"/>
      <c r="H136" s="20"/>
      <c r="I136" s="20"/>
      <c r="J136" s="20"/>
      <c r="K136" s="20"/>
      <c r="L136" s="20" t="str">
        <f t="shared" si="1"/>
        <v/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>
      <c r="A137" s="22"/>
      <c r="B137" s="20"/>
      <c r="C137" s="20" t="str">
        <f>IFERROR(__xludf.DUMMYFUNCTION("IF(ISBLANK(B137),,IFERROR(array_constrain(FILTER('Leetcode分类顺序表'!B:J,'Leetcode分类顺序表'!A:A = B137), 1, 10000000),IFERROR(FILTER(Algoexpert.io!B:D,Algoexpert.io!A:A = B137),FILTER('Leetcode List'!B:J,'Leetcode List'!A:A = B137))))"),"")</f>
        <v/>
      </c>
      <c r="D137" s="20"/>
      <c r="E137" s="20"/>
      <c r="F137" s="20"/>
      <c r="G137" s="20"/>
      <c r="H137" s="20"/>
      <c r="I137" s="20"/>
      <c r="J137" s="20"/>
      <c r="K137" s="20"/>
      <c r="L137" s="20" t="str">
        <f t="shared" si="1"/>
        <v/>
      </c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>
      <c r="A138" s="22"/>
      <c r="B138" s="20"/>
      <c r="C138" s="20" t="str">
        <f>IFERROR(__xludf.DUMMYFUNCTION("IF(ISBLANK(B138),,IFERROR(array_constrain(FILTER('Leetcode分类顺序表'!B:J,'Leetcode分类顺序表'!A:A = B138), 1, 10000000),IFERROR(FILTER(Algoexpert.io!B:D,Algoexpert.io!A:A = B138),FILTER('Leetcode List'!B:J,'Leetcode List'!A:A = B138))))"),"")</f>
        <v/>
      </c>
      <c r="D138" s="20"/>
      <c r="E138" s="20"/>
      <c r="F138" s="20"/>
      <c r="G138" s="20"/>
      <c r="H138" s="20"/>
      <c r="I138" s="20"/>
      <c r="J138" s="20"/>
      <c r="K138" s="20"/>
      <c r="L138" s="20" t="str">
        <f t="shared" si="1"/>
        <v/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>
      <c r="A139" s="22"/>
      <c r="B139" s="20"/>
      <c r="C139" s="20" t="str">
        <f>IFERROR(__xludf.DUMMYFUNCTION("IF(ISBLANK(B139),,IFERROR(array_constrain(FILTER('Leetcode分类顺序表'!B:J,'Leetcode分类顺序表'!A:A = B139), 1, 10000000),IFERROR(FILTER(Algoexpert.io!B:D,Algoexpert.io!A:A = B139),FILTER('Leetcode List'!B:J,'Leetcode List'!A:A = B139))))"),"")</f>
        <v/>
      </c>
      <c r="D139" s="20"/>
      <c r="E139" s="20"/>
      <c r="F139" s="20"/>
      <c r="G139" s="20"/>
      <c r="H139" s="20"/>
      <c r="I139" s="20"/>
      <c r="J139" s="20"/>
      <c r="K139" s="20"/>
      <c r="L139" s="20" t="str">
        <f t="shared" si="1"/>
        <v/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>
      <c r="A140" s="22"/>
      <c r="B140" s="20"/>
      <c r="C140" s="20" t="str">
        <f>IFERROR(__xludf.DUMMYFUNCTION("IF(ISBLANK(B140),,IFERROR(array_constrain(FILTER('Leetcode分类顺序表'!B:J,'Leetcode分类顺序表'!A:A = B140), 1, 10000000),IFERROR(FILTER(Algoexpert.io!B:D,Algoexpert.io!A:A = B140),FILTER('Leetcode List'!B:J,'Leetcode List'!A:A = B140))))"),"")</f>
        <v/>
      </c>
      <c r="D140" s="20"/>
      <c r="E140" s="20"/>
      <c r="F140" s="20"/>
      <c r="G140" s="20"/>
      <c r="H140" s="20"/>
      <c r="I140" s="20"/>
      <c r="J140" s="20"/>
      <c r="K140" s="20"/>
      <c r="L140" s="20" t="str">
        <f t="shared" si="1"/>
        <v/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>
      <c r="A141" s="22"/>
      <c r="B141" s="20"/>
      <c r="C141" s="20" t="str">
        <f>IFERROR(__xludf.DUMMYFUNCTION("IF(ISBLANK(B141),,IFERROR(array_constrain(FILTER('Leetcode分类顺序表'!B:J,'Leetcode分类顺序表'!A:A = B141), 1, 10000000),IFERROR(FILTER(Algoexpert.io!B:D,Algoexpert.io!A:A = B141),FILTER('Leetcode List'!B:J,'Leetcode List'!A:A = B141))))"),"")</f>
        <v/>
      </c>
      <c r="D141" s="20"/>
      <c r="E141" s="20"/>
      <c r="F141" s="20"/>
      <c r="G141" s="20"/>
      <c r="H141" s="20"/>
      <c r="I141" s="20"/>
      <c r="J141" s="20"/>
      <c r="K141" s="20"/>
      <c r="L141" s="20" t="str">
        <f t="shared" si="1"/>
        <v/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>
      <c r="A142" s="22"/>
      <c r="B142" s="20"/>
      <c r="C142" s="20" t="str">
        <f>IFERROR(__xludf.DUMMYFUNCTION("IF(ISBLANK(B142),,IFERROR(array_constrain(FILTER('Leetcode分类顺序表'!B:J,'Leetcode分类顺序表'!A:A = B142), 1, 10000000),IFERROR(FILTER(Algoexpert.io!B:D,Algoexpert.io!A:A = B142),FILTER('Leetcode List'!B:J,'Leetcode List'!A:A = B142))))"),"")</f>
        <v/>
      </c>
      <c r="D142" s="20"/>
      <c r="E142" s="20"/>
      <c r="F142" s="20"/>
      <c r="G142" s="20"/>
      <c r="H142" s="20"/>
      <c r="I142" s="20"/>
      <c r="J142" s="20"/>
      <c r="K142" s="20"/>
      <c r="L142" s="20" t="str">
        <f t="shared" si="1"/>
        <v/>
      </c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>
      <c r="A143" s="22"/>
      <c r="B143" s="20"/>
      <c r="C143" s="20" t="str">
        <f>IFERROR(__xludf.DUMMYFUNCTION("IF(ISBLANK(B143),,IFERROR(array_constrain(FILTER('Leetcode分类顺序表'!B:J,'Leetcode分类顺序表'!A:A = B143), 1, 10000000),IFERROR(FILTER(Algoexpert.io!B:D,Algoexpert.io!A:A = B143),FILTER('Leetcode List'!B:J,'Leetcode List'!A:A = B143))))"),"")</f>
        <v/>
      </c>
      <c r="D143" s="20"/>
      <c r="E143" s="20"/>
      <c r="F143" s="20"/>
      <c r="G143" s="20"/>
      <c r="H143" s="20"/>
      <c r="I143" s="20"/>
      <c r="J143" s="20"/>
      <c r="K143" s="20"/>
      <c r="L143" s="20" t="str">
        <f t="shared" si="1"/>
        <v/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>
      <c r="A144" s="22"/>
      <c r="B144" s="20"/>
      <c r="C144" s="20" t="str">
        <f>IFERROR(__xludf.DUMMYFUNCTION("IF(ISBLANK(B144),,IFERROR(array_constrain(FILTER('Leetcode分类顺序表'!B:J,'Leetcode分类顺序表'!A:A = B144), 1, 10000000),IFERROR(FILTER(Algoexpert.io!B:D,Algoexpert.io!A:A = B144),FILTER('Leetcode List'!B:J,'Leetcode List'!A:A = B144))))"),"")</f>
        <v/>
      </c>
      <c r="D144" s="20"/>
      <c r="E144" s="20"/>
      <c r="F144" s="20"/>
      <c r="G144" s="20"/>
      <c r="H144" s="20"/>
      <c r="I144" s="20"/>
      <c r="J144" s="20"/>
      <c r="K144" s="20"/>
      <c r="L144" s="20" t="str">
        <f t="shared" si="1"/>
        <v/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>
      <c r="A145" s="22"/>
      <c r="B145" s="20"/>
      <c r="C145" s="20" t="str">
        <f>IFERROR(__xludf.DUMMYFUNCTION("IF(ISBLANK(B145),,IFERROR(array_constrain(FILTER('Leetcode分类顺序表'!B:J,'Leetcode分类顺序表'!A:A = B145), 1, 10000000),IFERROR(FILTER(Algoexpert.io!B:D,Algoexpert.io!A:A = B145),FILTER('Leetcode List'!B:J,'Leetcode List'!A:A = B145))))"),"")</f>
        <v/>
      </c>
      <c r="D145" s="20"/>
      <c r="E145" s="20"/>
      <c r="F145" s="20"/>
      <c r="G145" s="20"/>
      <c r="H145" s="20"/>
      <c r="I145" s="20"/>
      <c r="J145" s="20"/>
      <c r="K145" s="20"/>
      <c r="L145" s="20" t="str">
        <f t="shared" si="1"/>
        <v/>
      </c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>
      <c r="A146" s="22"/>
      <c r="B146" s="20"/>
      <c r="C146" s="20" t="str">
        <f>IFERROR(__xludf.DUMMYFUNCTION("IF(ISBLANK(B146),,IFERROR(array_constrain(FILTER('Leetcode分类顺序表'!B:J,'Leetcode分类顺序表'!A:A = B146), 1, 10000000),IFERROR(FILTER(Algoexpert.io!B:D,Algoexpert.io!A:A = B146),FILTER('Leetcode List'!B:J,'Leetcode List'!A:A = B146))))"),"")</f>
        <v/>
      </c>
      <c r="D146" s="20"/>
      <c r="E146" s="20"/>
      <c r="F146" s="20"/>
      <c r="G146" s="20"/>
      <c r="H146" s="20"/>
      <c r="I146" s="20"/>
      <c r="J146" s="20"/>
      <c r="K146" s="20"/>
      <c r="L146" s="20" t="str">
        <f t="shared" si="1"/>
        <v/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>
      <c r="A147" s="22"/>
      <c r="B147" s="20"/>
      <c r="C147" s="20" t="str">
        <f>IFERROR(__xludf.DUMMYFUNCTION("IF(ISBLANK(B147),,IFERROR(array_constrain(FILTER('Leetcode分类顺序表'!B:J,'Leetcode分类顺序表'!A:A = B147), 1, 10000000),IFERROR(FILTER(Algoexpert.io!B:D,Algoexpert.io!A:A = B147),FILTER('Leetcode List'!B:J,'Leetcode List'!A:A = B147))))"),"")</f>
        <v/>
      </c>
      <c r="D147" s="20"/>
      <c r="E147" s="20"/>
      <c r="F147" s="20"/>
      <c r="G147" s="20"/>
      <c r="H147" s="20"/>
      <c r="I147" s="20"/>
      <c r="J147" s="20"/>
      <c r="K147" s="20"/>
      <c r="L147" s="20" t="str">
        <f t="shared" si="1"/>
        <v/>
      </c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>
      <c r="A148" s="22"/>
      <c r="B148" s="20"/>
      <c r="C148" s="20" t="str">
        <f>IFERROR(__xludf.DUMMYFUNCTION("IF(ISBLANK(B148),,IFERROR(array_constrain(FILTER('Leetcode分类顺序表'!B:J,'Leetcode分类顺序表'!A:A = B148), 1, 10000000),IFERROR(FILTER(Algoexpert.io!B:D,Algoexpert.io!A:A = B148),FILTER('Leetcode List'!B:J,'Leetcode List'!A:A = B148))))"),"")</f>
        <v/>
      </c>
      <c r="D148" s="20"/>
      <c r="E148" s="20"/>
      <c r="F148" s="20"/>
      <c r="G148" s="20"/>
      <c r="H148" s="20"/>
      <c r="I148" s="20"/>
      <c r="J148" s="20"/>
      <c r="K148" s="20"/>
      <c r="L148" s="20" t="str">
        <f t="shared" si="1"/>
        <v/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>
      <c r="A149" s="22"/>
      <c r="B149" s="20"/>
      <c r="C149" s="20" t="str">
        <f>IFERROR(__xludf.DUMMYFUNCTION("IF(ISBLANK(B149),,IFERROR(array_constrain(FILTER('Leetcode分类顺序表'!B:J,'Leetcode分类顺序表'!A:A = B149), 1, 10000000),IFERROR(FILTER(Algoexpert.io!B:D,Algoexpert.io!A:A = B149),FILTER('Leetcode List'!B:J,'Leetcode List'!A:A = B149))))"),"")</f>
        <v/>
      </c>
      <c r="D149" s="20"/>
      <c r="E149" s="20"/>
      <c r="F149" s="20"/>
      <c r="G149" s="20"/>
      <c r="H149" s="20"/>
      <c r="I149" s="20"/>
      <c r="J149" s="20"/>
      <c r="K149" s="20"/>
      <c r="L149" s="20" t="str">
        <f t="shared" si="1"/>
        <v/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>
      <c r="A150" s="22"/>
      <c r="B150" s="20"/>
      <c r="C150" s="20" t="str">
        <f>IFERROR(__xludf.DUMMYFUNCTION("IF(ISBLANK(B150),,IFERROR(array_constrain(FILTER('Leetcode分类顺序表'!B:J,'Leetcode分类顺序表'!A:A = B150), 1, 10000000),IFERROR(FILTER(Algoexpert.io!B:D,Algoexpert.io!A:A = B150),FILTER('Leetcode List'!B:J,'Leetcode List'!A:A = B150))))"),"")</f>
        <v/>
      </c>
      <c r="D150" s="20"/>
      <c r="E150" s="20"/>
      <c r="F150" s="20"/>
      <c r="G150" s="20"/>
      <c r="H150" s="20"/>
      <c r="I150" s="20"/>
      <c r="J150" s="20"/>
      <c r="K150" s="20"/>
      <c r="L150" s="20" t="str">
        <f t="shared" si="1"/>
        <v/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>
      <c r="A151" s="22"/>
      <c r="B151" s="20"/>
      <c r="C151" s="20" t="str">
        <f>IFERROR(__xludf.DUMMYFUNCTION("IF(ISBLANK(B151),,IFERROR(array_constrain(FILTER('Leetcode分类顺序表'!B:J,'Leetcode分类顺序表'!A:A = B151), 1, 10000000),IFERROR(FILTER(Algoexpert.io!B:D,Algoexpert.io!A:A = B151),FILTER('Leetcode List'!B:J,'Leetcode List'!A:A = B151))))"),"")</f>
        <v/>
      </c>
      <c r="D151" s="20"/>
      <c r="E151" s="20"/>
      <c r="F151" s="20"/>
      <c r="G151" s="20"/>
      <c r="H151" s="20"/>
      <c r="I151" s="20"/>
      <c r="J151" s="20"/>
      <c r="K151" s="20"/>
      <c r="L151" s="20" t="str">
        <f t="shared" si="1"/>
        <v/>
      </c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>
      <c r="A152" s="22"/>
      <c r="B152" s="20"/>
      <c r="C152" s="20" t="str">
        <f>IFERROR(__xludf.DUMMYFUNCTION("IF(ISBLANK(B152),,IFERROR(array_constrain(FILTER('Leetcode分类顺序表'!B:J,'Leetcode分类顺序表'!A:A = B152), 1, 10000000),IFERROR(FILTER(Algoexpert.io!B:D,Algoexpert.io!A:A = B152),FILTER('Leetcode List'!B:J,'Leetcode List'!A:A = B152))))"),"")</f>
        <v/>
      </c>
      <c r="D152" s="20"/>
      <c r="E152" s="20"/>
      <c r="F152" s="20"/>
      <c r="G152" s="20"/>
      <c r="H152" s="20"/>
      <c r="I152" s="20"/>
      <c r="J152" s="20"/>
      <c r="K152" s="20"/>
      <c r="L152" s="20" t="str">
        <f t="shared" si="1"/>
        <v/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>
      <c r="A153" s="22"/>
      <c r="B153" s="20"/>
      <c r="C153" s="20" t="str">
        <f>IFERROR(__xludf.DUMMYFUNCTION("IF(ISBLANK(B153),,IFERROR(array_constrain(FILTER('Leetcode分类顺序表'!B:J,'Leetcode分类顺序表'!A:A = B153), 1, 10000000),IFERROR(FILTER(Algoexpert.io!B:D,Algoexpert.io!A:A = B153),FILTER('Leetcode List'!B:J,'Leetcode List'!A:A = B153))))"),"")</f>
        <v/>
      </c>
      <c r="D153" s="20"/>
      <c r="E153" s="20"/>
      <c r="F153" s="20"/>
      <c r="G153" s="20"/>
      <c r="H153" s="20"/>
      <c r="I153" s="20"/>
      <c r="J153" s="20"/>
      <c r="K153" s="20"/>
      <c r="L153" s="20" t="str">
        <f t="shared" si="1"/>
        <v/>
      </c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>
      <c r="A154" s="22"/>
      <c r="B154" s="20"/>
      <c r="C154" s="20" t="str">
        <f>IFERROR(__xludf.DUMMYFUNCTION("IF(ISBLANK(B154),,IFERROR(array_constrain(FILTER('Leetcode分类顺序表'!B:J,'Leetcode分类顺序表'!A:A = B154), 1, 10000000),IFERROR(FILTER(Algoexpert.io!B:D,Algoexpert.io!A:A = B154),FILTER('Leetcode List'!B:J,'Leetcode List'!A:A = B154))))"),"")</f>
        <v/>
      </c>
      <c r="D154" s="20"/>
      <c r="E154" s="20"/>
      <c r="F154" s="20"/>
      <c r="G154" s="20"/>
      <c r="H154" s="20"/>
      <c r="I154" s="20"/>
      <c r="J154" s="20"/>
      <c r="K154" s="20"/>
      <c r="L154" s="20" t="str">
        <f t="shared" si="1"/>
        <v/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>
      <c r="A155" s="22"/>
      <c r="B155" s="20"/>
      <c r="C155" s="20" t="str">
        <f>IFERROR(__xludf.DUMMYFUNCTION("IF(ISBLANK(B155),,IFERROR(array_constrain(FILTER('Leetcode分类顺序表'!B:J,'Leetcode分类顺序表'!A:A = B155), 1, 10000000),IFERROR(FILTER(Algoexpert.io!B:D,Algoexpert.io!A:A = B155),FILTER('Leetcode List'!B:J,'Leetcode List'!A:A = B155))))"),"")</f>
        <v/>
      </c>
      <c r="D155" s="20"/>
      <c r="E155" s="20"/>
      <c r="F155" s="20"/>
      <c r="G155" s="20"/>
      <c r="H155" s="20"/>
      <c r="I155" s="20"/>
      <c r="J155" s="20"/>
      <c r="K155" s="20"/>
      <c r="L155" s="20" t="str">
        <f t="shared" si="1"/>
        <v/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>
      <c r="A156" s="22"/>
      <c r="B156" s="20"/>
      <c r="C156" s="20" t="str">
        <f>IFERROR(__xludf.DUMMYFUNCTION("IF(ISBLANK(B156),,IFERROR(array_constrain(FILTER('Leetcode分类顺序表'!B:J,'Leetcode分类顺序表'!A:A = B156), 1, 10000000),IFERROR(FILTER(Algoexpert.io!B:D,Algoexpert.io!A:A = B156),FILTER('Leetcode List'!B:J,'Leetcode List'!A:A = B156))))"),"")</f>
        <v/>
      </c>
      <c r="D156" s="20"/>
      <c r="E156" s="20"/>
      <c r="F156" s="20"/>
      <c r="G156" s="20"/>
      <c r="H156" s="20"/>
      <c r="I156" s="20"/>
      <c r="J156" s="20"/>
      <c r="K156" s="20"/>
      <c r="L156" s="20" t="str">
        <f t="shared" si="1"/>
        <v/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>
      <c r="A157" s="22"/>
      <c r="B157" s="20"/>
      <c r="C157" s="20" t="str">
        <f>IFERROR(__xludf.DUMMYFUNCTION("IF(ISBLANK(B157),,IFERROR(array_constrain(FILTER('Leetcode分类顺序表'!B:J,'Leetcode分类顺序表'!A:A = B157), 1, 10000000),IFERROR(FILTER(Algoexpert.io!B:D,Algoexpert.io!A:A = B157),FILTER('Leetcode List'!B:J,'Leetcode List'!A:A = B157))))"),"")</f>
        <v/>
      </c>
      <c r="D157" s="20"/>
      <c r="E157" s="20"/>
      <c r="F157" s="20"/>
      <c r="G157" s="20"/>
      <c r="H157" s="20"/>
      <c r="I157" s="20"/>
      <c r="J157" s="20"/>
      <c r="K157" s="20"/>
      <c r="L157" s="20" t="str">
        <f t="shared" si="1"/>
        <v/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>
      <c r="A158" s="22"/>
      <c r="B158" s="20"/>
      <c r="C158" s="20" t="str">
        <f>IFERROR(__xludf.DUMMYFUNCTION("IF(ISBLANK(B158),,IFERROR(array_constrain(FILTER('Leetcode分类顺序表'!B:J,'Leetcode分类顺序表'!A:A = B158), 1, 10000000),IFERROR(FILTER(Algoexpert.io!B:D,Algoexpert.io!A:A = B158),FILTER('Leetcode List'!B:J,'Leetcode List'!A:A = B158))))"),"")</f>
        <v/>
      </c>
      <c r="D158" s="20"/>
      <c r="E158" s="20"/>
      <c r="F158" s="20"/>
      <c r="G158" s="20"/>
      <c r="H158" s="20"/>
      <c r="I158" s="20"/>
      <c r="J158" s="20"/>
      <c r="K158" s="20"/>
      <c r="L158" s="20" t="str">
        <f t="shared" si="1"/>
        <v/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>
      <c r="A159" s="22"/>
      <c r="B159" s="20"/>
      <c r="C159" s="20" t="str">
        <f>IFERROR(__xludf.DUMMYFUNCTION("IF(ISBLANK(B159),,IFERROR(array_constrain(FILTER('Leetcode分类顺序表'!B:J,'Leetcode分类顺序表'!A:A = B159), 1, 10000000),IFERROR(FILTER(Algoexpert.io!B:D,Algoexpert.io!A:A = B159),FILTER('Leetcode List'!B:J,'Leetcode List'!A:A = B159))))"),"")</f>
        <v/>
      </c>
      <c r="D159" s="20"/>
      <c r="E159" s="20"/>
      <c r="F159" s="20"/>
      <c r="G159" s="20"/>
      <c r="H159" s="20"/>
      <c r="I159" s="20"/>
      <c r="J159" s="20"/>
      <c r="K159" s="20"/>
      <c r="L159" s="20" t="str">
        <f t="shared" si="1"/>
        <v/>
      </c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>
      <c r="A160" s="22"/>
      <c r="B160" s="20"/>
      <c r="C160" s="20" t="str">
        <f>IFERROR(__xludf.DUMMYFUNCTION("IF(ISBLANK(B160),,IFERROR(array_constrain(FILTER('Leetcode分类顺序表'!B:J,'Leetcode分类顺序表'!A:A = B160), 1, 10000000),IFERROR(FILTER(Algoexpert.io!B:D,Algoexpert.io!A:A = B160),FILTER('Leetcode List'!B:J,'Leetcode List'!A:A = B160))))"),"")</f>
        <v/>
      </c>
      <c r="D160" s="20"/>
      <c r="E160" s="20"/>
      <c r="F160" s="20"/>
      <c r="G160" s="20"/>
      <c r="H160" s="20"/>
      <c r="I160" s="20"/>
      <c r="J160" s="20"/>
      <c r="K160" s="20"/>
      <c r="L160" s="20" t="str">
        <f t="shared" si="1"/>
        <v/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>
      <c r="A161" s="22"/>
      <c r="B161" s="20"/>
      <c r="C161" s="20" t="str">
        <f>IFERROR(__xludf.DUMMYFUNCTION("IF(ISBLANK(B161),,IFERROR(array_constrain(FILTER('Leetcode分类顺序表'!B:J,'Leetcode分类顺序表'!A:A = B161), 1, 10000000),IFERROR(FILTER(Algoexpert.io!B:D,Algoexpert.io!A:A = B161),FILTER('Leetcode List'!B:J,'Leetcode List'!A:A = B161))))"),"")</f>
        <v/>
      </c>
      <c r="D161" s="20"/>
      <c r="E161" s="20"/>
      <c r="F161" s="20"/>
      <c r="G161" s="20"/>
      <c r="H161" s="20"/>
      <c r="I161" s="20"/>
      <c r="J161" s="20"/>
      <c r="K161" s="20"/>
      <c r="L161" s="20" t="str">
        <f t="shared" si="1"/>
        <v/>
      </c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>
      <c r="A162" s="22"/>
      <c r="B162" s="20"/>
      <c r="C162" s="20" t="str">
        <f>IFERROR(__xludf.DUMMYFUNCTION("IF(ISBLANK(B162),,IFERROR(array_constrain(FILTER('Leetcode分类顺序表'!B:J,'Leetcode分类顺序表'!A:A = B162), 1, 10000000),IFERROR(FILTER(Algoexpert.io!B:D,Algoexpert.io!A:A = B162),FILTER('Leetcode List'!B:J,'Leetcode List'!A:A = B162))))"),"")</f>
        <v/>
      </c>
      <c r="D162" s="20"/>
      <c r="E162" s="20"/>
      <c r="F162" s="20"/>
      <c r="G162" s="20"/>
      <c r="H162" s="20"/>
      <c r="I162" s="20"/>
      <c r="J162" s="20"/>
      <c r="K162" s="20"/>
      <c r="L162" s="20" t="str">
        <f t="shared" si="1"/>
        <v/>
      </c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>
      <c r="A163" s="22"/>
      <c r="B163" s="20"/>
      <c r="C163" s="20" t="str">
        <f>IFERROR(__xludf.DUMMYFUNCTION("IF(ISBLANK(B163),,IFERROR(array_constrain(FILTER('Leetcode分类顺序表'!B:J,'Leetcode分类顺序表'!A:A = B163), 1, 10000000),IFERROR(FILTER(Algoexpert.io!B:D,Algoexpert.io!A:A = B163),FILTER('Leetcode List'!B:J,'Leetcode List'!A:A = B163))))"),"")</f>
        <v/>
      </c>
      <c r="D163" s="20"/>
      <c r="E163" s="20"/>
      <c r="F163" s="20"/>
      <c r="G163" s="20"/>
      <c r="H163" s="20"/>
      <c r="I163" s="20"/>
      <c r="J163" s="20"/>
      <c r="K163" s="20"/>
      <c r="L163" s="20" t="str">
        <f t="shared" si="1"/>
        <v/>
      </c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>
      <c r="A164" s="22"/>
      <c r="B164" s="20"/>
      <c r="C164" s="20" t="str">
        <f>IFERROR(__xludf.DUMMYFUNCTION("IF(ISBLANK(B164),,IFERROR(array_constrain(FILTER('Leetcode分类顺序表'!B:J,'Leetcode分类顺序表'!A:A = B164), 1, 10000000),IFERROR(FILTER(Algoexpert.io!B:D,Algoexpert.io!A:A = B164),FILTER('Leetcode List'!B:J,'Leetcode List'!A:A = B164))))"),"")</f>
        <v/>
      </c>
      <c r="D164" s="20"/>
      <c r="E164" s="20"/>
      <c r="F164" s="20"/>
      <c r="G164" s="20"/>
      <c r="H164" s="20"/>
      <c r="I164" s="20"/>
      <c r="J164" s="20"/>
      <c r="K164" s="20"/>
      <c r="L164" s="20" t="str">
        <f t="shared" si="1"/>
        <v/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>
      <c r="A165" s="22"/>
      <c r="B165" s="20"/>
      <c r="C165" s="20" t="str">
        <f>IFERROR(__xludf.DUMMYFUNCTION("IF(ISBLANK(B165),,IFERROR(array_constrain(FILTER('Leetcode分类顺序表'!B:J,'Leetcode分类顺序表'!A:A = B165), 1, 10000000),IFERROR(FILTER(Algoexpert.io!B:D,Algoexpert.io!A:A = B165),FILTER('Leetcode List'!B:J,'Leetcode List'!A:A = B165))))"),"")</f>
        <v/>
      </c>
      <c r="D165" s="20"/>
      <c r="E165" s="20"/>
      <c r="F165" s="20"/>
      <c r="G165" s="20"/>
      <c r="H165" s="20"/>
      <c r="I165" s="20"/>
      <c r="J165" s="20"/>
      <c r="K165" s="20"/>
      <c r="L165" s="20" t="str">
        <f t="shared" si="1"/>
        <v/>
      </c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>
      <c r="A166" s="22"/>
      <c r="B166" s="20"/>
      <c r="C166" s="20" t="str">
        <f>IFERROR(__xludf.DUMMYFUNCTION("IF(ISBLANK(B166),,IFERROR(array_constrain(FILTER('Leetcode分类顺序表'!B:J,'Leetcode分类顺序表'!A:A = B166), 1, 10000000),IFERROR(FILTER(Algoexpert.io!B:D,Algoexpert.io!A:A = B166),FILTER('Leetcode List'!B:J,'Leetcode List'!A:A = B166))))"),"")</f>
        <v/>
      </c>
      <c r="D166" s="20"/>
      <c r="E166" s="20"/>
      <c r="F166" s="20"/>
      <c r="G166" s="20"/>
      <c r="H166" s="20"/>
      <c r="I166" s="20"/>
      <c r="J166" s="20"/>
      <c r="K166" s="20"/>
      <c r="L166" s="20" t="str">
        <f t="shared" si="1"/>
        <v/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>
      <c r="A167" s="22"/>
      <c r="B167" s="20"/>
      <c r="C167" s="20" t="str">
        <f>IFERROR(__xludf.DUMMYFUNCTION("IF(ISBLANK(B167),,IFERROR(array_constrain(FILTER('Leetcode分类顺序表'!B:J,'Leetcode分类顺序表'!A:A = B167), 1, 10000000),IFERROR(FILTER(Algoexpert.io!B:D,Algoexpert.io!A:A = B167),FILTER('Leetcode List'!B:J,'Leetcode List'!A:A = B167))))"),"")</f>
        <v/>
      </c>
      <c r="D167" s="20"/>
      <c r="E167" s="20"/>
      <c r="F167" s="20"/>
      <c r="G167" s="20"/>
      <c r="H167" s="20"/>
      <c r="I167" s="20"/>
      <c r="J167" s="20"/>
      <c r="K167" s="20"/>
      <c r="L167" s="20" t="str">
        <f t="shared" si="1"/>
        <v/>
      </c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>
      <c r="A168" s="22"/>
      <c r="B168" s="20"/>
      <c r="C168" s="20" t="str">
        <f>IFERROR(__xludf.DUMMYFUNCTION("IF(ISBLANK(B168),,IFERROR(array_constrain(FILTER('Leetcode分类顺序表'!B:J,'Leetcode分类顺序表'!A:A = B168), 1, 10000000),IFERROR(FILTER(Algoexpert.io!B:D,Algoexpert.io!A:A = B168),FILTER('Leetcode List'!B:J,'Leetcode List'!A:A = B168))))"),"")</f>
        <v/>
      </c>
      <c r="D168" s="20"/>
      <c r="E168" s="20"/>
      <c r="F168" s="20"/>
      <c r="G168" s="20"/>
      <c r="H168" s="20"/>
      <c r="I168" s="20"/>
      <c r="J168" s="20"/>
      <c r="K168" s="20"/>
      <c r="L168" s="20" t="str">
        <f t="shared" si="1"/>
        <v/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>
      <c r="A169" s="22"/>
      <c r="B169" s="20"/>
      <c r="C169" s="20" t="str">
        <f>IFERROR(__xludf.DUMMYFUNCTION("IF(ISBLANK(B169),,IFERROR(array_constrain(FILTER('Leetcode分类顺序表'!B:J,'Leetcode分类顺序表'!A:A = B169), 1, 10000000),IFERROR(FILTER(Algoexpert.io!B:D,Algoexpert.io!A:A = B169),FILTER('Leetcode List'!B:J,'Leetcode List'!A:A = B169))))"),"")</f>
        <v/>
      </c>
      <c r="D169" s="20"/>
      <c r="E169" s="20"/>
      <c r="F169" s="20"/>
      <c r="G169" s="20"/>
      <c r="H169" s="20"/>
      <c r="I169" s="20"/>
      <c r="J169" s="20"/>
      <c r="K169" s="20"/>
      <c r="L169" s="20" t="str">
        <f t="shared" si="1"/>
        <v/>
      </c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>
      <c r="A170" s="22"/>
      <c r="B170" s="20"/>
      <c r="C170" s="20" t="str">
        <f>IFERROR(__xludf.DUMMYFUNCTION("IF(ISBLANK(B170),,IFERROR(array_constrain(FILTER('Leetcode分类顺序表'!B:J,'Leetcode分类顺序表'!A:A = B170), 1, 10000000),IFERROR(FILTER(Algoexpert.io!B:D,Algoexpert.io!A:A = B170),FILTER('Leetcode List'!B:J,'Leetcode List'!A:A = B170))))"),"")</f>
        <v/>
      </c>
      <c r="D170" s="20"/>
      <c r="E170" s="20"/>
      <c r="F170" s="20"/>
      <c r="G170" s="20"/>
      <c r="H170" s="20"/>
      <c r="I170" s="20"/>
      <c r="J170" s="20"/>
      <c r="K170" s="20"/>
      <c r="L170" s="20" t="str">
        <f t="shared" si="1"/>
        <v/>
      </c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>
      <c r="A171" s="22"/>
      <c r="B171" s="20"/>
      <c r="C171" s="20" t="str">
        <f>IFERROR(__xludf.DUMMYFUNCTION("IF(ISBLANK(B171),,IFERROR(array_constrain(FILTER('Leetcode分类顺序表'!B:J,'Leetcode分类顺序表'!A:A = B171), 1, 10000000),IFERROR(FILTER(Algoexpert.io!B:D,Algoexpert.io!A:A = B171),FILTER('Leetcode List'!B:J,'Leetcode List'!A:A = B171))))"),"")</f>
        <v/>
      </c>
      <c r="D171" s="20"/>
      <c r="E171" s="20"/>
      <c r="F171" s="20"/>
      <c r="G171" s="20"/>
      <c r="H171" s="20"/>
      <c r="I171" s="20"/>
      <c r="J171" s="20"/>
      <c r="K171" s="20"/>
      <c r="L171" s="20" t="str">
        <f t="shared" si="1"/>
        <v/>
      </c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>
      <c r="A172" s="22"/>
      <c r="B172" s="20"/>
      <c r="C172" s="20" t="str">
        <f>IFERROR(__xludf.DUMMYFUNCTION("IF(ISBLANK(B172),,IFERROR(array_constrain(FILTER('Leetcode分类顺序表'!B:J,'Leetcode分类顺序表'!A:A = B172), 1, 10000000),IFERROR(FILTER(Algoexpert.io!B:D,Algoexpert.io!A:A = B172),FILTER('Leetcode List'!B:J,'Leetcode List'!A:A = B172))))"),"")</f>
        <v/>
      </c>
      <c r="D172" s="20"/>
      <c r="E172" s="20"/>
      <c r="F172" s="20"/>
      <c r="G172" s="20"/>
      <c r="H172" s="20"/>
      <c r="I172" s="20"/>
      <c r="J172" s="20"/>
      <c r="K172" s="20"/>
      <c r="L172" s="20" t="str">
        <f t="shared" si="1"/>
        <v/>
      </c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>
      <c r="A173" s="22"/>
      <c r="B173" s="20"/>
      <c r="C173" s="20" t="str">
        <f>IFERROR(__xludf.DUMMYFUNCTION("IF(ISBLANK(B173),,IFERROR(array_constrain(FILTER('Leetcode分类顺序表'!B:J,'Leetcode分类顺序表'!A:A = B173), 1, 10000000),IFERROR(FILTER(Algoexpert.io!B:D,Algoexpert.io!A:A = B173),FILTER('Leetcode List'!B:J,'Leetcode List'!A:A = B173))))"),"")</f>
        <v/>
      </c>
      <c r="D173" s="20"/>
      <c r="E173" s="20"/>
      <c r="F173" s="20"/>
      <c r="G173" s="20"/>
      <c r="H173" s="20"/>
      <c r="I173" s="20"/>
      <c r="J173" s="20"/>
      <c r="K173" s="20"/>
      <c r="L173" s="20" t="str">
        <f t="shared" si="1"/>
        <v/>
      </c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>
      <c r="A174" s="22"/>
      <c r="B174" s="20"/>
      <c r="C174" s="20" t="str">
        <f>IFERROR(__xludf.DUMMYFUNCTION("IF(ISBLANK(B174),,IFERROR(array_constrain(FILTER('Leetcode分类顺序表'!B:J,'Leetcode分类顺序表'!A:A = B174), 1, 10000000),IFERROR(FILTER(Algoexpert.io!B:D,Algoexpert.io!A:A = B174),FILTER('Leetcode List'!B:J,'Leetcode List'!A:A = B174))))"),"")</f>
        <v/>
      </c>
      <c r="D174" s="20"/>
      <c r="E174" s="20"/>
      <c r="F174" s="20"/>
      <c r="G174" s="20"/>
      <c r="H174" s="20"/>
      <c r="I174" s="20"/>
      <c r="J174" s="20"/>
      <c r="K174" s="20"/>
      <c r="L174" s="20" t="str">
        <f t="shared" si="1"/>
        <v/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>
      <c r="A175" s="22"/>
      <c r="B175" s="20"/>
      <c r="C175" s="20" t="str">
        <f>IFERROR(__xludf.DUMMYFUNCTION("IF(ISBLANK(B175),,IFERROR(array_constrain(FILTER('Leetcode分类顺序表'!B:J,'Leetcode分类顺序表'!A:A = B175), 1, 10000000),IFERROR(FILTER(Algoexpert.io!B:D,Algoexpert.io!A:A = B175),FILTER('Leetcode List'!B:J,'Leetcode List'!A:A = B175))))"),"")</f>
        <v/>
      </c>
      <c r="D175" s="20"/>
      <c r="E175" s="20"/>
      <c r="F175" s="20"/>
      <c r="G175" s="20"/>
      <c r="H175" s="20"/>
      <c r="I175" s="20"/>
      <c r="J175" s="20"/>
      <c r="K175" s="20"/>
      <c r="L175" s="20" t="str">
        <f t="shared" si="1"/>
        <v/>
      </c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>
      <c r="A176" s="22"/>
      <c r="B176" s="20"/>
      <c r="C176" s="20" t="str">
        <f>IFERROR(__xludf.DUMMYFUNCTION("IF(ISBLANK(B176),,IFERROR(array_constrain(FILTER('Leetcode分类顺序表'!B:J,'Leetcode分类顺序表'!A:A = B176), 1, 10000000),IFERROR(FILTER(Algoexpert.io!B:D,Algoexpert.io!A:A = B176),FILTER('Leetcode List'!B:J,'Leetcode List'!A:A = B176))))"),"")</f>
        <v/>
      </c>
      <c r="D176" s="20"/>
      <c r="E176" s="20"/>
      <c r="F176" s="20"/>
      <c r="G176" s="20"/>
      <c r="H176" s="20"/>
      <c r="I176" s="20"/>
      <c r="J176" s="20"/>
      <c r="K176" s="20"/>
      <c r="L176" s="20" t="str">
        <f t="shared" si="1"/>
        <v/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>
      <c r="A177" s="22"/>
      <c r="B177" s="20"/>
      <c r="C177" s="20" t="str">
        <f>IFERROR(__xludf.DUMMYFUNCTION("IF(ISBLANK(B177),,IFERROR(array_constrain(FILTER('Leetcode分类顺序表'!B:J,'Leetcode分类顺序表'!A:A = B177), 1, 10000000),IFERROR(FILTER(Algoexpert.io!B:D,Algoexpert.io!A:A = B177),FILTER('Leetcode List'!B:J,'Leetcode List'!A:A = B177))))"),"")</f>
        <v/>
      </c>
      <c r="D177" s="20"/>
      <c r="E177" s="20"/>
      <c r="F177" s="20"/>
      <c r="G177" s="20"/>
      <c r="H177" s="20"/>
      <c r="I177" s="20"/>
      <c r="J177" s="20"/>
      <c r="K177" s="20"/>
      <c r="L177" s="20" t="str">
        <f t="shared" si="1"/>
        <v/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>
      <c r="A178" s="22"/>
      <c r="B178" s="20"/>
      <c r="C178" s="20" t="str">
        <f>IFERROR(__xludf.DUMMYFUNCTION("IF(ISBLANK(B178),,IFERROR(array_constrain(FILTER('Leetcode分类顺序表'!B:J,'Leetcode分类顺序表'!A:A = B178), 1, 10000000),IFERROR(FILTER(Algoexpert.io!B:D,Algoexpert.io!A:A = B178),FILTER('Leetcode List'!B:J,'Leetcode List'!A:A = B178))))"),"")</f>
        <v/>
      </c>
      <c r="D178" s="20"/>
      <c r="E178" s="20"/>
      <c r="F178" s="20"/>
      <c r="G178" s="20"/>
      <c r="H178" s="20"/>
      <c r="I178" s="20"/>
      <c r="J178" s="20"/>
      <c r="K178" s="20"/>
      <c r="L178" s="20" t="str">
        <f t="shared" si="1"/>
        <v/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>
      <c r="A179" s="22"/>
      <c r="B179" s="20"/>
      <c r="C179" s="20" t="str">
        <f>IFERROR(__xludf.DUMMYFUNCTION("IF(ISBLANK(B179),,IFERROR(array_constrain(FILTER('Leetcode分类顺序表'!B:J,'Leetcode分类顺序表'!A:A = B179), 1, 10000000),IFERROR(FILTER(Algoexpert.io!B:D,Algoexpert.io!A:A = B179),FILTER('Leetcode List'!B:J,'Leetcode List'!A:A = B179))))"),"")</f>
        <v/>
      </c>
      <c r="D179" s="20"/>
      <c r="E179" s="20"/>
      <c r="F179" s="20"/>
      <c r="G179" s="20"/>
      <c r="H179" s="20"/>
      <c r="I179" s="20"/>
      <c r="J179" s="20"/>
      <c r="K179" s="20"/>
      <c r="L179" s="20" t="str">
        <f t="shared" si="1"/>
        <v/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>
      <c r="A180" s="22"/>
      <c r="B180" s="20"/>
      <c r="C180" s="20" t="str">
        <f>IFERROR(__xludf.DUMMYFUNCTION("IF(ISBLANK(B180),,IFERROR(array_constrain(FILTER('Leetcode分类顺序表'!B:J,'Leetcode分类顺序表'!A:A = B180), 1, 10000000),IFERROR(FILTER(Algoexpert.io!B:D,Algoexpert.io!A:A = B180),FILTER('Leetcode List'!B:J,'Leetcode List'!A:A = B180))))"),"")</f>
        <v/>
      </c>
      <c r="D180" s="20"/>
      <c r="E180" s="20"/>
      <c r="F180" s="20"/>
      <c r="G180" s="20"/>
      <c r="H180" s="20"/>
      <c r="I180" s="20"/>
      <c r="J180" s="20"/>
      <c r="K180" s="20"/>
      <c r="L180" s="20" t="str">
        <f t="shared" si="1"/>
        <v/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>
      <c r="A181" s="22"/>
      <c r="B181" s="20"/>
      <c r="C181" s="20" t="str">
        <f>IFERROR(__xludf.DUMMYFUNCTION("IF(ISBLANK(B181),,IFERROR(array_constrain(FILTER('Leetcode分类顺序表'!B:J,'Leetcode分类顺序表'!A:A = B181), 1, 10000000),IFERROR(FILTER(Algoexpert.io!B:D,Algoexpert.io!A:A = B181),FILTER('Leetcode List'!B:J,'Leetcode List'!A:A = B181))))"),"")</f>
        <v/>
      </c>
      <c r="D181" s="20"/>
      <c r="E181" s="20"/>
      <c r="F181" s="20"/>
      <c r="G181" s="20"/>
      <c r="H181" s="20"/>
      <c r="I181" s="20"/>
      <c r="J181" s="20"/>
      <c r="K181" s="20"/>
      <c r="L181" s="20" t="str">
        <f t="shared" si="1"/>
        <v/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>
      <c r="A182" s="22"/>
      <c r="B182" s="20"/>
      <c r="C182" s="20" t="str">
        <f>IFERROR(__xludf.DUMMYFUNCTION("IF(ISBLANK(B182),,IFERROR(array_constrain(FILTER('Leetcode分类顺序表'!B:J,'Leetcode分类顺序表'!A:A = B182), 1, 10000000),IFERROR(FILTER(Algoexpert.io!B:D,Algoexpert.io!A:A = B182),FILTER('Leetcode List'!B:J,'Leetcode List'!A:A = B182))))"),"")</f>
        <v/>
      </c>
      <c r="D182" s="20"/>
      <c r="E182" s="20"/>
      <c r="F182" s="20"/>
      <c r="G182" s="20"/>
      <c r="H182" s="20"/>
      <c r="I182" s="20"/>
      <c r="J182" s="20"/>
      <c r="K182" s="20"/>
      <c r="L182" s="20" t="str">
        <f t="shared" si="1"/>
        <v/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>
      <c r="A183" s="22"/>
      <c r="B183" s="20"/>
      <c r="C183" s="20" t="str">
        <f>IFERROR(__xludf.DUMMYFUNCTION("IF(ISBLANK(B183),,IFERROR(array_constrain(FILTER('Leetcode分类顺序表'!B:J,'Leetcode分类顺序表'!A:A = B183), 1, 10000000),IFERROR(FILTER(Algoexpert.io!B:D,Algoexpert.io!A:A = B183),FILTER('Leetcode List'!B:J,'Leetcode List'!A:A = B183))))"),"")</f>
        <v/>
      </c>
      <c r="D183" s="20"/>
      <c r="E183" s="20"/>
      <c r="F183" s="20"/>
      <c r="G183" s="20"/>
      <c r="H183" s="20"/>
      <c r="I183" s="20"/>
      <c r="J183" s="20"/>
      <c r="K183" s="20"/>
      <c r="L183" s="20" t="str">
        <f t="shared" si="1"/>
        <v/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>
      <c r="A184" s="22"/>
      <c r="B184" s="20"/>
      <c r="C184" s="20" t="str">
        <f>IFERROR(__xludf.DUMMYFUNCTION("IF(ISBLANK(B184),,IFERROR(array_constrain(FILTER('Leetcode分类顺序表'!B:J,'Leetcode分类顺序表'!A:A = B184), 1, 10000000),IFERROR(FILTER(Algoexpert.io!B:D,Algoexpert.io!A:A = B184),FILTER('Leetcode List'!B:J,'Leetcode List'!A:A = B184))))"),"")</f>
        <v/>
      </c>
      <c r="D184" s="20"/>
      <c r="E184" s="20"/>
      <c r="F184" s="20"/>
      <c r="G184" s="20"/>
      <c r="H184" s="20"/>
      <c r="I184" s="20"/>
      <c r="J184" s="20"/>
      <c r="K184" s="20"/>
      <c r="L184" s="20" t="str">
        <f t="shared" si="1"/>
        <v/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>
      <c r="A185" s="22"/>
      <c r="B185" s="20"/>
      <c r="C185" s="20" t="str">
        <f>IFERROR(__xludf.DUMMYFUNCTION("IF(ISBLANK(B185),,IFERROR(array_constrain(FILTER('Leetcode分类顺序表'!B:J,'Leetcode分类顺序表'!A:A = B185), 1, 10000000),IFERROR(FILTER(Algoexpert.io!B:D,Algoexpert.io!A:A = B185),FILTER('Leetcode List'!B:J,'Leetcode List'!A:A = B185))))"),"")</f>
        <v/>
      </c>
      <c r="D185" s="20"/>
      <c r="E185" s="20"/>
      <c r="F185" s="20"/>
      <c r="G185" s="20"/>
      <c r="H185" s="20"/>
      <c r="I185" s="20"/>
      <c r="J185" s="20"/>
      <c r="K185" s="20"/>
      <c r="L185" s="20" t="str">
        <f t="shared" si="1"/>
        <v/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>
      <c r="A186" s="22"/>
      <c r="B186" s="20"/>
      <c r="C186" s="20" t="str">
        <f>IFERROR(__xludf.DUMMYFUNCTION("IF(ISBLANK(B186),,IFERROR(array_constrain(FILTER('Leetcode分类顺序表'!B:J,'Leetcode分类顺序表'!A:A = B186), 1, 10000000),IFERROR(FILTER(Algoexpert.io!B:D,Algoexpert.io!A:A = B186),FILTER('Leetcode List'!B:J,'Leetcode List'!A:A = B186))))"),"")</f>
        <v/>
      </c>
      <c r="D186" s="20"/>
      <c r="E186" s="20"/>
      <c r="F186" s="20"/>
      <c r="G186" s="20"/>
      <c r="H186" s="20"/>
      <c r="I186" s="20"/>
      <c r="J186" s="20"/>
      <c r="K186" s="20"/>
      <c r="L186" s="20" t="str">
        <f t="shared" si="1"/>
        <v/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>
      <c r="A187" s="22"/>
      <c r="B187" s="20"/>
      <c r="C187" s="20" t="str">
        <f>IFERROR(__xludf.DUMMYFUNCTION("IF(ISBLANK(B187),,IFERROR(array_constrain(FILTER('Leetcode分类顺序表'!B:J,'Leetcode分类顺序表'!A:A = B187), 1, 10000000),IFERROR(FILTER(Algoexpert.io!B:D,Algoexpert.io!A:A = B187),FILTER('Leetcode List'!B:J,'Leetcode List'!A:A = B187))))"),"")</f>
        <v/>
      </c>
      <c r="D187" s="20"/>
      <c r="E187" s="20"/>
      <c r="F187" s="20"/>
      <c r="G187" s="20"/>
      <c r="H187" s="20"/>
      <c r="I187" s="20"/>
      <c r="J187" s="20"/>
      <c r="K187" s="20"/>
      <c r="L187" s="20" t="str">
        <f t="shared" si="1"/>
        <v/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>
      <c r="A188" s="22"/>
      <c r="B188" s="20"/>
      <c r="C188" s="20" t="str">
        <f>IFERROR(__xludf.DUMMYFUNCTION("IF(ISBLANK(B188),,IFERROR(array_constrain(FILTER('Leetcode分类顺序表'!B:J,'Leetcode分类顺序表'!A:A = B188), 1, 10000000),IFERROR(FILTER(Algoexpert.io!B:D,Algoexpert.io!A:A = B188),FILTER('Leetcode List'!B:J,'Leetcode List'!A:A = B188))))"),"")</f>
        <v/>
      </c>
      <c r="D188" s="20"/>
      <c r="E188" s="20"/>
      <c r="F188" s="20"/>
      <c r="G188" s="20"/>
      <c r="H188" s="20"/>
      <c r="I188" s="20"/>
      <c r="J188" s="20"/>
      <c r="K188" s="20"/>
      <c r="L188" s="20" t="str">
        <f t="shared" si="1"/>
        <v/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>
      <c r="A189" s="22"/>
      <c r="B189" s="20"/>
      <c r="C189" s="20" t="str">
        <f>IFERROR(__xludf.DUMMYFUNCTION("IF(ISBLANK(B189),,IFERROR(array_constrain(FILTER('Leetcode分类顺序表'!B:J,'Leetcode分类顺序表'!A:A = B189), 1, 10000000),IFERROR(FILTER(Algoexpert.io!B:D,Algoexpert.io!A:A = B189),FILTER('Leetcode List'!B:J,'Leetcode List'!A:A = B189))))"),"")</f>
        <v/>
      </c>
      <c r="D189" s="20"/>
      <c r="E189" s="20"/>
      <c r="F189" s="20"/>
      <c r="G189" s="20"/>
      <c r="H189" s="20"/>
      <c r="I189" s="20"/>
      <c r="J189" s="20"/>
      <c r="K189" s="20"/>
      <c r="L189" s="20" t="str">
        <f t="shared" si="1"/>
        <v/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>
      <c r="A190" s="22"/>
      <c r="B190" s="20"/>
      <c r="C190" s="20" t="str">
        <f>IFERROR(__xludf.DUMMYFUNCTION("IF(ISBLANK(B190),,IFERROR(array_constrain(FILTER('Leetcode分类顺序表'!B:J,'Leetcode分类顺序表'!A:A = B190), 1, 10000000),IFERROR(FILTER(Algoexpert.io!B:D,Algoexpert.io!A:A = B190),FILTER('Leetcode List'!B:J,'Leetcode List'!A:A = B190))))"),"")</f>
        <v/>
      </c>
      <c r="D190" s="20"/>
      <c r="E190" s="20"/>
      <c r="F190" s="20"/>
      <c r="G190" s="20"/>
      <c r="H190" s="20"/>
      <c r="I190" s="20"/>
      <c r="J190" s="20"/>
      <c r="K190" s="20"/>
      <c r="L190" s="20" t="str">
        <f t="shared" si="1"/>
        <v/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>
      <c r="A191" s="22"/>
      <c r="B191" s="20"/>
      <c r="C191" s="20" t="str">
        <f>IFERROR(__xludf.DUMMYFUNCTION("IF(ISBLANK(B191),,IFERROR(array_constrain(FILTER('Leetcode分类顺序表'!B:J,'Leetcode分类顺序表'!A:A = B191), 1, 10000000),IFERROR(FILTER(Algoexpert.io!B:D,Algoexpert.io!A:A = B191),FILTER('Leetcode List'!B:J,'Leetcode List'!A:A = B191))))"),"")</f>
        <v/>
      </c>
      <c r="D191" s="20"/>
      <c r="E191" s="20"/>
      <c r="F191" s="20"/>
      <c r="G191" s="20"/>
      <c r="H191" s="20"/>
      <c r="I191" s="20"/>
      <c r="J191" s="20"/>
      <c r="K191" s="20"/>
      <c r="L191" s="20" t="str">
        <f t="shared" si="1"/>
        <v/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>
      <c r="A192" s="22"/>
      <c r="B192" s="20"/>
      <c r="C192" s="20" t="str">
        <f>IFERROR(__xludf.DUMMYFUNCTION("IF(ISBLANK(B192),,IFERROR(array_constrain(FILTER('Leetcode分类顺序表'!B:J,'Leetcode分类顺序表'!A:A = B192), 1, 10000000),IFERROR(FILTER(Algoexpert.io!B:D,Algoexpert.io!A:A = B192),FILTER('Leetcode List'!B:J,'Leetcode List'!A:A = B192))))"),"")</f>
        <v/>
      </c>
      <c r="D192" s="20"/>
      <c r="E192" s="20"/>
      <c r="F192" s="20"/>
      <c r="G192" s="20"/>
      <c r="H192" s="20"/>
      <c r="I192" s="20"/>
      <c r="J192" s="20"/>
      <c r="K192" s="20"/>
      <c r="L192" s="20" t="str">
        <f t="shared" si="1"/>
        <v/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>
      <c r="A193" s="22"/>
      <c r="B193" s="20"/>
      <c r="C193" s="20" t="str">
        <f>IFERROR(__xludf.DUMMYFUNCTION("IF(ISBLANK(B193),,IFERROR(array_constrain(FILTER('Leetcode分类顺序表'!B:J,'Leetcode分类顺序表'!A:A = B193), 1, 10000000),IFERROR(FILTER(Algoexpert.io!B:D,Algoexpert.io!A:A = B193),FILTER('Leetcode List'!B:J,'Leetcode List'!A:A = B193))))"),"")</f>
        <v/>
      </c>
      <c r="D193" s="20"/>
      <c r="E193" s="20"/>
      <c r="F193" s="20"/>
      <c r="G193" s="20"/>
      <c r="H193" s="20"/>
      <c r="I193" s="20"/>
      <c r="J193" s="20"/>
      <c r="K193" s="20"/>
      <c r="L193" s="20" t="str">
        <f t="shared" si="1"/>
        <v/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>
      <c r="A194" s="22"/>
      <c r="B194" s="20"/>
      <c r="C194" s="20" t="str">
        <f>IFERROR(__xludf.DUMMYFUNCTION("IF(ISBLANK(B194),,IFERROR(array_constrain(FILTER('Leetcode分类顺序表'!B:J,'Leetcode分类顺序表'!A:A = B194), 1, 10000000),IFERROR(FILTER(Algoexpert.io!B:D,Algoexpert.io!A:A = B194),FILTER('Leetcode List'!B:J,'Leetcode List'!A:A = B194))))"),"")</f>
        <v/>
      </c>
      <c r="D194" s="20"/>
      <c r="E194" s="20"/>
      <c r="F194" s="20"/>
      <c r="G194" s="20"/>
      <c r="H194" s="20"/>
      <c r="I194" s="20"/>
      <c r="J194" s="20"/>
      <c r="K194" s="20"/>
      <c r="L194" s="20" t="str">
        <f t="shared" si="1"/>
        <v/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>
      <c r="A195" s="22"/>
      <c r="B195" s="20"/>
      <c r="C195" s="20" t="str">
        <f>IFERROR(__xludf.DUMMYFUNCTION("IF(ISBLANK(B195),,IFERROR(array_constrain(FILTER('Leetcode分类顺序表'!B:J,'Leetcode分类顺序表'!A:A = B195), 1, 10000000),IFERROR(FILTER(Algoexpert.io!B:D,Algoexpert.io!A:A = B195),FILTER('Leetcode List'!B:J,'Leetcode List'!A:A = B195))))"),"")</f>
        <v/>
      </c>
      <c r="D195" s="20"/>
      <c r="E195" s="20"/>
      <c r="F195" s="20"/>
      <c r="G195" s="20"/>
      <c r="H195" s="20"/>
      <c r="I195" s="20"/>
      <c r="J195" s="20"/>
      <c r="K195" s="20"/>
      <c r="L195" s="20" t="str">
        <f t="shared" si="1"/>
        <v/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>
      <c r="A196" s="22"/>
      <c r="B196" s="20"/>
      <c r="C196" s="20" t="str">
        <f>IFERROR(__xludf.DUMMYFUNCTION("IF(ISBLANK(B196),,IFERROR(array_constrain(FILTER('Leetcode分类顺序表'!B:J,'Leetcode分类顺序表'!A:A = B196), 1, 10000000),IFERROR(FILTER(Algoexpert.io!B:D,Algoexpert.io!A:A = B196),FILTER('Leetcode List'!B:J,'Leetcode List'!A:A = B196))))"),"")</f>
        <v/>
      </c>
      <c r="D196" s="20"/>
      <c r="E196" s="20"/>
      <c r="F196" s="20"/>
      <c r="G196" s="20"/>
      <c r="H196" s="20"/>
      <c r="I196" s="20"/>
      <c r="J196" s="20"/>
      <c r="K196" s="20"/>
      <c r="L196" s="20" t="str">
        <f t="shared" si="1"/>
        <v/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>
      <c r="A197" s="22"/>
      <c r="B197" s="20"/>
      <c r="C197" s="20" t="str">
        <f>IFERROR(__xludf.DUMMYFUNCTION("IF(ISBLANK(B197),,IFERROR(array_constrain(FILTER('Leetcode分类顺序表'!B:J,'Leetcode分类顺序表'!A:A = B197), 1, 10000000),IFERROR(FILTER(Algoexpert.io!B:D,Algoexpert.io!A:A = B197),FILTER('Leetcode List'!B:J,'Leetcode List'!A:A = B197))))"),"")</f>
        <v/>
      </c>
      <c r="D197" s="20"/>
      <c r="E197" s="20"/>
      <c r="F197" s="20"/>
      <c r="G197" s="20"/>
      <c r="H197" s="20"/>
      <c r="I197" s="20"/>
      <c r="J197" s="20"/>
      <c r="K197" s="20"/>
      <c r="L197" s="20" t="str">
        <f t="shared" si="1"/>
        <v/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>
      <c r="A198" s="22"/>
      <c r="B198" s="20"/>
      <c r="C198" s="20" t="str">
        <f>IFERROR(__xludf.DUMMYFUNCTION("IF(ISBLANK(B198),,IFERROR(array_constrain(FILTER('Leetcode分类顺序表'!B:J,'Leetcode分类顺序表'!A:A = B198), 1, 10000000),IFERROR(FILTER(Algoexpert.io!B:D,Algoexpert.io!A:A = B198),FILTER('Leetcode List'!B:J,'Leetcode List'!A:A = B198))))"),"")</f>
        <v/>
      </c>
      <c r="D198" s="20"/>
      <c r="E198" s="20"/>
      <c r="F198" s="20"/>
      <c r="G198" s="20"/>
      <c r="H198" s="20"/>
      <c r="I198" s="20"/>
      <c r="J198" s="20"/>
      <c r="K198" s="20"/>
      <c r="L198" s="20" t="str">
        <f t="shared" si="1"/>
        <v/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>
      <c r="A199" s="22"/>
      <c r="B199" s="20"/>
      <c r="C199" s="20" t="str">
        <f>IFERROR(__xludf.DUMMYFUNCTION("IF(ISBLANK(B199),,IFERROR(array_constrain(FILTER('Leetcode分类顺序表'!B:J,'Leetcode分类顺序表'!A:A = B199), 1, 10000000),IFERROR(FILTER(Algoexpert.io!B:D,Algoexpert.io!A:A = B199),FILTER('Leetcode List'!B:J,'Leetcode List'!A:A = B199))))"),"")</f>
        <v/>
      </c>
      <c r="D199" s="20"/>
      <c r="E199" s="20"/>
      <c r="F199" s="20"/>
      <c r="G199" s="20"/>
      <c r="H199" s="20"/>
      <c r="I199" s="20"/>
      <c r="J199" s="20"/>
      <c r="K199" s="20"/>
      <c r="L199" s="20" t="str">
        <f t="shared" si="1"/>
        <v/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>
      <c r="A200" s="22"/>
      <c r="B200" s="20"/>
      <c r="C200" s="20" t="str">
        <f>IFERROR(__xludf.DUMMYFUNCTION("IF(ISBLANK(B200),,IFERROR(array_constrain(FILTER('Leetcode分类顺序表'!B:J,'Leetcode分类顺序表'!A:A = B200), 1, 10000000),IFERROR(FILTER(Algoexpert.io!B:D,Algoexpert.io!A:A = B200),FILTER('Leetcode List'!B:J,'Leetcode List'!A:A = B200))))"),"")</f>
        <v/>
      </c>
      <c r="D200" s="20"/>
      <c r="E200" s="20"/>
      <c r="F200" s="20"/>
      <c r="G200" s="20"/>
      <c r="H200" s="20"/>
      <c r="I200" s="20"/>
      <c r="J200" s="20"/>
      <c r="K200" s="20"/>
      <c r="L200" s="20" t="str">
        <f t="shared" si="1"/>
        <v/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>
      <c r="A201" s="22"/>
      <c r="B201" s="20"/>
      <c r="C201" s="20" t="str">
        <f>IFERROR(__xludf.DUMMYFUNCTION("IF(ISBLANK(B201),,IFERROR(array_constrain(FILTER('Leetcode分类顺序表'!B:J,'Leetcode分类顺序表'!A:A = B201), 1, 10000000),IFERROR(FILTER(Algoexpert.io!B:D,Algoexpert.io!A:A = B201),FILTER('Leetcode List'!B:J,'Leetcode List'!A:A = B201))))"),"")</f>
        <v/>
      </c>
      <c r="D201" s="20"/>
      <c r="E201" s="20"/>
      <c r="F201" s="20"/>
      <c r="G201" s="20"/>
      <c r="H201" s="20"/>
      <c r="I201" s="20"/>
      <c r="J201" s="20"/>
      <c r="K201" s="20"/>
      <c r="L201" s="20" t="str">
        <f t="shared" si="1"/>
        <v/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>
      <c r="A202" s="22"/>
      <c r="B202" s="20"/>
      <c r="C202" s="20" t="str">
        <f>IFERROR(__xludf.DUMMYFUNCTION("IF(ISBLANK(B202),,IFERROR(array_constrain(FILTER('Leetcode分类顺序表'!B:J,'Leetcode分类顺序表'!A:A = B202), 1, 10000000),IFERROR(FILTER(Algoexpert.io!B:D,Algoexpert.io!A:A = B202),FILTER('Leetcode List'!B:J,'Leetcode List'!A:A = B202))))"),"")</f>
        <v/>
      </c>
      <c r="D202" s="20"/>
      <c r="E202" s="20"/>
      <c r="F202" s="20"/>
      <c r="G202" s="20"/>
      <c r="H202" s="20"/>
      <c r="I202" s="20"/>
      <c r="J202" s="20"/>
      <c r="K202" s="20"/>
      <c r="L202" s="20" t="str">
        <f t="shared" si="1"/>
        <v/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>
      <c r="A203" s="22"/>
      <c r="B203" s="20"/>
      <c r="C203" s="20" t="str">
        <f>IFERROR(__xludf.DUMMYFUNCTION("IF(ISBLANK(B203),,IFERROR(array_constrain(FILTER('Leetcode分类顺序表'!B:J,'Leetcode分类顺序表'!A:A = B203), 1, 10000000),IFERROR(FILTER(Algoexpert.io!B:D,Algoexpert.io!A:A = B203),FILTER('Leetcode List'!B:J,'Leetcode List'!A:A = B203))))"),"")</f>
        <v/>
      </c>
      <c r="D203" s="20"/>
      <c r="E203" s="20"/>
      <c r="F203" s="20"/>
      <c r="G203" s="20"/>
      <c r="H203" s="20"/>
      <c r="I203" s="20"/>
      <c r="J203" s="20"/>
      <c r="K203" s="20"/>
      <c r="L203" s="20" t="str">
        <f t="shared" si="1"/>
        <v/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>
      <c r="A204" s="22"/>
      <c r="B204" s="20"/>
      <c r="C204" s="20" t="str">
        <f>IFERROR(__xludf.DUMMYFUNCTION("IF(ISBLANK(B204),,IFERROR(array_constrain(FILTER('Leetcode分类顺序表'!B:J,'Leetcode分类顺序表'!A:A = B204), 1, 10000000),IFERROR(FILTER(Algoexpert.io!B:D,Algoexpert.io!A:A = B204),FILTER('Leetcode List'!B:J,'Leetcode List'!A:A = B204))))"),"")</f>
        <v/>
      </c>
      <c r="D204" s="20"/>
      <c r="E204" s="20"/>
      <c r="F204" s="20"/>
      <c r="G204" s="20"/>
      <c r="H204" s="20"/>
      <c r="I204" s="20"/>
      <c r="J204" s="20"/>
      <c r="K204" s="20"/>
      <c r="L204" s="20" t="str">
        <f t="shared" si="1"/>
        <v/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>
      <c r="A205" s="22"/>
      <c r="B205" s="20"/>
      <c r="C205" s="20" t="str">
        <f>IFERROR(__xludf.DUMMYFUNCTION("IF(ISBLANK(B205),,IFERROR(array_constrain(FILTER('Leetcode分类顺序表'!B:J,'Leetcode分类顺序表'!A:A = B205), 1, 10000000),IFERROR(FILTER(Algoexpert.io!B:D,Algoexpert.io!A:A = B205),FILTER('Leetcode List'!B:J,'Leetcode List'!A:A = B205))))"),"")</f>
        <v/>
      </c>
      <c r="D205" s="20"/>
      <c r="E205" s="20"/>
      <c r="F205" s="20"/>
      <c r="G205" s="20"/>
      <c r="H205" s="20"/>
      <c r="I205" s="20"/>
      <c r="J205" s="20"/>
      <c r="K205" s="20"/>
      <c r="L205" s="20" t="str">
        <f t="shared" si="1"/>
        <v/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>
      <c r="A206" s="22"/>
      <c r="B206" s="20"/>
      <c r="C206" s="20" t="str">
        <f>IFERROR(__xludf.DUMMYFUNCTION("IF(ISBLANK(B206),,IFERROR(array_constrain(FILTER('Leetcode分类顺序表'!B:J,'Leetcode分类顺序表'!A:A = B206), 1, 10000000),IFERROR(FILTER(Algoexpert.io!B:D,Algoexpert.io!A:A = B206),FILTER('Leetcode List'!B:J,'Leetcode List'!A:A = B206))))"),"")</f>
        <v/>
      </c>
      <c r="D206" s="20"/>
      <c r="E206" s="20"/>
      <c r="F206" s="20"/>
      <c r="G206" s="20"/>
      <c r="H206" s="20"/>
      <c r="I206" s="20"/>
      <c r="J206" s="20"/>
      <c r="K206" s="20"/>
      <c r="L206" s="20" t="str">
        <f t="shared" si="1"/>
        <v/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>
      <c r="A207" s="22"/>
      <c r="B207" s="20"/>
      <c r="C207" s="20" t="str">
        <f>IFERROR(__xludf.DUMMYFUNCTION("IF(ISBLANK(B207),,IFERROR(array_constrain(FILTER('Leetcode分类顺序表'!B:J,'Leetcode分类顺序表'!A:A = B207), 1, 10000000),IFERROR(FILTER(Algoexpert.io!B:D,Algoexpert.io!A:A = B207),FILTER('Leetcode List'!B:J,'Leetcode List'!A:A = B207))))"),"")</f>
        <v/>
      </c>
      <c r="D207" s="20"/>
      <c r="E207" s="20"/>
      <c r="F207" s="20"/>
      <c r="G207" s="20"/>
      <c r="H207" s="20"/>
      <c r="I207" s="20"/>
      <c r="J207" s="20"/>
      <c r="K207" s="20"/>
      <c r="L207" s="20" t="str">
        <f t="shared" si="1"/>
        <v/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>
      <c r="A208" s="22"/>
      <c r="B208" s="20"/>
      <c r="C208" s="20" t="str">
        <f>IFERROR(__xludf.DUMMYFUNCTION("IF(ISBLANK(B208),,IFERROR(array_constrain(FILTER('Leetcode分类顺序表'!B:J,'Leetcode分类顺序表'!A:A = B208), 1, 10000000),IFERROR(FILTER(Algoexpert.io!B:D,Algoexpert.io!A:A = B208),FILTER('Leetcode List'!B:J,'Leetcode List'!A:A = B208))))"),"")</f>
        <v/>
      </c>
      <c r="D208" s="20"/>
      <c r="E208" s="20"/>
      <c r="F208" s="20"/>
      <c r="G208" s="20"/>
      <c r="H208" s="20"/>
      <c r="I208" s="20"/>
      <c r="J208" s="20"/>
      <c r="K208" s="20"/>
      <c r="L208" s="20" t="str">
        <f t="shared" si="1"/>
        <v/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>
      <c r="A209" s="22"/>
      <c r="B209" s="20"/>
      <c r="C209" s="20" t="str">
        <f>IFERROR(__xludf.DUMMYFUNCTION("IF(ISBLANK(B209),,IFERROR(array_constrain(FILTER('Leetcode分类顺序表'!B:J,'Leetcode分类顺序表'!A:A = B209), 1, 10000000),IFERROR(FILTER(Algoexpert.io!B:D,Algoexpert.io!A:A = B209),FILTER('Leetcode List'!B:J,'Leetcode List'!A:A = B209))))"),"")</f>
        <v/>
      </c>
      <c r="D209" s="20"/>
      <c r="E209" s="20"/>
      <c r="F209" s="20"/>
      <c r="G209" s="20"/>
      <c r="H209" s="20"/>
      <c r="I209" s="20"/>
      <c r="J209" s="20"/>
      <c r="K209" s="20"/>
      <c r="L209" s="20" t="str">
        <f t="shared" si="1"/>
        <v/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>
      <c r="A210" s="22"/>
      <c r="B210" s="20"/>
      <c r="C210" s="20" t="str">
        <f>IFERROR(__xludf.DUMMYFUNCTION("IF(ISBLANK(B210),,IFERROR(array_constrain(FILTER('Leetcode分类顺序表'!B:J,'Leetcode分类顺序表'!A:A = B210), 1, 10000000),IFERROR(FILTER(Algoexpert.io!B:D,Algoexpert.io!A:A = B210),FILTER('Leetcode List'!B:J,'Leetcode List'!A:A = B210))))"),"")</f>
        <v/>
      </c>
      <c r="D210" s="20"/>
      <c r="E210" s="20"/>
      <c r="F210" s="20"/>
      <c r="G210" s="20"/>
      <c r="H210" s="20"/>
      <c r="I210" s="20"/>
      <c r="J210" s="20"/>
      <c r="K210" s="20"/>
      <c r="L210" s="20" t="str">
        <f t="shared" si="1"/>
        <v/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>
      <c r="A211" s="22"/>
      <c r="B211" s="20"/>
      <c r="C211" s="20" t="str">
        <f>IFERROR(__xludf.DUMMYFUNCTION("IF(ISBLANK(B211),,IFERROR(array_constrain(FILTER('Leetcode分类顺序表'!B:J,'Leetcode分类顺序表'!A:A = B211), 1, 10000000),IFERROR(FILTER(Algoexpert.io!B:D,Algoexpert.io!A:A = B211),FILTER('Leetcode List'!B:J,'Leetcode List'!A:A = B211))))"),"")</f>
        <v/>
      </c>
      <c r="D211" s="20"/>
      <c r="E211" s="20"/>
      <c r="F211" s="20"/>
      <c r="G211" s="20"/>
      <c r="H211" s="20"/>
      <c r="I211" s="20"/>
      <c r="J211" s="20"/>
      <c r="K211" s="20"/>
      <c r="L211" s="20" t="str">
        <f t="shared" si="1"/>
        <v/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>
      <c r="A212" s="22"/>
      <c r="B212" s="20"/>
      <c r="C212" s="20" t="str">
        <f>IFERROR(__xludf.DUMMYFUNCTION("IF(ISBLANK(B212),,IFERROR(array_constrain(FILTER('Leetcode分类顺序表'!B:J,'Leetcode分类顺序表'!A:A = B212), 1, 10000000),IFERROR(FILTER(Algoexpert.io!B:D,Algoexpert.io!A:A = B212),FILTER('Leetcode List'!B:J,'Leetcode List'!A:A = B212))))"),"")</f>
        <v/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>
      <c r="A213" s="22"/>
      <c r="B213" s="20"/>
      <c r="C213" s="20" t="str">
        <f>IFERROR(__xludf.DUMMYFUNCTION("IF(ISBLANK(B213),,IFERROR(array_constrain(FILTER('Leetcode分类顺序表'!B:J,'Leetcode分类顺序表'!A:A = B213), 1, 10000000),IFERROR(FILTER(Algoexpert.io!B:D,Algoexpert.io!A:A = B213),FILTER('Leetcode List'!B:J,'Leetcode List'!A:A = B213))))"),"")</f>
        <v/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>
      <c r="A214" s="22"/>
      <c r="B214" s="20"/>
      <c r="C214" s="20" t="str">
        <f>IFERROR(__xludf.DUMMYFUNCTION("IF(ISBLANK(B214),,IFERROR(array_constrain(FILTER('Leetcode分类顺序表'!B:J,'Leetcode分类顺序表'!A:A = B214), 1, 10000000),IFERROR(FILTER(Algoexpert.io!B:D,Algoexpert.io!A:A = B214),FILTER('Leetcode List'!B:J,'Leetcode List'!A:A = B214))))"),"")</f>
        <v/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>
      <c r="A215" s="22"/>
      <c r="B215" s="20"/>
      <c r="C215" s="20" t="str">
        <f>IFERROR(__xludf.DUMMYFUNCTION("IF(ISBLANK(B215),,IFERROR(array_constrain(FILTER('Leetcode分类顺序表'!B:J,'Leetcode分类顺序表'!A:A = B215), 1, 10000000),IFERROR(FILTER(Algoexpert.io!B:D,Algoexpert.io!A:A = B215),FILTER('Leetcode List'!B:J,'Leetcode List'!A:A = B215))))"),"")</f>
        <v/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>
      <c r="A216" s="22"/>
      <c r="B216" s="20"/>
      <c r="C216" s="20" t="str">
        <f>IFERROR(__xludf.DUMMYFUNCTION("IF(ISBLANK(B216),,IFERROR(array_constrain(FILTER('Leetcode分类顺序表'!B:J,'Leetcode分类顺序表'!A:A = B216), 1, 10000000),IFERROR(FILTER(Algoexpert.io!B:D,Algoexpert.io!A:A = B216),FILTER('Leetcode List'!B:J,'Leetcode List'!A:A = B216))))"),"")</f>
        <v/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>
      <c r="A217" s="22"/>
      <c r="B217" s="20"/>
      <c r="C217" s="20" t="str">
        <f>IFERROR(__xludf.DUMMYFUNCTION("IF(ISBLANK(B217),,IFERROR(array_constrain(FILTER('Leetcode分类顺序表'!B:J,'Leetcode分类顺序表'!A:A = B217), 1, 10000000),IFERROR(FILTER(Algoexpert.io!B:D,Algoexpert.io!A:A = B217),FILTER('Leetcode List'!B:J,'Leetcode List'!A:A = B217))))"),"")</f>
        <v/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>
      <c r="A218" s="22"/>
      <c r="B218" s="20"/>
      <c r="C218" s="20" t="str">
        <f>IFERROR(__xludf.DUMMYFUNCTION("IF(ISBLANK(B218),,IFERROR(array_constrain(FILTER('Leetcode分类顺序表'!B:J,'Leetcode分类顺序表'!A:A = B218), 1, 10000000),IFERROR(FILTER(Algoexpert.io!B:D,Algoexpert.io!A:A = B218),FILTER('Leetcode List'!B:J,'Leetcode List'!A:A = B218))))"),"")</f>
        <v/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>
      <c r="A219" s="22"/>
      <c r="B219" s="20"/>
      <c r="C219" s="20" t="str">
        <f>IFERROR(__xludf.DUMMYFUNCTION("IF(ISBLANK(B219),,IFERROR(array_constrain(FILTER('Leetcode分类顺序表'!B:J,'Leetcode分类顺序表'!A:A = B219), 1, 10000000),IFERROR(FILTER(Algoexpert.io!B:D,Algoexpert.io!A:A = B219),FILTER('Leetcode List'!B:J,'Leetcode List'!A:A = B219))))"),"")</f>
        <v/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>
      <c r="A220" s="22"/>
      <c r="B220" s="20"/>
      <c r="C220" s="20" t="str">
        <f>IFERROR(__xludf.DUMMYFUNCTION("IF(ISBLANK(B220),,IFERROR(array_constrain(FILTER('Leetcode分类顺序表'!B:J,'Leetcode分类顺序表'!A:A = B220), 1, 10000000),IFERROR(FILTER(Algoexpert.io!B:D,Algoexpert.io!A:A = B220),FILTER('Leetcode List'!B:J,'Leetcode List'!A:A = B220))))"),"")</f>
        <v/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>
      <c r="A221" s="22"/>
      <c r="B221" s="20"/>
      <c r="C221" s="20" t="str">
        <f>IFERROR(__xludf.DUMMYFUNCTION("IF(ISBLANK(B221),,IFERROR(array_constrain(FILTER('Leetcode分类顺序表'!B:J,'Leetcode分类顺序表'!A:A = B221), 1, 10000000),IFERROR(FILTER(Algoexpert.io!B:D,Algoexpert.io!A:A = B221),FILTER('Leetcode List'!B:J,'Leetcode List'!A:A = B221))))"),"")</f>
        <v/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>
      <c r="A222" s="22"/>
      <c r="B222" s="20"/>
      <c r="C222" s="20" t="str">
        <f>IFERROR(__xludf.DUMMYFUNCTION("IF(ISBLANK(B222),,IFERROR(array_constrain(FILTER('Leetcode分类顺序表'!B:J,'Leetcode分类顺序表'!A:A = B222), 1, 10000000),IFERROR(FILTER(Algoexpert.io!B:D,Algoexpert.io!A:A = B222),FILTER('Leetcode List'!B:J,'Leetcode List'!A:A = B222))))"),"")</f>
        <v/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>
      <c r="A223" s="22"/>
      <c r="B223" s="20"/>
      <c r="C223" s="20" t="str">
        <f>IFERROR(__xludf.DUMMYFUNCTION("IF(ISBLANK(B223),,IFERROR(array_constrain(FILTER('Leetcode分类顺序表'!B:J,'Leetcode分类顺序表'!A:A = B223), 1, 10000000),IFERROR(FILTER(Algoexpert.io!B:D,Algoexpert.io!A:A = B223),FILTER('Leetcode List'!B:J,'Leetcode List'!A:A = B223))))"),"")</f>
        <v/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>
      <c r="A224" s="22"/>
      <c r="B224" s="20"/>
      <c r="C224" s="20" t="str">
        <f>IFERROR(__xludf.DUMMYFUNCTION("IF(ISBLANK(B224),,IFERROR(array_constrain(FILTER('Leetcode分类顺序表'!B:J,'Leetcode分类顺序表'!A:A = B224), 1, 10000000),IFERROR(FILTER(Algoexpert.io!B:D,Algoexpert.io!A:A = B224),FILTER('Leetcode List'!B:J,'Leetcode List'!A:A = B224))))"),"")</f>
        <v/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>
      <c r="A225" s="22"/>
      <c r="B225" s="20"/>
      <c r="C225" s="20" t="str">
        <f>IFERROR(__xludf.DUMMYFUNCTION("IF(ISBLANK(B225),,IFERROR(array_constrain(FILTER('Leetcode分类顺序表'!B:J,'Leetcode分类顺序表'!A:A = B225), 1, 10000000),IFERROR(FILTER(Algoexpert.io!B:D,Algoexpert.io!A:A = B225),FILTER('Leetcode List'!B:J,'Leetcode List'!A:A = B225))))"),"")</f>
        <v/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>
      <c r="A226" s="22"/>
      <c r="B226" s="20"/>
      <c r="C226" s="20" t="str">
        <f>IFERROR(__xludf.DUMMYFUNCTION("IF(ISBLANK(B226),,IFERROR(array_constrain(FILTER('Leetcode分类顺序表'!B:J,'Leetcode分类顺序表'!A:A = B226), 1, 10000000),IFERROR(FILTER(Algoexpert.io!B:D,Algoexpert.io!A:A = B226),FILTER('Leetcode List'!B:J,'Leetcode List'!A:A = B226))))"),"")</f>
        <v/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>
      <c r="A227" s="22"/>
      <c r="B227" s="20"/>
      <c r="C227" s="20" t="str">
        <f>IFERROR(__xludf.DUMMYFUNCTION("IF(ISBLANK(B227),,IFERROR(array_constrain(FILTER('Leetcode分类顺序表'!B:J,'Leetcode分类顺序表'!A:A = B227), 1, 10000000),IFERROR(FILTER(Algoexpert.io!B:D,Algoexpert.io!A:A = B227),FILTER('Leetcode List'!B:J,'Leetcode List'!A:A = B227))))"),"")</f>
        <v/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>
      <c r="A228" s="22"/>
      <c r="B228" s="20"/>
      <c r="C228" s="20" t="str">
        <f>IFERROR(__xludf.DUMMYFUNCTION("IF(ISBLANK(B228),,IFERROR(array_constrain(FILTER('Leetcode分类顺序表'!B:J,'Leetcode分类顺序表'!A:A = B228), 1, 10000000),IFERROR(FILTER(Algoexpert.io!B:D,Algoexpert.io!A:A = B228),FILTER('Leetcode List'!B:J,'Leetcode List'!A:A = B228))))"),"")</f>
        <v/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>
      <c r="A229" s="22"/>
      <c r="B229" s="20"/>
      <c r="C229" s="20" t="str">
        <f>IFERROR(__xludf.DUMMYFUNCTION("IF(ISBLANK(B229),,IFERROR(array_constrain(FILTER('Leetcode分类顺序表'!B:J,'Leetcode分类顺序表'!A:A = B229), 1, 10000000),IFERROR(FILTER(Algoexpert.io!B:D,Algoexpert.io!A:A = B229),FILTER('Leetcode List'!B:J,'Leetcode List'!A:A = B229))))"),"")</f>
        <v/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>
      <c r="A230" s="22"/>
      <c r="B230" s="20"/>
      <c r="C230" s="20" t="str">
        <f>IFERROR(__xludf.DUMMYFUNCTION("IF(ISBLANK(B230),,IFERROR(array_constrain(FILTER('Leetcode分类顺序表'!B:J,'Leetcode分类顺序表'!A:A = B230), 1, 10000000),IFERROR(FILTER(Algoexpert.io!B:D,Algoexpert.io!A:A = B230),FILTER('Leetcode List'!B:J,'Leetcode List'!A:A = B230))))"),"")</f>
        <v/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>
      <c r="A231" s="22"/>
      <c r="B231" s="20"/>
      <c r="C231" s="20" t="str">
        <f>IFERROR(__xludf.DUMMYFUNCTION("IF(ISBLANK(B231),,IFERROR(array_constrain(FILTER('Leetcode分类顺序表'!B:J,'Leetcode分类顺序表'!A:A = B231), 1, 10000000),IFERROR(FILTER(Algoexpert.io!B:D,Algoexpert.io!A:A = B231),FILTER('Leetcode List'!B:J,'Leetcode List'!A:A = B231))))"),"")</f>
        <v/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>
      <c r="A232" s="22"/>
      <c r="B232" s="20"/>
      <c r="C232" s="20" t="str">
        <f>IFERROR(__xludf.DUMMYFUNCTION("IF(ISBLANK(B232),,IFERROR(array_constrain(FILTER('Leetcode分类顺序表'!B:J,'Leetcode分类顺序表'!A:A = B232), 1, 10000000),IFERROR(FILTER(Algoexpert.io!B:D,Algoexpert.io!A:A = B232),FILTER('Leetcode List'!B:J,'Leetcode List'!A:A = B232))))"),"")</f>
        <v/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>
      <c r="A233" s="22"/>
      <c r="B233" s="20"/>
      <c r="C233" s="20" t="str">
        <f>IFERROR(__xludf.DUMMYFUNCTION("IF(ISBLANK(B233),,IFERROR(array_constrain(FILTER('Leetcode分类顺序表'!B:J,'Leetcode分类顺序表'!A:A = B233), 1, 10000000),IFERROR(FILTER(Algoexpert.io!B:D,Algoexpert.io!A:A = B233),FILTER('Leetcode List'!B:J,'Leetcode List'!A:A = B233))))"),"")</f>
        <v/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>
      <c r="A234" s="22"/>
      <c r="B234" s="20"/>
      <c r="C234" s="20" t="str">
        <f>IFERROR(__xludf.DUMMYFUNCTION("IF(ISBLANK(B234),,IFERROR(array_constrain(FILTER('Leetcode分类顺序表'!B:J,'Leetcode分类顺序表'!A:A = B234), 1, 10000000),IFERROR(FILTER(Algoexpert.io!B:D,Algoexpert.io!A:A = B234),FILTER('Leetcode List'!B:J,'Leetcode List'!A:A = B234))))"),"")</f>
        <v/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>
      <c r="A235" s="22"/>
      <c r="B235" s="20"/>
      <c r="C235" s="20" t="str">
        <f>IFERROR(__xludf.DUMMYFUNCTION("IF(ISBLANK(B235),,IFERROR(array_constrain(FILTER('Leetcode分类顺序表'!B:J,'Leetcode分类顺序表'!A:A = B235), 1, 10000000),IFERROR(FILTER(Algoexpert.io!B:D,Algoexpert.io!A:A = B235),FILTER('Leetcode List'!B:J,'Leetcode List'!A:A = B235))))"),"")</f>
        <v/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>
      <c r="A236" s="22"/>
      <c r="B236" s="20"/>
      <c r="C236" s="20" t="str">
        <f>IFERROR(__xludf.DUMMYFUNCTION("IF(ISBLANK(B236),,IFERROR(array_constrain(FILTER('Leetcode分类顺序表'!B:J,'Leetcode分类顺序表'!A:A = B236), 1, 10000000),IFERROR(FILTER(Algoexpert.io!B:D,Algoexpert.io!A:A = B236),FILTER('Leetcode List'!B:J,'Leetcode List'!A:A = B236))))"),"")</f>
        <v/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>
      <c r="A237" s="22"/>
      <c r="B237" s="20"/>
      <c r="C237" s="20" t="str">
        <f>IFERROR(__xludf.DUMMYFUNCTION("IF(ISBLANK(B237),,IFERROR(array_constrain(FILTER('Leetcode分类顺序表'!B:J,'Leetcode分类顺序表'!A:A = B237), 1, 10000000),IFERROR(FILTER(Algoexpert.io!B:D,Algoexpert.io!A:A = B237),FILTER('Leetcode List'!B:J,'Leetcode List'!A:A = B237))))"),"")</f>
        <v/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>
      <c r="A238" s="22"/>
      <c r="B238" s="20"/>
      <c r="C238" s="20" t="str">
        <f>IFERROR(__xludf.DUMMYFUNCTION("IF(ISBLANK(B238),,IFERROR(array_constrain(FILTER('Leetcode分类顺序表'!B:J,'Leetcode分类顺序表'!A:A = B238), 1, 10000000),IFERROR(FILTER(Algoexpert.io!B:D,Algoexpert.io!A:A = B238),FILTER('Leetcode List'!B:J,'Leetcode List'!A:A = B238))))"),"")</f>
        <v/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>
      <c r="A239" s="22"/>
      <c r="B239" s="20"/>
      <c r="C239" s="20" t="str">
        <f>IFERROR(__xludf.DUMMYFUNCTION("IF(ISBLANK(B239),,IFERROR(array_constrain(FILTER('Leetcode分类顺序表'!B:J,'Leetcode分类顺序表'!A:A = B239), 1, 10000000),IFERROR(FILTER(Algoexpert.io!B:D,Algoexpert.io!A:A = B239),FILTER('Leetcode List'!B:J,'Leetcode List'!A:A = B239))))"),"")</f>
        <v/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>
      <c r="A240" s="22"/>
      <c r="B240" s="20"/>
      <c r="C240" s="20" t="str">
        <f>IFERROR(__xludf.DUMMYFUNCTION("IF(ISBLANK(B240),,IFERROR(array_constrain(FILTER('Leetcode分类顺序表'!B:J,'Leetcode分类顺序表'!A:A = B240), 1, 10000000),IFERROR(FILTER(Algoexpert.io!B:D,Algoexpert.io!A:A = B240),FILTER('Leetcode List'!B:J,'Leetcode List'!A:A = B240))))"),"")</f>
        <v/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>
      <c r="A241" s="22"/>
      <c r="B241" s="20"/>
      <c r="C241" s="20" t="str">
        <f>IFERROR(__xludf.DUMMYFUNCTION("IF(ISBLANK(B241),,IFERROR(array_constrain(FILTER('Leetcode分类顺序表'!B:J,'Leetcode分类顺序表'!A:A = B241), 1, 10000000),IFERROR(FILTER(Algoexpert.io!B:D,Algoexpert.io!A:A = B241),FILTER('Leetcode List'!B:J,'Leetcode List'!A:A = B241))))"),"")</f>
        <v/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>
      <c r="A242" s="22"/>
      <c r="B242" s="20"/>
      <c r="C242" s="20" t="str">
        <f>IFERROR(__xludf.DUMMYFUNCTION("IF(ISBLANK(B242),,IFERROR(array_constrain(FILTER('Leetcode分类顺序表'!B:J,'Leetcode分类顺序表'!A:A = B242), 1, 10000000),IFERROR(FILTER(Algoexpert.io!B:D,Algoexpert.io!A:A = B242),FILTER('Leetcode List'!B:J,'Leetcode List'!A:A = B242))))"),"")</f>
        <v/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>
      <c r="A243" s="22"/>
      <c r="B243" s="20"/>
      <c r="C243" s="20" t="str">
        <f>IFERROR(__xludf.DUMMYFUNCTION("IF(ISBLANK(B243),,IFERROR(array_constrain(FILTER('Leetcode分类顺序表'!B:J,'Leetcode分类顺序表'!A:A = B243), 1, 10000000),IFERROR(FILTER(Algoexpert.io!B:D,Algoexpert.io!A:A = B243),FILTER('Leetcode List'!B:J,'Leetcode List'!A:A = B243))))"),"")</f>
        <v/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>
      <c r="A244" s="22"/>
      <c r="B244" s="20"/>
      <c r="C244" s="20" t="str">
        <f>IFERROR(__xludf.DUMMYFUNCTION("IF(ISBLANK(B244),,IFERROR(array_constrain(FILTER('Leetcode分类顺序表'!B:J,'Leetcode分类顺序表'!A:A = B244), 1, 10000000),IFERROR(FILTER(Algoexpert.io!B:D,Algoexpert.io!A:A = B244),FILTER('Leetcode List'!B:J,'Leetcode List'!A:A = B244))))"),"")</f>
        <v/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>
      <c r="A245" s="22"/>
      <c r="B245" s="20"/>
      <c r="C245" s="20" t="str">
        <f>IFERROR(__xludf.DUMMYFUNCTION("IF(ISBLANK(B245),,IFERROR(array_constrain(FILTER('Leetcode分类顺序表'!B:J,'Leetcode分类顺序表'!A:A = B245), 1, 10000000),IFERROR(FILTER(Algoexpert.io!B:D,Algoexpert.io!A:A = B245),FILTER('Leetcode List'!B:J,'Leetcode List'!A:A = B245))))"),"")</f>
        <v/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>
      <c r="A246" s="22"/>
      <c r="B246" s="20"/>
      <c r="C246" s="20" t="str">
        <f>IFERROR(__xludf.DUMMYFUNCTION("IF(ISBLANK(B246),,IFERROR(array_constrain(FILTER('Leetcode分类顺序表'!B:J,'Leetcode分类顺序表'!A:A = B246), 1, 10000000),IFERROR(FILTER(Algoexpert.io!B:D,Algoexpert.io!A:A = B246),FILTER('Leetcode List'!B:J,'Leetcode List'!A:A = B246))))"),"")</f>
        <v/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>
      <c r="A247" s="22"/>
      <c r="B247" s="20"/>
      <c r="C247" s="20" t="str">
        <f>IFERROR(__xludf.DUMMYFUNCTION("IF(ISBLANK(B247),,IFERROR(array_constrain(FILTER('Leetcode分类顺序表'!B:J,'Leetcode分类顺序表'!A:A = B247), 1, 10000000),IFERROR(FILTER(Algoexpert.io!B:D,Algoexpert.io!A:A = B247),FILTER('Leetcode List'!B:J,'Leetcode List'!A:A = B247))))"),"")</f>
        <v/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>
      <c r="A248" s="22"/>
      <c r="B248" s="20"/>
      <c r="C248" s="20" t="str">
        <f>IFERROR(__xludf.DUMMYFUNCTION("IF(ISBLANK(B248),,IFERROR(array_constrain(FILTER('Leetcode分类顺序表'!B:J,'Leetcode分类顺序表'!A:A = B248), 1, 10000000),IFERROR(FILTER(Algoexpert.io!B:D,Algoexpert.io!A:A = B248),FILTER('Leetcode List'!B:J,'Leetcode List'!A:A = B248))))"),"")</f>
        <v/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>
      <c r="A249" s="22"/>
      <c r="B249" s="20"/>
      <c r="C249" s="20" t="str">
        <f>IFERROR(__xludf.DUMMYFUNCTION("IF(ISBLANK(B249),,IFERROR(array_constrain(FILTER('Leetcode分类顺序表'!B:J,'Leetcode分类顺序表'!A:A = B249), 1, 10000000),IFERROR(FILTER(Algoexpert.io!B:D,Algoexpert.io!A:A = B249),FILTER('Leetcode List'!B:J,'Leetcode List'!A:A = B249))))"),"")</f>
        <v/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>
      <c r="A250" s="22"/>
      <c r="B250" s="20"/>
      <c r="C250" s="20" t="str">
        <f>IFERROR(__xludf.DUMMYFUNCTION("IF(ISBLANK(B250),,IFERROR(array_constrain(FILTER('Leetcode分类顺序表'!B:J,'Leetcode分类顺序表'!A:A = B250), 1, 10000000),IFERROR(FILTER(Algoexpert.io!B:D,Algoexpert.io!A:A = B250),FILTER('Leetcode List'!B:J,'Leetcode List'!A:A = B250))))"),"")</f>
        <v/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>
      <c r="A251" s="22"/>
      <c r="B251" s="20"/>
      <c r="C251" s="20" t="str">
        <f>IFERROR(__xludf.DUMMYFUNCTION("IF(ISBLANK(B251),,IFERROR(array_constrain(FILTER('Leetcode分类顺序表'!B:J,'Leetcode分类顺序表'!A:A = B251), 1, 10000000),IFERROR(FILTER(Algoexpert.io!B:D,Algoexpert.io!A:A = B251),FILTER('Leetcode List'!B:J,'Leetcode List'!A:A = B251))))"),"")</f>
        <v/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>
      <c r="A252" s="22"/>
      <c r="B252" s="20"/>
      <c r="C252" s="20" t="str">
        <f>IFERROR(__xludf.DUMMYFUNCTION("IF(ISBLANK(B252),,IFERROR(array_constrain(FILTER('Leetcode分类顺序表'!B:J,'Leetcode分类顺序表'!A:A = B252), 1, 10000000),IFERROR(FILTER(Algoexpert.io!B:D,Algoexpert.io!A:A = B252),FILTER('Leetcode List'!B:J,'Leetcode List'!A:A = B252))))"),"")</f>
        <v/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>
      <c r="A253" s="22"/>
      <c r="B253" s="20"/>
      <c r="C253" s="20" t="str">
        <f>IFERROR(__xludf.DUMMYFUNCTION("IF(ISBLANK(B253),,IFERROR(array_constrain(FILTER('Leetcode分类顺序表'!B:J,'Leetcode分类顺序表'!A:A = B253), 1, 10000000),IFERROR(FILTER(Algoexpert.io!B:D,Algoexpert.io!A:A = B253),FILTER('Leetcode List'!B:J,'Leetcode List'!A:A = B253))))"),"")</f>
        <v/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>
      <c r="A254" s="22"/>
      <c r="B254" s="20"/>
      <c r="C254" s="20" t="str">
        <f>IFERROR(__xludf.DUMMYFUNCTION("IF(ISBLANK(B254),,IFERROR(array_constrain(FILTER('Leetcode分类顺序表'!B:J,'Leetcode分类顺序表'!A:A = B254), 1, 10000000),IFERROR(FILTER(Algoexpert.io!B:D,Algoexpert.io!A:A = B254),FILTER('Leetcode List'!B:J,'Leetcode List'!A:A = B254))))"),"")</f>
        <v/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>
      <c r="A255" s="22"/>
      <c r="B255" s="20"/>
      <c r="C255" s="20" t="str">
        <f>IFERROR(__xludf.DUMMYFUNCTION("IF(ISBLANK(B255),,IFERROR(array_constrain(FILTER('Leetcode分类顺序表'!B:J,'Leetcode分类顺序表'!A:A = B255), 1, 10000000),IFERROR(FILTER(Algoexpert.io!B:D,Algoexpert.io!A:A = B255),FILTER('Leetcode List'!B:J,'Leetcode List'!A:A = B255))))"),"")</f>
        <v/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>
      <c r="A256" s="22"/>
      <c r="B256" s="20"/>
      <c r="C256" s="20" t="str">
        <f>IFERROR(__xludf.DUMMYFUNCTION("IF(ISBLANK(B256),,IFERROR(array_constrain(FILTER('Leetcode分类顺序表'!B:J,'Leetcode分类顺序表'!A:A = B256), 1, 10000000),IFERROR(FILTER(Algoexpert.io!B:D,Algoexpert.io!A:A = B256),FILTER('Leetcode List'!B:J,'Leetcode List'!A:A = B256))))"),"")</f>
        <v/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>
      <c r="A257" s="22"/>
      <c r="B257" s="20"/>
      <c r="C257" s="20" t="str">
        <f>IFERROR(__xludf.DUMMYFUNCTION("IF(ISBLANK(B257),,IFERROR(array_constrain(FILTER('Leetcode分类顺序表'!B:J,'Leetcode分类顺序表'!A:A = B257), 1, 10000000),IFERROR(FILTER(Algoexpert.io!B:D,Algoexpert.io!A:A = B257),FILTER('Leetcode List'!B:J,'Leetcode List'!A:A = B257))))"),"")</f>
        <v/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>
      <c r="A258" s="22"/>
      <c r="B258" s="20"/>
      <c r="C258" s="20" t="str">
        <f>IFERROR(__xludf.DUMMYFUNCTION("IF(ISBLANK(B258),,IFERROR(array_constrain(FILTER('Leetcode分类顺序表'!B:J,'Leetcode分类顺序表'!A:A = B258), 1, 10000000),IFERROR(FILTER(Algoexpert.io!B:D,Algoexpert.io!A:A = B258),FILTER('Leetcode List'!B:J,'Leetcode List'!A:A = B258))))"),"")</f>
        <v/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>
      <c r="A259" s="22"/>
      <c r="B259" s="20"/>
      <c r="C259" s="20" t="str">
        <f>IFERROR(__xludf.DUMMYFUNCTION("IF(ISBLANK(B259),,IFERROR(array_constrain(FILTER('Leetcode分类顺序表'!B:J,'Leetcode分类顺序表'!A:A = B259), 1, 10000000),IFERROR(FILTER(Algoexpert.io!B:D,Algoexpert.io!A:A = B259),FILTER('Leetcode List'!B:J,'Leetcode List'!A:A = B259))))"),"")</f>
        <v/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>
      <c r="A260" s="22"/>
      <c r="B260" s="20"/>
      <c r="C260" s="20" t="str">
        <f>IFERROR(__xludf.DUMMYFUNCTION("IF(ISBLANK(B260),,IFERROR(array_constrain(FILTER('Leetcode分类顺序表'!B:J,'Leetcode分类顺序表'!A:A = B260), 1, 10000000),IFERROR(FILTER(Algoexpert.io!B:D,Algoexpert.io!A:A = B260),FILTER('Leetcode List'!B:J,'Leetcode List'!A:A = B260))))"),"")</f>
        <v/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>
      <c r="A261" s="22"/>
      <c r="B261" s="20"/>
      <c r="C261" s="20" t="str">
        <f>IFERROR(__xludf.DUMMYFUNCTION("IF(ISBLANK(B261),,IFERROR(array_constrain(FILTER('Leetcode分类顺序表'!B:J,'Leetcode分类顺序表'!A:A = B261), 1, 10000000),IFERROR(FILTER(Algoexpert.io!B:D,Algoexpert.io!A:A = B261),FILTER('Leetcode List'!B:J,'Leetcode List'!A:A = B261))))"),"")</f>
        <v/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>
      <c r="A262" s="22"/>
      <c r="B262" s="20"/>
      <c r="C262" s="20" t="str">
        <f>IFERROR(__xludf.DUMMYFUNCTION("IF(ISBLANK(B262),,IFERROR(array_constrain(FILTER('Leetcode分类顺序表'!B:J,'Leetcode分类顺序表'!A:A = B262), 1, 10000000),IFERROR(FILTER(Algoexpert.io!B:D,Algoexpert.io!A:A = B262),FILTER('Leetcode List'!B:J,'Leetcode List'!A:A = B262))))"),"")</f>
        <v/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>
      <c r="A263" s="22"/>
      <c r="B263" s="20"/>
      <c r="C263" s="20" t="str">
        <f>IFERROR(__xludf.DUMMYFUNCTION("IF(ISBLANK(B263),,IFERROR(array_constrain(FILTER('Leetcode分类顺序表'!B:J,'Leetcode分类顺序表'!A:A = B263), 1, 10000000),IFERROR(FILTER(Algoexpert.io!B:D,Algoexpert.io!A:A = B263),FILTER('Leetcode List'!B:J,'Leetcode List'!A:A = B263))))"),"")</f>
        <v/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>
      <c r="A264" s="22"/>
      <c r="B264" s="20"/>
      <c r="C264" s="20" t="str">
        <f>IFERROR(__xludf.DUMMYFUNCTION("IF(ISBLANK(B264),,IFERROR(array_constrain(FILTER('Leetcode分类顺序表'!B:J,'Leetcode分类顺序表'!A:A = B264), 1, 10000000),IFERROR(FILTER(Algoexpert.io!B:D,Algoexpert.io!A:A = B264),FILTER('Leetcode List'!B:J,'Leetcode List'!A:A = B264))))"),"")</f>
        <v/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>
      <c r="A265" s="22"/>
      <c r="B265" s="20"/>
      <c r="C265" s="20" t="str">
        <f>IFERROR(__xludf.DUMMYFUNCTION("IF(ISBLANK(B265),,IFERROR(array_constrain(FILTER('Leetcode分类顺序表'!B:J,'Leetcode分类顺序表'!A:A = B265), 1, 10000000),IFERROR(FILTER(Algoexpert.io!B:D,Algoexpert.io!A:A = B265),FILTER('Leetcode List'!B:J,'Leetcode List'!A:A = B265))))"),"")</f>
        <v/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>
      <c r="A266" s="22"/>
      <c r="B266" s="20"/>
      <c r="C266" s="20" t="str">
        <f>IFERROR(__xludf.DUMMYFUNCTION("IF(ISBLANK(B266),,IFERROR(array_constrain(FILTER('Leetcode分类顺序表'!B:J,'Leetcode分类顺序表'!A:A = B266), 1, 10000000),IFERROR(FILTER(Algoexpert.io!B:D,Algoexpert.io!A:A = B266),FILTER('Leetcode List'!B:J,'Leetcode List'!A:A = B266))))"),"")</f>
        <v/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>
      <c r="A267" s="22"/>
      <c r="B267" s="20"/>
      <c r="C267" s="20" t="str">
        <f>IFERROR(__xludf.DUMMYFUNCTION("IF(ISBLANK(B267),,IFERROR(array_constrain(FILTER('Leetcode分类顺序表'!B:J,'Leetcode分类顺序表'!A:A = B267), 1, 10000000),IFERROR(FILTER(Algoexpert.io!B:D,Algoexpert.io!A:A = B267),FILTER('Leetcode List'!B:J,'Leetcode List'!A:A = B267))))"),"")</f>
        <v/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>
      <c r="A268" s="22"/>
      <c r="B268" s="20"/>
      <c r="C268" s="20" t="str">
        <f>IFERROR(__xludf.DUMMYFUNCTION("IF(ISBLANK(B268),,IFERROR(array_constrain(FILTER('Leetcode分类顺序表'!B:J,'Leetcode分类顺序表'!A:A = B268), 1, 10000000),IFERROR(FILTER(Algoexpert.io!B:D,Algoexpert.io!A:A = B268),FILTER('Leetcode List'!B:J,'Leetcode List'!A:A = B268))))"),"")</f>
        <v/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>
      <c r="A269" s="22"/>
      <c r="B269" s="20"/>
      <c r="C269" s="20" t="str">
        <f>IFERROR(__xludf.DUMMYFUNCTION("IF(ISBLANK(B269),,IFERROR(array_constrain(FILTER('Leetcode分类顺序表'!B:J,'Leetcode分类顺序表'!A:A = B269), 1, 10000000),IFERROR(FILTER(Algoexpert.io!B:D,Algoexpert.io!A:A = B269),FILTER('Leetcode List'!B:J,'Leetcode List'!A:A = B269))))"),"")</f>
        <v/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>
      <c r="A270" s="22"/>
      <c r="B270" s="20"/>
      <c r="C270" s="20" t="str">
        <f>IFERROR(__xludf.DUMMYFUNCTION("IF(ISBLANK(B270),,IFERROR(array_constrain(FILTER('Leetcode分类顺序表'!B:J,'Leetcode分类顺序表'!A:A = B270), 1, 10000000),IFERROR(FILTER(Algoexpert.io!B:D,Algoexpert.io!A:A = B270),FILTER('Leetcode List'!B:J,'Leetcode List'!A:A = B270))))"),"")</f>
        <v/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>
      <c r="A271" s="22"/>
      <c r="B271" s="20"/>
      <c r="C271" s="20" t="str">
        <f>IFERROR(__xludf.DUMMYFUNCTION("IF(ISBLANK(B271),,IFERROR(array_constrain(FILTER('Leetcode分类顺序表'!B:J,'Leetcode分类顺序表'!A:A = B271), 1, 10000000),IFERROR(FILTER(Algoexpert.io!B:D,Algoexpert.io!A:A = B271),FILTER('Leetcode List'!B:J,'Leetcode List'!A:A = B271))))"),"")</f>
        <v/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>
      <c r="A272" s="22"/>
      <c r="B272" s="20"/>
      <c r="C272" s="20" t="str">
        <f>IFERROR(__xludf.DUMMYFUNCTION("IF(ISBLANK(B272),,IFERROR(array_constrain(FILTER('Leetcode分类顺序表'!B:J,'Leetcode分类顺序表'!A:A = B272), 1, 10000000),IFERROR(FILTER(Algoexpert.io!B:D,Algoexpert.io!A:A = B272),FILTER('Leetcode List'!B:J,'Leetcode List'!A:A = B272))))"),"")</f>
        <v/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>
      <c r="A273" s="22"/>
      <c r="B273" s="20"/>
      <c r="C273" s="20" t="str">
        <f>IFERROR(__xludf.DUMMYFUNCTION("IF(ISBLANK(B273),,IFERROR(array_constrain(FILTER('Leetcode分类顺序表'!B:J,'Leetcode分类顺序表'!A:A = B273), 1, 10000000),IFERROR(FILTER(Algoexpert.io!B:D,Algoexpert.io!A:A = B273),FILTER('Leetcode List'!B:J,'Leetcode List'!A:A = B273))))"),"")</f>
        <v/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>
      <c r="A274" s="22"/>
      <c r="B274" s="20"/>
      <c r="C274" s="20" t="str">
        <f>IFERROR(__xludf.DUMMYFUNCTION("IF(ISBLANK(B274),,IFERROR(array_constrain(FILTER('Leetcode分类顺序表'!B:J,'Leetcode分类顺序表'!A:A = B274), 1, 10000000),IFERROR(FILTER(Algoexpert.io!B:D,Algoexpert.io!A:A = B274),FILTER('Leetcode List'!B:J,'Leetcode List'!A:A = B274))))"),"")</f>
        <v/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>
      <c r="A275" s="22"/>
      <c r="B275" s="20"/>
      <c r="C275" s="20" t="str">
        <f>IFERROR(__xludf.DUMMYFUNCTION("IF(ISBLANK(B275),,IFERROR(array_constrain(FILTER('Leetcode分类顺序表'!B:J,'Leetcode分类顺序表'!A:A = B275), 1, 10000000),IFERROR(FILTER(Algoexpert.io!B:D,Algoexpert.io!A:A = B275),FILTER('Leetcode List'!B:J,'Leetcode List'!A:A = B275))))"),"")</f>
        <v/>
      </c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>
      <c r="A276" s="22"/>
      <c r="B276" s="20"/>
      <c r="C276" s="20" t="str">
        <f>IFERROR(__xludf.DUMMYFUNCTION("IF(ISBLANK(B276),,IFERROR(array_constrain(FILTER('Leetcode分类顺序表'!B:J,'Leetcode分类顺序表'!A:A = B276), 1, 10000000),IFERROR(FILTER(Algoexpert.io!B:D,Algoexpert.io!A:A = B276),FILTER('Leetcode List'!B:J,'Leetcode List'!A:A = B276))))"),"")</f>
        <v/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>
      <c r="A277" s="22"/>
      <c r="B277" s="20"/>
      <c r="C277" s="20" t="str">
        <f>IFERROR(__xludf.DUMMYFUNCTION("IF(ISBLANK(B277),,IFERROR(array_constrain(FILTER('Leetcode分类顺序表'!B:J,'Leetcode分类顺序表'!A:A = B277), 1, 10000000),IFERROR(FILTER(Algoexpert.io!B:D,Algoexpert.io!A:A = B277),FILTER('Leetcode List'!B:J,'Leetcode List'!A:A = B277))))"),"")</f>
        <v/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>
      <c r="A278" s="22"/>
      <c r="B278" s="20"/>
      <c r="C278" s="20" t="str">
        <f>IFERROR(__xludf.DUMMYFUNCTION("IF(ISBLANK(B278),,IFERROR(array_constrain(FILTER('Leetcode分类顺序表'!B:J,'Leetcode分类顺序表'!A:A = B278), 1, 10000000),IFERROR(FILTER(Algoexpert.io!B:D,Algoexpert.io!A:A = B278),FILTER('Leetcode List'!B:J,'Leetcode List'!A:A = B278))))"),"")</f>
        <v/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>
      <c r="A279" s="22"/>
      <c r="B279" s="20"/>
      <c r="C279" s="20" t="str">
        <f>IFERROR(__xludf.DUMMYFUNCTION("IF(ISBLANK(B279),,IFERROR(array_constrain(FILTER('Leetcode分类顺序表'!B:J,'Leetcode分类顺序表'!A:A = B279), 1, 10000000),IFERROR(FILTER(Algoexpert.io!B:D,Algoexpert.io!A:A = B279),FILTER('Leetcode List'!B:J,'Leetcode List'!A:A = B279))))"),"")</f>
        <v/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>
      <c r="A280" s="22"/>
      <c r="B280" s="20"/>
      <c r="C280" s="20" t="str">
        <f>IFERROR(__xludf.DUMMYFUNCTION("IF(ISBLANK(B280),,IFERROR(array_constrain(FILTER('Leetcode分类顺序表'!B:J,'Leetcode分类顺序表'!A:A = B280), 1, 10000000),IFERROR(FILTER(Algoexpert.io!B:D,Algoexpert.io!A:A = B280),FILTER('Leetcode List'!B:J,'Leetcode List'!A:A = B280))))"),"")</f>
        <v/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>
      <c r="A281" s="22"/>
      <c r="B281" s="20"/>
      <c r="C281" s="20" t="str">
        <f>IFERROR(__xludf.DUMMYFUNCTION("IF(ISBLANK(B281),,IFERROR(array_constrain(FILTER('Leetcode分类顺序表'!B:J,'Leetcode分类顺序表'!A:A = B281), 1, 10000000),IFERROR(FILTER(Algoexpert.io!B:D,Algoexpert.io!A:A = B281),FILTER('Leetcode List'!B:J,'Leetcode List'!A:A = B281))))"),"")</f>
        <v/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>
      <c r="A282" s="22"/>
      <c r="B282" s="20"/>
      <c r="C282" s="20" t="str">
        <f>IFERROR(__xludf.DUMMYFUNCTION("IF(ISBLANK(B282),,IFERROR(array_constrain(FILTER('Leetcode分类顺序表'!B:J,'Leetcode分类顺序表'!A:A = B282), 1, 10000000),IFERROR(FILTER(Algoexpert.io!B:D,Algoexpert.io!A:A = B282),FILTER('Leetcode List'!B:J,'Leetcode List'!A:A = B282))))"),"")</f>
        <v/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>
      <c r="A283" s="22"/>
      <c r="B283" s="20"/>
      <c r="C283" s="20" t="str">
        <f>IFERROR(__xludf.DUMMYFUNCTION("IF(ISBLANK(B283),,IFERROR(array_constrain(FILTER('Leetcode分类顺序表'!B:J,'Leetcode分类顺序表'!A:A = B283), 1, 10000000),IFERROR(FILTER(Algoexpert.io!B:D,Algoexpert.io!A:A = B283),FILTER('Leetcode List'!B:J,'Leetcode List'!A:A = B283))))"),"")</f>
        <v/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>
      <c r="A284" s="22"/>
      <c r="B284" s="20"/>
      <c r="C284" s="20" t="str">
        <f>IFERROR(__xludf.DUMMYFUNCTION("IF(ISBLANK(B284),,IFERROR(array_constrain(FILTER('Leetcode分类顺序表'!B:J,'Leetcode分类顺序表'!A:A = B284), 1, 10000000),IFERROR(FILTER(Algoexpert.io!B:D,Algoexpert.io!A:A = B284),FILTER('Leetcode List'!B:J,'Leetcode List'!A:A = B284))))"),"")</f>
        <v/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>
      <c r="A285" s="22"/>
      <c r="B285" s="20"/>
      <c r="C285" s="20" t="str">
        <f>IFERROR(__xludf.DUMMYFUNCTION("IF(ISBLANK(B285),,IFERROR(array_constrain(FILTER('Leetcode分类顺序表'!B:J,'Leetcode分类顺序表'!A:A = B285), 1, 10000000),IFERROR(FILTER(Algoexpert.io!B:D,Algoexpert.io!A:A = B285),FILTER('Leetcode List'!B:J,'Leetcode List'!A:A = B285))))"),"")</f>
        <v/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>
      <c r="A286" s="22"/>
      <c r="B286" s="20"/>
      <c r="C286" s="20" t="str">
        <f>IFERROR(__xludf.DUMMYFUNCTION("IF(ISBLANK(B286),,IFERROR(array_constrain(FILTER('Leetcode分类顺序表'!B:J,'Leetcode分类顺序表'!A:A = B286), 1, 10000000),IFERROR(FILTER(Algoexpert.io!B:D,Algoexpert.io!A:A = B286),FILTER('Leetcode List'!B:J,'Leetcode List'!A:A = B286))))"),"")</f>
        <v/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>
      <c r="A287" s="22"/>
      <c r="B287" s="20"/>
      <c r="C287" s="20" t="str">
        <f>IFERROR(__xludf.DUMMYFUNCTION("IF(ISBLANK(B287),,IFERROR(array_constrain(FILTER('Leetcode分类顺序表'!B:J,'Leetcode分类顺序表'!A:A = B287), 1, 10000000),IFERROR(FILTER(Algoexpert.io!B:D,Algoexpert.io!A:A = B287),FILTER('Leetcode List'!B:J,'Leetcode List'!A:A = B287))))"),"")</f>
        <v/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>
      <c r="A288" s="22"/>
      <c r="B288" s="20"/>
      <c r="C288" s="20" t="str">
        <f>IFERROR(__xludf.DUMMYFUNCTION("IF(ISBLANK(B288),,IFERROR(array_constrain(FILTER('Leetcode分类顺序表'!B:J,'Leetcode分类顺序表'!A:A = B288), 1, 10000000),IFERROR(FILTER(Algoexpert.io!B:D,Algoexpert.io!A:A = B288),FILTER('Leetcode List'!B:J,'Leetcode List'!A:A = B288))))"),"")</f>
        <v/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>
      <c r="A289" s="22"/>
      <c r="B289" s="20"/>
      <c r="C289" s="20" t="str">
        <f>IFERROR(__xludf.DUMMYFUNCTION("IF(ISBLANK(B289),,IFERROR(array_constrain(FILTER('Leetcode分类顺序表'!B:J,'Leetcode分类顺序表'!A:A = B289), 1, 10000000),IFERROR(FILTER(Algoexpert.io!B:D,Algoexpert.io!A:A = B289),FILTER('Leetcode List'!B:J,'Leetcode List'!A:A = B289))))"),"")</f>
        <v/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>
      <c r="A290" s="22"/>
      <c r="B290" s="20"/>
      <c r="C290" s="20" t="str">
        <f>IFERROR(__xludf.DUMMYFUNCTION("IF(ISBLANK(B290),,IFERROR(array_constrain(FILTER('Leetcode分类顺序表'!B:J,'Leetcode分类顺序表'!A:A = B290), 1, 10000000),IFERROR(FILTER(Algoexpert.io!B:D,Algoexpert.io!A:A = B290),FILTER('Leetcode List'!B:J,'Leetcode List'!A:A = B290))))"),"")</f>
        <v/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>
      <c r="A291" s="22"/>
      <c r="B291" s="20"/>
      <c r="C291" s="20" t="str">
        <f>IFERROR(__xludf.DUMMYFUNCTION("IF(ISBLANK(B291),,IFERROR(array_constrain(FILTER('Leetcode分类顺序表'!B:J,'Leetcode分类顺序表'!A:A = B291), 1, 10000000),IFERROR(FILTER(Algoexpert.io!B:D,Algoexpert.io!A:A = B291),FILTER('Leetcode List'!B:J,'Leetcode List'!A:A = B291))))"),"")</f>
        <v/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>
      <c r="A292" s="22"/>
      <c r="B292" s="20"/>
      <c r="C292" s="20" t="str">
        <f>IFERROR(__xludf.DUMMYFUNCTION("IF(ISBLANK(B292),,IFERROR(array_constrain(FILTER('Leetcode分类顺序表'!B:J,'Leetcode分类顺序表'!A:A = B292), 1, 10000000),IFERROR(FILTER(Algoexpert.io!B:D,Algoexpert.io!A:A = B292),FILTER('Leetcode List'!B:J,'Leetcode List'!A:A = B292))))"),"")</f>
        <v/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>
      <c r="A293" s="22"/>
      <c r="B293" s="20"/>
      <c r="C293" s="20" t="str">
        <f>IFERROR(__xludf.DUMMYFUNCTION("IF(ISBLANK(B293),,IFERROR(array_constrain(FILTER('Leetcode分类顺序表'!B:J,'Leetcode分类顺序表'!A:A = B293), 1, 10000000),IFERROR(FILTER(Algoexpert.io!B:D,Algoexpert.io!A:A = B293),FILTER('Leetcode List'!B:J,'Leetcode List'!A:A = B293))))"),"")</f>
        <v/>
      </c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>
      <c r="A294" s="22"/>
      <c r="B294" s="20"/>
      <c r="C294" s="20" t="str">
        <f>IFERROR(__xludf.DUMMYFUNCTION("IF(ISBLANK(B294),,IFERROR(array_constrain(FILTER('Leetcode分类顺序表'!B:J,'Leetcode分类顺序表'!A:A = B294), 1, 10000000),IFERROR(FILTER(Algoexpert.io!B:D,Algoexpert.io!A:A = B294),FILTER('Leetcode List'!B:J,'Leetcode List'!A:A = B294))))"),"")</f>
        <v/>
      </c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>
      <c r="A295" s="22"/>
      <c r="B295" s="20"/>
      <c r="C295" s="20" t="str">
        <f>IFERROR(__xludf.DUMMYFUNCTION("IF(ISBLANK(B295),,IFERROR(array_constrain(FILTER('Leetcode分类顺序表'!B:J,'Leetcode分类顺序表'!A:A = B295), 1, 10000000),IFERROR(FILTER(Algoexpert.io!B:D,Algoexpert.io!A:A = B295),FILTER('Leetcode List'!B:J,'Leetcode List'!A:A = B295))))"),"")</f>
        <v/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>
      <c r="A296" s="22"/>
      <c r="B296" s="20"/>
      <c r="C296" s="20" t="str">
        <f>IFERROR(__xludf.DUMMYFUNCTION("IF(ISBLANK(B296),,IFERROR(array_constrain(FILTER('Leetcode分类顺序表'!B:J,'Leetcode分类顺序表'!A:A = B296), 1, 10000000),IFERROR(FILTER(Algoexpert.io!B:D,Algoexpert.io!A:A = B296),FILTER('Leetcode List'!B:J,'Leetcode List'!A:A = B296))))"),"")</f>
        <v/>
      </c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>
      <c r="A297" s="22"/>
      <c r="B297" s="20"/>
      <c r="C297" s="20" t="str">
        <f>IFERROR(__xludf.DUMMYFUNCTION("IF(ISBLANK(B297),,IFERROR(array_constrain(FILTER('Leetcode分类顺序表'!B:J,'Leetcode分类顺序表'!A:A = B297), 1, 10000000),IFERROR(FILTER(Algoexpert.io!B:D,Algoexpert.io!A:A = B297),FILTER('Leetcode List'!B:J,'Leetcode List'!A:A = B297))))"),"")</f>
        <v/>
      </c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>
      <c r="A298" s="22"/>
      <c r="B298" s="20"/>
      <c r="C298" s="20" t="str">
        <f>IFERROR(__xludf.DUMMYFUNCTION("IF(ISBLANK(B298),,IFERROR(array_constrain(FILTER('Leetcode分类顺序表'!B:J,'Leetcode分类顺序表'!A:A = B298), 1, 10000000),IFERROR(FILTER(Algoexpert.io!B:D,Algoexpert.io!A:A = B298),FILTER('Leetcode List'!B:J,'Leetcode List'!A:A = B298))))"),"")</f>
        <v/>
      </c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>
      <c r="A299" s="22"/>
      <c r="B299" s="20"/>
      <c r="C299" s="20" t="str">
        <f>IFERROR(__xludf.DUMMYFUNCTION("IF(ISBLANK(B299),,IFERROR(array_constrain(FILTER('Leetcode分类顺序表'!B:J,'Leetcode分类顺序表'!A:A = B299), 1, 10000000),IFERROR(FILTER(Algoexpert.io!B:D,Algoexpert.io!A:A = B299),FILTER('Leetcode List'!B:J,'Leetcode List'!A:A = B299))))"),"")</f>
        <v/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>
      <c r="A300" s="22"/>
      <c r="B300" s="20"/>
      <c r="C300" s="20" t="str">
        <f>IFERROR(__xludf.DUMMYFUNCTION("IF(ISBLANK(B300),,IFERROR(array_constrain(FILTER('Leetcode分类顺序表'!B:J,'Leetcode分类顺序表'!A:A = B300), 1, 10000000),IFERROR(FILTER(Algoexpert.io!B:D,Algoexpert.io!A:A = B300),FILTER('Leetcode List'!B:J,'Leetcode List'!A:A = B300))))"),"")</f>
        <v/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>
      <c r="A301" s="22"/>
      <c r="B301" s="20"/>
      <c r="C301" s="20" t="str">
        <f>IFERROR(__xludf.DUMMYFUNCTION("IF(ISBLANK(B301),,IFERROR(array_constrain(FILTER('Leetcode分类顺序表'!B:J,'Leetcode分类顺序表'!A:A = B301), 1, 10000000),IFERROR(FILTER(Algoexpert.io!B:D,Algoexpert.io!A:A = B301),FILTER('Leetcode List'!B:J,'Leetcode List'!A:A = B301))))"),"")</f>
        <v/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>
      <c r="A302" s="22"/>
      <c r="B302" s="20"/>
      <c r="C302" s="20" t="str">
        <f>IFERROR(__xludf.DUMMYFUNCTION("IF(ISBLANK(B302),,IFERROR(array_constrain(FILTER('Leetcode分类顺序表'!B:J,'Leetcode分类顺序表'!A:A = B302), 1, 10000000),IFERROR(FILTER(Algoexpert.io!B:D,Algoexpert.io!A:A = B302),FILTER('Leetcode List'!B:J,'Leetcode List'!A:A = B302))))"),"")</f>
        <v/>
      </c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>
      <c r="A303" s="22"/>
      <c r="B303" s="20"/>
      <c r="C303" s="20" t="str">
        <f>IFERROR(__xludf.DUMMYFUNCTION("IF(ISBLANK(B303),,IFERROR(array_constrain(FILTER('Leetcode分类顺序表'!B:J,'Leetcode分类顺序表'!A:A = B303), 1, 10000000),IFERROR(FILTER(Algoexpert.io!B:D,Algoexpert.io!A:A = B303),FILTER('Leetcode List'!B:J,'Leetcode List'!A:A = B303))))"),"")</f>
        <v/>
      </c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>
      <c r="A304" s="22"/>
      <c r="B304" s="20"/>
      <c r="C304" s="20" t="str">
        <f>IFERROR(__xludf.DUMMYFUNCTION("IF(ISBLANK(B304),,IFERROR(array_constrain(FILTER('Leetcode分类顺序表'!B:J,'Leetcode分类顺序表'!A:A = B304), 1, 10000000),IFERROR(FILTER(Algoexpert.io!B:D,Algoexpert.io!A:A = B304),FILTER('Leetcode List'!B:J,'Leetcode List'!A:A = B304))))"),"")</f>
        <v/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>
      <c r="A305" s="22"/>
      <c r="B305" s="20"/>
      <c r="C305" s="20" t="str">
        <f>IFERROR(__xludf.DUMMYFUNCTION("IF(ISBLANK(B305),,IFERROR(array_constrain(FILTER('Leetcode分类顺序表'!B:J,'Leetcode分类顺序表'!A:A = B305), 1, 10000000),IFERROR(FILTER(Algoexpert.io!B:D,Algoexpert.io!A:A = B305),FILTER('Leetcode List'!B:J,'Leetcode List'!A:A = B305))))"),"")</f>
        <v/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>
      <c r="A306" s="22"/>
      <c r="B306" s="20"/>
      <c r="C306" s="20" t="str">
        <f>IFERROR(__xludf.DUMMYFUNCTION("IF(ISBLANK(B306),,IFERROR(array_constrain(FILTER('Leetcode分类顺序表'!B:J,'Leetcode分类顺序表'!A:A = B306), 1, 10000000),IFERROR(FILTER(Algoexpert.io!B:D,Algoexpert.io!A:A = B306),FILTER('Leetcode List'!B:J,'Leetcode List'!A:A = B306))))"),"")</f>
        <v/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>
      <c r="A307" s="22"/>
      <c r="B307" s="20"/>
      <c r="C307" s="20" t="str">
        <f>IFERROR(__xludf.DUMMYFUNCTION("IF(ISBLANK(B307),,IFERROR(array_constrain(FILTER('Leetcode分类顺序表'!B:J,'Leetcode分类顺序表'!A:A = B307), 1, 10000000),IFERROR(FILTER(Algoexpert.io!B:D,Algoexpert.io!A:A = B307),FILTER('Leetcode List'!B:J,'Leetcode List'!A:A = B307))))"),"")</f>
        <v/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>
      <c r="A308" s="22"/>
      <c r="B308" s="20"/>
      <c r="C308" s="20" t="str">
        <f>IFERROR(__xludf.DUMMYFUNCTION("IF(ISBLANK(B308),,IFERROR(array_constrain(FILTER('Leetcode分类顺序表'!B:J,'Leetcode分类顺序表'!A:A = B308), 1, 10000000),IFERROR(FILTER(Algoexpert.io!B:D,Algoexpert.io!A:A = B308),FILTER('Leetcode List'!B:J,'Leetcode List'!A:A = B308))))"),"")</f>
        <v/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>
      <c r="A309" s="22"/>
      <c r="B309" s="20"/>
      <c r="C309" s="20" t="str">
        <f>IFERROR(__xludf.DUMMYFUNCTION("IF(ISBLANK(B309),,IFERROR(array_constrain(FILTER('Leetcode分类顺序表'!B:J,'Leetcode分类顺序表'!A:A = B309), 1, 10000000),IFERROR(FILTER(Algoexpert.io!B:D,Algoexpert.io!A:A = B309),FILTER('Leetcode List'!B:J,'Leetcode List'!A:A = B309))))"),"")</f>
        <v/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>
      <c r="A310" s="22"/>
      <c r="B310" s="20"/>
      <c r="C310" s="20" t="str">
        <f>IFERROR(__xludf.DUMMYFUNCTION("IF(ISBLANK(B310),,IFERROR(array_constrain(FILTER('Leetcode分类顺序表'!B:J,'Leetcode分类顺序表'!A:A = B310), 1, 10000000),IFERROR(FILTER(Algoexpert.io!B:D,Algoexpert.io!A:A = B310),FILTER('Leetcode List'!B:J,'Leetcode List'!A:A = B310))))"),"")</f>
        <v/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>
      <c r="A311" s="22"/>
      <c r="B311" s="20"/>
      <c r="C311" s="20" t="str">
        <f>IFERROR(__xludf.DUMMYFUNCTION("IF(ISBLANK(B311),,IFERROR(array_constrain(FILTER('Leetcode分类顺序表'!B:J,'Leetcode分类顺序表'!A:A = B311), 1, 10000000),IFERROR(FILTER(Algoexpert.io!B:D,Algoexpert.io!A:A = B311),FILTER('Leetcode List'!B:J,'Leetcode List'!A:A = B311))))"),"")</f>
        <v/>
      </c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>
      <c r="A312" s="22"/>
      <c r="B312" s="20"/>
      <c r="C312" s="20" t="str">
        <f>IFERROR(__xludf.DUMMYFUNCTION("IF(ISBLANK(B312),,IFERROR(array_constrain(FILTER('Leetcode分类顺序表'!B:J,'Leetcode分类顺序表'!A:A = B312), 1, 10000000),IFERROR(FILTER(Algoexpert.io!B:D,Algoexpert.io!A:A = B312),FILTER('Leetcode List'!B:J,'Leetcode List'!A:A = B312))))"),"")</f>
        <v/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>
      <c r="A313" s="22"/>
      <c r="B313" s="20"/>
      <c r="C313" s="20" t="str">
        <f>IFERROR(__xludf.DUMMYFUNCTION("IF(ISBLANK(B313),,IFERROR(array_constrain(FILTER('Leetcode分类顺序表'!B:J,'Leetcode分类顺序表'!A:A = B313), 1, 10000000),IFERROR(FILTER(Algoexpert.io!B:D,Algoexpert.io!A:A = B313),FILTER('Leetcode List'!B:J,'Leetcode List'!A:A = B313))))"),"")</f>
        <v/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>
      <c r="A314" s="22"/>
      <c r="B314" s="20"/>
      <c r="C314" s="20" t="str">
        <f>IFERROR(__xludf.DUMMYFUNCTION("IF(ISBLANK(B314),,IFERROR(array_constrain(FILTER('Leetcode分类顺序表'!B:J,'Leetcode分类顺序表'!A:A = B314), 1, 10000000),IFERROR(FILTER(Algoexpert.io!B:D,Algoexpert.io!A:A = B314),FILTER('Leetcode List'!B:J,'Leetcode List'!A:A = B314))))"),"")</f>
        <v/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>
      <c r="A315" s="22"/>
      <c r="B315" s="20"/>
      <c r="C315" s="20" t="str">
        <f>IFERROR(__xludf.DUMMYFUNCTION("IF(ISBLANK(B315),,IFERROR(array_constrain(FILTER('Leetcode分类顺序表'!B:J,'Leetcode分类顺序表'!A:A = B315), 1, 10000000),IFERROR(FILTER(Algoexpert.io!B:D,Algoexpert.io!A:A = B315),FILTER('Leetcode List'!B:J,'Leetcode List'!A:A = B315))))"),"")</f>
        <v/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>
      <c r="A316" s="22"/>
      <c r="B316" s="20"/>
      <c r="C316" s="20" t="str">
        <f>IFERROR(__xludf.DUMMYFUNCTION("IF(ISBLANK(B316),,IFERROR(array_constrain(FILTER('Leetcode分类顺序表'!B:J,'Leetcode分类顺序表'!A:A = B316), 1, 10000000),IFERROR(FILTER(Algoexpert.io!B:D,Algoexpert.io!A:A = B316),FILTER('Leetcode List'!B:J,'Leetcode List'!A:A = B316))))"),"")</f>
        <v/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>
      <c r="A317" s="22"/>
      <c r="B317" s="20"/>
      <c r="C317" s="20" t="str">
        <f>IFERROR(__xludf.DUMMYFUNCTION("IF(ISBLANK(B317),,IFERROR(array_constrain(FILTER('Leetcode分类顺序表'!B:J,'Leetcode分类顺序表'!A:A = B317), 1, 10000000),IFERROR(FILTER(Algoexpert.io!B:D,Algoexpert.io!A:A = B317),FILTER('Leetcode List'!B:J,'Leetcode List'!A:A = B317))))"),"")</f>
        <v/>
      </c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>
      <c r="A318" s="22"/>
      <c r="B318" s="20"/>
      <c r="C318" s="20" t="str">
        <f>IFERROR(__xludf.DUMMYFUNCTION("IF(ISBLANK(B318),,IFERROR(array_constrain(FILTER('Leetcode分类顺序表'!B:J,'Leetcode分类顺序表'!A:A = B318), 1, 10000000),IFERROR(FILTER(Algoexpert.io!B:D,Algoexpert.io!A:A = B318),FILTER('Leetcode List'!B:J,'Leetcode List'!A:A = B318))))"),"")</f>
        <v/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>
      <c r="A319" s="22"/>
      <c r="B319" s="20"/>
      <c r="C319" s="20" t="str">
        <f>IFERROR(__xludf.DUMMYFUNCTION("IF(ISBLANK(B319),,IFERROR(array_constrain(FILTER('Leetcode分类顺序表'!B:J,'Leetcode分类顺序表'!A:A = B319), 1, 10000000),IFERROR(FILTER(Algoexpert.io!B:D,Algoexpert.io!A:A = B319),FILTER('Leetcode List'!B:J,'Leetcode List'!A:A = B319))))"),"")</f>
        <v/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>
      <c r="A320" s="22"/>
      <c r="B320" s="20"/>
      <c r="C320" s="20" t="str">
        <f>IFERROR(__xludf.DUMMYFUNCTION("IF(ISBLANK(B320),,IFERROR(array_constrain(FILTER('Leetcode分类顺序表'!B:J,'Leetcode分类顺序表'!A:A = B320), 1, 10000000),IFERROR(FILTER(Algoexpert.io!B:D,Algoexpert.io!A:A = B320),FILTER('Leetcode List'!B:J,'Leetcode List'!A:A = B320))))"),"")</f>
        <v/>
      </c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>
      <c r="A321" s="22"/>
      <c r="B321" s="20"/>
      <c r="C321" s="20" t="str">
        <f>IFERROR(__xludf.DUMMYFUNCTION("IF(ISBLANK(B321),,IFERROR(array_constrain(FILTER('Leetcode分类顺序表'!B:J,'Leetcode分类顺序表'!A:A = B321), 1, 10000000),IFERROR(FILTER(Algoexpert.io!B:D,Algoexpert.io!A:A = B321),FILTER('Leetcode List'!B:J,'Leetcode List'!A:A = B321))))"),"")</f>
        <v/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>
      <c r="A322" s="22"/>
      <c r="B322" s="20"/>
      <c r="C322" s="20" t="str">
        <f>IFERROR(__xludf.DUMMYFUNCTION("IF(ISBLANK(B322),,IFERROR(array_constrain(FILTER('Leetcode分类顺序表'!B:J,'Leetcode分类顺序表'!A:A = B322), 1, 10000000),IFERROR(FILTER(Algoexpert.io!B:D,Algoexpert.io!A:A = B322),FILTER('Leetcode List'!B:J,'Leetcode List'!A:A = B322))))"),"")</f>
        <v/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>
      <c r="A323" s="22"/>
      <c r="B323" s="20"/>
      <c r="C323" s="20" t="str">
        <f>IFERROR(__xludf.DUMMYFUNCTION("IF(ISBLANK(B323),,IFERROR(array_constrain(FILTER('Leetcode分类顺序表'!B:J,'Leetcode分类顺序表'!A:A = B323), 1, 10000000),IFERROR(FILTER(Algoexpert.io!B:D,Algoexpert.io!A:A = B323),FILTER('Leetcode List'!B:J,'Leetcode List'!A:A = B323))))"),"")</f>
        <v/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>
      <c r="A324" s="22"/>
      <c r="B324" s="20"/>
      <c r="C324" s="20" t="str">
        <f>IFERROR(__xludf.DUMMYFUNCTION("IF(ISBLANK(B324),,IFERROR(array_constrain(FILTER('Leetcode分类顺序表'!B:J,'Leetcode分类顺序表'!A:A = B324), 1, 10000000),IFERROR(FILTER(Algoexpert.io!B:D,Algoexpert.io!A:A = B324),FILTER('Leetcode List'!B:J,'Leetcode List'!A:A = B324))))"),"")</f>
        <v/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>
      <c r="A325" s="22"/>
      <c r="B325" s="20"/>
      <c r="C325" s="20" t="str">
        <f>IFERROR(__xludf.DUMMYFUNCTION("IF(ISBLANK(B325),,IFERROR(array_constrain(FILTER('Leetcode分类顺序表'!B:J,'Leetcode分类顺序表'!A:A = B325), 1, 10000000),IFERROR(FILTER(Algoexpert.io!B:D,Algoexpert.io!A:A = B325),FILTER('Leetcode List'!B:J,'Leetcode List'!A:A = B325))))"),"")</f>
        <v/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>
      <c r="A326" s="22"/>
      <c r="B326" s="20"/>
      <c r="C326" s="20" t="str">
        <f>IFERROR(__xludf.DUMMYFUNCTION("IF(ISBLANK(B326),,IFERROR(array_constrain(FILTER('Leetcode分类顺序表'!B:J,'Leetcode分类顺序表'!A:A = B326), 1, 10000000),IFERROR(FILTER(Algoexpert.io!B:D,Algoexpert.io!A:A = B326),FILTER('Leetcode List'!B:J,'Leetcode List'!A:A = B326))))"),"")</f>
        <v/>
      </c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>
      <c r="A327" s="22"/>
      <c r="B327" s="20"/>
      <c r="C327" s="20" t="str">
        <f>IFERROR(__xludf.DUMMYFUNCTION("IF(ISBLANK(B327),,IFERROR(array_constrain(FILTER('Leetcode分类顺序表'!B:J,'Leetcode分类顺序表'!A:A = B327), 1, 10000000),IFERROR(FILTER(Algoexpert.io!B:D,Algoexpert.io!A:A = B327),FILTER('Leetcode List'!B:J,'Leetcode List'!A:A = B327))))"),"")</f>
        <v/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>
      <c r="A328" s="22"/>
      <c r="B328" s="20"/>
      <c r="C328" s="20" t="str">
        <f>IFERROR(__xludf.DUMMYFUNCTION("IF(ISBLANK(B328),,IFERROR(array_constrain(FILTER('Leetcode分类顺序表'!B:J,'Leetcode分类顺序表'!A:A = B328), 1, 10000000),IFERROR(FILTER(Algoexpert.io!B:D,Algoexpert.io!A:A = B328),FILTER('Leetcode List'!B:J,'Leetcode List'!A:A = B328))))"),"")</f>
        <v/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>
      <c r="A329" s="22"/>
      <c r="B329" s="20"/>
      <c r="C329" s="20" t="str">
        <f>IFERROR(__xludf.DUMMYFUNCTION("IF(ISBLANK(B329),,IFERROR(array_constrain(FILTER('Leetcode分类顺序表'!B:J,'Leetcode分类顺序表'!A:A = B329), 1, 10000000),IFERROR(FILTER(Algoexpert.io!B:D,Algoexpert.io!A:A = B329),FILTER('Leetcode List'!B:J,'Leetcode List'!A:A = B329))))"),"")</f>
        <v/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>
      <c r="A330" s="22"/>
      <c r="B330" s="20"/>
      <c r="C330" s="20" t="str">
        <f>IFERROR(__xludf.DUMMYFUNCTION("IF(ISBLANK(B330),,IFERROR(array_constrain(FILTER('Leetcode分类顺序表'!B:J,'Leetcode分类顺序表'!A:A = B330), 1, 10000000),IFERROR(FILTER(Algoexpert.io!B:D,Algoexpert.io!A:A = B330),FILTER('Leetcode List'!B:J,'Leetcode List'!A:A = B330))))"),"")</f>
        <v/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>
      <c r="A331" s="22"/>
      <c r="B331" s="20"/>
      <c r="C331" s="20" t="str">
        <f>IFERROR(__xludf.DUMMYFUNCTION("IF(ISBLANK(B331),,IFERROR(array_constrain(FILTER('Leetcode分类顺序表'!B:J,'Leetcode分类顺序表'!A:A = B331), 1, 10000000),IFERROR(FILTER(Algoexpert.io!B:D,Algoexpert.io!A:A = B331),FILTER('Leetcode List'!B:J,'Leetcode List'!A:A = B331))))"),"")</f>
        <v/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>
      <c r="A332" s="22"/>
      <c r="B332" s="20"/>
      <c r="C332" s="20" t="str">
        <f>IFERROR(__xludf.DUMMYFUNCTION("IF(ISBLANK(B332),,IFERROR(array_constrain(FILTER('Leetcode分类顺序表'!B:J,'Leetcode分类顺序表'!A:A = B332), 1, 10000000),IFERROR(FILTER(Algoexpert.io!B:D,Algoexpert.io!A:A = B332),FILTER('Leetcode List'!B:J,'Leetcode List'!A:A = B332))))"),"")</f>
        <v/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>
      <c r="A333" s="22"/>
      <c r="B333" s="20"/>
      <c r="C333" s="20" t="str">
        <f>IFERROR(__xludf.DUMMYFUNCTION("IF(ISBLANK(B333),,IFERROR(array_constrain(FILTER('Leetcode分类顺序表'!B:J,'Leetcode分类顺序表'!A:A = B333), 1, 10000000),IFERROR(FILTER(Algoexpert.io!B:D,Algoexpert.io!A:A = B333),FILTER('Leetcode List'!B:J,'Leetcode List'!A:A = B333))))"),"")</f>
        <v/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>
      <c r="A334" s="22"/>
      <c r="B334" s="20"/>
      <c r="C334" s="20" t="str">
        <f>IFERROR(__xludf.DUMMYFUNCTION("IF(ISBLANK(B334),,IFERROR(array_constrain(FILTER('Leetcode分类顺序表'!B:J,'Leetcode分类顺序表'!A:A = B334), 1, 10000000),IFERROR(FILTER(Algoexpert.io!B:D,Algoexpert.io!A:A = B334),FILTER('Leetcode List'!B:J,'Leetcode List'!A:A = B334))))"),"")</f>
        <v/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>
      <c r="A335" s="22"/>
      <c r="B335" s="20"/>
      <c r="C335" s="20" t="str">
        <f>IFERROR(__xludf.DUMMYFUNCTION("IF(ISBLANK(B335),,IFERROR(array_constrain(FILTER('Leetcode分类顺序表'!B:J,'Leetcode分类顺序表'!A:A = B335), 1, 10000000),IFERROR(FILTER(Algoexpert.io!B:D,Algoexpert.io!A:A = B335),FILTER('Leetcode List'!B:J,'Leetcode List'!A:A = B335))))"),"")</f>
        <v/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>
      <c r="A336" s="22"/>
      <c r="B336" s="20"/>
      <c r="C336" s="20" t="str">
        <f>IFERROR(__xludf.DUMMYFUNCTION("IF(ISBLANK(B336),,IFERROR(array_constrain(FILTER('Leetcode分类顺序表'!B:J,'Leetcode分类顺序表'!A:A = B336), 1, 10000000),IFERROR(FILTER(Algoexpert.io!B:D,Algoexpert.io!A:A = B336),FILTER('Leetcode List'!B:J,'Leetcode List'!A:A = B336))))"),"")</f>
        <v/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>
      <c r="A337" s="22"/>
      <c r="B337" s="20"/>
      <c r="C337" s="20" t="str">
        <f>IFERROR(__xludf.DUMMYFUNCTION("IF(ISBLANK(B337),,IFERROR(array_constrain(FILTER('Leetcode分类顺序表'!B:J,'Leetcode分类顺序表'!A:A = B337), 1, 10000000),IFERROR(FILTER(Algoexpert.io!B:D,Algoexpert.io!A:A = B337),FILTER('Leetcode List'!B:J,'Leetcode List'!A:A = B337))))"),"")</f>
        <v/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>
      <c r="A338" s="22"/>
      <c r="B338" s="20"/>
      <c r="C338" s="20" t="str">
        <f>IFERROR(__xludf.DUMMYFUNCTION("IF(ISBLANK(B338),,IFERROR(array_constrain(FILTER('Leetcode分类顺序表'!B:J,'Leetcode分类顺序表'!A:A = B338), 1, 10000000),IFERROR(FILTER(Algoexpert.io!B:D,Algoexpert.io!A:A = B338),FILTER('Leetcode List'!B:J,'Leetcode List'!A:A = B338))))"),"")</f>
        <v/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>
      <c r="A339" s="22"/>
      <c r="B339" s="20"/>
      <c r="C339" s="20" t="str">
        <f>IFERROR(__xludf.DUMMYFUNCTION("IF(ISBLANK(B339),,IFERROR(array_constrain(FILTER('Leetcode分类顺序表'!B:J,'Leetcode分类顺序表'!A:A = B339), 1, 10000000),IFERROR(FILTER(Algoexpert.io!B:D,Algoexpert.io!A:A = B339),FILTER('Leetcode List'!B:J,'Leetcode List'!A:A = B339))))"),"")</f>
        <v/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>
      <c r="A340" s="22"/>
      <c r="B340" s="20"/>
      <c r="C340" s="20" t="str">
        <f>IFERROR(__xludf.DUMMYFUNCTION("IF(ISBLANK(B340),,IFERROR(array_constrain(FILTER('Leetcode分类顺序表'!B:J,'Leetcode分类顺序表'!A:A = B340), 1, 10000000),IFERROR(FILTER(Algoexpert.io!B:D,Algoexpert.io!A:A = B340),FILTER('Leetcode List'!B:J,'Leetcode List'!A:A = B340))))"),"")</f>
        <v/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>
      <c r="A341" s="22"/>
      <c r="B341" s="20"/>
      <c r="C341" s="20" t="str">
        <f>IFERROR(__xludf.DUMMYFUNCTION("IF(ISBLANK(B341),,IFERROR(array_constrain(FILTER('Leetcode分类顺序表'!B:J,'Leetcode分类顺序表'!A:A = B341), 1, 10000000),IFERROR(FILTER(Algoexpert.io!B:D,Algoexpert.io!A:A = B341),FILTER('Leetcode List'!B:J,'Leetcode List'!A:A = B341))))"),"")</f>
        <v/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>
      <c r="A342" s="22"/>
      <c r="B342" s="20"/>
      <c r="C342" s="20" t="str">
        <f>IFERROR(__xludf.DUMMYFUNCTION("IF(ISBLANK(B342),,IFERROR(array_constrain(FILTER('Leetcode分类顺序表'!B:J,'Leetcode分类顺序表'!A:A = B342), 1, 10000000),IFERROR(FILTER(Algoexpert.io!B:D,Algoexpert.io!A:A = B342),FILTER('Leetcode List'!B:J,'Leetcode List'!A:A = B342))))"),"")</f>
        <v/>
      </c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>
      <c r="A343" s="22"/>
      <c r="B343" s="20"/>
      <c r="C343" s="20" t="str">
        <f>IFERROR(__xludf.DUMMYFUNCTION("IF(ISBLANK(B343),,IFERROR(array_constrain(FILTER('Leetcode分类顺序表'!B:J,'Leetcode分类顺序表'!A:A = B343), 1, 10000000),IFERROR(FILTER(Algoexpert.io!B:D,Algoexpert.io!A:A = B343),FILTER('Leetcode List'!B:J,'Leetcode List'!A:A = B343))))"),"")</f>
        <v/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>
      <c r="A344" s="22"/>
      <c r="B344" s="20"/>
      <c r="C344" s="20" t="str">
        <f>IFERROR(__xludf.DUMMYFUNCTION("IF(ISBLANK(B344),,IFERROR(array_constrain(FILTER('Leetcode分类顺序表'!B:J,'Leetcode分类顺序表'!A:A = B344), 1, 10000000),IFERROR(FILTER(Algoexpert.io!B:D,Algoexpert.io!A:A = B344),FILTER('Leetcode List'!B:J,'Leetcode List'!A:A = B344))))"),"")</f>
        <v/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>
      <c r="A345" s="22"/>
      <c r="B345" s="20"/>
      <c r="C345" s="20" t="str">
        <f>IFERROR(__xludf.DUMMYFUNCTION("IF(ISBLANK(B345),,IFERROR(array_constrain(FILTER('Leetcode分类顺序表'!B:J,'Leetcode分类顺序表'!A:A = B345), 1, 10000000),IFERROR(FILTER(Algoexpert.io!B:D,Algoexpert.io!A:A = B345),FILTER('Leetcode List'!B:J,'Leetcode List'!A:A = B345))))"),"")</f>
        <v/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>
      <c r="A346" s="22"/>
      <c r="B346" s="20"/>
      <c r="C346" s="20" t="str">
        <f>IFERROR(__xludf.DUMMYFUNCTION("IF(ISBLANK(B346),,IFERROR(array_constrain(FILTER('Leetcode分类顺序表'!B:J,'Leetcode分类顺序表'!A:A = B346), 1, 10000000),IFERROR(FILTER(Algoexpert.io!B:D,Algoexpert.io!A:A = B346),FILTER('Leetcode List'!B:J,'Leetcode List'!A:A = B346))))"),"")</f>
        <v/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>
      <c r="A347" s="22"/>
      <c r="B347" s="20"/>
      <c r="C347" s="20" t="str">
        <f>IFERROR(__xludf.DUMMYFUNCTION("IF(ISBLANK(B347),,IFERROR(array_constrain(FILTER('Leetcode分类顺序表'!B:J,'Leetcode分类顺序表'!A:A = B347), 1, 10000000),IFERROR(FILTER(Algoexpert.io!B:D,Algoexpert.io!A:A = B347),FILTER('Leetcode List'!B:J,'Leetcode List'!A:A = B347))))"),"")</f>
        <v/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>
      <c r="A348" s="22"/>
      <c r="B348" s="20"/>
      <c r="C348" s="20" t="str">
        <f>IFERROR(__xludf.DUMMYFUNCTION("IF(ISBLANK(B348),,IFERROR(array_constrain(FILTER('Leetcode分类顺序表'!B:J,'Leetcode分类顺序表'!A:A = B348), 1, 10000000),IFERROR(FILTER(Algoexpert.io!B:D,Algoexpert.io!A:A = B348),FILTER('Leetcode List'!B:J,'Leetcode List'!A:A = B348))))"),"")</f>
        <v/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>
      <c r="A349" s="22"/>
      <c r="B349" s="20"/>
      <c r="C349" s="20" t="str">
        <f>IFERROR(__xludf.DUMMYFUNCTION("IF(ISBLANK(B349),,IFERROR(array_constrain(FILTER('Leetcode分类顺序表'!B:J,'Leetcode分类顺序表'!A:A = B349), 1, 10000000),IFERROR(FILTER(Algoexpert.io!B:D,Algoexpert.io!A:A = B349),FILTER('Leetcode List'!B:J,'Leetcode List'!A:A = B349))))"),"")</f>
        <v/>
      </c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>
      <c r="A350" s="22"/>
      <c r="B350" s="20"/>
      <c r="C350" s="20" t="str">
        <f>IFERROR(__xludf.DUMMYFUNCTION("IF(ISBLANK(B350),,IFERROR(array_constrain(FILTER('Leetcode分类顺序表'!B:J,'Leetcode分类顺序表'!A:A = B350), 1, 10000000),IFERROR(FILTER(Algoexpert.io!B:D,Algoexpert.io!A:A = B350),FILTER('Leetcode List'!B:J,'Leetcode List'!A:A = B350))))"),"")</f>
        <v/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>
      <c r="A351" s="22"/>
      <c r="B351" s="20"/>
      <c r="C351" s="20" t="str">
        <f>IFERROR(__xludf.DUMMYFUNCTION("IF(ISBLANK(B351),,IFERROR(array_constrain(FILTER('Leetcode分类顺序表'!B:J,'Leetcode分类顺序表'!A:A = B351), 1, 10000000),IFERROR(FILTER(Algoexpert.io!B:D,Algoexpert.io!A:A = B351),FILTER('Leetcode List'!B:J,'Leetcode List'!A:A = B351))))"),"")</f>
        <v/>
      </c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>
      <c r="A352" s="22"/>
      <c r="B352" s="20"/>
      <c r="C352" s="20" t="str">
        <f>IFERROR(__xludf.DUMMYFUNCTION("IF(ISBLANK(B352),,IFERROR(array_constrain(FILTER('Leetcode分类顺序表'!B:J,'Leetcode分类顺序表'!A:A = B352), 1, 10000000),IFERROR(FILTER(Algoexpert.io!B:D,Algoexpert.io!A:A = B352),FILTER('Leetcode List'!B:J,'Leetcode List'!A:A = B352))))"),"")</f>
        <v/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>
      <c r="A353" s="22"/>
      <c r="B353" s="20"/>
      <c r="C353" s="20" t="str">
        <f>IFERROR(__xludf.DUMMYFUNCTION("IF(ISBLANK(B353),,IFERROR(array_constrain(FILTER('Leetcode分类顺序表'!B:J,'Leetcode分类顺序表'!A:A = B353), 1, 10000000),IFERROR(FILTER(Algoexpert.io!B:D,Algoexpert.io!A:A = B353),FILTER('Leetcode List'!B:J,'Leetcode List'!A:A = B353))))"),"")</f>
        <v/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>
      <c r="A354" s="22"/>
      <c r="B354" s="20"/>
      <c r="C354" s="20" t="str">
        <f>IFERROR(__xludf.DUMMYFUNCTION("IF(ISBLANK(B354),,IFERROR(array_constrain(FILTER('Leetcode分类顺序表'!B:J,'Leetcode分类顺序表'!A:A = B354), 1, 10000000),IFERROR(FILTER(Algoexpert.io!B:D,Algoexpert.io!A:A = B354),FILTER('Leetcode List'!B:J,'Leetcode List'!A:A = B354))))"),"")</f>
        <v/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>
      <c r="A355" s="22"/>
      <c r="B355" s="20"/>
      <c r="C355" s="20" t="str">
        <f>IFERROR(__xludf.DUMMYFUNCTION("IF(ISBLANK(B355),,IFERROR(array_constrain(FILTER('Leetcode分类顺序表'!B:J,'Leetcode分类顺序表'!A:A = B355), 1, 10000000),IFERROR(FILTER(Algoexpert.io!B:D,Algoexpert.io!A:A = B355),FILTER('Leetcode List'!B:J,'Leetcode List'!A:A = B355))))"),"")</f>
        <v/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>
      <c r="A356" s="22"/>
      <c r="B356" s="20"/>
      <c r="C356" s="20" t="str">
        <f>IFERROR(__xludf.DUMMYFUNCTION("IF(ISBLANK(B356),,IFERROR(array_constrain(FILTER('Leetcode分类顺序表'!B:J,'Leetcode分类顺序表'!A:A = B356), 1, 10000000),IFERROR(FILTER(Algoexpert.io!B:D,Algoexpert.io!A:A = B356),FILTER('Leetcode List'!B:J,'Leetcode List'!A:A = B356))))"),"")</f>
        <v/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>
      <c r="A357" s="22"/>
      <c r="B357" s="20"/>
      <c r="C357" s="20" t="str">
        <f>IFERROR(__xludf.DUMMYFUNCTION("IF(ISBLANK(B357),,IFERROR(array_constrain(FILTER('Leetcode分类顺序表'!B:J,'Leetcode分类顺序表'!A:A = B357), 1, 10000000),IFERROR(FILTER(Algoexpert.io!B:D,Algoexpert.io!A:A = B357),FILTER('Leetcode List'!B:J,'Leetcode List'!A:A = B357))))"),"")</f>
        <v/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>
      <c r="A358" s="22"/>
      <c r="B358" s="20"/>
      <c r="C358" s="20" t="str">
        <f>IFERROR(__xludf.DUMMYFUNCTION("IF(ISBLANK(B358),,IFERROR(array_constrain(FILTER('Leetcode分类顺序表'!B:J,'Leetcode分类顺序表'!A:A = B358), 1, 10000000),IFERROR(FILTER(Algoexpert.io!B:D,Algoexpert.io!A:A = B358),FILTER('Leetcode List'!B:J,'Leetcode List'!A:A = B358))))"),"")</f>
        <v/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>
      <c r="A359" s="22"/>
      <c r="B359" s="20"/>
      <c r="C359" s="20" t="str">
        <f>IFERROR(__xludf.DUMMYFUNCTION("IF(ISBLANK(B359),,IFERROR(array_constrain(FILTER('Leetcode分类顺序表'!B:J,'Leetcode分类顺序表'!A:A = B359), 1, 10000000),IFERROR(FILTER(Algoexpert.io!B:D,Algoexpert.io!A:A = B359),FILTER('Leetcode List'!B:J,'Leetcode List'!A:A = B359))))"),"")</f>
        <v/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>
      <c r="A360" s="22"/>
      <c r="B360" s="20"/>
      <c r="C360" s="20" t="str">
        <f>IFERROR(__xludf.DUMMYFUNCTION("IF(ISBLANK(B360),,IFERROR(array_constrain(FILTER('Leetcode分类顺序表'!B:J,'Leetcode分类顺序表'!A:A = B360), 1, 10000000),IFERROR(FILTER(Algoexpert.io!B:D,Algoexpert.io!A:A = B360),FILTER('Leetcode List'!B:J,'Leetcode List'!A:A = B360))))"),"")</f>
        <v/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>
      <c r="A361" s="22"/>
      <c r="B361" s="20"/>
      <c r="C361" s="20" t="str">
        <f>IFERROR(__xludf.DUMMYFUNCTION("IF(ISBLANK(B361),,IFERROR(array_constrain(FILTER('Leetcode分类顺序表'!B:J,'Leetcode分类顺序表'!A:A = B361), 1, 10000000),IFERROR(FILTER(Algoexpert.io!B:D,Algoexpert.io!A:A = B361),FILTER('Leetcode List'!B:J,'Leetcode List'!A:A = B361))))"),"")</f>
        <v/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>
      <c r="A362" s="22"/>
      <c r="B362" s="20"/>
      <c r="C362" s="20" t="str">
        <f>IFERROR(__xludf.DUMMYFUNCTION("IF(ISBLANK(B362),,IFERROR(array_constrain(FILTER('Leetcode分类顺序表'!B:J,'Leetcode分类顺序表'!A:A = B362), 1, 10000000),IFERROR(FILTER(Algoexpert.io!B:D,Algoexpert.io!A:A = B362),FILTER('Leetcode List'!B:J,'Leetcode List'!A:A = B362))))"),"")</f>
        <v/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>
      <c r="A363" s="22"/>
      <c r="B363" s="20"/>
      <c r="C363" s="20" t="str">
        <f>IFERROR(__xludf.DUMMYFUNCTION("IF(ISBLANK(B363),,IFERROR(array_constrain(FILTER('Leetcode分类顺序表'!B:J,'Leetcode分类顺序表'!A:A = B363), 1, 10000000),IFERROR(FILTER(Algoexpert.io!B:D,Algoexpert.io!A:A = B363),FILTER('Leetcode List'!B:J,'Leetcode List'!A:A = B363))))"),"")</f>
        <v/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>
      <c r="A364" s="22"/>
      <c r="B364" s="20"/>
      <c r="C364" s="20" t="str">
        <f>IFERROR(__xludf.DUMMYFUNCTION("IF(ISBLANK(B364),,IFERROR(array_constrain(FILTER('Leetcode分类顺序表'!B:J,'Leetcode分类顺序表'!A:A = B364), 1, 10000000),IFERROR(FILTER(Algoexpert.io!B:D,Algoexpert.io!A:A = B364),FILTER('Leetcode List'!B:J,'Leetcode List'!A:A = B364))))"),"")</f>
        <v/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>
      <c r="A365" s="22"/>
      <c r="B365" s="20"/>
      <c r="C365" s="20" t="str">
        <f>IFERROR(__xludf.DUMMYFUNCTION("IF(ISBLANK(B365),,IFERROR(array_constrain(FILTER('Leetcode分类顺序表'!B:J,'Leetcode分类顺序表'!A:A = B365), 1, 10000000),IFERROR(FILTER(Algoexpert.io!B:D,Algoexpert.io!A:A = B365),FILTER('Leetcode List'!B:J,'Leetcode List'!A:A = B365))))"),"")</f>
        <v/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>
      <c r="A366" s="22"/>
      <c r="B366" s="20"/>
      <c r="C366" s="20" t="str">
        <f>IFERROR(__xludf.DUMMYFUNCTION("IF(ISBLANK(B366),,IFERROR(array_constrain(FILTER('Leetcode分类顺序表'!B:J,'Leetcode分类顺序表'!A:A = B366), 1, 10000000),IFERROR(FILTER(Algoexpert.io!B:D,Algoexpert.io!A:A = B366),FILTER('Leetcode List'!B:J,'Leetcode List'!A:A = B366))))"),"")</f>
        <v/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>
      <c r="A367" s="22"/>
      <c r="B367" s="20"/>
      <c r="C367" s="20" t="str">
        <f>IFERROR(__xludf.DUMMYFUNCTION("IF(ISBLANK(B367),,IFERROR(array_constrain(FILTER('Leetcode分类顺序表'!B:J,'Leetcode分类顺序表'!A:A = B367), 1, 10000000),IFERROR(FILTER(Algoexpert.io!B:D,Algoexpert.io!A:A = B367),FILTER('Leetcode List'!B:J,'Leetcode List'!A:A = B367))))"),"")</f>
        <v/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>
      <c r="A368" s="22"/>
      <c r="B368" s="20"/>
      <c r="C368" s="20" t="str">
        <f>IFERROR(__xludf.DUMMYFUNCTION("IF(ISBLANK(B368),,IFERROR(array_constrain(FILTER('Leetcode分类顺序表'!B:J,'Leetcode分类顺序表'!A:A = B368), 1, 10000000),IFERROR(FILTER(Algoexpert.io!B:D,Algoexpert.io!A:A = B368),FILTER('Leetcode List'!B:J,'Leetcode List'!A:A = B368))))"),"")</f>
        <v/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>
      <c r="A369" s="22"/>
      <c r="B369" s="20"/>
      <c r="C369" s="20" t="str">
        <f>IFERROR(__xludf.DUMMYFUNCTION("IF(ISBLANK(B369),,IFERROR(array_constrain(FILTER('Leetcode分类顺序表'!B:J,'Leetcode分类顺序表'!A:A = B369), 1, 10000000),IFERROR(FILTER(Algoexpert.io!B:D,Algoexpert.io!A:A = B369),FILTER('Leetcode List'!B:J,'Leetcode List'!A:A = B369))))"),"")</f>
        <v/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>
      <c r="A370" s="22"/>
      <c r="B370" s="20"/>
      <c r="C370" s="20" t="str">
        <f>IFERROR(__xludf.DUMMYFUNCTION("IF(ISBLANK(B370),,IFERROR(array_constrain(FILTER('Leetcode分类顺序表'!B:J,'Leetcode分类顺序表'!A:A = B370), 1, 10000000),IFERROR(FILTER(Algoexpert.io!B:D,Algoexpert.io!A:A = B370),FILTER('Leetcode List'!B:J,'Leetcode List'!A:A = B370))))"),"")</f>
        <v/>
      </c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>
      <c r="A371" s="22"/>
      <c r="B371" s="20"/>
      <c r="C371" s="20" t="str">
        <f>IFERROR(__xludf.DUMMYFUNCTION("IF(ISBLANK(B371),,IFERROR(array_constrain(FILTER('Leetcode分类顺序表'!B:J,'Leetcode分类顺序表'!A:A = B371), 1, 10000000),IFERROR(FILTER(Algoexpert.io!B:D,Algoexpert.io!A:A = B371),FILTER('Leetcode List'!B:J,'Leetcode List'!A:A = B371))))"),"")</f>
        <v/>
      </c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>
      <c r="A372" s="22"/>
      <c r="B372" s="20"/>
      <c r="C372" s="20" t="str">
        <f>IFERROR(__xludf.DUMMYFUNCTION("IF(ISBLANK(B372),,IFERROR(array_constrain(FILTER('Leetcode分类顺序表'!B:J,'Leetcode分类顺序表'!A:A = B372), 1, 10000000),IFERROR(FILTER(Algoexpert.io!B:D,Algoexpert.io!A:A = B372),FILTER('Leetcode List'!B:J,'Leetcode List'!A:A = B372))))"),"")</f>
        <v/>
      </c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>
      <c r="A373" s="22"/>
      <c r="B373" s="20"/>
      <c r="C373" s="20" t="str">
        <f>IFERROR(__xludf.DUMMYFUNCTION("IF(ISBLANK(B373),,IFERROR(array_constrain(FILTER('Leetcode分类顺序表'!B:J,'Leetcode分类顺序表'!A:A = B373), 1, 10000000),IFERROR(FILTER(Algoexpert.io!B:D,Algoexpert.io!A:A = B373),FILTER('Leetcode List'!B:J,'Leetcode List'!A:A = B373))))"),"")</f>
        <v/>
      </c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>
      <c r="A374" s="22"/>
      <c r="B374" s="20"/>
      <c r="C374" s="20" t="str">
        <f>IFERROR(__xludf.DUMMYFUNCTION("IF(ISBLANK(B374),,IFERROR(array_constrain(FILTER('Leetcode分类顺序表'!B:J,'Leetcode分类顺序表'!A:A = B374), 1, 10000000),IFERROR(FILTER(Algoexpert.io!B:D,Algoexpert.io!A:A = B374),FILTER('Leetcode List'!B:J,'Leetcode List'!A:A = B374))))"),"")</f>
        <v/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>
      <c r="A375" s="22"/>
      <c r="B375" s="20"/>
      <c r="C375" s="20" t="str">
        <f>IFERROR(__xludf.DUMMYFUNCTION("IF(ISBLANK(B375),,IFERROR(array_constrain(FILTER('Leetcode分类顺序表'!B:J,'Leetcode分类顺序表'!A:A = B375), 1, 10000000),IFERROR(FILTER(Algoexpert.io!B:D,Algoexpert.io!A:A = B375),FILTER('Leetcode List'!B:J,'Leetcode List'!A:A = B375))))"),"")</f>
        <v/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>
      <c r="A376" s="22"/>
      <c r="B376" s="20"/>
      <c r="C376" s="20" t="str">
        <f>IFERROR(__xludf.DUMMYFUNCTION("IF(ISBLANK(B376),,IFERROR(array_constrain(FILTER('Leetcode分类顺序表'!B:J,'Leetcode分类顺序表'!A:A = B376), 1, 10000000),IFERROR(FILTER(Algoexpert.io!B:D,Algoexpert.io!A:A = B376),FILTER('Leetcode List'!B:J,'Leetcode List'!A:A = B376))))"),"")</f>
        <v/>
      </c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>
      <c r="A377" s="22"/>
      <c r="B377" s="20"/>
      <c r="C377" s="20" t="str">
        <f>IFERROR(__xludf.DUMMYFUNCTION("IF(ISBLANK(B377),,IFERROR(array_constrain(FILTER('Leetcode分类顺序表'!B:J,'Leetcode分类顺序表'!A:A = B377), 1, 10000000),IFERROR(FILTER(Algoexpert.io!B:D,Algoexpert.io!A:A = B377),FILTER('Leetcode List'!B:J,'Leetcode List'!A:A = B377))))"),"")</f>
        <v/>
      </c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>
      <c r="A378" s="22"/>
      <c r="B378" s="20"/>
      <c r="C378" s="20" t="str">
        <f>IFERROR(__xludf.DUMMYFUNCTION("IF(ISBLANK(B378),,IFERROR(array_constrain(FILTER('Leetcode分类顺序表'!B:J,'Leetcode分类顺序表'!A:A = B378), 1, 10000000),IFERROR(FILTER(Algoexpert.io!B:D,Algoexpert.io!A:A = B378),FILTER('Leetcode List'!B:J,'Leetcode List'!A:A = B378))))"),"")</f>
        <v/>
      </c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>
      <c r="A379" s="22"/>
      <c r="B379" s="20"/>
      <c r="C379" s="20" t="str">
        <f>IFERROR(__xludf.DUMMYFUNCTION("IF(ISBLANK(B379),,IFERROR(array_constrain(FILTER('Leetcode分类顺序表'!B:J,'Leetcode分类顺序表'!A:A = B379), 1, 10000000),IFERROR(FILTER(Algoexpert.io!B:D,Algoexpert.io!A:A = B379),FILTER('Leetcode List'!B:J,'Leetcode List'!A:A = B379))))"),"")</f>
        <v/>
      </c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>
      <c r="A380" s="22"/>
      <c r="B380" s="20"/>
      <c r="C380" s="20" t="str">
        <f>IFERROR(__xludf.DUMMYFUNCTION("IF(ISBLANK(B380),,IFERROR(array_constrain(FILTER('Leetcode分类顺序表'!B:J,'Leetcode分类顺序表'!A:A = B380), 1, 10000000),IFERROR(FILTER(Algoexpert.io!B:D,Algoexpert.io!A:A = B380),FILTER('Leetcode List'!B:J,'Leetcode List'!A:A = B380))))"),"")</f>
        <v/>
      </c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>
      <c r="A381" s="22"/>
      <c r="B381" s="20"/>
      <c r="C381" s="20" t="str">
        <f>IFERROR(__xludf.DUMMYFUNCTION("IF(ISBLANK(B381),,IFERROR(array_constrain(FILTER('Leetcode分类顺序表'!B:J,'Leetcode分类顺序表'!A:A = B381), 1, 10000000),IFERROR(FILTER(Algoexpert.io!B:D,Algoexpert.io!A:A = B381),FILTER('Leetcode List'!B:J,'Leetcode List'!A:A = B381))))"),"")</f>
        <v/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>
      <c r="A382" s="22"/>
      <c r="B382" s="20"/>
      <c r="C382" s="20" t="str">
        <f>IFERROR(__xludf.DUMMYFUNCTION("IF(ISBLANK(B382),,IFERROR(array_constrain(FILTER('Leetcode分类顺序表'!B:J,'Leetcode分类顺序表'!A:A = B382), 1, 10000000),IFERROR(FILTER(Algoexpert.io!B:D,Algoexpert.io!A:A = B382),FILTER('Leetcode List'!B:J,'Leetcode List'!A:A = B382))))"),"")</f>
        <v/>
      </c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>
      <c r="A383" s="22"/>
      <c r="B383" s="20"/>
      <c r="C383" s="20" t="str">
        <f>IFERROR(__xludf.DUMMYFUNCTION("IF(ISBLANK(B383),,IFERROR(array_constrain(FILTER('Leetcode分类顺序表'!B:J,'Leetcode分类顺序表'!A:A = B383), 1, 10000000),IFERROR(FILTER(Algoexpert.io!B:D,Algoexpert.io!A:A = B383),FILTER('Leetcode List'!B:J,'Leetcode List'!A:A = B383))))"),"")</f>
        <v/>
      </c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>
      <c r="A384" s="22"/>
      <c r="B384" s="20"/>
      <c r="C384" s="20" t="str">
        <f>IFERROR(__xludf.DUMMYFUNCTION("IF(ISBLANK(B384),,IFERROR(array_constrain(FILTER('Leetcode分类顺序表'!B:J,'Leetcode分类顺序表'!A:A = B384), 1, 10000000),IFERROR(FILTER(Algoexpert.io!B:D,Algoexpert.io!A:A = B384),FILTER('Leetcode List'!B:J,'Leetcode List'!A:A = B384))))"),"")</f>
        <v/>
      </c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>
      <c r="A385" s="22"/>
      <c r="B385" s="20"/>
      <c r="C385" s="20" t="str">
        <f>IFERROR(__xludf.DUMMYFUNCTION("IF(ISBLANK(B385),,IFERROR(array_constrain(FILTER('Leetcode分类顺序表'!B:J,'Leetcode分类顺序表'!A:A = B385), 1, 10000000),IFERROR(FILTER(Algoexpert.io!B:D,Algoexpert.io!A:A = B385),FILTER('Leetcode List'!B:J,'Leetcode List'!A:A = B385))))"),"")</f>
        <v/>
      </c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>
      <c r="A386" s="22"/>
      <c r="B386" s="20"/>
      <c r="C386" s="20" t="str">
        <f>IFERROR(__xludf.DUMMYFUNCTION("IF(ISBLANK(B386),,IFERROR(array_constrain(FILTER('Leetcode分类顺序表'!B:J,'Leetcode分类顺序表'!A:A = B386), 1, 10000000),IFERROR(FILTER(Algoexpert.io!B:D,Algoexpert.io!A:A = B386),FILTER('Leetcode List'!B:J,'Leetcode List'!A:A = B386))))"),"")</f>
        <v/>
      </c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>
      <c r="A387" s="22"/>
      <c r="B387" s="20"/>
      <c r="C387" s="20" t="str">
        <f>IFERROR(__xludf.DUMMYFUNCTION("IF(ISBLANK(B387),,IFERROR(array_constrain(FILTER('Leetcode分类顺序表'!B:J,'Leetcode分类顺序表'!A:A = B387), 1, 10000000),IFERROR(FILTER(Algoexpert.io!B:D,Algoexpert.io!A:A = B387),FILTER('Leetcode List'!B:J,'Leetcode List'!A:A = B387))))"),"")</f>
        <v/>
      </c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>
      <c r="A388" s="22"/>
      <c r="B388" s="20"/>
      <c r="C388" s="20" t="str">
        <f>IFERROR(__xludf.DUMMYFUNCTION("IF(ISBLANK(B388),,IFERROR(array_constrain(FILTER('Leetcode分类顺序表'!B:J,'Leetcode分类顺序表'!A:A = B388), 1, 10000000),IFERROR(FILTER(Algoexpert.io!B:D,Algoexpert.io!A:A = B388),FILTER('Leetcode List'!B:J,'Leetcode List'!A:A = B388))))"),"")</f>
        <v/>
      </c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>
      <c r="A389" s="22"/>
      <c r="B389" s="20"/>
      <c r="C389" s="20" t="str">
        <f>IFERROR(__xludf.DUMMYFUNCTION("IF(ISBLANK(B389),,IFERROR(array_constrain(FILTER('Leetcode分类顺序表'!B:J,'Leetcode分类顺序表'!A:A = B389), 1, 10000000),IFERROR(FILTER(Algoexpert.io!B:D,Algoexpert.io!A:A = B389),FILTER('Leetcode List'!B:J,'Leetcode List'!A:A = B389))))"),"")</f>
        <v/>
      </c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>
      <c r="A390" s="22"/>
      <c r="B390" s="20"/>
      <c r="C390" s="20" t="str">
        <f>IFERROR(__xludf.DUMMYFUNCTION("IF(ISBLANK(B390),,IFERROR(array_constrain(FILTER('Leetcode分类顺序表'!B:J,'Leetcode分类顺序表'!A:A = B390), 1, 10000000),IFERROR(FILTER(Algoexpert.io!B:D,Algoexpert.io!A:A = B390),FILTER('Leetcode List'!B:J,'Leetcode List'!A:A = B390))))"),"")</f>
        <v/>
      </c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>
      <c r="A391" s="22"/>
      <c r="B391" s="20"/>
      <c r="C391" s="20" t="str">
        <f>IFERROR(__xludf.DUMMYFUNCTION("IF(ISBLANK(B391),,IFERROR(array_constrain(FILTER('Leetcode分类顺序表'!B:J,'Leetcode分类顺序表'!A:A = B391), 1, 10000000),IFERROR(FILTER(Algoexpert.io!B:D,Algoexpert.io!A:A = B391),FILTER('Leetcode List'!B:J,'Leetcode List'!A:A = B391))))"),"")</f>
        <v/>
      </c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>
      <c r="A392" s="22"/>
      <c r="B392" s="20"/>
      <c r="C392" s="20" t="str">
        <f>IFERROR(__xludf.DUMMYFUNCTION("IF(ISBLANK(B392),,IFERROR(array_constrain(FILTER('Leetcode分类顺序表'!B:J,'Leetcode分类顺序表'!A:A = B392), 1, 10000000),IFERROR(FILTER(Algoexpert.io!B:D,Algoexpert.io!A:A = B392),FILTER('Leetcode List'!B:J,'Leetcode List'!A:A = B392))))"),"")</f>
        <v/>
      </c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>
      <c r="A393" s="22"/>
      <c r="B393" s="20"/>
      <c r="C393" s="20" t="str">
        <f>IFERROR(__xludf.DUMMYFUNCTION("IF(ISBLANK(B393),,IFERROR(array_constrain(FILTER('Leetcode分类顺序表'!B:J,'Leetcode分类顺序表'!A:A = B393), 1, 10000000),IFERROR(FILTER(Algoexpert.io!B:D,Algoexpert.io!A:A = B393),FILTER('Leetcode List'!B:J,'Leetcode List'!A:A = B393))))"),"")</f>
        <v/>
      </c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>
      <c r="A394" s="22"/>
      <c r="B394" s="20"/>
      <c r="C394" s="20" t="str">
        <f>IFERROR(__xludf.DUMMYFUNCTION("IF(ISBLANK(B394),,IFERROR(array_constrain(FILTER('Leetcode分类顺序表'!B:J,'Leetcode分类顺序表'!A:A = B394), 1, 10000000),IFERROR(FILTER(Algoexpert.io!B:D,Algoexpert.io!A:A = B394),FILTER('Leetcode List'!B:J,'Leetcode List'!A:A = B394))))"),"")</f>
        <v/>
      </c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>
      <c r="A395" s="22"/>
      <c r="B395" s="20"/>
      <c r="C395" s="20" t="str">
        <f>IFERROR(__xludf.DUMMYFUNCTION("IF(ISBLANK(B395),,IFERROR(array_constrain(FILTER('Leetcode分类顺序表'!B:J,'Leetcode分类顺序表'!A:A = B395), 1, 10000000),IFERROR(FILTER(Algoexpert.io!B:D,Algoexpert.io!A:A = B395),FILTER('Leetcode List'!B:J,'Leetcode List'!A:A = B395))))"),"")</f>
        <v/>
      </c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>
      <c r="A396" s="22"/>
      <c r="B396" s="20"/>
      <c r="C396" s="20" t="str">
        <f>IFERROR(__xludf.DUMMYFUNCTION("IF(ISBLANK(B396),,IFERROR(array_constrain(FILTER('Leetcode分类顺序表'!B:J,'Leetcode分类顺序表'!A:A = B396), 1, 10000000),IFERROR(FILTER(Algoexpert.io!B:D,Algoexpert.io!A:A = B396),FILTER('Leetcode List'!B:J,'Leetcode List'!A:A = B396))))"),"")</f>
        <v/>
      </c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>
      <c r="A397" s="22"/>
      <c r="B397" s="20"/>
      <c r="C397" s="20" t="str">
        <f>IFERROR(__xludf.DUMMYFUNCTION("IF(ISBLANK(B397),,IFERROR(array_constrain(FILTER('Leetcode分类顺序表'!B:J,'Leetcode分类顺序表'!A:A = B397), 1, 10000000),IFERROR(FILTER(Algoexpert.io!B:D,Algoexpert.io!A:A = B397),FILTER('Leetcode List'!B:J,'Leetcode List'!A:A = B397))))"),"")</f>
        <v/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>
      <c r="A398" s="22"/>
      <c r="B398" s="20"/>
      <c r="C398" s="20" t="str">
        <f>IFERROR(__xludf.DUMMYFUNCTION("IF(ISBLANK(B398),,IFERROR(array_constrain(FILTER('Leetcode分类顺序表'!B:J,'Leetcode分类顺序表'!A:A = B398), 1, 10000000),IFERROR(FILTER(Algoexpert.io!B:D,Algoexpert.io!A:A = B398),FILTER('Leetcode List'!B:J,'Leetcode List'!A:A = B398))))"),"")</f>
        <v/>
      </c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>
      <c r="A399" s="22"/>
      <c r="B399" s="20"/>
      <c r="C399" s="20" t="str">
        <f>IFERROR(__xludf.DUMMYFUNCTION("IF(ISBLANK(B399),,IFERROR(array_constrain(FILTER('Leetcode分类顺序表'!B:J,'Leetcode分类顺序表'!A:A = B399), 1, 10000000),IFERROR(FILTER(Algoexpert.io!B:D,Algoexpert.io!A:A = B399),FILTER('Leetcode List'!B:J,'Leetcode List'!A:A = B399))))"),"")</f>
        <v/>
      </c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>
      <c r="A400" s="22"/>
      <c r="B400" s="20"/>
      <c r="C400" s="20" t="str">
        <f>IFERROR(__xludf.DUMMYFUNCTION("IF(ISBLANK(B400),,IFERROR(array_constrain(FILTER('Leetcode分类顺序表'!B:J,'Leetcode分类顺序表'!A:A = B400), 1, 10000000),IFERROR(FILTER(Algoexpert.io!B:D,Algoexpert.io!A:A = B400),FILTER('Leetcode List'!B:J,'Leetcode List'!A:A = B400))))"),"")</f>
        <v/>
      </c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>
      <c r="A401" s="22"/>
      <c r="B401" s="20"/>
      <c r="C401" s="20" t="str">
        <f>IFERROR(__xludf.DUMMYFUNCTION("IF(ISBLANK(B401),,IFERROR(array_constrain(FILTER('Leetcode分类顺序表'!B:J,'Leetcode分类顺序表'!A:A = B401), 1, 10000000),IFERROR(FILTER(Algoexpert.io!B:D,Algoexpert.io!A:A = B401),FILTER('Leetcode List'!B:J,'Leetcode List'!A:A = B401))))"),"")</f>
        <v/>
      </c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>
      <c r="A402" s="22"/>
      <c r="B402" s="20"/>
      <c r="C402" s="20" t="str">
        <f>IFERROR(__xludf.DUMMYFUNCTION("IF(ISBLANK(B402),,IFERROR(array_constrain(FILTER('Leetcode分类顺序表'!B:J,'Leetcode分类顺序表'!A:A = B402), 1, 10000000),IFERROR(FILTER(Algoexpert.io!B:D,Algoexpert.io!A:A = B402),FILTER('Leetcode List'!B:J,'Leetcode List'!A:A = B402))))"),"")</f>
        <v/>
      </c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>
      <c r="A403" s="22"/>
      <c r="B403" s="20"/>
      <c r="C403" s="20" t="str">
        <f>IFERROR(__xludf.DUMMYFUNCTION("IF(ISBLANK(B403),,IFERROR(array_constrain(FILTER('Leetcode分类顺序表'!B:J,'Leetcode分类顺序表'!A:A = B403), 1, 10000000),IFERROR(FILTER(Algoexpert.io!B:D,Algoexpert.io!A:A = B403),FILTER('Leetcode List'!B:J,'Leetcode List'!A:A = B403))))"),"")</f>
        <v/>
      </c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>
      <c r="A404" s="22"/>
      <c r="B404" s="20"/>
      <c r="C404" s="20" t="str">
        <f>IFERROR(__xludf.DUMMYFUNCTION("IF(ISBLANK(B404),,IFERROR(array_constrain(FILTER('Leetcode分类顺序表'!B:J,'Leetcode分类顺序表'!A:A = B404), 1, 10000000),IFERROR(FILTER(Algoexpert.io!B:D,Algoexpert.io!A:A = B404),FILTER('Leetcode List'!B:J,'Leetcode List'!A:A = B404))))"),"")</f>
        <v/>
      </c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>
      <c r="A405" s="22"/>
      <c r="B405" s="20"/>
      <c r="C405" s="20" t="str">
        <f>IFERROR(__xludf.DUMMYFUNCTION("IF(ISBLANK(B405),,IFERROR(array_constrain(FILTER('Leetcode分类顺序表'!B:J,'Leetcode分类顺序表'!A:A = B405), 1, 10000000),IFERROR(FILTER(Algoexpert.io!B:D,Algoexpert.io!A:A = B405),FILTER('Leetcode List'!B:J,'Leetcode List'!A:A = B405))))"),"")</f>
        <v/>
      </c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>
      <c r="A406" s="22"/>
      <c r="B406" s="20"/>
      <c r="C406" s="20" t="str">
        <f>IFERROR(__xludf.DUMMYFUNCTION("IF(ISBLANK(B406),,IFERROR(array_constrain(FILTER('Leetcode分类顺序表'!B:J,'Leetcode分类顺序表'!A:A = B406), 1, 10000000),IFERROR(FILTER(Algoexpert.io!B:D,Algoexpert.io!A:A = B406),FILTER('Leetcode List'!B:J,'Leetcode List'!A:A = B406))))"),"")</f>
        <v/>
      </c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>
      <c r="A407" s="22"/>
      <c r="B407" s="20"/>
      <c r="C407" s="20" t="str">
        <f>IFERROR(__xludf.DUMMYFUNCTION("IF(ISBLANK(B407),,IFERROR(array_constrain(FILTER('Leetcode分类顺序表'!B:J,'Leetcode分类顺序表'!A:A = B407), 1, 10000000),IFERROR(FILTER(Algoexpert.io!B:D,Algoexpert.io!A:A = B407),FILTER('Leetcode List'!B:J,'Leetcode List'!A:A = B407))))"),"")</f>
        <v/>
      </c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>
      <c r="A408" s="22"/>
      <c r="B408" s="20"/>
      <c r="C408" s="20" t="str">
        <f>IFERROR(__xludf.DUMMYFUNCTION("IF(ISBLANK(B408),,IFERROR(array_constrain(FILTER('Leetcode分类顺序表'!B:J,'Leetcode分类顺序表'!A:A = B408), 1, 10000000),IFERROR(FILTER(Algoexpert.io!B:D,Algoexpert.io!A:A = B408),FILTER('Leetcode List'!B:J,'Leetcode List'!A:A = B408))))"),"")</f>
        <v/>
      </c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>
      <c r="A409" s="22"/>
      <c r="B409" s="20"/>
      <c r="C409" s="20" t="str">
        <f>IFERROR(__xludf.DUMMYFUNCTION("IF(ISBLANK(B409),,IFERROR(array_constrain(FILTER('Leetcode分类顺序表'!B:J,'Leetcode分类顺序表'!A:A = B409), 1, 10000000),IFERROR(FILTER(Algoexpert.io!B:D,Algoexpert.io!A:A = B409),FILTER('Leetcode List'!B:J,'Leetcode List'!A:A = B409))))"),"")</f>
        <v/>
      </c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>
      <c r="A410" s="22"/>
      <c r="B410" s="20"/>
      <c r="C410" s="20" t="str">
        <f>IFERROR(__xludf.DUMMYFUNCTION("IF(ISBLANK(B410),,IFERROR(array_constrain(FILTER('Leetcode分类顺序表'!B:J,'Leetcode分类顺序表'!A:A = B410), 1, 10000000),IFERROR(FILTER(Algoexpert.io!B:D,Algoexpert.io!A:A = B410),FILTER('Leetcode List'!B:J,'Leetcode List'!A:A = B410))))"),"")</f>
        <v/>
      </c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>
      <c r="A411" s="22"/>
      <c r="B411" s="20"/>
      <c r="C411" s="20" t="str">
        <f>IFERROR(__xludf.DUMMYFUNCTION("IF(ISBLANK(B411),,IFERROR(array_constrain(FILTER('Leetcode分类顺序表'!B:J,'Leetcode分类顺序表'!A:A = B411), 1, 10000000),IFERROR(FILTER(Algoexpert.io!B:D,Algoexpert.io!A:A = B411),FILTER('Leetcode List'!B:J,'Leetcode List'!A:A = B411))))"),"")</f>
        <v/>
      </c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>
      <c r="A412" s="22"/>
      <c r="B412" s="20"/>
      <c r="C412" s="20" t="str">
        <f>IFERROR(__xludf.DUMMYFUNCTION("IF(ISBLANK(B412),,IFERROR(array_constrain(FILTER('Leetcode分类顺序表'!B:J,'Leetcode分类顺序表'!A:A = B412), 1, 10000000),IFERROR(FILTER(Algoexpert.io!B:D,Algoexpert.io!A:A = B412),FILTER('Leetcode List'!B:J,'Leetcode List'!A:A = B412))))"),"")</f>
        <v/>
      </c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>
      <c r="A413" s="22"/>
      <c r="B413" s="20"/>
      <c r="C413" s="20" t="str">
        <f>IFERROR(__xludf.DUMMYFUNCTION("IF(ISBLANK(B413),,IFERROR(array_constrain(FILTER('Leetcode分类顺序表'!B:J,'Leetcode分类顺序表'!A:A = B413), 1, 10000000),IFERROR(FILTER(Algoexpert.io!B:D,Algoexpert.io!A:A = B413),FILTER('Leetcode List'!B:J,'Leetcode List'!A:A = B413))))"),"")</f>
        <v/>
      </c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>
      <c r="A414" s="22"/>
      <c r="B414" s="20"/>
      <c r="C414" s="20" t="str">
        <f>IFERROR(__xludf.DUMMYFUNCTION("IF(ISBLANK(B414),,IFERROR(array_constrain(FILTER('Leetcode分类顺序表'!B:J,'Leetcode分类顺序表'!A:A = B414), 1, 10000000),IFERROR(FILTER(Algoexpert.io!B:D,Algoexpert.io!A:A = B414),FILTER('Leetcode List'!B:J,'Leetcode List'!A:A = B414))))"),"")</f>
        <v/>
      </c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>
      <c r="A415" s="22"/>
      <c r="B415" s="20"/>
      <c r="C415" s="20" t="str">
        <f>IFERROR(__xludf.DUMMYFUNCTION("IF(ISBLANK(B415),,IFERROR(array_constrain(FILTER('Leetcode分类顺序表'!B:J,'Leetcode分类顺序表'!A:A = B415), 1, 10000000),IFERROR(FILTER(Algoexpert.io!B:D,Algoexpert.io!A:A = B415),FILTER('Leetcode List'!B:J,'Leetcode List'!A:A = B415))))"),"")</f>
        <v/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>
      <c r="A416" s="22"/>
      <c r="B416" s="20"/>
      <c r="C416" s="20" t="str">
        <f>IFERROR(__xludf.DUMMYFUNCTION("IF(ISBLANK(B416),,IFERROR(array_constrain(FILTER('Leetcode分类顺序表'!B:J,'Leetcode分类顺序表'!A:A = B416), 1, 10000000),IFERROR(FILTER(Algoexpert.io!B:D,Algoexpert.io!A:A = B416),FILTER('Leetcode List'!B:J,'Leetcode List'!A:A = B416))))"),"")</f>
        <v/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>
      <c r="A417" s="22"/>
      <c r="B417" s="20"/>
      <c r="C417" s="20" t="str">
        <f>IFERROR(__xludf.DUMMYFUNCTION("IF(ISBLANK(B417),,IFERROR(array_constrain(FILTER('Leetcode分类顺序表'!B:J,'Leetcode分类顺序表'!A:A = B417), 1, 10000000),IFERROR(FILTER(Algoexpert.io!B:D,Algoexpert.io!A:A = B417),FILTER('Leetcode List'!B:J,'Leetcode List'!A:A = B417))))"),"")</f>
        <v/>
      </c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>
      <c r="A418" s="22"/>
      <c r="B418" s="20"/>
      <c r="C418" s="20" t="str">
        <f>IFERROR(__xludf.DUMMYFUNCTION("IF(ISBLANK(B418),,IFERROR(array_constrain(FILTER('Leetcode分类顺序表'!B:J,'Leetcode分类顺序表'!A:A = B418), 1, 10000000),IFERROR(FILTER(Algoexpert.io!B:D,Algoexpert.io!A:A = B418),FILTER('Leetcode List'!B:J,'Leetcode List'!A:A = B418))))"),"")</f>
        <v/>
      </c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>
      <c r="A419" s="22"/>
      <c r="B419" s="20"/>
      <c r="C419" s="20" t="str">
        <f>IFERROR(__xludf.DUMMYFUNCTION("IF(ISBLANK(B419),,IFERROR(array_constrain(FILTER('Leetcode分类顺序表'!B:J,'Leetcode分类顺序表'!A:A = B419), 1, 10000000),IFERROR(FILTER(Algoexpert.io!B:D,Algoexpert.io!A:A = B419),FILTER('Leetcode List'!B:J,'Leetcode List'!A:A = B419))))"),"")</f>
        <v/>
      </c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>
      <c r="A420" s="22"/>
      <c r="B420" s="20"/>
      <c r="C420" s="20" t="str">
        <f>IFERROR(__xludf.DUMMYFUNCTION("IF(ISBLANK(B420),,IFERROR(array_constrain(FILTER('Leetcode分类顺序表'!B:J,'Leetcode分类顺序表'!A:A = B420), 1, 10000000),IFERROR(FILTER(Algoexpert.io!B:D,Algoexpert.io!A:A = B420),FILTER('Leetcode List'!B:J,'Leetcode List'!A:A = B420))))"),"")</f>
        <v/>
      </c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>
      <c r="A421" s="22"/>
      <c r="B421" s="20"/>
      <c r="C421" s="20" t="str">
        <f>IFERROR(__xludf.DUMMYFUNCTION("IF(ISBLANK(B421),,IFERROR(array_constrain(FILTER('Leetcode分类顺序表'!B:J,'Leetcode分类顺序表'!A:A = B421), 1, 10000000),IFERROR(FILTER(Algoexpert.io!B:D,Algoexpert.io!A:A = B421),FILTER('Leetcode List'!B:J,'Leetcode List'!A:A = B421))))"),"")</f>
        <v/>
      </c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>
      <c r="A422" s="22"/>
      <c r="B422" s="20"/>
      <c r="C422" s="20" t="str">
        <f>IFERROR(__xludf.DUMMYFUNCTION("IF(ISBLANK(B422),,IFERROR(array_constrain(FILTER('Leetcode分类顺序表'!B:J,'Leetcode分类顺序表'!A:A = B422), 1, 10000000),IFERROR(FILTER(Algoexpert.io!B:D,Algoexpert.io!A:A = B422),FILTER('Leetcode List'!B:J,'Leetcode List'!A:A = B422))))"),"")</f>
        <v/>
      </c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>
      <c r="A423" s="22"/>
      <c r="B423" s="20"/>
      <c r="C423" s="20" t="str">
        <f>IFERROR(__xludf.DUMMYFUNCTION("IF(ISBLANK(B423),,IFERROR(array_constrain(FILTER('Leetcode分类顺序表'!B:J,'Leetcode分类顺序表'!A:A = B423), 1, 10000000),IFERROR(FILTER(Algoexpert.io!B:D,Algoexpert.io!A:A = B423),FILTER('Leetcode List'!B:J,'Leetcode List'!A:A = B423))))"),"")</f>
        <v/>
      </c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>
      <c r="A424" s="22"/>
      <c r="B424" s="20"/>
      <c r="C424" s="20" t="str">
        <f>IFERROR(__xludf.DUMMYFUNCTION("IF(ISBLANK(B424),,IFERROR(array_constrain(FILTER('Leetcode分类顺序表'!B:J,'Leetcode分类顺序表'!A:A = B424), 1, 10000000),IFERROR(FILTER(Algoexpert.io!B:D,Algoexpert.io!A:A = B424),FILTER('Leetcode List'!B:J,'Leetcode List'!A:A = B424))))"),"")</f>
        <v/>
      </c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>
      <c r="A425" s="22"/>
      <c r="B425" s="20"/>
      <c r="C425" s="20" t="str">
        <f>IFERROR(__xludf.DUMMYFUNCTION("IF(ISBLANK(B425),,IFERROR(array_constrain(FILTER('Leetcode分类顺序表'!B:J,'Leetcode分类顺序表'!A:A = B425), 1, 10000000),IFERROR(FILTER(Algoexpert.io!B:D,Algoexpert.io!A:A = B425),FILTER('Leetcode List'!B:J,'Leetcode List'!A:A = B425))))"),"")</f>
        <v/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>
      <c r="A426" s="22"/>
      <c r="B426" s="20"/>
      <c r="C426" s="20" t="str">
        <f>IFERROR(__xludf.DUMMYFUNCTION("IF(ISBLANK(B426),,IFERROR(array_constrain(FILTER('Leetcode分类顺序表'!B:J,'Leetcode分类顺序表'!A:A = B426), 1, 10000000),IFERROR(FILTER(Algoexpert.io!B:D,Algoexpert.io!A:A = B426),FILTER('Leetcode List'!B:J,'Leetcode List'!A:A = B426))))"),"")</f>
        <v/>
      </c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>
      <c r="A427" s="22"/>
      <c r="B427" s="20"/>
      <c r="C427" s="20" t="str">
        <f>IFERROR(__xludf.DUMMYFUNCTION("IF(ISBLANK(B427),,IFERROR(array_constrain(FILTER('Leetcode分类顺序表'!B:J,'Leetcode分类顺序表'!A:A = B427), 1, 10000000),IFERROR(FILTER(Algoexpert.io!B:D,Algoexpert.io!A:A = B427),FILTER('Leetcode List'!B:J,'Leetcode List'!A:A = B427))))"),"")</f>
        <v/>
      </c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>
      <c r="A428" s="22"/>
      <c r="B428" s="20"/>
      <c r="C428" s="20" t="str">
        <f>IFERROR(__xludf.DUMMYFUNCTION("IF(ISBLANK(B428),,IFERROR(array_constrain(FILTER('Leetcode分类顺序表'!B:J,'Leetcode分类顺序表'!A:A = B428), 1, 10000000),IFERROR(FILTER(Algoexpert.io!B:D,Algoexpert.io!A:A = B428),FILTER('Leetcode List'!B:J,'Leetcode List'!A:A = B428))))"),"")</f>
        <v/>
      </c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>
      <c r="A429" s="22"/>
      <c r="B429" s="20"/>
      <c r="C429" s="20" t="str">
        <f>IFERROR(__xludf.DUMMYFUNCTION("IF(ISBLANK(B429),,IFERROR(array_constrain(FILTER('Leetcode分类顺序表'!B:J,'Leetcode分类顺序表'!A:A = B429), 1, 10000000),IFERROR(FILTER(Algoexpert.io!B:D,Algoexpert.io!A:A = B429),FILTER('Leetcode List'!B:J,'Leetcode List'!A:A = B429))))"),"")</f>
        <v/>
      </c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>
      <c r="A430" s="22"/>
      <c r="B430" s="20"/>
      <c r="C430" s="20" t="str">
        <f>IFERROR(__xludf.DUMMYFUNCTION("IF(ISBLANK(B430),,IFERROR(array_constrain(FILTER('Leetcode分类顺序表'!B:J,'Leetcode分类顺序表'!A:A = B430), 1, 10000000),IFERROR(FILTER(Algoexpert.io!B:D,Algoexpert.io!A:A = B430),FILTER('Leetcode List'!B:J,'Leetcode List'!A:A = B430))))"),"")</f>
        <v/>
      </c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>
      <c r="A431" s="22"/>
      <c r="B431" s="20"/>
      <c r="C431" s="20" t="str">
        <f>IFERROR(__xludf.DUMMYFUNCTION("IF(ISBLANK(B431),,IFERROR(array_constrain(FILTER('Leetcode分类顺序表'!B:J,'Leetcode分类顺序表'!A:A = B431), 1, 10000000),IFERROR(FILTER(Algoexpert.io!B:D,Algoexpert.io!A:A = B431),FILTER('Leetcode List'!B:J,'Leetcode List'!A:A = B431))))"),"")</f>
        <v/>
      </c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>
      <c r="A432" s="22"/>
      <c r="B432" s="20"/>
      <c r="C432" s="20" t="str">
        <f>IFERROR(__xludf.DUMMYFUNCTION("IF(ISBLANK(B432),,IFERROR(array_constrain(FILTER('Leetcode分类顺序表'!B:J,'Leetcode分类顺序表'!A:A = B432), 1, 10000000),IFERROR(FILTER(Algoexpert.io!B:D,Algoexpert.io!A:A = B432),FILTER('Leetcode List'!B:J,'Leetcode List'!A:A = B432))))"),"")</f>
        <v/>
      </c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>
      <c r="A433" s="22"/>
      <c r="B433" s="20"/>
      <c r="C433" s="20" t="str">
        <f>IFERROR(__xludf.DUMMYFUNCTION("IF(ISBLANK(B433),,IFERROR(array_constrain(FILTER('Leetcode分类顺序表'!B:J,'Leetcode分类顺序表'!A:A = B433), 1, 10000000),IFERROR(FILTER(Algoexpert.io!B:D,Algoexpert.io!A:A = B433),FILTER('Leetcode List'!B:J,'Leetcode List'!A:A = B433))))"),"")</f>
        <v/>
      </c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>
      <c r="A434" s="22"/>
      <c r="B434" s="20"/>
      <c r="C434" s="20" t="str">
        <f>IFERROR(__xludf.DUMMYFUNCTION("IF(ISBLANK(B434),,IFERROR(array_constrain(FILTER('Leetcode分类顺序表'!B:J,'Leetcode分类顺序表'!A:A = B434), 1, 10000000),IFERROR(FILTER(Algoexpert.io!B:D,Algoexpert.io!A:A = B434),FILTER('Leetcode List'!B:J,'Leetcode List'!A:A = B434))))"),"")</f>
        <v/>
      </c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>
      <c r="A435" s="22"/>
      <c r="B435" s="20"/>
      <c r="C435" s="20" t="str">
        <f>IFERROR(__xludf.DUMMYFUNCTION("IF(ISBLANK(B435),,IFERROR(array_constrain(FILTER('Leetcode分类顺序表'!B:J,'Leetcode分类顺序表'!A:A = B435), 1, 10000000),IFERROR(FILTER(Algoexpert.io!B:D,Algoexpert.io!A:A = B435),FILTER('Leetcode List'!B:J,'Leetcode List'!A:A = B435))))"),"")</f>
        <v/>
      </c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>
      <c r="A436" s="22"/>
      <c r="B436" s="20"/>
      <c r="C436" s="20" t="str">
        <f>IFERROR(__xludf.DUMMYFUNCTION("IF(ISBLANK(B436),,IFERROR(array_constrain(FILTER('Leetcode分类顺序表'!B:J,'Leetcode分类顺序表'!A:A = B436), 1, 10000000),IFERROR(FILTER(Algoexpert.io!B:D,Algoexpert.io!A:A = B436),FILTER('Leetcode List'!B:J,'Leetcode List'!A:A = B436))))"),"")</f>
        <v/>
      </c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>
      <c r="A437" s="22"/>
      <c r="B437" s="20"/>
      <c r="C437" s="20" t="str">
        <f>IFERROR(__xludf.DUMMYFUNCTION("IF(ISBLANK(B437),,IFERROR(array_constrain(FILTER('Leetcode分类顺序表'!B:J,'Leetcode分类顺序表'!A:A = B437), 1, 10000000),IFERROR(FILTER(Algoexpert.io!B:D,Algoexpert.io!A:A = B437),FILTER('Leetcode List'!B:J,'Leetcode List'!A:A = B437))))"),"")</f>
        <v/>
      </c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>
      <c r="A438" s="22"/>
      <c r="B438" s="20"/>
      <c r="C438" s="20" t="str">
        <f>IFERROR(__xludf.DUMMYFUNCTION("IF(ISBLANK(B438),,IFERROR(array_constrain(FILTER('Leetcode分类顺序表'!B:J,'Leetcode分类顺序表'!A:A = B438), 1, 10000000),IFERROR(FILTER(Algoexpert.io!B:D,Algoexpert.io!A:A = B438),FILTER('Leetcode List'!B:J,'Leetcode List'!A:A = B438))))"),"")</f>
        <v/>
      </c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>
      <c r="A439" s="22"/>
      <c r="B439" s="20"/>
      <c r="C439" s="20" t="str">
        <f>IFERROR(__xludf.DUMMYFUNCTION("IF(ISBLANK(B439),,IFERROR(array_constrain(FILTER('Leetcode分类顺序表'!B:J,'Leetcode分类顺序表'!A:A = B439), 1, 10000000),IFERROR(FILTER(Algoexpert.io!B:D,Algoexpert.io!A:A = B439),FILTER('Leetcode List'!B:J,'Leetcode List'!A:A = B439))))"),"")</f>
        <v/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>
      <c r="A440" s="22"/>
      <c r="B440" s="20"/>
      <c r="C440" s="20" t="str">
        <f>IFERROR(__xludf.DUMMYFUNCTION("IF(ISBLANK(B440),,IFERROR(array_constrain(FILTER('Leetcode分类顺序表'!B:J,'Leetcode分类顺序表'!A:A = B440), 1, 10000000),IFERROR(FILTER(Algoexpert.io!B:D,Algoexpert.io!A:A = B440),FILTER('Leetcode List'!B:J,'Leetcode List'!A:A = B440))))"),"")</f>
        <v/>
      </c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>
      <c r="A441" s="22"/>
      <c r="B441" s="20"/>
      <c r="C441" s="20" t="str">
        <f>IFERROR(__xludf.DUMMYFUNCTION("IF(ISBLANK(B441),,IFERROR(array_constrain(FILTER('Leetcode分类顺序表'!B:J,'Leetcode分类顺序表'!A:A = B441), 1, 10000000),IFERROR(FILTER(Algoexpert.io!B:D,Algoexpert.io!A:A = B441),FILTER('Leetcode List'!B:J,'Leetcode List'!A:A = B441))))"),"")</f>
        <v/>
      </c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>
      <c r="A442" s="22"/>
      <c r="B442" s="20"/>
      <c r="C442" s="20" t="str">
        <f>IFERROR(__xludf.DUMMYFUNCTION("IF(ISBLANK(B442),,IFERROR(array_constrain(FILTER('Leetcode分类顺序表'!B:J,'Leetcode分类顺序表'!A:A = B442), 1, 10000000),IFERROR(FILTER(Algoexpert.io!B:D,Algoexpert.io!A:A = B442),FILTER('Leetcode List'!B:J,'Leetcode List'!A:A = B442))))"),"")</f>
        <v/>
      </c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>
      <c r="A443" s="22"/>
      <c r="B443" s="20"/>
      <c r="C443" s="20" t="str">
        <f>IFERROR(__xludf.DUMMYFUNCTION("IF(ISBLANK(B443),,IFERROR(array_constrain(FILTER('Leetcode分类顺序表'!B:J,'Leetcode分类顺序表'!A:A = B443), 1, 10000000),IFERROR(FILTER(Algoexpert.io!B:D,Algoexpert.io!A:A = B443),FILTER('Leetcode List'!B:J,'Leetcode List'!A:A = B443))))"),"")</f>
        <v/>
      </c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>
      <c r="A444" s="22"/>
      <c r="B444" s="20"/>
      <c r="C444" s="20" t="str">
        <f>IFERROR(__xludf.DUMMYFUNCTION("IF(ISBLANK(B444),,IFERROR(array_constrain(FILTER('Leetcode分类顺序表'!B:J,'Leetcode分类顺序表'!A:A = B444), 1, 10000000),IFERROR(FILTER(Algoexpert.io!B:D,Algoexpert.io!A:A = B444),FILTER('Leetcode List'!B:J,'Leetcode List'!A:A = B444))))"),"")</f>
        <v/>
      </c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>
      <c r="A445" s="22"/>
      <c r="B445" s="20"/>
      <c r="C445" s="20" t="str">
        <f>IFERROR(__xludf.DUMMYFUNCTION("IF(ISBLANK(B445),,IFERROR(array_constrain(FILTER('Leetcode分类顺序表'!B:J,'Leetcode分类顺序表'!A:A = B445), 1, 10000000),IFERROR(FILTER(Algoexpert.io!B:D,Algoexpert.io!A:A = B445),FILTER('Leetcode List'!B:J,'Leetcode List'!A:A = B445))))"),"")</f>
        <v/>
      </c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>
      <c r="A446" s="22"/>
      <c r="B446" s="20"/>
      <c r="C446" s="20" t="str">
        <f>IFERROR(__xludf.DUMMYFUNCTION("IF(ISBLANK(B446),,IFERROR(array_constrain(FILTER('Leetcode分类顺序表'!B:J,'Leetcode分类顺序表'!A:A = B446), 1, 10000000),IFERROR(FILTER(Algoexpert.io!B:D,Algoexpert.io!A:A = B446),FILTER('Leetcode List'!B:J,'Leetcode List'!A:A = B446))))"),"")</f>
        <v/>
      </c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>
      <c r="A447" s="22"/>
      <c r="B447" s="20"/>
      <c r="C447" s="20" t="str">
        <f>IFERROR(__xludf.DUMMYFUNCTION("IF(ISBLANK(B447),,IFERROR(array_constrain(FILTER('Leetcode分类顺序表'!B:J,'Leetcode分类顺序表'!A:A = B447), 1, 10000000),IFERROR(FILTER(Algoexpert.io!B:D,Algoexpert.io!A:A = B447),FILTER('Leetcode List'!B:J,'Leetcode List'!A:A = B447))))"),"")</f>
        <v/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>
      <c r="A448" s="22"/>
      <c r="B448" s="20"/>
      <c r="C448" s="20" t="str">
        <f>IFERROR(__xludf.DUMMYFUNCTION("IF(ISBLANK(B448),,IFERROR(array_constrain(FILTER('Leetcode分类顺序表'!B:J,'Leetcode分类顺序表'!A:A = B448), 1, 10000000),IFERROR(FILTER(Algoexpert.io!B:D,Algoexpert.io!A:A = B448),FILTER('Leetcode List'!B:J,'Leetcode List'!A:A = B448))))"),"")</f>
        <v/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>
      <c r="A449" s="22"/>
      <c r="B449" s="20"/>
      <c r="C449" s="20" t="str">
        <f>IFERROR(__xludf.DUMMYFUNCTION("IF(ISBLANK(B449),,IFERROR(array_constrain(FILTER('Leetcode分类顺序表'!B:J,'Leetcode分类顺序表'!A:A = B449), 1, 10000000),IFERROR(FILTER(Algoexpert.io!B:D,Algoexpert.io!A:A = B449),FILTER('Leetcode List'!B:J,'Leetcode List'!A:A = B449))))"),"")</f>
        <v/>
      </c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>
      <c r="A450" s="22"/>
      <c r="B450" s="20"/>
      <c r="C450" s="20" t="str">
        <f>IFERROR(__xludf.DUMMYFUNCTION("IF(ISBLANK(B450),,IFERROR(array_constrain(FILTER('Leetcode分类顺序表'!B:J,'Leetcode分类顺序表'!A:A = B450), 1, 10000000),IFERROR(FILTER(Algoexpert.io!B:D,Algoexpert.io!A:A = B450),FILTER('Leetcode List'!B:J,'Leetcode List'!A:A = B450))))"),"")</f>
        <v/>
      </c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>
      <c r="A451" s="22"/>
      <c r="B451" s="20"/>
      <c r="C451" s="20" t="str">
        <f>IFERROR(__xludf.DUMMYFUNCTION("IF(ISBLANK(B451),,IFERROR(array_constrain(FILTER('Leetcode分类顺序表'!B:J,'Leetcode分类顺序表'!A:A = B451), 1, 10000000),IFERROR(FILTER(Algoexpert.io!B:D,Algoexpert.io!A:A = B451),FILTER('Leetcode List'!B:J,'Leetcode List'!A:A = B451))))"),"")</f>
        <v/>
      </c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>
      <c r="A452" s="22"/>
      <c r="B452" s="20"/>
      <c r="C452" s="20" t="str">
        <f>IFERROR(__xludf.DUMMYFUNCTION("IF(ISBLANK(B452),,IFERROR(array_constrain(FILTER('Leetcode分类顺序表'!B:J,'Leetcode分类顺序表'!A:A = B452), 1, 10000000),IFERROR(FILTER(Algoexpert.io!B:D,Algoexpert.io!A:A = B452),FILTER('Leetcode List'!B:J,'Leetcode List'!A:A = B452))))"),"")</f>
        <v/>
      </c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>
      <c r="A453" s="22"/>
      <c r="B453" s="20"/>
      <c r="C453" s="20" t="str">
        <f>IFERROR(__xludf.DUMMYFUNCTION("IF(ISBLANK(B453),,IFERROR(array_constrain(FILTER('Leetcode分类顺序表'!B:J,'Leetcode分类顺序表'!A:A = B453), 1, 10000000),IFERROR(FILTER(Algoexpert.io!B:D,Algoexpert.io!A:A = B453),FILTER('Leetcode List'!B:J,'Leetcode List'!A:A = B453))))"),"")</f>
        <v/>
      </c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>
      <c r="A454" s="22"/>
      <c r="B454" s="20"/>
      <c r="C454" s="20" t="str">
        <f>IFERROR(__xludf.DUMMYFUNCTION("IF(ISBLANK(B454),,IFERROR(array_constrain(FILTER('Leetcode分类顺序表'!B:J,'Leetcode分类顺序表'!A:A = B454), 1, 10000000),IFERROR(FILTER(Algoexpert.io!B:D,Algoexpert.io!A:A = B454),FILTER('Leetcode List'!B:J,'Leetcode List'!A:A = B454))))"),"")</f>
        <v/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>
      <c r="A455" s="22"/>
      <c r="B455" s="20"/>
      <c r="C455" s="20" t="str">
        <f>IFERROR(__xludf.DUMMYFUNCTION("IF(ISBLANK(B455),,IFERROR(array_constrain(FILTER('Leetcode分类顺序表'!B:J,'Leetcode分类顺序表'!A:A = B455), 1, 10000000),IFERROR(FILTER(Algoexpert.io!B:D,Algoexpert.io!A:A = B455),FILTER('Leetcode List'!B:J,'Leetcode List'!A:A = B455))))"),"")</f>
        <v/>
      </c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>
      <c r="A456" s="22"/>
      <c r="B456" s="20"/>
      <c r="C456" s="20" t="str">
        <f>IFERROR(__xludf.DUMMYFUNCTION("IF(ISBLANK(B456),,IFERROR(array_constrain(FILTER('Leetcode分类顺序表'!B:J,'Leetcode分类顺序表'!A:A = B456), 1, 10000000),IFERROR(FILTER(Algoexpert.io!B:D,Algoexpert.io!A:A = B456),FILTER('Leetcode List'!B:J,'Leetcode List'!A:A = B456))))"),"")</f>
        <v/>
      </c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>
      <c r="A457" s="22"/>
      <c r="B457" s="20"/>
      <c r="C457" s="20" t="str">
        <f>IFERROR(__xludf.DUMMYFUNCTION("IF(ISBLANK(B457),,IFERROR(array_constrain(FILTER('Leetcode分类顺序表'!B:J,'Leetcode分类顺序表'!A:A = B457), 1, 10000000),IFERROR(FILTER(Algoexpert.io!B:D,Algoexpert.io!A:A = B457),FILTER('Leetcode List'!B:J,'Leetcode List'!A:A = B457))))"),"")</f>
        <v/>
      </c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>
      <c r="A458" s="22"/>
      <c r="B458" s="20"/>
      <c r="C458" s="20" t="str">
        <f>IFERROR(__xludf.DUMMYFUNCTION("IF(ISBLANK(B458),,IFERROR(array_constrain(FILTER('Leetcode分类顺序表'!B:J,'Leetcode分类顺序表'!A:A = B458), 1, 10000000),IFERROR(FILTER(Algoexpert.io!B:D,Algoexpert.io!A:A = B458),FILTER('Leetcode List'!B:J,'Leetcode List'!A:A = B458))))"),"")</f>
        <v/>
      </c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>
      <c r="A459" s="22"/>
      <c r="B459" s="20"/>
      <c r="C459" s="20" t="str">
        <f>IFERROR(__xludf.DUMMYFUNCTION("IF(ISBLANK(B459),,IFERROR(array_constrain(FILTER('Leetcode分类顺序表'!B:J,'Leetcode分类顺序表'!A:A = B459), 1, 10000000),IFERROR(FILTER(Algoexpert.io!B:D,Algoexpert.io!A:A = B459),FILTER('Leetcode List'!B:J,'Leetcode List'!A:A = B459))))"),"")</f>
        <v/>
      </c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>
      <c r="A460" s="22"/>
      <c r="B460" s="20"/>
      <c r="C460" s="20" t="str">
        <f>IFERROR(__xludf.DUMMYFUNCTION("IF(ISBLANK(B460),,IFERROR(array_constrain(FILTER('Leetcode分类顺序表'!B:J,'Leetcode分类顺序表'!A:A = B460), 1, 10000000),IFERROR(FILTER(Algoexpert.io!B:D,Algoexpert.io!A:A = B460),FILTER('Leetcode List'!B:J,'Leetcode List'!A:A = B460))))"),"")</f>
        <v/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>
      <c r="A461" s="22"/>
      <c r="B461" s="20"/>
      <c r="C461" s="20" t="str">
        <f>IFERROR(__xludf.DUMMYFUNCTION("IF(ISBLANK(B461),,IFERROR(array_constrain(FILTER('Leetcode分类顺序表'!B:J,'Leetcode分类顺序表'!A:A = B461), 1, 10000000),IFERROR(FILTER(Algoexpert.io!B:D,Algoexpert.io!A:A = B461),FILTER('Leetcode List'!B:J,'Leetcode List'!A:A = B461))))"),"")</f>
        <v/>
      </c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>
      <c r="A462" s="22"/>
      <c r="B462" s="20"/>
      <c r="C462" s="20" t="str">
        <f>IFERROR(__xludf.DUMMYFUNCTION("IF(ISBLANK(B462),,IFERROR(array_constrain(FILTER('Leetcode分类顺序表'!B:J,'Leetcode分类顺序表'!A:A = B462), 1, 10000000),IFERROR(FILTER(Algoexpert.io!B:D,Algoexpert.io!A:A = B462),FILTER('Leetcode List'!B:J,'Leetcode List'!A:A = B462))))"),"")</f>
        <v/>
      </c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>
      <c r="A463" s="22"/>
      <c r="B463" s="20"/>
      <c r="C463" s="20" t="str">
        <f>IFERROR(__xludf.DUMMYFUNCTION("IF(ISBLANK(B463),,IFERROR(array_constrain(FILTER('Leetcode分类顺序表'!B:J,'Leetcode分类顺序表'!A:A = B463), 1, 10000000),IFERROR(FILTER(Algoexpert.io!B:D,Algoexpert.io!A:A = B463),FILTER('Leetcode List'!B:J,'Leetcode List'!A:A = B463))))"),"")</f>
        <v/>
      </c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>
      <c r="A464" s="22"/>
      <c r="B464" s="20"/>
      <c r="C464" s="20" t="str">
        <f>IFERROR(__xludf.DUMMYFUNCTION("IF(ISBLANK(B464),,IFERROR(array_constrain(FILTER('Leetcode分类顺序表'!B:J,'Leetcode分类顺序表'!A:A = B464), 1, 10000000),IFERROR(FILTER(Algoexpert.io!B:D,Algoexpert.io!A:A = B464),FILTER('Leetcode List'!B:J,'Leetcode List'!A:A = B464))))"),"")</f>
        <v/>
      </c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>
      <c r="A465" s="22"/>
      <c r="B465" s="20"/>
      <c r="C465" s="20" t="str">
        <f>IFERROR(__xludf.DUMMYFUNCTION("IF(ISBLANK(B465),,IFERROR(array_constrain(FILTER('Leetcode分类顺序表'!B:J,'Leetcode分类顺序表'!A:A = B465), 1, 10000000),IFERROR(FILTER(Algoexpert.io!B:D,Algoexpert.io!A:A = B465),FILTER('Leetcode List'!B:J,'Leetcode List'!A:A = B465))))"),"")</f>
        <v/>
      </c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>
      <c r="A466" s="22"/>
      <c r="B466" s="20"/>
      <c r="C466" s="20" t="str">
        <f>IFERROR(__xludf.DUMMYFUNCTION("IF(ISBLANK(B466),,IFERROR(array_constrain(FILTER('Leetcode分类顺序表'!B:J,'Leetcode分类顺序表'!A:A = B466), 1, 10000000),IFERROR(FILTER(Algoexpert.io!B:D,Algoexpert.io!A:A = B466),FILTER('Leetcode List'!B:J,'Leetcode List'!A:A = B466))))"),"")</f>
        <v/>
      </c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>
      <c r="A467" s="22"/>
      <c r="B467" s="20"/>
      <c r="C467" s="20" t="str">
        <f>IFERROR(__xludf.DUMMYFUNCTION("IF(ISBLANK(B467),,IFERROR(array_constrain(FILTER('Leetcode分类顺序表'!B:J,'Leetcode分类顺序表'!A:A = B467), 1, 10000000),IFERROR(FILTER(Algoexpert.io!B:D,Algoexpert.io!A:A = B467),FILTER('Leetcode List'!B:J,'Leetcode List'!A:A = B467))))"),"")</f>
        <v/>
      </c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>
      <c r="A468" s="22"/>
      <c r="B468" s="20"/>
      <c r="C468" s="20" t="str">
        <f>IFERROR(__xludf.DUMMYFUNCTION("IF(ISBLANK(B468),,IFERROR(array_constrain(FILTER('Leetcode分类顺序表'!B:J,'Leetcode分类顺序表'!A:A = B468), 1, 10000000),IFERROR(FILTER(Algoexpert.io!B:D,Algoexpert.io!A:A = B468),FILTER('Leetcode List'!B:J,'Leetcode List'!A:A = B468))))"),"")</f>
        <v/>
      </c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>
      <c r="A469" s="22"/>
      <c r="B469" s="20"/>
      <c r="C469" s="20" t="str">
        <f>IFERROR(__xludf.DUMMYFUNCTION("IF(ISBLANK(B469),,IFERROR(array_constrain(FILTER('Leetcode分类顺序表'!B:J,'Leetcode分类顺序表'!A:A = B469), 1, 10000000),IFERROR(FILTER(Algoexpert.io!B:D,Algoexpert.io!A:A = B469),FILTER('Leetcode List'!B:J,'Leetcode List'!A:A = B469))))"),"")</f>
        <v/>
      </c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>
      <c r="A470" s="22"/>
      <c r="B470" s="20"/>
      <c r="C470" s="20" t="str">
        <f>IFERROR(__xludf.DUMMYFUNCTION("IF(ISBLANK(B470),,IFERROR(array_constrain(FILTER('Leetcode分类顺序表'!B:J,'Leetcode分类顺序表'!A:A = B470), 1, 10000000),IFERROR(FILTER(Algoexpert.io!B:D,Algoexpert.io!A:A = B470),FILTER('Leetcode List'!B:J,'Leetcode List'!A:A = B470))))"),"")</f>
        <v/>
      </c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>
      <c r="A471" s="22"/>
      <c r="B471" s="20"/>
      <c r="C471" s="20" t="str">
        <f>IFERROR(__xludf.DUMMYFUNCTION("IF(ISBLANK(B471),,IFERROR(array_constrain(FILTER('Leetcode分类顺序表'!B:J,'Leetcode分类顺序表'!A:A = B471), 1, 10000000),IFERROR(FILTER(Algoexpert.io!B:D,Algoexpert.io!A:A = B471),FILTER('Leetcode List'!B:J,'Leetcode List'!A:A = B471))))"),"")</f>
        <v/>
      </c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>
      <c r="A472" s="22"/>
      <c r="B472" s="20"/>
      <c r="C472" s="20" t="str">
        <f>IFERROR(__xludf.DUMMYFUNCTION("IF(ISBLANK(B472),,IFERROR(array_constrain(FILTER('Leetcode分类顺序表'!B:J,'Leetcode分类顺序表'!A:A = B472), 1, 10000000),IFERROR(FILTER(Algoexpert.io!B:D,Algoexpert.io!A:A = B472),FILTER('Leetcode List'!B:J,'Leetcode List'!A:A = B472))))"),"")</f>
        <v/>
      </c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>
      <c r="A473" s="22"/>
      <c r="B473" s="20"/>
      <c r="C473" s="20" t="str">
        <f>IFERROR(__xludf.DUMMYFUNCTION("IF(ISBLANK(B473),,IFERROR(array_constrain(FILTER('Leetcode分类顺序表'!B:J,'Leetcode分类顺序表'!A:A = B473), 1, 10000000),IFERROR(FILTER(Algoexpert.io!B:D,Algoexpert.io!A:A = B473),FILTER('Leetcode List'!B:J,'Leetcode List'!A:A = B473))))"),"")</f>
        <v/>
      </c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>
      <c r="A474" s="22"/>
      <c r="B474" s="20"/>
      <c r="C474" s="20" t="str">
        <f>IFERROR(__xludf.DUMMYFUNCTION("IF(ISBLANK(B474),,IFERROR(array_constrain(FILTER('Leetcode分类顺序表'!B:J,'Leetcode分类顺序表'!A:A = B474), 1, 10000000),IFERROR(FILTER(Algoexpert.io!B:D,Algoexpert.io!A:A = B474),FILTER('Leetcode List'!B:J,'Leetcode List'!A:A = B474))))"),"")</f>
        <v/>
      </c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>
      <c r="A475" s="22"/>
      <c r="B475" s="20"/>
      <c r="C475" s="20" t="str">
        <f>IFERROR(__xludf.DUMMYFUNCTION("IF(ISBLANK(B475),,IFERROR(array_constrain(FILTER('Leetcode分类顺序表'!B:J,'Leetcode分类顺序表'!A:A = B475), 1, 10000000),IFERROR(FILTER(Algoexpert.io!B:D,Algoexpert.io!A:A = B475),FILTER('Leetcode List'!B:J,'Leetcode List'!A:A = B475))))"),"")</f>
        <v/>
      </c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>
      <c r="A476" s="22"/>
      <c r="B476" s="20"/>
      <c r="C476" s="20" t="str">
        <f>IFERROR(__xludf.DUMMYFUNCTION("IF(ISBLANK(B476),,IFERROR(array_constrain(FILTER('Leetcode分类顺序表'!B:J,'Leetcode分类顺序表'!A:A = B476), 1, 10000000),IFERROR(FILTER(Algoexpert.io!B:D,Algoexpert.io!A:A = B476),FILTER('Leetcode List'!B:J,'Leetcode List'!A:A = B476))))"),"")</f>
        <v/>
      </c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>
      <c r="A477" s="22"/>
      <c r="B477" s="20"/>
      <c r="C477" s="20" t="str">
        <f>IFERROR(__xludf.DUMMYFUNCTION("IF(ISBLANK(B477),,IFERROR(array_constrain(FILTER('Leetcode分类顺序表'!B:J,'Leetcode分类顺序表'!A:A = B477), 1, 10000000),IFERROR(FILTER(Algoexpert.io!B:D,Algoexpert.io!A:A = B477),FILTER('Leetcode List'!B:J,'Leetcode List'!A:A = B477))))"),"")</f>
        <v/>
      </c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>
      <c r="A478" s="22"/>
      <c r="B478" s="20"/>
      <c r="C478" s="20" t="str">
        <f>IFERROR(__xludf.DUMMYFUNCTION("IF(ISBLANK(B478),,IFERROR(array_constrain(FILTER('Leetcode分类顺序表'!B:J,'Leetcode分类顺序表'!A:A = B478), 1, 10000000),IFERROR(FILTER(Algoexpert.io!B:D,Algoexpert.io!A:A = B478),FILTER('Leetcode List'!B:J,'Leetcode List'!A:A = B478))))"),"")</f>
        <v/>
      </c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>
      <c r="A479" s="22"/>
      <c r="B479" s="20"/>
      <c r="C479" s="20" t="str">
        <f>IFERROR(__xludf.DUMMYFUNCTION("IF(ISBLANK(B479),,IFERROR(array_constrain(FILTER('Leetcode分类顺序表'!B:J,'Leetcode分类顺序表'!A:A = B479), 1, 10000000),IFERROR(FILTER(Algoexpert.io!B:D,Algoexpert.io!A:A = B479),FILTER('Leetcode List'!B:J,'Leetcode List'!A:A = B479))))"),"")</f>
        <v/>
      </c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>
      <c r="A480" s="22"/>
      <c r="B480" s="20"/>
      <c r="C480" s="20" t="str">
        <f>IFERROR(__xludf.DUMMYFUNCTION("IF(ISBLANK(B480),,IFERROR(array_constrain(FILTER('Leetcode分类顺序表'!B:J,'Leetcode分类顺序表'!A:A = B480), 1, 10000000),IFERROR(FILTER(Algoexpert.io!B:D,Algoexpert.io!A:A = B480),FILTER('Leetcode List'!B:J,'Leetcode List'!A:A = B480))))"),"")</f>
        <v/>
      </c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>
      <c r="A481" s="22"/>
      <c r="B481" s="20"/>
      <c r="C481" s="20" t="str">
        <f>IFERROR(__xludf.DUMMYFUNCTION("IF(ISBLANK(B481),,IFERROR(array_constrain(FILTER('Leetcode分类顺序表'!B:J,'Leetcode分类顺序表'!A:A = B481), 1, 10000000),IFERROR(FILTER(Algoexpert.io!B:D,Algoexpert.io!A:A = B481),FILTER('Leetcode List'!B:J,'Leetcode List'!A:A = B481))))"),"")</f>
        <v/>
      </c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>
      <c r="A482" s="22"/>
      <c r="B482" s="20"/>
      <c r="C482" s="20" t="str">
        <f>IFERROR(__xludf.DUMMYFUNCTION("IF(ISBLANK(B482),,IFERROR(array_constrain(FILTER('Leetcode分类顺序表'!B:J,'Leetcode分类顺序表'!A:A = B482), 1, 10000000),IFERROR(FILTER(Algoexpert.io!B:D,Algoexpert.io!A:A = B482),FILTER('Leetcode List'!B:J,'Leetcode List'!A:A = B482))))"),"")</f>
        <v/>
      </c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>
      <c r="A483" s="22"/>
      <c r="B483" s="20"/>
      <c r="C483" s="20" t="str">
        <f>IFERROR(__xludf.DUMMYFUNCTION("IF(ISBLANK(B483),,IFERROR(array_constrain(FILTER('Leetcode分类顺序表'!B:J,'Leetcode分类顺序表'!A:A = B483), 1, 10000000),IFERROR(FILTER(Algoexpert.io!B:D,Algoexpert.io!A:A = B483),FILTER('Leetcode List'!B:J,'Leetcode List'!A:A = B483))))"),"")</f>
        <v/>
      </c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>
      <c r="A484" s="22"/>
      <c r="B484" s="20"/>
      <c r="C484" s="20" t="str">
        <f>IFERROR(__xludf.DUMMYFUNCTION("IF(ISBLANK(B484),,IFERROR(array_constrain(FILTER('Leetcode分类顺序表'!B:J,'Leetcode分类顺序表'!A:A = B484), 1, 10000000),IFERROR(FILTER(Algoexpert.io!B:D,Algoexpert.io!A:A = B484),FILTER('Leetcode List'!B:J,'Leetcode List'!A:A = B484))))"),"")</f>
        <v/>
      </c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>
      <c r="A485" s="22"/>
      <c r="B485" s="20"/>
      <c r="C485" s="20" t="str">
        <f>IFERROR(__xludf.DUMMYFUNCTION("IF(ISBLANK(B485),,IFERROR(array_constrain(FILTER('Leetcode分类顺序表'!B:J,'Leetcode分类顺序表'!A:A = B485), 1, 10000000),IFERROR(FILTER(Algoexpert.io!B:D,Algoexpert.io!A:A = B485),FILTER('Leetcode List'!B:J,'Leetcode List'!A:A = B485))))"),"")</f>
        <v/>
      </c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>
      <c r="A486" s="22"/>
      <c r="B486" s="20"/>
      <c r="C486" s="20" t="str">
        <f>IFERROR(__xludf.DUMMYFUNCTION("IF(ISBLANK(B486),,IFERROR(array_constrain(FILTER('Leetcode分类顺序表'!B:J,'Leetcode分类顺序表'!A:A = B486), 1, 10000000),IFERROR(FILTER(Algoexpert.io!B:D,Algoexpert.io!A:A = B486),FILTER('Leetcode List'!B:J,'Leetcode List'!A:A = B486))))"),"")</f>
        <v/>
      </c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>
      <c r="A487" s="22"/>
      <c r="B487" s="20"/>
      <c r="C487" s="20" t="str">
        <f>IFERROR(__xludf.DUMMYFUNCTION("IF(ISBLANK(B487),,IFERROR(array_constrain(FILTER('Leetcode分类顺序表'!B:J,'Leetcode分类顺序表'!A:A = B487), 1, 10000000),IFERROR(FILTER(Algoexpert.io!B:D,Algoexpert.io!A:A = B487),FILTER('Leetcode List'!B:J,'Leetcode List'!A:A = B487))))"),"")</f>
        <v/>
      </c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>
      <c r="A488" s="22"/>
      <c r="B488" s="20"/>
      <c r="C488" s="20" t="str">
        <f>IFERROR(__xludf.DUMMYFUNCTION("IF(ISBLANK(B488),,IFERROR(array_constrain(FILTER('Leetcode分类顺序表'!B:J,'Leetcode分类顺序表'!A:A = B488), 1, 10000000),IFERROR(FILTER(Algoexpert.io!B:D,Algoexpert.io!A:A = B488),FILTER('Leetcode List'!B:J,'Leetcode List'!A:A = B488))))"),"")</f>
        <v/>
      </c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>
      <c r="A489" s="22"/>
      <c r="B489" s="20"/>
      <c r="C489" s="20" t="str">
        <f>IFERROR(__xludf.DUMMYFUNCTION("IF(ISBLANK(B489),,IFERROR(array_constrain(FILTER('Leetcode分类顺序表'!B:J,'Leetcode分类顺序表'!A:A = B489), 1, 10000000),IFERROR(FILTER(Algoexpert.io!B:D,Algoexpert.io!A:A = B489),FILTER('Leetcode List'!B:J,'Leetcode List'!A:A = B489))))"),"")</f>
        <v/>
      </c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>
      <c r="A490" s="22"/>
      <c r="B490" s="20"/>
      <c r="C490" s="20" t="str">
        <f>IFERROR(__xludf.DUMMYFUNCTION("IF(ISBLANK(B490),,IFERROR(array_constrain(FILTER('Leetcode分类顺序表'!B:J,'Leetcode分类顺序表'!A:A = B490), 1, 10000000),IFERROR(FILTER(Algoexpert.io!B:D,Algoexpert.io!A:A = B490),FILTER('Leetcode List'!B:J,'Leetcode List'!A:A = B490))))"),"")</f>
        <v/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>
      <c r="A491" s="22"/>
      <c r="B491" s="20"/>
      <c r="C491" s="20" t="str">
        <f>IFERROR(__xludf.DUMMYFUNCTION("IF(ISBLANK(B491),,IFERROR(array_constrain(FILTER('Leetcode分类顺序表'!B:J,'Leetcode分类顺序表'!A:A = B491), 1, 10000000),IFERROR(FILTER(Algoexpert.io!B:D,Algoexpert.io!A:A = B491),FILTER('Leetcode List'!B:J,'Leetcode List'!A:A = B491))))"),"")</f>
        <v/>
      </c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>
      <c r="A492" s="22"/>
      <c r="B492" s="20"/>
      <c r="C492" s="20" t="str">
        <f>IFERROR(__xludf.DUMMYFUNCTION("IF(ISBLANK(B492),,IFERROR(array_constrain(FILTER('Leetcode分类顺序表'!B:J,'Leetcode分类顺序表'!A:A = B492), 1, 10000000),IFERROR(FILTER(Algoexpert.io!B:D,Algoexpert.io!A:A = B492),FILTER('Leetcode List'!B:J,'Leetcode List'!A:A = B492))))"),"")</f>
        <v/>
      </c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>
      <c r="A493" s="22"/>
      <c r="B493" s="20"/>
      <c r="C493" s="20" t="str">
        <f>IFERROR(__xludf.DUMMYFUNCTION("IF(ISBLANK(B493),,IFERROR(array_constrain(FILTER('Leetcode分类顺序表'!B:J,'Leetcode分类顺序表'!A:A = B493), 1, 10000000),IFERROR(FILTER(Algoexpert.io!B:D,Algoexpert.io!A:A = B493),FILTER('Leetcode List'!B:J,'Leetcode List'!A:A = B493))))"),"")</f>
        <v/>
      </c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>
      <c r="A494" s="22"/>
      <c r="B494" s="20"/>
      <c r="C494" s="20" t="str">
        <f>IFERROR(__xludf.DUMMYFUNCTION("IF(ISBLANK(B494),,IFERROR(array_constrain(FILTER('Leetcode分类顺序表'!B:J,'Leetcode分类顺序表'!A:A = B494), 1, 10000000),IFERROR(FILTER(Algoexpert.io!B:D,Algoexpert.io!A:A = B494),FILTER('Leetcode List'!B:J,'Leetcode List'!A:A = B494))))"),"")</f>
        <v/>
      </c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>
      <c r="A495" s="22"/>
      <c r="B495" s="20"/>
      <c r="C495" s="20" t="str">
        <f>IFERROR(__xludf.DUMMYFUNCTION("IF(ISBLANK(B495),,IFERROR(array_constrain(FILTER('Leetcode分类顺序表'!B:J,'Leetcode分类顺序表'!A:A = B495), 1, 10000000),IFERROR(FILTER(Algoexpert.io!B:D,Algoexpert.io!A:A = B495),FILTER('Leetcode List'!B:J,'Leetcode List'!A:A = B495))))"),"")</f>
        <v/>
      </c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>
      <c r="A496" s="22"/>
      <c r="B496" s="20"/>
      <c r="C496" s="20" t="str">
        <f>IFERROR(__xludf.DUMMYFUNCTION("IF(ISBLANK(B496),,IFERROR(array_constrain(FILTER('Leetcode分类顺序表'!B:J,'Leetcode分类顺序表'!A:A = B496), 1, 10000000),IFERROR(FILTER(Algoexpert.io!B:D,Algoexpert.io!A:A = B496),FILTER('Leetcode List'!B:J,'Leetcode List'!A:A = B496))))"),"")</f>
        <v/>
      </c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>
      <c r="A497" s="22"/>
      <c r="B497" s="20"/>
      <c r="C497" s="20" t="str">
        <f>IFERROR(__xludf.DUMMYFUNCTION("IF(ISBLANK(B497),,IFERROR(array_constrain(FILTER('Leetcode分类顺序表'!B:J,'Leetcode分类顺序表'!A:A = B497), 1, 10000000),IFERROR(FILTER(Algoexpert.io!B:D,Algoexpert.io!A:A = B497),FILTER('Leetcode List'!B:J,'Leetcode List'!A:A = B497))))"),"")</f>
        <v/>
      </c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>
      <c r="A498" s="22"/>
      <c r="B498" s="20"/>
      <c r="C498" s="20" t="str">
        <f>IFERROR(__xludf.DUMMYFUNCTION("IF(ISBLANK(B498),,IFERROR(array_constrain(FILTER('Leetcode分类顺序表'!B:J,'Leetcode分类顺序表'!A:A = B498), 1, 10000000),IFERROR(FILTER(Algoexpert.io!B:D,Algoexpert.io!A:A = B498),FILTER('Leetcode List'!B:J,'Leetcode List'!A:A = B498))))"),"")</f>
        <v/>
      </c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>
      <c r="A499" s="22"/>
      <c r="B499" s="20"/>
      <c r="C499" s="20" t="str">
        <f>IFERROR(__xludf.DUMMYFUNCTION("IF(ISBLANK(B499),,IFERROR(array_constrain(FILTER('Leetcode分类顺序表'!B:J,'Leetcode分类顺序表'!A:A = B499), 1, 10000000),IFERROR(FILTER(Algoexpert.io!B:D,Algoexpert.io!A:A = B499),FILTER('Leetcode List'!B:J,'Leetcode List'!A:A = B499))))"),"")</f>
        <v/>
      </c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>
      <c r="A500" s="22"/>
      <c r="B500" s="20"/>
      <c r="C500" s="20" t="str">
        <f>IFERROR(__xludf.DUMMYFUNCTION("IF(ISBLANK(B500),,IFERROR(array_constrain(FILTER('Leetcode分类顺序表'!B:J,'Leetcode分类顺序表'!A:A = B500), 1, 10000000),IFERROR(FILTER(Algoexpert.io!B:D,Algoexpert.io!A:A = B500),FILTER('Leetcode List'!B:J,'Leetcode List'!A:A = B500))))"),"")</f>
        <v/>
      </c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>
      <c r="A501" s="22"/>
      <c r="B501" s="20"/>
      <c r="C501" s="20" t="str">
        <f>IFERROR(__xludf.DUMMYFUNCTION("IF(ISBLANK(B501),,IFERROR(array_constrain(FILTER('Leetcode分类顺序表'!B:J,'Leetcode分类顺序表'!A:A = B501), 1, 10000000),IFERROR(FILTER(Algoexpert.io!B:D,Algoexpert.io!A:A = B501),FILTER('Leetcode List'!B:J,'Leetcode List'!A:A = B501))))"),"")</f>
        <v/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>
      <c r="A502" s="22"/>
      <c r="B502" s="20"/>
      <c r="C502" s="20" t="str">
        <f>IFERROR(__xludf.DUMMYFUNCTION("IF(ISBLANK(B502),,IFERROR(array_constrain(FILTER('Leetcode分类顺序表'!B:J,'Leetcode分类顺序表'!A:A = B502), 1, 10000000),IFERROR(FILTER(Algoexpert.io!B:D,Algoexpert.io!A:A = B502),FILTER('Leetcode List'!B:J,'Leetcode List'!A:A = B502))))"),"")</f>
        <v/>
      </c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>
      <c r="A503" s="22"/>
      <c r="B503" s="20"/>
      <c r="C503" s="20" t="str">
        <f>IFERROR(__xludf.DUMMYFUNCTION("IF(ISBLANK(B503),,IFERROR(array_constrain(FILTER('Leetcode分类顺序表'!B:J,'Leetcode分类顺序表'!A:A = B503), 1, 10000000),IFERROR(FILTER(Algoexpert.io!B:D,Algoexpert.io!A:A = B503),FILTER('Leetcode List'!B:J,'Leetcode List'!A:A = B503))))"),"")</f>
        <v/>
      </c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>
      <c r="A504" s="22"/>
      <c r="B504" s="20"/>
      <c r="C504" s="20" t="str">
        <f>IFERROR(__xludf.DUMMYFUNCTION("IF(ISBLANK(B504),,IFERROR(array_constrain(FILTER('Leetcode分类顺序表'!B:J,'Leetcode分类顺序表'!A:A = B504), 1, 10000000),IFERROR(FILTER(Algoexpert.io!B:D,Algoexpert.io!A:A = B504),FILTER('Leetcode List'!B:J,'Leetcode List'!A:A = B504))))"),"")</f>
        <v/>
      </c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>
      <c r="A505" s="22"/>
      <c r="B505" s="20"/>
      <c r="C505" s="20" t="str">
        <f>IFERROR(__xludf.DUMMYFUNCTION("IF(ISBLANK(B505),,IFERROR(array_constrain(FILTER('Leetcode分类顺序表'!B:J,'Leetcode分类顺序表'!A:A = B505), 1, 10000000),IFERROR(FILTER(Algoexpert.io!B:D,Algoexpert.io!A:A = B505),FILTER('Leetcode List'!B:J,'Leetcode List'!A:A = B505))))"),"")</f>
        <v/>
      </c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>
      <c r="A506" s="22"/>
      <c r="B506" s="20"/>
      <c r="C506" s="20" t="str">
        <f>IFERROR(__xludf.DUMMYFUNCTION("IF(ISBLANK(B506),,IFERROR(array_constrain(FILTER('Leetcode分类顺序表'!B:J,'Leetcode分类顺序表'!A:A = B506), 1, 10000000),IFERROR(FILTER(Algoexpert.io!B:D,Algoexpert.io!A:A = B506),FILTER('Leetcode List'!B:J,'Leetcode List'!A:A = B506))))"),"")</f>
        <v/>
      </c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>
      <c r="A507" s="22"/>
      <c r="B507" s="20"/>
      <c r="C507" s="20" t="str">
        <f>IFERROR(__xludf.DUMMYFUNCTION("IF(ISBLANK(B507),,IFERROR(array_constrain(FILTER('Leetcode分类顺序表'!B:J,'Leetcode分类顺序表'!A:A = B507), 1, 10000000),IFERROR(FILTER(Algoexpert.io!B:D,Algoexpert.io!A:A = B507),FILTER('Leetcode List'!B:J,'Leetcode List'!A:A = B507))))"),"")</f>
        <v/>
      </c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>
      <c r="A508" s="22"/>
      <c r="B508" s="20"/>
      <c r="C508" s="20" t="str">
        <f>IFERROR(__xludf.DUMMYFUNCTION("IF(ISBLANK(B508),,IFERROR(array_constrain(FILTER('Leetcode分类顺序表'!B:J,'Leetcode分类顺序表'!A:A = B508), 1, 10000000),IFERROR(FILTER(Algoexpert.io!B:D,Algoexpert.io!A:A = B508),FILTER('Leetcode List'!B:J,'Leetcode List'!A:A = B508))))"),"")</f>
        <v/>
      </c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>
      <c r="A509" s="22"/>
      <c r="B509" s="20"/>
      <c r="C509" s="20" t="str">
        <f>IFERROR(__xludf.DUMMYFUNCTION("IF(ISBLANK(B509),,IFERROR(array_constrain(FILTER('Leetcode分类顺序表'!B:J,'Leetcode分类顺序表'!A:A = B509), 1, 10000000),IFERROR(FILTER(Algoexpert.io!B:D,Algoexpert.io!A:A = B509),FILTER('Leetcode List'!B:J,'Leetcode List'!A:A = B509))))"),"")</f>
        <v/>
      </c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>
      <c r="A510" s="22"/>
      <c r="B510" s="20"/>
      <c r="C510" s="20" t="str">
        <f>IFERROR(__xludf.DUMMYFUNCTION("IF(ISBLANK(B510),,IFERROR(array_constrain(FILTER('Leetcode分类顺序表'!B:J,'Leetcode分类顺序表'!A:A = B510), 1, 10000000),IFERROR(FILTER(Algoexpert.io!B:D,Algoexpert.io!A:A = B510),FILTER('Leetcode List'!B:J,'Leetcode List'!A:A = B510))))"),"")</f>
        <v/>
      </c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>
      <c r="A511" s="22"/>
      <c r="B511" s="20"/>
      <c r="C511" s="20" t="str">
        <f>IFERROR(__xludf.DUMMYFUNCTION("IF(ISBLANK(B511),,IFERROR(array_constrain(FILTER('Leetcode分类顺序表'!B:J,'Leetcode分类顺序表'!A:A = B511), 1, 10000000),IFERROR(FILTER(Algoexpert.io!B:D,Algoexpert.io!A:A = B511),FILTER('Leetcode List'!B:J,'Leetcode List'!A:A = B511))))"),"")</f>
        <v/>
      </c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>
      <c r="A512" s="22"/>
      <c r="B512" s="20"/>
      <c r="C512" s="20" t="str">
        <f>IFERROR(__xludf.DUMMYFUNCTION("IF(ISBLANK(B512),,IFERROR(array_constrain(FILTER('Leetcode分类顺序表'!B:J,'Leetcode分类顺序表'!A:A = B512), 1, 10000000),IFERROR(FILTER(Algoexpert.io!B:D,Algoexpert.io!A:A = B512),FILTER('Leetcode List'!B:J,'Leetcode List'!A:A = B512))))"),"")</f>
        <v/>
      </c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>
      <c r="A513" s="22"/>
      <c r="B513" s="20"/>
      <c r="C513" s="20" t="str">
        <f>IFERROR(__xludf.DUMMYFUNCTION("IF(ISBLANK(B513),,IFERROR(array_constrain(FILTER('Leetcode分类顺序表'!B:J,'Leetcode分类顺序表'!A:A = B513), 1, 10000000),IFERROR(FILTER(Algoexpert.io!B:D,Algoexpert.io!A:A = B513),FILTER('Leetcode List'!B:J,'Leetcode List'!A:A = B513))))"),"")</f>
        <v/>
      </c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>
      <c r="A514" s="22"/>
      <c r="B514" s="20"/>
      <c r="C514" s="20" t="str">
        <f>IFERROR(__xludf.DUMMYFUNCTION("IF(ISBLANK(B514),,IFERROR(array_constrain(FILTER('Leetcode分类顺序表'!B:J,'Leetcode分类顺序表'!A:A = B514), 1, 10000000),IFERROR(FILTER(Algoexpert.io!B:D,Algoexpert.io!A:A = B514),FILTER('Leetcode List'!B:J,'Leetcode List'!A:A = B514))))"),"")</f>
        <v/>
      </c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>
      <c r="A515" s="22"/>
      <c r="B515" s="20"/>
      <c r="C515" s="20" t="str">
        <f>IFERROR(__xludf.DUMMYFUNCTION("IF(ISBLANK(B515),,IFERROR(array_constrain(FILTER('Leetcode分类顺序表'!B:J,'Leetcode分类顺序表'!A:A = B515), 1, 10000000),IFERROR(FILTER(Algoexpert.io!B:D,Algoexpert.io!A:A = B515),FILTER('Leetcode List'!B:J,'Leetcode List'!A:A = B515))))"),"")</f>
        <v/>
      </c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>
      <c r="A516" s="22"/>
      <c r="B516" s="20"/>
      <c r="C516" s="20" t="str">
        <f>IFERROR(__xludf.DUMMYFUNCTION("IF(ISBLANK(B516),,IFERROR(array_constrain(FILTER('Leetcode分类顺序表'!B:J,'Leetcode分类顺序表'!A:A = B516), 1, 10000000),IFERROR(FILTER(Algoexpert.io!B:D,Algoexpert.io!A:A = B516),FILTER('Leetcode List'!B:J,'Leetcode List'!A:A = B516))))"),"")</f>
        <v/>
      </c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>
      <c r="A517" s="22"/>
      <c r="B517" s="20"/>
      <c r="C517" s="20" t="str">
        <f>IFERROR(__xludf.DUMMYFUNCTION("IF(ISBLANK(B517),,IFERROR(array_constrain(FILTER('Leetcode分类顺序表'!B:J,'Leetcode分类顺序表'!A:A = B517), 1, 10000000),IFERROR(FILTER(Algoexpert.io!B:D,Algoexpert.io!A:A = B517),FILTER('Leetcode List'!B:J,'Leetcode List'!A:A = B517))))"),"")</f>
        <v/>
      </c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>
      <c r="A518" s="22"/>
      <c r="B518" s="20"/>
      <c r="C518" s="20" t="str">
        <f>IFERROR(__xludf.DUMMYFUNCTION("IF(ISBLANK(B518),,IFERROR(array_constrain(FILTER('Leetcode分类顺序表'!B:J,'Leetcode分类顺序表'!A:A = B518), 1, 10000000),IFERROR(FILTER(Algoexpert.io!B:D,Algoexpert.io!A:A = B518),FILTER('Leetcode List'!B:J,'Leetcode List'!A:A = B518))))"),"")</f>
        <v/>
      </c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>
      <c r="A519" s="22"/>
      <c r="B519" s="20"/>
      <c r="C519" s="20" t="str">
        <f>IFERROR(__xludf.DUMMYFUNCTION("IF(ISBLANK(B519),,IFERROR(array_constrain(FILTER('Leetcode分类顺序表'!B:J,'Leetcode分类顺序表'!A:A = B519), 1, 10000000),IFERROR(FILTER(Algoexpert.io!B:D,Algoexpert.io!A:A = B519),FILTER('Leetcode List'!B:J,'Leetcode List'!A:A = B519))))"),"")</f>
        <v/>
      </c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>
      <c r="A520" s="22"/>
      <c r="B520" s="20"/>
      <c r="C520" s="20" t="str">
        <f>IFERROR(__xludf.DUMMYFUNCTION("IF(ISBLANK(B520),,IFERROR(array_constrain(FILTER('Leetcode分类顺序表'!B:J,'Leetcode分类顺序表'!A:A = B520), 1, 10000000),IFERROR(FILTER(Algoexpert.io!B:D,Algoexpert.io!A:A = B520),FILTER('Leetcode List'!B:J,'Leetcode List'!A:A = B520))))"),"")</f>
        <v/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>
      <c r="A521" s="22"/>
      <c r="B521" s="20"/>
      <c r="C521" s="20" t="str">
        <f>IFERROR(__xludf.DUMMYFUNCTION("IF(ISBLANK(B521),,IFERROR(array_constrain(FILTER('Leetcode分类顺序表'!B:J,'Leetcode分类顺序表'!A:A = B521), 1, 10000000),IFERROR(FILTER(Algoexpert.io!B:D,Algoexpert.io!A:A = B521),FILTER('Leetcode List'!B:J,'Leetcode List'!A:A = B521))))"),"")</f>
        <v/>
      </c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>
      <c r="A522" s="22"/>
      <c r="B522" s="20"/>
      <c r="C522" s="20" t="str">
        <f>IFERROR(__xludf.DUMMYFUNCTION("IF(ISBLANK(B522),,IFERROR(array_constrain(FILTER('Leetcode分类顺序表'!B:J,'Leetcode分类顺序表'!A:A = B522), 1, 10000000),IFERROR(FILTER(Algoexpert.io!B:D,Algoexpert.io!A:A = B522),FILTER('Leetcode List'!B:J,'Leetcode List'!A:A = B522))))"),"")</f>
        <v/>
      </c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>
      <c r="A523" s="22"/>
      <c r="B523" s="20"/>
      <c r="C523" s="20" t="str">
        <f>IFERROR(__xludf.DUMMYFUNCTION("IF(ISBLANK(B523),,IFERROR(array_constrain(FILTER('Leetcode分类顺序表'!B:J,'Leetcode分类顺序表'!A:A = B523), 1, 10000000),IFERROR(FILTER(Algoexpert.io!B:D,Algoexpert.io!A:A = B523),FILTER('Leetcode List'!B:J,'Leetcode List'!A:A = B523))))"),"")</f>
        <v/>
      </c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>
      <c r="A524" s="22"/>
      <c r="B524" s="20"/>
      <c r="C524" s="20" t="str">
        <f>IFERROR(__xludf.DUMMYFUNCTION("IF(ISBLANK(B524),,IFERROR(array_constrain(FILTER('Leetcode分类顺序表'!B:J,'Leetcode分类顺序表'!A:A = B524), 1, 10000000),IFERROR(FILTER(Algoexpert.io!B:D,Algoexpert.io!A:A = B524),FILTER('Leetcode List'!B:J,'Leetcode List'!A:A = B524))))"),"")</f>
        <v/>
      </c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>
      <c r="A525" s="22"/>
      <c r="B525" s="20"/>
      <c r="C525" s="20" t="str">
        <f>IFERROR(__xludf.DUMMYFUNCTION("IF(ISBLANK(B525),,IFERROR(array_constrain(FILTER('Leetcode分类顺序表'!B:J,'Leetcode分类顺序表'!A:A = B525), 1, 10000000),IFERROR(FILTER(Algoexpert.io!B:D,Algoexpert.io!A:A = B525),FILTER('Leetcode List'!B:J,'Leetcode List'!A:A = B525))))"),"")</f>
        <v/>
      </c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>
      <c r="A526" s="22"/>
      <c r="B526" s="20"/>
      <c r="C526" s="20" t="str">
        <f>IFERROR(__xludf.DUMMYFUNCTION("IF(ISBLANK(B526),,IFERROR(array_constrain(FILTER('Leetcode分类顺序表'!B:J,'Leetcode分类顺序表'!A:A = B526), 1, 10000000),IFERROR(FILTER(Algoexpert.io!B:D,Algoexpert.io!A:A = B526),FILTER('Leetcode List'!B:J,'Leetcode List'!A:A = B526))))"),"")</f>
        <v/>
      </c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>
      <c r="A527" s="22"/>
      <c r="B527" s="20"/>
      <c r="C527" s="20" t="str">
        <f>IFERROR(__xludf.DUMMYFUNCTION("IF(ISBLANK(B527),,IFERROR(array_constrain(FILTER('Leetcode分类顺序表'!B:J,'Leetcode分类顺序表'!A:A = B527), 1, 10000000),IFERROR(FILTER(Algoexpert.io!B:D,Algoexpert.io!A:A = B527),FILTER('Leetcode List'!B:J,'Leetcode List'!A:A = B527))))"),"")</f>
        <v/>
      </c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>
      <c r="A528" s="22"/>
      <c r="B528" s="20"/>
      <c r="C528" s="20" t="str">
        <f>IFERROR(__xludf.DUMMYFUNCTION("IF(ISBLANK(B528),,IFERROR(array_constrain(FILTER('Leetcode分类顺序表'!B:J,'Leetcode分类顺序表'!A:A = B528), 1, 10000000),IFERROR(FILTER(Algoexpert.io!B:D,Algoexpert.io!A:A = B528),FILTER('Leetcode List'!B:J,'Leetcode List'!A:A = B528))))"),"")</f>
        <v/>
      </c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>
      <c r="A529" s="22"/>
      <c r="B529" s="20"/>
      <c r="C529" s="20" t="str">
        <f>IFERROR(__xludf.DUMMYFUNCTION("IF(ISBLANK(B529),,IFERROR(array_constrain(FILTER('Leetcode分类顺序表'!B:J,'Leetcode分类顺序表'!A:A = B529), 1, 10000000),IFERROR(FILTER(Algoexpert.io!B:D,Algoexpert.io!A:A = B529),FILTER('Leetcode List'!B:J,'Leetcode List'!A:A = B529))))"),"")</f>
        <v/>
      </c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>
      <c r="A530" s="22"/>
      <c r="B530" s="20"/>
      <c r="C530" s="20" t="str">
        <f>IFERROR(__xludf.DUMMYFUNCTION("IF(ISBLANK(B530),,IFERROR(array_constrain(FILTER('Leetcode分类顺序表'!B:J,'Leetcode分类顺序表'!A:A = B530), 1, 10000000),IFERROR(FILTER(Algoexpert.io!B:D,Algoexpert.io!A:A = B530),FILTER('Leetcode List'!B:J,'Leetcode List'!A:A = B530))))"),"")</f>
        <v/>
      </c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>
      <c r="A531" s="22"/>
      <c r="B531" s="20"/>
      <c r="C531" s="20" t="str">
        <f>IFERROR(__xludf.DUMMYFUNCTION("IF(ISBLANK(B531),,IFERROR(array_constrain(FILTER('Leetcode分类顺序表'!B:J,'Leetcode分类顺序表'!A:A = B531), 1, 10000000),IFERROR(FILTER(Algoexpert.io!B:D,Algoexpert.io!A:A = B531),FILTER('Leetcode List'!B:J,'Leetcode List'!A:A = B531))))"),"")</f>
        <v/>
      </c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>
      <c r="A532" s="22"/>
      <c r="B532" s="20"/>
      <c r="C532" s="20" t="str">
        <f>IFERROR(__xludf.DUMMYFUNCTION("IF(ISBLANK(B532),,IFERROR(array_constrain(FILTER('Leetcode分类顺序表'!B:J,'Leetcode分类顺序表'!A:A = B532), 1, 10000000),IFERROR(FILTER(Algoexpert.io!B:D,Algoexpert.io!A:A = B532),FILTER('Leetcode List'!B:J,'Leetcode List'!A:A = B532))))"),"")</f>
        <v/>
      </c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>
      <c r="A533" s="22"/>
      <c r="B533" s="20"/>
      <c r="C533" s="20" t="str">
        <f>IFERROR(__xludf.DUMMYFUNCTION("IF(ISBLANK(B533),,IFERROR(array_constrain(FILTER('Leetcode分类顺序表'!B:J,'Leetcode分类顺序表'!A:A = B533), 1, 10000000),IFERROR(FILTER(Algoexpert.io!B:D,Algoexpert.io!A:A = B533),FILTER('Leetcode List'!B:J,'Leetcode List'!A:A = B533))))"),"")</f>
        <v/>
      </c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>
      <c r="A534" s="22"/>
      <c r="B534" s="20"/>
      <c r="C534" s="20" t="str">
        <f>IFERROR(__xludf.DUMMYFUNCTION("IF(ISBLANK(B534),,IFERROR(array_constrain(FILTER('Leetcode分类顺序表'!B:J,'Leetcode分类顺序表'!A:A = B534), 1, 10000000),IFERROR(FILTER(Algoexpert.io!B:D,Algoexpert.io!A:A = B534),FILTER('Leetcode List'!B:J,'Leetcode List'!A:A = B534))))"),"")</f>
        <v/>
      </c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>
      <c r="A535" s="22"/>
      <c r="B535" s="20"/>
      <c r="C535" s="20" t="str">
        <f>IFERROR(__xludf.DUMMYFUNCTION("IF(ISBLANK(B535),,IFERROR(array_constrain(FILTER('Leetcode分类顺序表'!B:J,'Leetcode分类顺序表'!A:A = B535), 1, 10000000),IFERROR(FILTER(Algoexpert.io!B:D,Algoexpert.io!A:A = B535),FILTER('Leetcode List'!B:J,'Leetcode List'!A:A = B535))))"),"")</f>
        <v/>
      </c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>
      <c r="A536" s="22"/>
      <c r="B536" s="20"/>
      <c r="C536" s="20" t="str">
        <f>IFERROR(__xludf.DUMMYFUNCTION("IF(ISBLANK(B536),,IFERROR(array_constrain(FILTER('Leetcode分类顺序表'!B:J,'Leetcode分类顺序表'!A:A = B536), 1, 10000000),IFERROR(FILTER(Algoexpert.io!B:D,Algoexpert.io!A:A = B536),FILTER('Leetcode List'!B:J,'Leetcode List'!A:A = B536))))"),"")</f>
        <v/>
      </c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>
      <c r="A537" s="22"/>
      <c r="B537" s="20"/>
      <c r="C537" s="20" t="str">
        <f>IFERROR(__xludf.DUMMYFUNCTION("IF(ISBLANK(B537),,IFERROR(array_constrain(FILTER('Leetcode分类顺序表'!B:J,'Leetcode分类顺序表'!A:A = B537), 1, 10000000),IFERROR(FILTER(Algoexpert.io!B:D,Algoexpert.io!A:A = B537),FILTER('Leetcode List'!B:J,'Leetcode List'!A:A = B537))))"),"")</f>
        <v/>
      </c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>
      <c r="A538" s="22"/>
      <c r="B538" s="20"/>
      <c r="C538" s="20" t="str">
        <f>IFERROR(__xludf.DUMMYFUNCTION("IF(ISBLANK(B538),,IFERROR(array_constrain(FILTER('Leetcode分类顺序表'!B:J,'Leetcode分类顺序表'!A:A = B538), 1, 10000000),IFERROR(FILTER(Algoexpert.io!B:D,Algoexpert.io!A:A = B538),FILTER('Leetcode List'!B:J,'Leetcode List'!A:A = B538))))"),"")</f>
        <v/>
      </c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>
      <c r="A539" s="22"/>
      <c r="B539" s="20"/>
      <c r="C539" s="20" t="str">
        <f>IFERROR(__xludf.DUMMYFUNCTION("IF(ISBLANK(B539),,IFERROR(array_constrain(FILTER('Leetcode分类顺序表'!B:J,'Leetcode分类顺序表'!A:A = B539), 1, 10000000),IFERROR(FILTER(Algoexpert.io!B:D,Algoexpert.io!A:A = B539),FILTER('Leetcode List'!B:J,'Leetcode List'!A:A = B539))))"),"")</f>
        <v/>
      </c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>
      <c r="A540" s="22"/>
      <c r="B540" s="20"/>
      <c r="C540" s="20" t="str">
        <f>IFERROR(__xludf.DUMMYFUNCTION("IF(ISBLANK(B540),,IFERROR(array_constrain(FILTER('Leetcode分类顺序表'!B:J,'Leetcode分类顺序表'!A:A = B540), 1, 10000000),IFERROR(FILTER(Algoexpert.io!B:D,Algoexpert.io!A:A = B540),FILTER('Leetcode List'!B:J,'Leetcode List'!A:A = B540))))"),"")</f>
        <v/>
      </c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>
      <c r="A541" s="22"/>
      <c r="B541" s="20"/>
      <c r="C541" s="20" t="str">
        <f>IFERROR(__xludf.DUMMYFUNCTION("IF(ISBLANK(B541),,IFERROR(array_constrain(FILTER('Leetcode分类顺序表'!B:J,'Leetcode分类顺序表'!A:A = B541), 1, 10000000),IFERROR(FILTER(Algoexpert.io!B:D,Algoexpert.io!A:A = B541),FILTER('Leetcode List'!B:J,'Leetcode List'!A:A = B541))))"),"")</f>
        <v/>
      </c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>
      <c r="A542" s="22"/>
      <c r="B542" s="20"/>
      <c r="C542" s="20" t="str">
        <f>IFERROR(__xludf.DUMMYFUNCTION("IF(ISBLANK(B542),,IFERROR(array_constrain(FILTER('Leetcode分类顺序表'!B:J,'Leetcode分类顺序表'!A:A = B542), 1, 10000000),IFERROR(FILTER(Algoexpert.io!B:D,Algoexpert.io!A:A = B542),FILTER('Leetcode List'!B:J,'Leetcode List'!A:A = B542))))"),"")</f>
        <v/>
      </c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>
      <c r="A543" s="22"/>
      <c r="B543" s="20"/>
      <c r="C543" s="20" t="str">
        <f>IFERROR(__xludf.DUMMYFUNCTION("IF(ISBLANK(B543),,IFERROR(array_constrain(FILTER('Leetcode分类顺序表'!B:J,'Leetcode分类顺序表'!A:A = B543), 1, 10000000),IFERROR(FILTER(Algoexpert.io!B:D,Algoexpert.io!A:A = B543),FILTER('Leetcode List'!B:J,'Leetcode List'!A:A = B543))))"),"")</f>
        <v/>
      </c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>
      <c r="A544" s="22"/>
      <c r="B544" s="20"/>
      <c r="C544" s="20" t="str">
        <f>IFERROR(__xludf.DUMMYFUNCTION("IF(ISBLANK(B544),,IFERROR(array_constrain(FILTER('Leetcode分类顺序表'!B:J,'Leetcode分类顺序表'!A:A = B544), 1, 10000000),IFERROR(FILTER(Algoexpert.io!B:D,Algoexpert.io!A:A = B544),FILTER('Leetcode List'!B:J,'Leetcode List'!A:A = B544))))"),"")</f>
        <v/>
      </c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>
      <c r="A545" s="22"/>
      <c r="B545" s="20"/>
      <c r="C545" s="20" t="str">
        <f>IFERROR(__xludf.DUMMYFUNCTION("IF(ISBLANK(B545),,IFERROR(array_constrain(FILTER('Leetcode分类顺序表'!B:J,'Leetcode分类顺序表'!A:A = B545), 1, 10000000),IFERROR(FILTER(Algoexpert.io!B:D,Algoexpert.io!A:A = B545),FILTER('Leetcode List'!B:J,'Leetcode List'!A:A = B545))))"),"")</f>
        <v/>
      </c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>
      <c r="A546" s="22"/>
      <c r="B546" s="20"/>
      <c r="C546" s="20" t="str">
        <f>IFERROR(__xludf.DUMMYFUNCTION("IF(ISBLANK(B546),,IFERROR(array_constrain(FILTER('Leetcode分类顺序表'!B:J,'Leetcode分类顺序表'!A:A = B546), 1, 10000000),IFERROR(FILTER(Algoexpert.io!B:D,Algoexpert.io!A:A = B546),FILTER('Leetcode List'!B:J,'Leetcode List'!A:A = B546))))"),"")</f>
        <v/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>
      <c r="A547" s="22"/>
      <c r="B547" s="20"/>
      <c r="C547" s="20" t="str">
        <f>IFERROR(__xludf.DUMMYFUNCTION("IF(ISBLANK(B547),,IFERROR(array_constrain(FILTER('Leetcode分类顺序表'!B:J,'Leetcode分类顺序表'!A:A = B547), 1, 10000000),IFERROR(FILTER(Algoexpert.io!B:D,Algoexpert.io!A:A = B547),FILTER('Leetcode List'!B:J,'Leetcode List'!A:A = B547))))"),"")</f>
        <v/>
      </c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>
      <c r="A548" s="22"/>
      <c r="B548" s="20"/>
      <c r="C548" s="20" t="str">
        <f>IFERROR(__xludf.DUMMYFUNCTION("IF(ISBLANK(B548),,IFERROR(array_constrain(FILTER('Leetcode分类顺序表'!B:J,'Leetcode分类顺序表'!A:A = B548), 1, 10000000),IFERROR(FILTER(Algoexpert.io!B:D,Algoexpert.io!A:A = B548),FILTER('Leetcode List'!B:J,'Leetcode List'!A:A = B548))))"),"")</f>
        <v/>
      </c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>
      <c r="A549" s="22"/>
      <c r="B549" s="20"/>
      <c r="C549" s="20" t="str">
        <f>IFERROR(__xludf.DUMMYFUNCTION("IF(ISBLANK(B549),,IFERROR(array_constrain(FILTER('Leetcode分类顺序表'!B:J,'Leetcode分类顺序表'!A:A = B549), 1, 10000000),IFERROR(FILTER(Algoexpert.io!B:D,Algoexpert.io!A:A = B549),FILTER('Leetcode List'!B:J,'Leetcode List'!A:A = B549))))"),"")</f>
        <v/>
      </c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>
      <c r="A550" s="22"/>
      <c r="B550" s="20"/>
      <c r="C550" s="20" t="str">
        <f>IFERROR(__xludf.DUMMYFUNCTION("IF(ISBLANK(B550),,IFERROR(array_constrain(FILTER('Leetcode分类顺序表'!B:J,'Leetcode分类顺序表'!A:A = B550), 1, 10000000),IFERROR(FILTER(Algoexpert.io!B:D,Algoexpert.io!A:A = B550),FILTER('Leetcode List'!B:J,'Leetcode List'!A:A = B550))))"),"")</f>
        <v/>
      </c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>
      <c r="A551" s="22"/>
      <c r="B551" s="20"/>
      <c r="C551" s="20" t="str">
        <f>IFERROR(__xludf.DUMMYFUNCTION("IF(ISBLANK(B551),,IFERROR(array_constrain(FILTER('Leetcode分类顺序表'!B:J,'Leetcode分类顺序表'!A:A = B551), 1, 10000000),IFERROR(FILTER(Algoexpert.io!B:D,Algoexpert.io!A:A = B551),FILTER('Leetcode List'!B:J,'Leetcode List'!A:A = B551))))"),"")</f>
        <v/>
      </c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>
      <c r="A552" s="22"/>
      <c r="B552" s="20"/>
      <c r="C552" s="20" t="str">
        <f>IFERROR(__xludf.DUMMYFUNCTION("IF(ISBLANK(B552),,IFERROR(array_constrain(FILTER('Leetcode分类顺序表'!B:J,'Leetcode分类顺序表'!A:A = B552), 1, 10000000),IFERROR(FILTER(Algoexpert.io!B:D,Algoexpert.io!A:A = B552),FILTER('Leetcode List'!B:J,'Leetcode List'!A:A = B552))))"),"")</f>
        <v/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>
      <c r="A553" s="22"/>
      <c r="B553" s="20"/>
      <c r="C553" s="20" t="str">
        <f>IFERROR(__xludf.DUMMYFUNCTION("IF(ISBLANK(B553),,IFERROR(array_constrain(FILTER('Leetcode分类顺序表'!B:J,'Leetcode分类顺序表'!A:A = B553), 1, 10000000),IFERROR(FILTER(Algoexpert.io!B:D,Algoexpert.io!A:A = B553),FILTER('Leetcode List'!B:J,'Leetcode List'!A:A = B553))))"),"")</f>
        <v/>
      </c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>
      <c r="A554" s="22"/>
      <c r="B554" s="20"/>
      <c r="C554" s="20" t="str">
        <f>IFERROR(__xludf.DUMMYFUNCTION("IF(ISBLANK(B554),,IFERROR(array_constrain(FILTER('Leetcode分类顺序表'!B:J,'Leetcode分类顺序表'!A:A = B554), 1, 10000000),IFERROR(FILTER(Algoexpert.io!B:D,Algoexpert.io!A:A = B554),FILTER('Leetcode List'!B:J,'Leetcode List'!A:A = B554))))"),"")</f>
        <v/>
      </c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>
      <c r="A555" s="22"/>
      <c r="B555" s="20"/>
      <c r="C555" s="20" t="str">
        <f>IFERROR(__xludf.DUMMYFUNCTION("IF(ISBLANK(B555),,IFERROR(array_constrain(FILTER('Leetcode分类顺序表'!B:J,'Leetcode分类顺序表'!A:A = B555), 1, 10000000),IFERROR(FILTER(Algoexpert.io!B:D,Algoexpert.io!A:A = B555),FILTER('Leetcode List'!B:J,'Leetcode List'!A:A = B555))))"),"")</f>
        <v/>
      </c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>
      <c r="A556" s="22"/>
      <c r="B556" s="20"/>
      <c r="C556" s="20" t="str">
        <f>IFERROR(__xludf.DUMMYFUNCTION("IF(ISBLANK(B556),,IFERROR(array_constrain(FILTER('Leetcode分类顺序表'!B:J,'Leetcode分类顺序表'!A:A = B556), 1, 10000000),IFERROR(FILTER(Algoexpert.io!B:D,Algoexpert.io!A:A = B556),FILTER('Leetcode List'!B:J,'Leetcode List'!A:A = B556))))"),"")</f>
        <v/>
      </c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>
      <c r="A557" s="22"/>
      <c r="B557" s="20"/>
      <c r="C557" s="20" t="str">
        <f>IFERROR(__xludf.DUMMYFUNCTION("IF(ISBLANK(B557),,IFERROR(array_constrain(FILTER('Leetcode分类顺序表'!B:J,'Leetcode分类顺序表'!A:A = B557), 1, 10000000),IFERROR(FILTER(Algoexpert.io!B:D,Algoexpert.io!A:A = B557),FILTER('Leetcode List'!B:J,'Leetcode List'!A:A = B557))))"),"")</f>
        <v/>
      </c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>
      <c r="A558" s="22"/>
      <c r="B558" s="20"/>
      <c r="C558" s="20" t="str">
        <f>IFERROR(__xludf.DUMMYFUNCTION("IF(ISBLANK(B558),,IFERROR(array_constrain(FILTER('Leetcode分类顺序表'!B:J,'Leetcode分类顺序表'!A:A = B558), 1, 10000000),IFERROR(FILTER(Algoexpert.io!B:D,Algoexpert.io!A:A = B558),FILTER('Leetcode List'!B:J,'Leetcode List'!A:A = B558))))"),"")</f>
        <v/>
      </c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>
      <c r="A559" s="22"/>
      <c r="B559" s="20"/>
      <c r="C559" s="20" t="str">
        <f>IFERROR(__xludf.DUMMYFUNCTION("IF(ISBLANK(B559),,IFERROR(array_constrain(FILTER('Leetcode分类顺序表'!B:J,'Leetcode分类顺序表'!A:A = B559), 1, 10000000),IFERROR(FILTER(Algoexpert.io!B:D,Algoexpert.io!A:A = B559),FILTER('Leetcode List'!B:J,'Leetcode List'!A:A = B559))))"),"")</f>
        <v/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>
      <c r="A560" s="22"/>
      <c r="B560" s="20"/>
      <c r="C560" s="20" t="str">
        <f>IFERROR(__xludf.DUMMYFUNCTION("IF(ISBLANK(B560),,IFERROR(array_constrain(FILTER('Leetcode分类顺序表'!B:J,'Leetcode分类顺序表'!A:A = B560), 1, 10000000),IFERROR(FILTER(Algoexpert.io!B:D,Algoexpert.io!A:A = B560),FILTER('Leetcode List'!B:J,'Leetcode List'!A:A = B560))))"),"")</f>
        <v/>
      </c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>
      <c r="A561" s="22"/>
      <c r="B561" s="20"/>
      <c r="C561" s="20" t="str">
        <f>IFERROR(__xludf.DUMMYFUNCTION("IF(ISBLANK(B561),,IFERROR(array_constrain(FILTER('Leetcode分类顺序表'!B:J,'Leetcode分类顺序表'!A:A = B561), 1, 10000000),IFERROR(FILTER(Algoexpert.io!B:D,Algoexpert.io!A:A = B561),FILTER('Leetcode List'!B:J,'Leetcode List'!A:A = B561))))"),"")</f>
        <v/>
      </c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>
      <c r="A562" s="22"/>
      <c r="B562" s="20"/>
      <c r="C562" s="20" t="str">
        <f>IFERROR(__xludf.DUMMYFUNCTION("IF(ISBLANK(B562),,IFERROR(array_constrain(FILTER('Leetcode分类顺序表'!B:J,'Leetcode分类顺序表'!A:A = B562), 1, 10000000),IFERROR(FILTER(Algoexpert.io!B:D,Algoexpert.io!A:A = B562),FILTER('Leetcode List'!B:J,'Leetcode List'!A:A = B562))))"),"")</f>
        <v/>
      </c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>
      <c r="A563" s="22"/>
      <c r="B563" s="20"/>
      <c r="C563" s="20" t="str">
        <f>IFERROR(__xludf.DUMMYFUNCTION("IF(ISBLANK(B563),,IFERROR(array_constrain(FILTER('Leetcode分类顺序表'!B:J,'Leetcode分类顺序表'!A:A = B563), 1, 10000000),IFERROR(FILTER(Algoexpert.io!B:D,Algoexpert.io!A:A = B563),FILTER('Leetcode List'!B:J,'Leetcode List'!A:A = B563))))"),"")</f>
        <v/>
      </c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>
      <c r="A564" s="22"/>
      <c r="B564" s="20"/>
      <c r="C564" s="20" t="str">
        <f>IFERROR(__xludf.DUMMYFUNCTION("IF(ISBLANK(B564),,IFERROR(array_constrain(FILTER('Leetcode分类顺序表'!B:J,'Leetcode分类顺序表'!A:A = B564), 1, 10000000),IFERROR(FILTER(Algoexpert.io!B:D,Algoexpert.io!A:A = B564),FILTER('Leetcode List'!B:J,'Leetcode List'!A:A = B564))))"),"")</f>
        <v/>
      </c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>
      <c r="A565" s="22"/>
      <c r="B565" s="20"/>
      <c r="C565" s="20" t="str">
        <f>IFERROR(__xludf.DUMMYFUNCTION("IF(ISBLANK(B565),,IFERROR(array_constrain(FILTER('Leetcode分类顺序表'!B:J,'Leetcode分类顺序表'!A:A = B565), 1, 10000000),IFERROR(FILTER(Algoexpert.io!B:D,Algoexpert.io!A:A = B565),FILTER('Leetcode List'!B:J,'Leetcode List'!A:A = B565))))"),"")</f>
        <v/>
      </c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>
      <c r="A566" s="22"/>
      <c r="B566" s="20"/>
      <c r="C566" s="20" t="str">
        <f>IFERROR(__xludf.DUMMYFUNCTION("IF(ISBLANK(B566),,IFERROR(array_constrain(FILTER('Leetcode分类顺序表'!B:J,'Leetcode分类顺序表'!A:A = B566), 1, 10000000),IFERROR(FILTER(Algoexpert.io!B:D,Algoexpert.io!A:A = B566),FILTER('Leetcode List'!B:J,'Leetcode List'!A:A = B566))))"),"")</f>
        <v/>
      </c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>
      <c r="A567" s="22"/>
      <c r="B567" s="20"/>
      <c r="C567" s="20" t="str">
        <f>IFERROR(__xludf.DUMMYFUNCTION("IF(ISBLANK(B567),,IFERROR(array_constrain(FILTER('Leetcode分类顺序表'!B:J,'Leetcode分类顺序表'!A:A = B567), 1, 10000000),IFERROR(FILTER(Algoexpert.io!B:D,Algoexpert.io!A:A = B567),FILTER('Leetcode List'!B:J,'Leetcode List'!A:A = B567))))"),"")</f>
        <v/>
      </c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>
      <c r="A568" s="22"/>
      <c r="B568" s="20"/>
      <c r="C568" s="20" t="str">
        <f>IFERROR(__xludf.DUMMYFUNCTION("IF(ISBLANK(B568),,IFERROR(array_constrain(FILTER('Leetcode分类顺序表'!B:J,'Leetcode分类顺序表'!A:A = B568), 1, 10000000),IFERROR(FILTER(Algoexpert.io!B:D,Algoexpert.io!A:A = B568),FILTER('Leetcode List'!B:J,'Leetcode List'!A:A = B568))))"),"")</f>
        <v/>
      </c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>
      <c r="A569" s="22"/>
      <c r="B569" s="20"/>
      <c r="C569" s="20" t="str">
        <f>IFERROR(__xludf.DUMMYFUNCTION("IF(ISBLANK(B569),,IFERROR(array_constrain(FILTER('Leetcode分类顺序表'!B:J,'Leetcode分类顺序表'!A:A = B569), 1, 10000000),IFERROR(FILTER(Algoexpert.io!B:D,Algoexpert.io!A:A = B569),FILTER('Leetcode List'!B:J,'Leetcode List'!A:A = B569))))"),"")</f>
        <v/>
      </c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>
      <c r="A570" s="22"/>
      <c r="B570" s="20"/>
      <c r="C570" s="20" t="str">
        <f>IFERROR(__xludf.DUMMYFUNCTION("IF(ISBLANK(B570),,IFERROR(array_constrain(FILTER('Leetcode分类顺序表'!B:J,'Leetcode分类顺序表'!A:A = B570), 1, 10000000),IFERROR(FILTER(Algoexpert.io!B:D,Algoexpert.io!A:A = B570),FILTER('Leetcode List'!B:J,'Leetcode List'!A:A = B570))))"),"")</f>
        <v/>
      </c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>
      <c r="A571" s="22"/>
      <c r="B571" s="20"/>
      <c r="C571" s="20" t="str">
        <f>IFERROR(__xludf.DUMMYFUNCTION("IF(ISBLANK(B571),,IFERROR(array_constrain(FILTER('Leetcode分类顺序表'!B:J,'Leetcode分类顺序表'!A:A = B571), 1, 10000000),IFERROR(FILTER(Algoexpert.io!B:D,Algoexpert.io!A:A = B571),FILTER('Leetcode List'!B:J,'Leetcode List'!A:A = B571))))"),"")</f>
        <v/>
      </c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>
      <c r="A572" s="22"/>
      <c r="B572" s="20"/>
      <c r="C572" s="20" t="str">
        <f>IFERROR(__xludf.DUMMYFUNCTION("IF(ISBLANK(B572),,IFERROR(array_constrain(FILTER('Leetcode分类顺序表'!B:J,'Leetcode分类顺序表'!A:A = B572), 1, 10000000),IFERROR(FILTER(Algoexpert.io!B:D,Algoexpert.io!A:A = B572),FILTER('Leetcode List'!B:J,'Leetcode List'!A:A = B572))))"),"")</f>
        <v/>
      </c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>
      <c r="A573" s="22"/>
      <c r="B573" s="20"/>
      <c r="C573" s="20" t="str">
        <f>IFERROR(__xludf.DUMMYFUNCTION("IF(ISBLANK(B573),,IFERROR(array_constrain(FILTER('Leetcode分类顺序表'!B:J,'Leetcode分类顺序表'!A:A = B573), 1, 10000000),IFERROR(FILTER(Algoexpert.io!B:D,Algoexpert.io!A:A = B573),FILTER('Leetcode List'!B:J,'Leetcode List'!A:A = B573))))"),"")</f>
        <v/>
      </c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>
      <c r="A574" s="22"/>
      <c r="B574" s="20"/>
      <c r="C574" s="20" t="str">
        <f>IFERROR(__xludf.DUMMYFUNCTION("IF(ISBLANK(B574),,IFERROR(array_constrain(FILTER('Leetcode分类顺序表'!B:J,'Leetcode分类顺序表'!A:A = B574), 1, 10000000),IFERROR(FILTER(Algoexpert.io!B:D,Algoexpert.io!A:A = B574),FILTER('Leetcode List'!B:J,'Leetcode List'!A:A = B574))))"),"")</f>
        <v/>
      </c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>
      <c r="A575" s="22"/>
      <c r="B575" s="20"/>
      <c r="C575" s="20" t="str">
        <f>IFERROR(__xludf.DUMMYFUNCTION("IF(ISBLANK(B575),,IFERROR(array_constrain(FILTER('Leetcode分类顺序表'!B:J,'Leetcode分类顺序表'!A:A = B575), 1, 10000000),IFERROR(FILTER(Algoexpert.io!B:D,Algoexpert.io!A:A = B575),FILTER('Leetcode List'!B:J,'Leetcode List'!A:A = B575))))"),"")</f>
        <v/>
      </c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>
      <c r="A576" s="22"/>
      <c r="B576" s="20"/>
      <c r="C576" s="20" t="str">
        <f>IFERROR(__xludf.DUMMYFUNCTION("IF(ISBLANK(B576),,IFERROR(array_constrain(FILTER('Leetcode分类顺序表'!B:J,'Leetcode分类顺序表'!A:A = B576), 1, 10000000),IFERROR(FILTER(Algoexpert.io!B:D,Algoexpert.io!A:A = B576),FILTER('Leetcode List'!B:J,'Leetcode List'!A:A = B576))))"),"")</f>
        <v/>
      </c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>
      <c r="A577" s="22"/>
      <c r="B577" s="20"/>
      <c r="C577" s="20" t="str">
        <f>IFERROR(__xludf.DUMMYFUNCTION("IF(ISBLANK(B577),,IFERROR(array_constrain(FILTER('Leetcode分类顺序表'!B:J,'Leetcode分类顺序表'!A:A = B577), 1, 10000000),IFERROR(FILTER(Algoexpert.io!B:D,Algoexpert.io!A:A = B577),FILTER('Leetcode List'!B:J,'Leetcode List'!A:A = B577))))"),"")</f>
        <v/>
      </c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>
      <c r="A578" s="22"/>
      <c r="B578" s="20"/>
      <c r="C578" s="20" t="str">
        <f>IFERROR(__xludf.DUMMYFUNCTION("IF(ISBLANK(B578),,IFERROR(array_constrain(FILTER('Leetcode分类顺序表'!B:J,'Leetcode分类顺序表'!A:A = B578), 1, 10000000),IFERROR(FILTER(Algoexpert.io!B:D,Algoexpert.io!A:A = B578),FILTER('Leetcode List'!B:J,'Leetcode List'!A:A = B578))))"),"")</f>
        <v/>
      </c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>
      <c r="A579" s="22"/>
      <c r="B579" s="20"/>
      <c r="C579" s="20" t="str">
        <f>IFERROR(__xludf.DUMMYFUNCTION("IF(ISBLANK(B579),,IFERROR(array_constrain(FILTER('Leetcode分类顺序表'!B:J,'Leetcode分类顺序表'!A:A = B579), 1, 10000000),IFERROR(FILTER(Algoexpert.io!B:D,Algoexpert.io!A:A = B579),FILTER('Leetcode List'!B:J,'Leetcode List'!A:A = B579))))"),"")</f>
        <v/>
      </c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>
      <c r="A580" s="22"/>
      <c r="B580" s="20"/>
      <c r="C580" s="20" t="str">
        <f>IFERROR(__xludf.DUMMYFUNCTION("IF(ISBLANK(B580),,IFERROR(array_constrain(FILTER('Leetcode分类顺序表'!B:J,'Leetcode分类顺序表'!A:A = B580), 1, 10000000),IFERROR(FILTER(Algoexpert.io!B:D,Algoexpert.io!A:A = B580),FILTER('Leetcode List'!B:J,'Leetcode List'!A:A = B580))))"),"")</f>
        <v/>
      </c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>
      <c r="A581" s="22"/>
      <c r="B581" s="20"/>
      <c r="C581" s="20" t="str">
        <f>IFERROR(__xludf.DUMMYFUNCTION("IF(ISBLANK(B581),,IFERROR(array_constrain(FILTER('Leetcode分类顺序表'!B:J,'Leetcode分类顺序表'!A:A = B581), 1, 10000000),IFERROR(FILTER(Algoexpert.io!B:D,Algoexpert.io!A:A = B581),FILTER('Leetcode List'!B:J,'Leetcode List'!A:A = B581))))"),"")</f>
        <v/>
      </c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>
      <c r="A582" s="22"/>
      <c r="B582" s="20"/>
      <c r="C582" s="20" t="str">
        <f>IFERROR(__xludf.DUMMYFUNCTION("IF(ISBLANK(B582),,IFERROR(array_constrain(FILTER('Leetcode分类顺序表'!B:J,'Leetcode分类顺序表'!A:A = B582), 1, 10000000),IFERROR(FILTER(Algoexpert.io!B:D,Algoexpert.io!A:A = B582),FILTER('Leetcode List'!B:J,'Leetcode List'!A:A = B582))))"),"")</f>
        <v/>
      </c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>
      <c r="A583" s="22"/>
      <c r="B583" s="20"/>
      <c r="C583" s="20" t="str">
        <f>IFERROR(__xludf.DUMMYFUNCTION("IF(ISBLANK(B583),,IFERROR(array_constrain(FILTER('Leetcode分类顺序表'!B:J,'Leetcode分类顺序表'!A:A = B583), 1, 10000000),IFERROR(FILTER(Algoexpert.io!B:D,Algoexpert.io!A:A = B583),FILTER('Leetcode List'!B:J,'Leetcode List'!A:A = B583))))"),"")</f>
        <v/>
      </c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>
      <c r="A584" s="22"/>
      <c r="B584" s="20"/>
      <c r="C584" s="20" t="str">
        <f>IFERROR(__xludf.DUMMYFUNCTION("IF(ISBLANK(B584),,IFERROR(array_constrain(FILTER('Leetcode分类顺序表'!B:J,'Leetcode分类顺序表'!A:A = B584), 1, 10000000),IFERROR(FILTER(Algoexpert.io!B:D,Algoexpert.io!A:A = B584),FILTER('Leetcode List'!B:J,'Leetcode List'!A:A = B584))))"),"")</f>
        <v/>
      </c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>
      <c r="A585" s="22"/>
      <c r="B585" s="20"/>
      <c r="C585" s="20" t="str">
        <f>IFERROR(__xludf.DUMMYFUNCTION("IF(ISBLANK(B585),,IFERROR(array_constrain(FILTER('Leetcode分类顺序表'!B:J,'Leetcode分类顺序表'!A:A = B585), 1, 10000000),IFERROR(FILTER(Algoexpert.io!B:D,Algoexpert.io!A:A = B585),FILTER('Leetcode List'!B:J,'Leetcode List'!A:A = B585))))"),"")</f>
        <v/>
      </c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>
      <c r="A586" s="22"/>
      <c r="B586" s="20"/>
      <c r="C586" s="20" t="str">
        <f>IFERROR(__xludf.DUMMYFUNCTION("IF(ISBLANK(B586),,IFERROR(array_constrain(FILTER('Leetcode分类顺序表'!B:J,'Leetcode分类顺序表'!A:A = B586), 1, 10000000),IFERROR(FILTER(Algoexpert.io!B:D,Algoexpert.io!A:A = B586),FILTER('Leetcode List'!B:J,'Leetcode List'!A:A = B586))))"),"")</f>
        <v/>
      </c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>
      <c r="A587" s="22"/>
      <c r="B587" s="20"/>
      <c r="C587" s="20" t="str">
        <f>IFERROR(__xludf.DUMMYFUNCTION("IF(ISBLANK(B587),,IFERROR(array_constrain(FILTER('Leetcode分类顺序表'!B:J,'Leetcode分类顺序表'!A:A = B587), 1, 10000000),IFERROR(FILTER(Algoexpert.io!B:D,Algoexpert.io!A:A = B587),FILTER('Leetcode List'!B:J,'Leetcode List'!A:A = B587))))"),"")</f>
        <v/>
      </c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>
      <c r="A588" s="22"/>
      <c r="B588" s="20"/>
      <c r="C588" s="20" t="str">
        <f>IFERROR(__xludf.DUMMYFUNCTION("IF(ISBLANK(B588),,IFERROR(array_constrain(FILTER('Leetcode分类顺序表'!B:J,'Leetcode分类顺序表'!A:A = B588), 1, 10000000),IFERROR(FILTER(Algoexpert.io!B:D,Algoexpert.io!A:A = B588),FILTER('Leetcode List'!B:J,'Leetcode List'!A:A = B588))))"),"")</f>
        <v/>
      </c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>
      <c r="A589" s="22"/>
      <c r="B589" s="20"/>
      <c r="C589" s="20" t="str">
        <f>IFERROR(__xludf.DUMMYFUNCTION("IF(ISBLANK(B589),,IFERROR(array_constrain(FILTER('Leetcode分类顺序表'!B:J,'Leetcode分类顺序表'!A:A = B589), 1, 10000000),IFERROR(FILTER(Algoexpert.io!B:D,Algoexpert.io!A:A = B589),FILTER('Leetcode List'!B:J,'Leetcode List'!A:A = B589))))"),"")</f>
        <v/>
      </c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>
      <c r="A590" s="22"/>
      <c r="B590" s="20"/>
      <c r="C590" s="20" t="str">
        <f>IFERROR(__xludf.DUMMYFUNCTION("IF(ISBLANK(B590),,IFERROR(array_constrain(FILTER('Leetcode分类顺序表'!B:J,'Leetcode分类顺序表'!A:A = B590), 1, 10000000),IFERROR(FILTER(Algoexpert.io!B:D,Algoexpert.io!A:A = B590),FILTER('Leetcode List'!B:J,'Leetcode List'!A:A = B590))))"),"")</f>
        <v/>
      </c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>
      <c r="A591" s="22"/>
      <c r="B591" s="20"/>
      <c r="C591" s="20" t="str">
        <f>IFERROR(__xludf.DUMMYFUNCTION("IF(ISBLANK(B591),,IFERROR(array_constrain(FILTER('Leetcode分类顺序表'!B:J,'Leetcode分类顺序表'!A:A = B591), 1, 10000000),IFERROR(FILTER(Algoexpert.io!B:D,Algoexpert.io!A:A = B591),FILTER('Leetcode List'!B:J,'Leetcode List'!A:A = B591))))"),"")</f>
        <v/>
      </c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>
      <c r="A592" s="22"/>
      <c r="B592" s="20"/>
      <c r="C592" s="20" t="str">
        <f>IFERROR(__xludf.DUMMYFUNCTION("IF(ISBLANK(B592),,IFERROR(array_constrain(FILTER('Leetcode分类顺序表'!B:J,'Leetcode分类顺序表'!A:A = B592), 1, 10000000),IFERROR(FILTER(Algoexpert.io!B:D,Algoexpert.io!A:A = B592),FILTER('Leetcode List'!B:J,'Leetcode List'!A:A = B592))))"),"")</f>
        <v/>
      </c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>
      <c r="A593" s="22"/>
      <c r="B593" s="20"/>
      <c r="C593" s="20" t="str">
        <f>IFERROR(__xludf.DUMMYFUNCTION("IF(ISBLANK(B593),,IFERROR(array_constrain(FILTER('Leetcode分类顺序表'!B:J,'Leetcode分类顺序表'!A:A = B593), 1, 10000000),IFERROR(FILTER(Algoexpert.io!B:D,Algoexpert.io!A:A = B593),FILTER('Leetcode List'!B:J,'Leetcode List'!A:A = B593))))"),"")</f>
        <v/>
      </c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>
      <c r="A594" s="22"/>
      <c r="B594" s="20"/>
      <c r="C594" s="20" t="str">
        <f>IFERROR(__xludf.DUMMYFUNCTION("IF(ISBLANK(B594),,IFERROR(array_constrain(FILTER('Leetcode分类顺序表'!B:J,'Leetcode分类顺序表'!A:A = B594), 1, 10000000),IFERROR(FILTER(Algoexpert.io!B:D,Algoexpert.io!A:A = B594),FILTER('Leetcode List'!B:J,'Leetcode List'!A:A = B594))))"),"")</f>
        <v/>
      </c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>
      <c r="A595" s="22"/>
      <c r="B595" s="20"/>
      <c r="C595" s="20" t="str">
        <f>IFERROR(__xludf.DUMMYFUNCTION("IF(ISBLANK(B595),,IFERROR(array_constrain(FILTER('Leetcode分类顺序表'!B:J,'Leetcode分类顺序表'!A:A = B595), 1, 10000000),IFERROR(FILTER(Algoexpert.io!B:D,Algoexpert.io!A:A = B595),FILTER('Leetcode List'!B:J,'Leetcode List'!A:A = B595))))"),"")</f>
        <v/>
      </c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>
      <c r="A596" s="22"/>
      <c r="B596" s="20"/>
      <c r="C596" s="20" t="str">
        <f>IFERROR(__xludf.DUMMYFUNCTION("IF(ISBLANK(B596),,IFERROR(array_constrain(FILTER('Leetcode分类顺序表'!B:J,'Leetcode分类顺序表'!A:A = B596), 1, 10000000),IFERROR(FILTER(Algoexpert.io!B:D,Algoexpert.io!A:A = B596),FILTER('Leetcode List'!B:J,'Leetcode List'!A:A = B596))))"),"")</f>
        <v/>
      </c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>
      <c r="A597" s="22"/>
      <c r="B597" s="20"/>
      <c r="C597" s="20" t="str">
        <f>IFERROR(__xludf.DUMMYFUNCTION("IF(ISBLANK(B597),,IFERROR(array_constrain(FILTER('Leetcode分类顺序表'!B:J,'Leetcode分类顺序表'!A:A = B597), 1, 10000000),IFERROR(FILTER(Algoexpert.io!B:D,Algoexpert.io!A:A = B597),FILTER('Leetcode List'!B:J,'Leetcode List'!A:A = B597))))"),"")</f>
        <v/>
      </c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>
      <c r="A598" s="22"/>
      <c r="B598" s="20"/>
      <c r="C598" s="20" t="str">
        <f>IFERROR(__xludf.DUMMYFUNCTION("IF(ISBLANK(B598),,IFERROR(array_constrain(FILTER('Leetcode分类顺序表'!B:J,'Leetcode分类顺序表'!A:A = B598), 1, 10000000),IFERROR(FILTER(Algoexpert.io!B:D,Algoexpert.io!A:A = B598),FILTER('Leetcode List'!B:J,'Leetcode List'!A:A = B598))))"),"")</f>
        <v/>
      </c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>
      <c r="A599" s="22"/>
      <c r="B599" s="20"/>
      <c r="C599" s="20" t="str">
        <f>IFERROR(__xludf.DUMMYFUNCTION("IF(ISBLANK(B599),,IFERROR(array_constrain(FILTER('Leetcode分类顺序表'!B:J,'Leetcode分类顺序表'!A:A = B599), 1, 10000000),IFERROR(FILTER(Algoexpert.io!B:D,Algoexpert.io!A:A = B599),FILTER('Leetcode List'!B:J,'Leetcode List'!A:A = B599))))"),"")</f>
        <v/>
      </c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>
      <c r="A600" s="22"/>
      <c r="B600" s="20"/>
      <c r="C600" s="20" t="str">
        <f>IFERROR(__xludf.DUMMYFUNCTION("IF(ISBLANK(B600),,IFERROR(array_constrain(FILTER('Leetcode分类顺序表'!B:J,'Leetcode分类顺序表'!A:A = B600), 1, 10000000),IFERROR(FILTER(Algoexpert.io!B:D,Algoexpert.io!A:A = B600),FILTER('Leetcode List'!B:J,'Leetcode List'!A:A = B600))))"),"")</f>
        <v/>
      </c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>
      <c r="A601" s="22"/>
      <c r="B601" s="20"/>
      <c r="C601" s="20" t="str">
        <f>IFERROR(__xludf.DUMMYFUNCTION("IF(ISBLANK(B601),,IFERROR(array_constrain(FILTER('Leetcode分类顺序表'!B:J,'Leetcode分类顺序表'!A:A = B601), 1, 10000000),IFERROR(FILTER(Algoexpert.io!B:D,Algoexpert.io!A:A = B601),FILTER('Leetcode List'!B:J,'Leetcode List'!A:A = B601))))"),"")</f>
        <v/>
      </c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>
      <c r="A602" s="22"/>
      <c r="B602" s="20"/>
      <c r="C602" s="20" t="str">
        <f>IFERROR(__xludf.DUMMYFUNCTION("IF(ISBLANK(B602),,IFERROR(array_constrain(FILTER('Leetcode分类顺序表'!B:J,'Leetcode分类顺序表'!A:A = B602), 1, 10000000),IFERROR(FILTER(Algoexpert.io!B:D,Algoexpert.io!A:A = B602),FILTER('Leetcode List'!B:J,'Leetcode List'!A:A = B602))))"),"")</f>
        <v/>
      </c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>
      <c r="A603" s="22"/>
      <c r="B603" s="20"/>
      <c r="C603" s="20" t="str">
        <f>IFERROR(__xludf.DUMMYFUNCTION("IF(ISBLANK(B603),,IFERROR(array_constrain(FILTER('Leetcode分类顺序表'!B:J,'Leetcode分类顺序表'!A:A = B603), 1, 10000000),IFERROR(FILTER(Algoexpert.io!B:D,Algoexpert.io!A:A = B603),FILTER('Leetcode List'!B:J,'Leetcode List'!A:A = B603))))"),"")</f>
        <v/>
      </c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>
      <c r="A604" s="22"/>
      <c r="B604" s="20"/>
      <c r="C604" s="20" t="str">
        <f>IFERROR(__xludf.DUMMYFUNCTION("IF(ISBLANK(B604),,IFERROR(array_constrain(FILTER('Leetcode分类顺序表'!B:J,'Leetcode分类顺序表'!A:A = B604), 1, 10000000),IFERROR(FILTER(Algoexpert.io!B:D,Algoexpert.io!A:A = B604),FILTER('Leetcode List'!B:J,'Leetcode List'!A:A = B604))))"),"")</f>
        <v/>
      </c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>
      <c r="A605" s="22"/>
      <c r="B605" s="20"/>
      <c r="C605" s="20" t="str">
        <f>IFERROR(__xludf.DUMMYFUNCTION("IF(ISBLANK(B605),,IFERROR(array_constrain(FILTER('Leetcode分类顺序表'!B:J,'Leetcode分类顺序表'!A:A = B605), 1, 10000000),IFERROR(FILTER(Algoexpert.io!B:D,Algoexpert.io!A:A = B605),FILTER('Leetcode List'!B:J,'Leetcode List'!A:A = B605))))"),"")</f>
        <v/>
      </c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>
      <c r="A606" s="22"/>
      <c r="B606" s="20"/>
      <c r="C606" s="20" t="str">
        <f>IFERROR(__xludf.DUMMYFUNCTION("IF(ISBLANK(B606),,IFERROR(array_constrain(FILTER('Leetcode分类顺序表'!B:J,'Leetcode分类顺序表'!A:A = B606), 1, 10000000),IFERROR(FILTER(Algoexpert.io!B:D,Algoexpert.io!A:A = B606),FILTER('Leetcode List'!B:J,'Leetcode List'!A:A = B606))))"),"")</f>
        <v/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>
      <c r="A607" s="22"/>
      <c r="B607" s="20"/>
      <c r="C607" s="20" t="str">
        <f>IFERROR(__xludf.DUMMYFUNCTION("IF(ISBLANK(B607),,IFERROR(array_constrain(FILTER('Leetcode分类顺序表'!B:J,'Leetcode分类顺序表'!A:A = B607), 1, 10000000),IFERROR(FILTER(Algoexpert.io!B:D,Algoexpert.io!A:A = B607),FILTER('Leetcode List'!B:J,'Leetcode List'!A:A = B607))))"),"")</f>
        <v/>
      </c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>
      <c r="A608" s="22"/>
      <c r="B608" s="20"/>
      <c r="C608" s="20" t="str">
        <f>IFERROR(__xludf.DUMMYFUNCTION("IF(ISBLANK(B608),,IFERROR(array_constrain(FILTER('Leetcode分类顺序表'!B:J,'Leetcode分类顺序表'!A:A = B608), 1, 10000000),IFERROR(FILTER(Algoexpert.io!B:D,Algoexpert.io!A:A = B608),FILTER('Leetcode List'!B:J,'Leetcode List'!A:A = B608))))"),"")</f>
        <v/>
      </c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>
      <c r="A609" s="22"/>
      <c r="B609" s="20"/>
      <c r="C609" s="20" t="str">
        <f>IFERROR(__xludf.DUMMYFUNCTION("IF(ISBLANK(B609),,IFERROR(array_constrain(FILTER('Leetcode分类顺序表'!B:J,'Leetcode分类顺序表'!A:A = B609), 1, 10000000),IFERROR(FILTER(Algoexpert.io!B:D,Algoexpert.io!A:A = B609),FILTER('Leetcode List'!B:J,'Leetcode List'!A:A = B609))))"),"")</f>
        <v/>
      </c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>
      <c r="A610" s="22"/>
      <c r="B610" s="20"/>
      <c r="C610" s="20" t="str">
        <f>IFERROR(__xludf.DUMMYFUNCTION("IF(ISBLANK(B610),,IFERROR(array_constrain(FILTER('Leetcode分类顺序表'!B:J,'Leetcode分类顺序表'!A:A = B610), 1, 10000000),IFERROR(FILTER(Algoexpert.io!B:D,Algoexpert.io!A:A = B610),FILTER('Leetcode List'!B:J,'Leetcode List'!A:A = B610))))"),"")</f>
        <v/>
      </c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>
      <c r="A611" s="22"/>
      <c r="B611" s="20"/>
      <c r="C611" s="20" t="str">
        <f>IFERROR(__xludf.DUMMYFUNCTION("IF(ISBLANK(B611),,IFERROR(array_constrain(FILTER('Leetcode分类顺序表'!B:J,'Leetcode分类顺序表'!A:A = B611), 1, 10000000),IFERROR(FILTER(Algoexpert.io!B:D,Algoexpert.io!A:A = B611),FILTER('Leetcode List'!B:J,'Leetcode List'!A:A = B611))))"),"")</f>
        <v/>
      </c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>
      <c r="A612" s="22"/>
      <c r="B612" s="20"/>
      <c r="C612" s="20" t="str">
        <f>IFERROR(__xludf.DUMMYFUNCTION("IF(ISBLANK(B612),,IFERROR(array_constrain(FILTER('Leetcode分类顺序表'!B:J,'Leetcode分类顺序表'!A:A = B612), 1, 10000000),IFERROR(FILTER(Algoexpert.io!B:D,Algoexpert.io!A:A = B612),FILTER('Leetcode List'!B:J,'Leetcode List'!A:A = B612))))"),"")</f>
        <v/>
      </c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>
      <c r="A613" s="22"/>
      <c r="B613" s="20"/>
      <c r="C613" s="20" t="str">
        <f>IFERROR(__xludf.DUMMYFUNCTION("IF(ISBLANK(B613),,IFERROR(array_constrain(FILTER('Leetcode分类顺序表'!B:J,'Leetcode分类顺序表'!A:A = B613), 1, 10000000),IFERROR(FILTER(Algoexpert.io!B:D,Algoexpert.io!A:A = B613),FILTER('Leetcode List'!B:J,'Leetcode List'!A:A = B613))))"),"")</f>
        <v/>
      </c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>
      <c r="A614" s="22"/>
      <c r="B614" s="20"/>
      <c r="C614" s="20" t="str">
        <f>IFERROR(__xludf.DUMMYFUNCTION("IF(ISBLANK(B614),,IFERROR(array_constrain(FILTER('Leetcode分类顺序表'!B:J,'Leetcode分类顺序表'!A:A = B614), 1, 10000000),IFERROR(FILTER(Algoexpert.io!B:D,Algoexpert.io!A:A = B614),FILTER('Leetcode List'!B:J,'Leetcode List'!A:A = B614))))"),"")</f>
        <v/>
      </c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>
      <c r="A615" s="22"/>
      <c r="B615" s="20"/>
      <c r="C615" s="20" t="str">
        <f>IFERROR(__xludf.DUMMYFUNCTION("IF(ISBLANK(B615),,IFERROR(array_constrain(FILTER('Leetcode分类顺序表'!B:J,'Leetcode分类顺序表'!A:A = B615), 1, 10000000),IFERROR(FILTER(Algoexpert.io!B:D,Algoexpert.io!A:A = B615),FILTER('Leetcode List'!B:J,'Leetcode List'!A:A = B615))))"),"")</f>
        <v/>
      </c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>
      <c r="A616" s="22"/>
      <c r="B616" s="20"/>
      <c r="C616" s="20" t="str">
        <f>IFERROR(__xludf.DUMMYFUNCTION("IF(ISBLANK(B616),,IFERROR(array_constrain(FILTER('Leetcode分类顺序表'!B:J,'Leetcode分类顺序表'!A:A = B616), 1, 10000000),IFERROR(FILTER(Algoexpert.io!B:D,Algoexpert.io!A:A = B616),FILTER('Leetcode List'!B:J,'Leetcode List'!A:A = B616))))"),"")</f>
        <v/>
      </c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>
      <c r="A617" s="22"/>
      <c r="B617" s="20"/>
      <c r="C617" s="20" t="str">
        <f>IFERROR(__xludf.DUMMYFUNCTION("IF(ISBLANK(B617),,IFERROR(array_constrain(FILTER('Leetcode分类顺序表'!B:J,'Leetcode分类顺序表'!A:A = B617), 1, 10000000),IFERROR(FILTER(Algoexpert.io!B:D,Algoexpert.io!A:A = B617),FILTER('Leetcode List'!B:J,'Leetcode List'!A:A = B617))))"),"")</f>
        <v/>
      </c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>
      <c r="A618" s="22"/>
      <c r="B618" s="20"/>
      <c r="C618" s="20" t="str">
        <f>IFERROR(__xludf.DUMMYFUNCTION("IF(ISBLANK(B618),,IFERROR(array_constrain(FILTER('Leetcode分类顺序表'!B:J,'Leetcode分类顺序表'!A:A = B618), 1, 10000000),IFERROR(FILTER(Algoexpert.io!B:D,Algoexpert.io!A:A = B618),FILTER('Leetcode List'!B:J,'Leetcode List'!A:A = B618))))"),"")</f>
        <v/>
      </c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>
      <c r="A619" s="22"/>
      <c r="B619" s="20"/>
      <c r="C619" s="20" t="str">
        <f>IFERROR(__xludf.DUMMYFUNCTION("IF(ISBLANK(B619),,IFERROR(array_constrain(FILTER('Leetcode分类顺序表'!B:J,'Leetcode分类顺序表'!A:A = B619), 1, 10000000),IFERROR(FILTER(Algoexpert.io!B:D,Algoexpert.io!A:A = B619),FILTER('Leetcode List'!B:J,'Leetcode List'!A:A = B619))))"),"")</f>
        <v/>
      </c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>
      <c r="A620" s="22"/>
      <c r="B620" s="20"/>
      <c r="C620" s="20" t="str">
        <f>IFERROR(__xludf.DUMMYFUNCTION("IF(ISBLANK(B620),,IFERROR(array_constrain(FILTER('Leetcode分类顺序表'!B:J,'Leetcode分类顺序表'!A:A = B620), 1, 10000000),IFERROR(FILTER(Algoexpert.io!B:D,Algoexpert.io!A:A = B620),FILTER('Leetcode List'!B:J,'Leetcode List'!A:A = B620))))"),"")</f>
        <v/>
      </c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>
      <c r="A621" s="22"/>
      <c r="B621" s="20"/>
      <c r="C621" s="20" t="str">
        <f>IFERROR(__xludf.DUMMYFUNCTION("IF(ISBLANK(B621),,IFERROR(array_constrain(FILTER('Leetcode分类顺序表'!B:J,'Leetcode分类顺序表'!A:A = B621), 1, 10000000),IFERROR(FILTER(Algoexpert.io!B:D,Algoexpert.io!A:A = B621),FILTER('Leetcode List'!B:J,'Leetcode List'!A:A = B621))))"),"")</f>
        <v/>
      </c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>
      <c r="A622" s="22"/>
      <c r="B622" s="20"/>
      <c r="C622" s="20" t="str">
        <f>IFERROR(__xludf.DUMMYFUNCTION("IF(ISBLANK(B622),,IFERROR(array_constrain(FILTER('Leetcode分类顺序表'!B:J,'Leetcode分类顺序表'!A:A = B622), 1, 10000000),IFERROR(FILTER(Algoexpert.io!B:D,Algoexpert.io!A:A = B622),FILTER('Leetcode List'!B:J,'Leetcode List'!A:A = B622))))"),"")</f>
        <v/>
      </c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>
      <c r="A623" s="22"/>
      <c r="B623" s="20"/>
      <c r="C623" s="20" t="str">
        <f>IFERROR(__xludf.DUMMYFUNCTION("IF(ISBLANK(B623),,IFERROR(array_constrain(FILTER('Leetcode分类顺序表'!B:J,'Leetcode分类顺序表'!A:A = B623), 1, 10000000),IFERROR(FILTER(Algoexpert.io!B:D,Algoexpert.io!A:A = B623),FILTER('Leetcode List'!B:J,'Leetcode List'!A:A = B623))))"),"")</f>
        <v/>
      </c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>
      <c r="A624" s="22"/>
      <c r="B624" s="20"/>
      <c r="C624" s="20" t="str">
        <f>IFERROR(__xludf.DUMMYFUNCTION("IF(ISBLANK(B624),,IFERROR(array_constrain(FILTER('Leetcode分类顺序表'!B:J,'Leetcode分类顺序表'!A:A = B624), 1, 10000000),IFERROR(FILTER(Algoexpert.io!B:D,Algoexpert.io!A:A = B624),FILTER('Leetcode List'!B:J,'Leetcode List'!A:A = B624))))"),"")</f>
        <v/>
      </c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>
      <c r="A625" s="22"/>
      <c r="B625" s="20"/>
      <c r="C625" s="20" t="str">
        <f>IFERROR(__xludf.DUMMYFUNCTION("IF(ISBLANK(B625),,IFERROR(array_constrain(FILTER('Leetcode分类顺序表'!B:J,'Leetcode分类顺序表'!A:A = B625), 1, 10000000),IFERROR(FILTER(Algoexpert.io!B:D,Algoexpert.io!A:A = B625),FILTER('Leetcode List'!B:J,'Leetcode List'!A:A = B625))))"),"")</f>
        <v/>
      </c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>
      <c r="A626" s="22"/>
      <c r="B626" s="20"/>
      <c r="C626" s="20" t="str">
        <f>IFERROR(__xludf.DUMMYFUNCTION("IF(ISBLANK(B626),,IFERROR(array_constrain(FILTER('Leetcode分类顺序表'!B:J,'Leetcode分类顺序表'!A:A = B626), 1, 10000000),IFERROR(FILTER(Algoexpert.io!B:D,Algoexpert.io!A:A = B626),FILTER('Leetcode List'!B:J,'Leetcode List'!A:A = B626))))"),"")</f>
        <v/>
      </c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>
      <c r="A627" s="22"/>
      <c r="B627" s="20"/>
      <c r="C627" s="20" t="str">
        <f>IFERROR(__xludf.DUMMYFUNCTION("IF(ISBLANK(B627),,IFERROR(array_constrain(FILTER('Leetcode分类顺序表'!B:J,'Leetcode分类顺序表'!A:A = B627), 1, 10000000),IFERROR(FILTER(Algoexpert.io!B:D,Algoexpert.io!A:A = B627),FILTER('Leetcode List'!B:J,'Leetcode List'!A:A = B627))))"),"")</f>
        <v/>
      </c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>
      <c r="A628" s="22"/>
      <c r="B628" s="20"/>
      <c r="C628" s="20" t="str">
        <f>IFERROR(__xludf.DUMMYFUNCTION("IF(ISBLANK(B628),,IFERROR(array_constrain(FILTER('Leetcode分类顺序表'!B:J,'Leetcode分类顺序表'!A:A = B628), 1, 10000000),IFERROR(FILTER(Algoexpert.io!B:D,Algoexpert.io!A:A = B628),FILTER('Leetcode List'!B:J,'Leetcode List'!A:A = B628))))"),"")</f>
        <v/>
      </c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>
      <c r="A629" s="22"/>
      <c r="B629" s="20"/>
      <c r="C629" s="20" t="str">
        <f>IFERROR(__xludf.DUMMYFUNCTION("IF(ISBLANK(B629),,IFERROR(array_constrain(FILTER('Leetcode分类顺序表'!B:J,'Leetcode分类顺序表'!A:A = B629), 1, 10000000),IFERROR(FILTER(Algoexpert.io!B:D,Algoexpert.io!A:A = B629),FILTER('Leetcode List'!B:J,'Leetcode List'!A:A = B629))))"),"")</f>
        <v/>
      </c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>
      <c r="A630" s="22"/>
      <c r="B630" s="20"/>
      <c r="C630" s="20" t="str">
        <f>IFERROR(__xludf.DUMMYFUNCTION("IF(ISBLANK(B630),,IFERROR(array_constrain(FILTER('Leetcode分类顺序表'!B:J,'Leetcode分类顺序表'!A:A = B630), 1, 10000000),IFERROR(FILTER(Algoexpert.io!B:D,Algoexpert.io!A:A = B630),FILTER('Leetcode List'!B:J,'Leetcode List'!A:A = B630))))"),"")</f>
        <v/>
      </c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>
      <c r="A631" s="22"/>
      <c r="B631" s="20"/>
      <c r="C631" s="20" t="str">
        <f>IFERROR(__xludf.DUMMYFUNCTION("IF(ISBLANK(B631),,IFERROR(array_constrain(FILTER('Leetcode分类顺序表'!B:J,'Leetcode分类顺序表'!A:A = B631), 1, 10000000),IFERROR(FILTER(Algoexpert.io!B:D,Algoexpert.io!A:A = B631),FILTER('Leetcode List'!B:J,'Leetcode List'!A:A = B631))))"),"")</f>
        <v/>
      </c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>
      <c r="A632" s="22"/>
      <c r="B632" s="20"/>
      <c r="C632" s="20" t="str">
        <f>IFERROR(__xludf.DUMMYFUNCTION("IF(ISBLANK(B632),,IFERROR(array_constrain(FILTER('Leetcode分类顺序表'!B:J,'Leetcode分类顺序表'!A:A = B632), 1, 10000000),IFERROR(FILTER(Algoexpert.io!B:D,Algoexpert.io!A:A = B632),FILTER('Leetcode List'!B:J,'Leetcode List'!A:A = B632))))"),"")</f>
        <v/>
      </c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>
      <c r="A633" s="22"/>
      <c r="B633" s="20"/>
      <c r="C633" s="20" t="str">
        <f>IFERROR(__xludf.DUMMYFUNCTION("IF(ISBLANK(B633),,IFERROR(array_constrain(FILTER('Leetcode分类顺序表'!B:J,'Leetcode分类顺序表'!A:A = B633), 1, 10000000),IFERROR(FILTER(Algoexpert.io!B:D,Algoexpert.io!A:A = B633),FILTER('Leetcode List'!B:J,'Leetcode List'!A:A = B633))))"),"")</f>
        <v/>
      </c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>
      <c r="A634" s="22"/>
      <c r="B634" s="20"/>
      <c r="C634" s="20" t="str">
        <f>IFERROR(__xludf.DUMMYFUNCTION("IF(ISBLANK(B634),,IFERROR(array_constrain(FILTER('Leetcode分类顺序表'!B:J,'Leetcode分类顺序表'!A:A = B634), 1, 10000000),IFERROR(FILTER(Algoexpert.io!B:D,Algoexpert.io!A:A = B634),FILTER('Leetcode List'!B:J,'Leetcode List'!A:A = B634))))"),"")</f>
        <v/>
      </c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>
      <c r="A635" s="22"/>
      <c r="B635" s="20"/>
      <c r="C635" s="20" t="str">
        <f>IFERROR(__xludf.DUMMYFUNCTION("IF(ISBLANK(B635),,IFERROR(array_constrain(FILTER('Leetcode分类顺序表'!B:J,'Leetcode分类顺序表'!A:A = B635), 1, 10000000),IFERROR(FILTER(Algoexpert.io!B:D,Algoexpert.io!A:A = B635),FILTER('Leetcode List'!B:J,'Leetcode List'!A:A = B635))))"),"")</f>
        <v/>
      </c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>
      <c r="A636" s="22"/>
      <c r="B636" s="20"/>
      <c r="C636" s="20" t="str">
        <f>IFERROR(__xludf.DUMMYFUNCTION("IF(ISBLANK(B636),,IFERROR(array_constrain(FILTER('Leetcode分类顺序表'!B:J,'Leetcode分类顺序表'!A:A = B636), 1, 10000000),IFERROR(FILTER(Algoexpert.io!B:D,Algoexpert.io!A:A = B636),FILTER('Leetcode List'!B:J,'Leetcode List'!A:A = B636))))"),"")</f>
        <v/>
      </c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>
      <c r="A637" s="22"/>
      <c r="B637" s="20"/>
      <c r="C637" s="20" t="str">
        <f>IFERROR(__xludf.DUMMYFUNCTION("IF(ISBLANK(B637),,IFERROR(array_constrain(FILTER('Leetcode分类顺序表'!B:J,'Leetcode分类顺序表'!A:A = B637), 1, 10000000),IFERROR(FILTER(Algoexpert.io!B:D,Algoexpert.io!A:A = B637),FILTER('Leetcode List'!B:J,'Leetcode List'!A:A = B637))))"),"")</f>
        <v/>
      </c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>
      <c r="A638" s="22"/>
      <c r="B638" s="20"/>
      <c r="C638" s="20" t="str">
        <f>IFERROR(__xludf.DUMMYFUNCTION("IF(ISBLANK(B638),,IFERROR(array_constrain(FILTER('Leetcode分类顺序表'!B:J,'Leetcode分类顺序表'!A:A = B638), 1, 10000000),IFERROR(FILTER(Algoexpert.io!B:D,Algoexpert.io!A:A = B638),FILTER('Leetcode List'!B:J,'Leetcode List'!A:A = B638))))"),"")</f>
        <v/>
      </c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>
      <c r="A639" s="22"/>
      <c r="B639" s="20"/>
      <c r="C639" s="20" t="str">
        <f>IFERROR(__xludf.DUMMYFUNCTION("IF(ISBLANK(B639),,IFERROR(array_constrain(FILTER('Leetcode分类顺序表'!B:J,'Leetcode分类顺序表'!A:A = B639), 1, 10000000),IFERROR(FILTER(Algoexpert.io!B:D,Algoexpert.io!A:A = B639),FILTER('Leetcode List'!B:J,'Leetcode List'!A:A = B639))))"),"")</f>
        <v/>
      </c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>
      <c r="A640" s="22"/>
      <c r="B640" s="20"/>
      <c r="C640" s="20" t="str">
        <f>IFERROR(__xludf.DUMMYFUNCTION("IF(ISBLANK(B640),,IFERROR(array_constrain(FILTER('Leetcode分类顺序表'!B:J,'Leetcode分类顺序表'!A:A = B640), 1, 10000000),IFERROR(FILTER(Algoexpert.io!B:D,Algoexpert.io!A:A = B640),FILTER('Leetcode List'!B:J,'Leetcode List'!A:A = B640))))"),"")</f>
        <v/>
      </c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>
      <c r="A641" s="22"/>
      <c r="B641" s="20"/>
      <c r="C641" s="20" t="str">
        <f>IFERROR(__xludf.DUMMYFUNCTION("IF(ISBLANK(B641),,IFERROR(array_constrain(FILTER('Leetcode分类顺序表'!B:J,'Leetcode分类顺序表'!A:A = B641), 1, 10000000),IFERROR(FILTER(Algoexpert.io!B:D,Algoexpert.io!A:A = B641),FILTER('Leetcode List'!B:J,'Leetcode List'!A:A = B641))))"),"")</f>
        <v/>
      </c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>
      <c r="A642" s="22"/>
      <c r="B642" s="20"/>
      <c r="C642" s="20" t="str">
        <f>IFERROR(__xludf.DUMMYFUNCTION("IF(ISBLANK(B642),,IFERROR(array_constrain(FILTER('Leetcode分类顺序表'!B:J,'Leetcode分类顺序表'!A:A = B642), 1, 10000000),IFERROR(FILTER(Algoexpert.io!B:D,Algoexpert.io!A:A = B642),FILTER('Leetcode List'!B:J,'Leetcode List'!A:A = B642))))"),"")</f>
        <v/>
      </c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>
      <c r="A643" s="22"/>
      <c r="B643" s="20"/>
      <c r="C643" s="20" t="str">
        <f>IFERROR(__xludf.DUMMYFUNCTION("IF(ISBLANK(B643),,IFERROR(array_constrain(FILTER('Leetcode分类顺序表'!B:J,'Leetcode分类顺序表'!A:A = B643), 1, 10000000),IFERROR(FILTER(Algoexpert.io!B:D,Algoexpert.io!A:A = B643),FILTER('Leetcode List'!B:J,'Leetcode List'!A:A = B643))))"),"")</f>
        <v/>
      </c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>
      <c r="A644" s="22"/>
      <c r="B644" s="20"/>
      <c r="C644" s="20" t="str">
        <f>IFERROR(__xludf.DUMMYFUNCTION("IF(ISBLANK(B644),,IFERROR(array_constrain(FILTER('Leetcode分类顺序表'!B:J,'Leetcode分类顺序表'!A:A = B644), 1, 10000000),IFERROR(FILTER(Algoexpert.io!B:D,Algoexpert.io!A:A = B644),FILTER('Leetcode List'!B:J,'Leetcode List'!A:A = B644))))"),"")</f>
        <v/>
      </c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>
      <c r="A645" s="22"/>
      <c r="B645" s="20"/>
      <c r="C645" s="20" t="str">
        <f>IFERROR(__xludf.DUMMYFUNCTION("IF(ISBLANK(B645),,IFERROR(array_constrain(FILTER('Leetcode分类顺序表'!B:J,'Leetcode分类顺序表'!A:A = B645), 1, 10000000),IFERROR(FILTER(Algoexpert.io!B:D,Algoexpert.io!A:A = B645),FILTER('Leetcode List'!B:J,'Leetcode List'!A:A = B645))))"),"")</f>
        <v/>
      </c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>
      <c r="A646" s="22"/>
      <c r="B646" s="20"/>
      <c r="C646" s="20" t="str">
        <f>IFERROR(__xludf.DUMMYFUNCTION("IF(ISBLANK(B646),,IFERROR(array_constrain(FILTER('Leetcode分类顺序表'!B:J,'Leetcode分类顺序表'!A:A = B646), 1, 10000000),IFERROR(FILTER(Algoexpert.io!B:D,Algoexpert.io!A:A = B646),FILTER('Leetcode List'!B:J,'Leetcode List'!A:A = B646))))"),"")</f>
        <v/>
      </c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>
      <c r="A647" s="22"/>
      <c r="B647" s="20"/>
      <c r="C647" s="20" t="str">
        <f>IFERROR(__xludf.DUMMYFUNCTION("IF(ISBLANK(B647),,IFERROR(array_constrain(FILTER('Leetcode分类顺序表'!B:J,'Leetcode分类顺序表'!A:A = B647), 1, 10000000),IFERROR(FILTER(Algoexpert.io!B:D,Algoexpert.io!A:A = B647),FILTER('Leetcode List'!B:J,'Leetcode List'!A:A = B647))))"),"")</f>
        <v/>
      </c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>
      <c r="A648" s="22"/>
      <c r="B648" s="20"/>
      <c r="C648" s="20" t="str">
        <f>IFERROR(__xludf.DUMMYFUNCTION("IF(ISBLANK(B648),,IFERROR(array_constrain(FILTER('Leetcode分类顺序表'!B:J,'Leetcode分类顺序表'!A:A = B648), 1, 10000000),IFERROR(FILTER(Algoexpert.io!B:D,Algoexpert.io!A:A = B648),FILTER('Leetcode List'!B:J,'Leetcode List'!A:A = B648))))"),"")</f>
        <v/>
      </c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>
      <c r="A649" s="22"/>
      <c r="B649" s="20"/>
      <c r="C649" s="20" t="str">
        <f>IFERROR(__xludf.DUMMYFUNCTION("IF(ISBLANK(B649),,IFERROR(array_constrain(FILTER('Leetcode分类顺序表'!B:J,'Leetcode分类顺序表'!A:A = B649), 1, 10000000),IFERROR(FILTER(Algoexpert.io!B:D,Algoexpert.io!A:A = B649),FILTER('Leetcode List'!B:J,'Leetcode List'!A:A = B649))))"),"")</f>
        <v/>
      </c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>
      <c r="A650" s="22"/>
      <c r="B650" s="20"/>
      <c r="C650" s="20" t="str">
        <f>IFERROR(__xludf.DUMMYFUNCTION("IF(ISBLANK(B650),,IFERROR(array_constrain(FILTER('Leetcode分类顺序表'!B:J,'Leetcode分类顺序表'!A:A = B650), 1, 10000000),IFERROR(FILTER(Algoexpert.io!B:D,Algoexpert.io!A:A = B650),FILTER('Leetcode List'!B:J,'Leetcode List'!A:A = B650))))"),"")</f>
        <v/>
      </c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>
      <c r="A651" s="22"/>
      <c r="B651" s="20"/>
      <c r="C651" s="20" t="str">
        <f>IFERROR(__xludf.DUMMYFUNCTION("IF(ISBLANK(B651),,IFERROR(array_constrain(FILTER('Leetcode分类顺序表'!B:J,'Leetcode分类顺序表'!A:A = B651), 1, 10000000),IFERROR(FILTER(Algoexpert.io!B:D,Algoexpert.io!A:A = B651),FILTER('Leetcode List'!B:J,'Leetcode List'!A:A = B651))))"),"")</f>
        <v/>
      </c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>
      <c r="A652" s="22"/>
      <c r="B652" s="20"/>
      <c r="C652" s="20" t="str">
        <f>IFERROR(__xludf.DUMMYFUNCTION("IF(ISBLANK(B652),,IFERROR(array_constrain(FILTER('Leetcode分类顺序表'!B:J,'Leetcode分类顺序表'!A:A = B652), 1, 10000000),IFERROR(FILTER(Algoexpert.io!B:D,Algoexpert.io!A:A = B652),FILTER('Leetcode List'!B:J,'Leetcode List'!A:A = B652))))"),"")</f>
        <v/>
      </c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>
      <c r="A653" s="22"/>
      <c r="B653" s="20"/>
      <c r="C653" s="20" t="str">
        <f>IFERROR(__xludf.DUMMYFUNCTION("IF(ISBLANK(B653),,IFERROR(array_constrain(FILTER('Leetcode分类顺序表'!B:J,'Leetcode分类顺序表'!A:A = B653), 1, 10000000),IFERROR(FILTER(Algoexpert.io!B:D,Algoexpert.io!A:A = B653),FILTER('Leetcode List'!B:J,'Leetcode List'!A:A = B653))))"),"")</f>
        <v/>
      </c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>
      <c r="A654" s="22"/>
      <c r="B654" s="20"/>
      <c r="C654" s="20" t="str">
        <f>IFERROR(__xludf.DUMMYFUNCTION("IF(ISBLANK(B654),,IFERROR(array_constrain(FILTER('Leetcode分类顺序表'!B:J,'Leetcode分类顺序表'!A:A = B654), 1, 10000000),IFERROR(FILTER(Algoexpert.io!B:D,Algoexpert.io!A:A = B654),FILTER('Leetcode List'!B:J,'Leetcode List'!A:A = B654))))"),"")</f>
        <v/>
      </c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>
      <c r="A655" s="22"/>
      <c r="B655" s="20"/>
      <c r="C655" s="20" t="str">
        <f>IFERROR(__xludf.DUMMYFUNCTION("IF(ISBLANK(B655),,IFERROR(array_constrain(FILTER('Leetcode分类顺序表'!B:J,'Leetcode分类顺序表'!A:A = B655), 1, 10000000),IFERROR(FILTER(Algoexpert.io!B:D,Algoexpert.io!A:A = B655),FILTER('Leetcode List'!B:J,'Leetcode List'!A:A = B655))))"),"")</f>
        <v/>
      </c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>
      <c r="A656" s="22"/>
      <c r="B656" s="20"/>
      <c r="C656" s="20" t="str">
        <f>IFERROR(__xludf.DUMMYFUNCTION("IF(ISBLANK(B656),,IFERROR(array_constrain(FILTER('Leetcode分类顺序表'!B:J,'Leetcode分类顺序表'!A:A = B656), 1, 10000000),IFERROR(FILTER(Algoexpert.io!B:D,Algoexpert.io!A:A = B656),FILTER('Leetcode List'!B:J,'Leetcode List'!A:A = B656))))"),"")</f>
        <v/>
      </c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>
      <c r="A657" s="22"/>
      <c r="B657" s="20"/>
      <c r="C657" s="20" t="str">
        <f>IFERROR(__xludf.DUMMYFUNCTION("IF(ISBLANK(B657),,IFERROR(array_constrain(FILTER('Leetcode分类顺序表'!B:J,'Leetcode分类顺序表'!A:A = B657), 1, 10000000),IFERROR(FILTER(Algoexpert.io!B:D,Algoexpert.io!A:A = B657),FILTER('Leetcode List'!B:J,'Leetcode List'!A:A = B657))))"),"")</f>
        <v/>
      </c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>
      <c r="A658" s="22"/>
      <c r="B658" s="20"/>
      <c r="C658" s="20" t="str">
        <f>IFERROR(__xludf.DUMMYFUNCTION("IF(ISBLANK(B658),,IFERROR(array_constrain(FILTER('Leetcode分类顺序表'!B:J,'Leetcode分类顺序表'!A:A = B658), 1, 10000000),IFERROR(FILTER(Algoexpert.io!B:D,Algoexpert.io!A:A = B658),FILTER('Leetcode List'!B:J,'Leetcode List'!A:A = B658))))"),"")</f>
        <v/>
      </c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>
      <c r="A659" s="22"/>
      <c r="B659" s="20"/>
      <c r="C659" s="20" t="str">
        <f>IFERROR(__xludf.DUMMYFUNCTION("IF(ISBLANK(B659),,IFERROR(array_constrain(FILTER('Leetcode分类顺序表'!B:J,'Leetcode分类顺序表'!A:A = B659), 1, 10000000),IFERROR(FILTER(Algoexpert.io!B:D,Algoexpert.io!A:A = B659),FILTER('Leetcode List'!B:J,'Leetcode List'!A:A = B659))))"),"")</f>
        <v/>
      </c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>
      <c r="A660" s="22"/>
      <c r="B660" s="20"/>
      <c r="C660" s="20" t="str">
        <f>IFERROR(__xludf.DUMMYFUNCTION("IF(ISBLANK(B660),,IFERROR(array_constrain(FILTER('Leetcode分类顺序表'!B:J,'Leetcode分类顺序表'!A:A = B660), 1, 10000000),IFERROR(FILTER(Algoexpert.io!B:D,Algoexpert.io!A:A = B660),FILTER('Leetcode List'!B:J,'Leetcode List'!A:A = B660))))"),"")</f>
        <v/>
      </c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>
      <c r="A661" s="22"/>
      <c r="B661" s="20"/>
      <c r="C661" s="20" t="str">
        <f>IFERROR(__xludf.DUMMYFUNCTION("IF(ISBLANK(B661),,IFERROR(array_constrain(FILTER('Leetcode分类顺序表'!B:J,'Leetcode分类顺序表'!A:A = B661), 1, 10000000),IFERROR(FILTER(Algoexpert.io!B:D,Algoexpert.io!A:A = B661),FILTER('Leetcode List'!B:J,'Leetcode List'!A:A = B661))))"),"")</f>
        <v/>
      </c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>
      <c r="A662" s="22"/>
      <c r="B662" s="20"/>
      <c r="C662" s="20" t="str">
        <f>IFERROR(__xludf.DUMMYFUNCTION("IF(ISBLANK(B662),,IFERROR(array_constrain(FILTER('Leetcode分类顺序表'!B:J,'Leetcode分类顺序表'!A:A = B662), 1, 10000000),IFERROR(FILTER(Algoexpert.io!B:D,Algoexpert.io!A:A = B662),FILTER('Leetcode List'!B:J,'Leetcode List'!A:A = B662))))"),"")</f>
        <v/>
      </c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>
      <c r="A663" s="22"/>
      <c r="B663" s="20"/>
      <c r="C663" s="20" t="str">
        <f>IFERROR(__xludf.DUMMYFUNCTION("IF(ISBLANK(B663),,IFERROR(array_constrain(FILTER('Leetcode分类顺序表'!B:J,'Leetcode分类顺序表'!A:A = B663), 1, 10000000),IFERROR(FILTER(Algoexpert.io!B:D,Algoexpert.io!A:A = B663),FILTER('Leetcode List'!B:J,'Leetcode List'!A:A = B663))))"),"")</f>
        <v/>
      </c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>
      <c r="A664" s="22"/>
      <c r="B664" s="20"/>
      <c r="C664" s="20" t="str">
        <f>IFERROR(__xludf.DUMMYFUNCTION("IF(ISBLANK(B664),,IFERROR(array_constrain(FILTER('Leetcode分类顺序表'!B:J,'Leetcode分类顺序表'!A:A = B664), 1, 10000000),IFERROR(FILTER(Algoexpert.io!B:D,Algoexpert.io!A:A = B664),FILTER('Leetcode List'!B:J,'Leetcode List'!A:A = B664))))"),"")</f>
        <v/>
      </c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>
      <c r="A665" s="22"/>
      <c r="B665" s="20"/>
      <c r="C665" s="20" t="str">
        <f>IFERROR(__xludf.DUMMYFUNCTION("IF(ISBLANK(B665),,IFERROR(array_constrain(FILTER('Leetcode分类顺序表'!B:J,'Leetcode分类顺序表'!A:A = B665), 1, 10000000),IFERROR(FILTER(Algoexpert.io!B:D,Algoexpert.io!A:A = B665),FILTER('Leetcode List'!B:J,'Leetcode List'!A:A = B665))))"),"")</f>
        <v/>
      </c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>
      <c r="A666" s="22"/>
      <c r="B666" s="20"/>
      <c r="C666" s="20" t="str">
        <f>IFERROR(__xludf.DUMMYFUNCTION("IF(ISBLANK(B666),,IFERROR(array_constrain(FILTER('Leetcode分类顺序表'!B:J,'Leetcode分类顺序表'!A:A = B666), 1, 10000000),IFERROR(FILTER(Algoexpert.io!B:D,Algoexpert.io!A:A = B666),FILTER('Leetcode List'!B:J,'Leetcode List'!A:A = B666))))"),"")</f>
        <v/>
      </c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>
      <c r="A667" s="22"/>
      <c r="B667" s="20"/>
      <c r="C667" s="20" t="str">
        <f>IFERROR(__xludf.DUMMYFUNCTION("IF(ISBLANK(B667),,IFERROR(array_constrain(FILTER('Leetcode分类顺序表'!B:J,'Leetcode分类顺序表'!A:A = B667), 1, 10000000),IFERROR(FILTER(Algoexpert.io!B:D,Algoexpert.io!A:A = B667),FILTER('Leetcode List'!B:J,'Leetcode List'!A:A = B667))))"),"")</f>
        <v/>
      </c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>
      <c r="A668" s="22"/>
      <c r="B668" s="20"/>
      <c r="C668" s="20" t="str">
        <f>IFERROR(__xludf.DUMMYFUNCTION("IF(ISBLANK(B668),,IFERROR(array_constrain(FILTER('Leetcode分类顺序表'!B:J,'Leetcode分类顺序表'!A:A = B668), 1, 10000000),IFERROR(FILTER(Algoexpert.io!B:D,Algoexpert.io!A:A = B668),FILTER('Leetcode List'!B:J,'Leetcode List'!A:A = B668))))"),"")</f>
        <v/>
      </c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>
      <c r="A669" s="22"/>
      <c r="B669" s="20"/>
      <c r="C669" s="20" t="str">
        <f>IFERROR(__xludf.DUMMYFUNCTION("IF(ISBLANK(B669),,IFERROR(array_constrain(FILTER('Leetcode分类顺序表'!B:J,'Leetcode分类顺序表'!A:A = B669), 1, 10000000),IFERROR(FILTER(Algoexpert.io!B:D,Algoexpert.io!A:A = B669),FILTER('Leetcode List'!B:J,'Leetcode List'!A:A = B669))))"),"")</f>
        <v/>
      </c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>
      <c r="A670" s="22"/>
      <c r="B670" s="20"/>
      <c r="C670" s="20" t="str">
        <f>IFERROR(__xludf.DUMMYFUNCTION("IF(ISBLANK(B670),,IFERROR(array_constrain(FILTER('Leetcode分类顺序表'!B:J,'Leetcode分类顺序表'!A:A = B670), 1, 10000000),IFERROR(FILTER(Algoexpert.io!B:D,Algoexpert.io!A:A = B670),FILTER('Leetcode List'!B:J,'Leetcode List'!A:A = B670))))"),"")</f>
        <v/>
      </c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>
      <c r="A671" s="22"/>
      <c r="B671" s="20"/>
      <c r="C671" s="20" t="str">
        <f>IFERROR(__xludf.DUMMYFUNCTION("IF(ISBLANK(B671),,IFERROR(array_constrain(FILTER('Leetcode分类顺序表'!B:J,'Leetcode分类顺序表'!A:A = B671), 1, 10000000),IFERROR(FILTER(Algoexpert.io!B:D,Algoexpert.io!A:A = B671),FILTER('Leetcode List'!B:J,'Leetcode List'!A:A = B671))))"),"")</f>
        <v/>
      </c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>
      <c r="A672" s="22"/>
      <c r="B672" s="20"/>
      <c r="C672" s="20" t="str">
        <f>IFERROR(__xludf.DUMMYFUNCTION("IF(ISBLANK(B672),,IFERROR(array_constrain(FILTER('Leetcode分类顺序表'!B:J,'Leetcode分类顺序表'!A:A = B672), 1, 10000000),IFERROR(FILTER(Algoexpert.io!B:D,Algoexpert.io!A:A = B672),FILTER('Leetcode List'!B:J,'Leetcode List'!A:A = B672))))"),"")</f>
        <v/>
      </c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>
      <c r="A673" s="22"/>
      <c r="B673" s="20"/>
      <c r="C673" s="20" t="str">
        <f>IFERROR(__xludf.DUMMYFUNCTION("IF(ISBLANK(B673),,IFERROR(array_constrain(FILTER('Leetcode分类顺序表'!B:J,'Leetcode分类顺序表'!A:A = B673), 1, 10000000),IFERROR(FILTER(Algoexpert.io!B:D,Algoexpert.io!A:A = B673),FILTER('Leetcode List'!B:J,'Leetcode List'!A:A = B673))))"),"")</f>
        <v/>
      </c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>
      <c r="A674" s="22"/>
      <c r="B674" s="20"/>
      <c r="C674" s="20" t="str">
        <f>IFERROR(__xludf.DUMMYFUNCTION("IF(ISBLANK(B674),,IFERROR(array_constrain(FILTER('Leetcode分类顺序表'!B:J,'Leetcode分类顺序表'!A:A = B674), 1, 10000000),IFERROR(FILTER(Algoexpert.io!B:D,Algoexpert.io!A:A = B674),FILTER('Leetcode List'!B:J,'Leetcode List'!A:A = B674))))"),"")</f>
        <v/>
      </c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>
      <c r="A675" s="22"/>
      <c r="B675" s="20"/>
      <c r="C675" s="20" t="str">
        <f>IFERROR(__xludf.DUMMYFUNCTION("IF(ISBLANK(B675),,IFERROR(array_constrain(FILTER('Leetcode分类顺序表'!B:J,'Leetcode分类顺序表'!A:A = B675), 1, 10000000),IFERROR(FILTER(Algoexpert.io!B:D,Algoexpert.io!A:A = B675),FILTER('Leetcode List'!B:J,'Leetcode List'!A:A = B675))))"),"")</f>
        <v/>
      </c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>
      <c r="A676" s="22"/>
      <c r="B676" s="20"/>
      <c r="C676" s="20" t="str">
        <f>IFERROR(__xludf.DUMMYFUNCTION("IF(ISBLANK(B676),,IFERROR(array_constrain(FILTER('Leetcode分类顺序表'!B:J,'Leetcode分类顺序表'!A:A = B676), 1, 10000000),IFERROR(FILTER(Algoexpert.io!B:D,Algoexpert.io!A:A = B676),FILTER('Leetcode List'!B:J,'Leetcode List'!A:A = B676))))"),"")</f>
        <v/>
      </c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>
      <c r="A677" s="22"/>
      <c r="B677" s="20"/>
      <c r="C677" s="20" t="str">
        <f>IFERROR(__xludf.DUMMYFUNCTION("IF(ISBLANK(B677),,IFERROR(array_constrain(FILTER('Leetcode分类顺序表'!B:J,'Leetcode分类顺序表'!A:A = B677), 1, 10000000),IFERROR(FILTER(Algoexpert.io!B:D,Algoexpert.io!A:A = B677),FILTER('Leetcode List'!B:J,'Leetcode List'!A:A = B677))))"),"")</f>
        <v/>
      </c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>
      <c r="A678" s="22"/>
      <c r="B678" s="20"/>
      <c r="C678" s="20" t="str">
        <f>IFERROR(__xludf.DUMMYFUNCTION("IF(ISBLANK(B678),,IFERROR(array_constrain(FILTER('Leetcode分类顺序表'!B:J,'Leetcode分类顺序表'!A:A = B678), 1, 10000000),IFERROR(FILTER(Algoexpert.io!B:D,Algoexpert.io!A:A = B678),FILTER('Leetcode List'!B:J,'Leetcode List'!A:A = B678))))"),"")</f>
        <v/>
      </c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>
      <c r="A679" s="22"/>
      <c r="B679" s="20"/>
      <c r="C679" s="20" t="str">
        <f>IFERROR(__xludf.DUMMYFUNCTION("IF(ISBLANK(B679),,IFERROR(array_constrain(FILTER('Leetcode分类顺序表'!B:J,'Leetcode分类顺序表'!A:A = B679), 1, 10000000),IFERROR(FILTER(Algoexpert.io!B:D,Algoexpert.io!A:A = B679),FILTER('Leetcode List'!B:J,'Leetcode List'!A:A = B679))))"),"")</f>
        <v/>
      </c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>
      <c r="A680" s="22"/>
      <c r="B680" s="20"/>
      <c r="C680" s="20" t="str">
        <f>IFERROR(__xludf.DUMMYFUNCTION("IF(ISBLANK(B680),,IFERROR(array_constrain(FILTER('Leetcode分类顺序表'!B:J,'Leetcode分类顺序表'!A:A = B680), 1, 10000000),IFERROR(FILTER(Algoexpert.io!B:D,Algoexpert.io!A:A = B680),FILTER('Leetcode List'!B:J,'Leetcode List'!A:A = B680))))"),"")</f>
        <v/>
      </c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>
      <c r="A681" s="22"/>
      <c r="B681" s="20"/>
      <c r="C681" s="20" t="str">
        <f>IFERROR(__xludf.DUMMYFUNCTION("IF(ISBLANK(B681),,IFERROR(array_constrain(FILTER('Leetcode分类顺序表'!B:J,'Leetcode分类顺序表'!A:A = B681), 1, 10000000),IFERROR(FILTER(Algoexpert.io!B:D,Algoexpert.io!A:A = B681),FILTER('Leetcode List'!B:J,'Leetcode List'!A:A = B681))))"),"")</f>
        <v/>
      </c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>
      <c r="A682" s="22"/>
      <c r="B682" s="20"/>
      <c r="C682" s="20" t="str">
        <f>IFERROR(__xludf.DUMMYFUNCTION("IF(ISBLANK(B682),,IFERROR(array_constrain(FILTER('Leetcode分类顺序表'!B:J,'Leetcode分类顺序表'!A:A = B682), 1, 10000000),IFERROR(FILTER(Algoexpert.io!B:D,Algoexpert.io!A:A = B682),FILTER('Leetcode List'!B:J,'Leetcode List'!A:A = B682))))"),"")</f>
        <v/>
      </c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>
      <c r="A683" s="22"/>
      <c r="B683" s="20"/>
      <c r="C683" s="20" t="str">
        <f>IFERROR(__xludf.DUMMYFUNCTION("IF(ISBLANK(B683),,IFERROR(array_constrain(FILTER('Leetcode分类顺序表'!B:J,'Leetcode分类顺序表'!A:A = B683), 1, 10000000),IFERROR(FILTER(Algoexpert.io!B:D,Algoexpert.io!A:A = B683),FILTER('Leetcode List'!B:J,'Leetcode List'!A:A = B683))))"),"")</f>
        <v/>
      </c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>
      <c r="A684" s="22"/>
      <c r="B684" s="20"/>
      <c r="C684" s="20" t="str">
        <f>IFERROR(__xludf.DUMMYFUNCTION("IF(ISBLANK(B684),,IFERROR(array_constrain(FILTER('Leetcode分类顺序表'!B:J,'Leetcode分类顺序表'!A:A = B684), 1, 10000000),IFERROR(FILTER(Algoexpert.io!B:D,Algoexpert.io!A:A = B684),FILTER('Leetcode List'!B:J,'Leetcode List'!A:A = B684))))"),"")</f>
        <v/>
      </c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>
      <c r="A685" s="22"/>
      <c r="B685" s="20"/>
      <c r="C685" s="20" t="str">
        <f>IFERROR(__xludf.DUMMYFUNCTION("IF(ISBLANK(B685),,IFERROR(array_constrain(FILTER('Leetcode分类顺序表'!B:J,'Leetcode分类顺序表'!A:A = B685), 1, 10000000),IFERROR(FILTER(Algoexpert.io!B:D,Algoexpert.io!A:A = B685),FILTER('Leetcode List'!B:J,'Leetcode List'!A:A = B685))))"),"")</f>
        <v/>
      </c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>
      <c r="A686" s="22"/>
      <c r="B686" s="20"/>
      <c r="C686" s="20" t="str">
        <f>IFERROR(__xludf.DUMMYFUNCTION("IF(ISBLANK(B686),,IFERROR(array_constrain(FILTER('Leetcode分类顺序表'!B:J,'Leetcode分类顺序表'!A:A = B686), 1, 10000000),IFERROR(FILTER(Algoexpert.io!B:D,Algoexpert.io!A:A = B686),FILTER('Leetcode List'!B:J,'Leetcode List'!A:A = B686))))"),"")</f>
        <v/>
      </c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>
      <c r="A687" s="22"/>
      <c r="B687" s="20"/>
      <c r="C687" s="20" t="str">
        <f>IFERROR(__xludf.DUMMYFUNCTION("IF(ISBLANK(B687),,IFERROR(array_constrain(FILTER('Leetcode分类顺序表'!B:J,'Leetcode分类顺序表'!A:A = B687), 1, 10000000),IFERROR(FILTER(Algoexpert.io!B:D,Algoexpert.io!A:A = B687),FILTER('Leetcode List'!B:J,'Leetcode List'!A:A = B687))))"),"")</f>
        <v/>
      </c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>
      <c r="A688" s="22"/>
      <c r="B688" s="20"/>
      <c r="C688" s="20" t="str">
        <f>IFERROR(__xludf.DUMMYFUNCTION("IF(ISBLANK(B688),,IFERROR(array_constrain(FILTER('Leetcode分类顺序表'!B:J,'Leetcode分类顺序表'!A:A = B688), 1, 10000000),IFERROR(FILTER(Algoexpert.io!B:D,Algoexpert.io!A:A = B688),FILTER('Leetcode List'!B:J,'Leetcode List'!A:A = B688))))"),"")</f>
        <v/>
      </c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>
      <c r="A689" s="22"/>
      <c r="B689" s="20"/>
      <c r="C689" s="20" t="str">
        <f>IFERROR(__xludf.DUMMYFUNCTION("IF(ISBLANK(B689),,IFERROR(array_constrain(FILTER('Leetcode分类顺序表'!B:J,'Leetcode分类顺序表'!A:A = B689), 1, 10000000),IFERROR(FILTER(Algoexpert.io!B:D,Algoexpert.io!A:A = B689),FILTER('Leetcode List'!B:J,'Leetcode List'!A:A = B689))))"),"")</f>
        <v/>
      </c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>
      <c r="A690" s="22"/>
      <c r="B690" s="20"/>
      <c r="C690" s="20" t="str">
        <f>IFERROR(__xludf.DUMMYFUNCTION("IF(ISBLANK(B690),,IFERROR(array_constrain(FILTER('Leetcode分类顺序表'!B:J,'Leetcode分类顺序表'!A:A = B690), 1, 10000000),IFERROR(FILTER(Algoexpert.io!B:D,Algoexpert.io!A:A = B690),FILTER('Leetcode List'!B:J,'Leetcode List'!A:A = B690))))"),"")</f>
        <v/>
      </c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>
      <c r="A691" s="22"/>
      <c r="B691" s="20"/>
      <c r="C691" s="20" t="str">
        <f>IFERROR(__xludf.DUMMYFUNCTION("IF(ISBLANK(B691),,IFERROR(array_constrain(FILTER('Leetcode分类顺序表'!B:J,'Leetcode分类顺序表'!A:A = B691), 1, 10000000),IFERROR(FILTER(Algoexpert.io!B:D,Algoexpert.io!A:A = B691),FILTER('Leetcode List'!B:J,'Leetcode List'!A:A = B691))))"),"")</f>
        <v/>
      </c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>
      <c r="A692" s="22"/>
      <c r="B692" s="20"/>
      <c r="C692" s="20" t="str">
        <f>IFERROR(__xludf.DUMMYFUNCTION("IF(ISBLANK(B692),,IFERROR(array_constrain(FILTER('Leetcode分类顺序表'!B:J,'Leetcode分类顺序表'!A:A = B692), 1, 10000000),IFERROR(FILTER(Algoexpert.io!B:D,Algoexpert.io!A:A = B692),FILTER('Leetcode List'!B:J,'Leetcode List'!A:A = B692))))"),"")</f>
        <v/>
      </c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>
      <c r="A693" s="22"/>
      <c r="B693" s="20"/>
      <c r="C693" s="20" t="str">
        <f>IFERROR(__xludf.DUMMYFUNCTION("IF(ISBLANK(B693),,IFERROR(array_constrain(FILTER('Leetcode分类顺序表'!B:J,'Leetcode分类顺序表'!A:A = B693), 1, 10000000),IFERROR(FILTER(Algoexpert.io!B:D,Algoexpert.io!A:A = B693),FILTER('Leetcode List'!B:J,'Leetcode List'!A:A = B693))))"),"")</f>
        <v/>
      </c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>
      <c r="A694" s="22"/>
      <c r="B694" s="20"/>
      <c r="C694" s="20" t="str">
        <f>IFERROR(__xludf.DUMMYFUNCTION("IF(ISBLANK(B694),,IFERROR(array_constrain(FILTER('Leetcode分类顺序表'!B:J,'Leetcode分类顺序表'!A:A = B694), 1, 10000000),IFERROR(FILTER(Algoexpert.io!B:D,Algoexpert.io!A:A = B694),FILTER('Leetcode List'!B:J,'Leetcode List'!A:A = B694))))"),"")</f>
        <v/>
      </c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>
      <c r="A695" s="22"/>
      <c r="B695" s="20"/>
      <c r="C695" s="20" t="str">
        <f>IFERROR(__xludf.DUMMYFUNCTION("IF(ISBLANK(B695),,IFERROR(array_constrain(FILTER('Leetcode分类顺序表'!B:J,'Leetcode分类顺序表'!A:A = B695), 1, 10000000),IFERROR(FILTER(Algoexpert.io!B:D,Algoexpert.io!A:A = B695),FILTER('Leetcode List'!B:J,'Leetcode List'!A:A = B695))))"),"")</f>
        <v/>
      </c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>
      <c r="A696" s="22"/>
      <c r="B696" s="20"/>
      <c r="C696" s="20" t="str">
        <f>IFERROR(__xludf.DUMMYFUNCTION("IF(ISBLANK(B696),,IFERROR(array_constrain(FILTER('Leetcode分类顺序表'!B:J,'Leetcode分类顺序表'!A:A = B696), 1, 10000000),IFERROR(FILTER(Algoexpert.io!B:D,Algoexpert.io!A:A = B696),FILTER('Leetcode List'!B:J,'Leetcode List'!A:A = B696))))"),"")</f>
        <v/>
      </c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>
      <c r="A697" s="22"/>
      <c r="B697" s="20"/>
      <c r="C697" s="20" t="str">
        <f>IFERROR(__xludf.DUMMYFUNCTION("IF(ISBLANK(B697),,IFERROR(array_constrain(FILTER('Leetcode分类顺序表'!B:J,'Leetcode分类顺序表'!A:A = B697), 1, 10000000),IFERROR(FILTER(Algoexpert.io!B:D,Algoexpert.io!A:A = B697),FILTER('Leetcode List'!B:J,'Leetcode List'!A:A = B697))))"),"")</f>
        <v/>
      </c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>
      <c r="A698" s="22"/>
      <c r="B698" s="20"/>
      <c r="C698" s="20" t="str">
        <f>IFERROR(__xludf.DUMMYFUNCTION("IF(ISBLANK(B698),,IFERROR(array_constrain(FILTER('Leetcode分类顺序表'!B:J,'Leetcode分类顺序表'!A:A = B698), 1, 10000000),IFERROR(FILTER(Algoexpert.io!B:D,Algoexpert.io!A:A = B698),FILTER('Leetcode List'!B:J,'Leetcode List'!A:A = B698))))"),"")</f>
        <v/>
      </c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>
      <c r="A699" s="22"/>
      <c r="B699" s="20"/>
      <c r="C699" s="20" t="str">
        <f>IFERROR(__xludf.DUMMYFUNCTION("IF(ISBLANK(B699),,IFERROR(array_constrain(FILTER('Leetcode分类顺序表'!B:J,'Leetcode分类顺序表'!A:A = B699), 1, 10000000),IFERROR(FILTER(Algoexpert.io!B:D,Algoexpert.io!A:A = B699),FILTER('Leetcode List'!B:J,'Leetcode List'!A:A = B699))))"),"")</f>
        <v/>
      </c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>
      <c r="A700" s="22"/>
      <c r="B700" s="20"/>
      <c r="C700" s="20" t="str">
        <f>IFERROR(__xludf.DUMMYFUNCTION("IF(ISBLANK(B700),,IFERROR(array_constrain(FILTER('Leetcode分类顺序表'!B:J,'Leetcode分类顺序表'!A:A = B700), 1, 10000000),IFERROR(FILTER(Algoexpert.io!B:D,Algoexpert.io!A:A = B700),FILTER('Leetcode List'!B:J,'Leetcode List'!A:A = B700))))"),"")</f>
        <v/>
      </c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>
      <c r="A701" s="22"/>
      <c r="B701" s="20"/>
      <c r="C701" s="20" t="str">
        <f>IFERROR(__xludf.DUMMYFUNCTION("IF(ISBLANK(B701),,IFERROR(array_constrain(FILTER('Leetcode分类顺序表'!B:J,'Leetcode分类顺序表'!A:A = B701), 1, 10000000),IFERROR(FILTER(Algoexpert.io!B:D,Algoexpert.io!A:A = B701),FILTER('Leetcode List'!B:J,'Leetcode List'!A:A = B701))))"),"")</f>
        <v/>
      </c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>
      <c r="A702" s="22"/>
      <c r="B702" s="20"/>
      <c r="C702" s="20" t="str">
        <f>IFERROR(__xludf.DUMMYFUNCTION("IF(ISBLANK(B702),,IFERROR(array_constrain(FILTER('Leetcode分类顺序表'!B:J,'Leetcode分类顺序表'!A:A = B702), 1, 10000000),IFERROR(FILTER(Algoexpert.io!B:D,Algoexpert.io!A:A = B702),FILTER('Leetcode List'!B:J,'Leetcode List'!A:A = B702))))"),"")</f>
        <v/>
      </c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>
      <c r="A703" s="22"/>
      <c r="B703" s="20"/>
      <c r="C703" s="20" t="str">
        <f>IFERROR(__xludf.DUMMYFUNCTION("IF(ISBLANK(B703),,IFERROR(array_constrain(FILTER('Leetcode分类顺序表'!B:J,'Leetcode分类顺序表'!A:A = B703), 1, 10000000),IFERROR(FILTER(Algoexpert.io!B:D,Algoexpert.io!A:A = B703),FILTER('Leetcode List'!B:J,'Leetcode List'!A:A = B703))))"),"")</f>
        <v/>
      </c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>
      <c r="A704" s="22"/>
      <c r="B704" s="20"/>
      <c r="C704" s="20" t="str">
        <f>IFERROR(__xludf.DUMMYFUNCTION("IF(ISBLANK(B704),,IFERROR(array_constrain(FILTER('Leetcode分类顺序表'!B:J,'Leetcode分类顺序表'!A:A = B704), 1, 10000000),IFERROR(FILTER(Algoexpert.io!B:D,Algoexpert.io!A:A = B704),FILTER('Leetcode List'!B:J,'Leetcode List'!A:A = B704))))"),"")</f>
        <v/>
      </c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>
      <c r="A705" s="22"/>
      <c r="B705" s="20"/>
      <c r="C705" s="20" t="str">
        <f>IFERROR(__xludf.DUMMYFUNCTION("IF(ISBLANK(B705),,IFERROR(array_constrain(FILTER('Leetcode分类顺序表'!B:J,'Leetcode分类顺序表'!A:A = B705), 1, 10000000),IFERROR(FILTER(Algoexpert.io!B:D,Algoexpert.io!A:A = B705),FILTER('Leetcode List'!B:J,'Leetcode List'!A:A = B705))))"),"")</f>
        <v/>
      </c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>
      <c r="A706" s="22"/>
      <c r="B706" s="20"/>
      <c r="C706" s="20" t="str">
        <f>IFERROR(__xludf.DUMMYFUNCTION("IF(ISBLANK(B706),,IFERROR(array_constrain(FILTER('Leetcode分类顺序表'!B:J,'Leetcode分类顺序表'!A:A = B706), 1, 10000000),IFERROR(FILTER(Algoexpert.io!B:D,Algoexpert.io!A:A = B706),FILTER('Leetcode List'!B:J,'Leetcode List'!A:A = B706))))"),"")</f>
        <v/>
      </c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>
      <c r="A707" s="22"/>
      <c r="B707" s="20"/>
      <c r="C707" s="20" t="str">
        <f>IFERROR(__xludf.DUMMYFUNCTION("IF(ISBLANK(B707),,IFERROR(array_constrain(FILTER('Leetcode分类顺序表'!B:J,'Leetcode分类顺序表'!A:A = B707), 1, 10000000),IFERROR(FILTER(Algoexpert.io!B:D,Algoexpert.io!A:A = B707),FILTER('Leetcode List'!B:J,'Leetcode List'!A:A = B707))))"),"")</f>
        <v/>
      </c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>
      <c r="A708" s="22"/>
      <c r="B708" s="20"/>
      <c r="C708" s="20" t="str">
        <f>IFERROR(__xludf.DUMMYFUNCTION("IF(ISBLANK(B708),,IFERROR(array_constrain(FILTER('Leetcode分类顺序表'!B:J,'Leetcode分类顺序表'!A:A = B708), 1, 10000000),IFERROR(FILTER(Algoexpert.io!B:D,Algoexpert.io!A:A = B708),FILTER('Leetcode List'!B:J,'Leetcode List'!A:A = B708))))"),"")</f>
        <v/>
      </c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>
      <c r="A709" s="22"/>
      <c r="B709" s="20"/>
      <c r="C709" s="20" t="str">
        <f>IFERROR(__xludf.DUMMYFUNCTION("IF(ISBLANK(B709),,IFERROR(array_constrain(FILTER('Leetcode分类顺序表'!B:J,'Leetcode分类顺序表'!A:A = B709), 1, 10000000),IFERROR(FILTER(Algoexpert.io!B:D,Algoexpert.io!A:A = B709),FILTER('Leetcode List'!B:J,'Leetcode List'!A:A = B709))))"),"")</f>
        <v/>
      </c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>
      <c r="A710" s="22"/>
      <c r="B710" s="20"/>
      <c r="C710" s="20" t="str">
        <f>IFERROR(__xludf.DUMMYFUNCTION("IF(ISBLANK(B710),,IFERROR(array_constrain(FILTER('Leetcode分类顺序表'!B:J,'Leetcode分类顺序表'!A:A = B710), 1, 10000000),IFERROR(FILTER(Algoexpert.io!B:D,Algoexpert.io!A:A = B710),FILTER('Leetcode List'!B:J,'Leetcode List'!A:A = B710))))"),"")</f>
        <v/>
      </c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>
      <c r="A711" s="22"/>
      <c r="B711" s="20"/>
      <c r="C711" s="20" t="str">
        <f>IFERROR(__xludf.DUMMYFUNCTION("IF(ISBLANK(B711),,IFERROR(array_constrain(FILTER('Leetcode分类顺序表'!B:J,'Leetcode分类顺序表'!A:A = B711), 1, 10000000),IFERROR(FILTER(Algoexpert.io!B:D,Algoexpert.io!A:A = B711),FILTER('Leetcode List'!B:J,'Leetcode List'!A:A = B711))))"),"")</f>
        <v/>
      </c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>
      <c r="A712" s="22"/>
      <c r="B712" s="20"/>
      <c r="C712" s="20" t="str">
        <f>IFERROR(__xludf.DUMMYFUNCTION("IF(ISBLANK(B712),,IFERROR(array_constrain(FILTER('Leetcode分类顺序表'!B:J,'Leetcode分类顺序表'!A:A = B712), 1, 10000000),IFERROR(FILTER(Algoexpert.io!B:D,Algoexpert.io!A:A = B712),FILTER('Leetcode List'!B:J,'Leetcode List'!A:A = B712))))"),"")</f>
        <v/>
      </c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>
      <c r="A713" s="22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>
      <c r="A714" s="22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>
      <c r="A715" s="22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>
      <c r="A716" s="22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>
      <c r="A717" s="22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>
      <c r="A718" s="22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>
      <c r="A719" s="22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>
      <c r="A720" s="22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>
      <c r="A721" s="22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>
      <c r="A722" s="22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>
      <c r="A723" s="22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>
      <c r="A724" s="22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>
      <c r="A725" s="22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>
      <c r="A726" s="22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>
      <c r="A727" s="22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>
      <c r="A728" s="22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>
      <c r="A729" s="22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>
      <c r="A730" s="22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>
      <c r="A731" s="22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>
      <c r="A732" s="22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>
      <c r="A733" s="22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>
      <c r="A734" s="22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>
      <c r="A735" s="22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>
      <c r="A736" s="22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>
      <c r="A737" s="22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>
      <c r="A738" s="22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>
      <c r="A739" s="22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>
      <c r="A740" s="22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>
      <c r="A741" s="22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>
      <c r="A742" s="22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>
      <c r="A743" s="22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>
      <c r="A744" s="22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>
      <c r="A745" s="22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>
      <c r="A746" s="22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>
      <c r="A747" s="22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>
      <c r="A748" s="22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>
      <c r="A749" s="22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>
      <c r="A750" s="22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>
      <c r="A751" s="22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>
      <c r="A752" s="22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>
      <c r="A753" s="22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>
      <c r="A754" s="22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>
      <c r="A755" s="22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>
      <c r="A756" s="22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>
      <c r="A757" s="22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>
      <c r="A758" s="22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>
      <c r="A759" s="22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>
      <c r="A760" s="22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>
      <c r="A761" s="22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>
      <c r="A762" s="22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>
      <c r="A763" s="22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>
      <c r="A764" s="22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>
      <c r="A765" s="22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>
      <c r="A766" s="22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>
      <c r="A767" s="22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>
      <c r="A768" s="22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>
      <c r="A769" s="22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>
      <c r="A770" s="22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>
      <c r="A771" s="22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>
      <c r="A772" s="22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>
      <c r="A773" s="22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>
      <c r="A774" s="22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>
      <c r="A775" s="22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>
      <c r="A776" s="22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>
      <c r="A777" s="22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>
      <c r="A778" s="22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>
      <c r="A779" s="22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>
      <c r="A780" s="22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>
      <c r="A781" s="22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>
      <c r="A782" s="22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>
      <c r="A783" s="22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>
      <c r="A784" s="22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>
      <c r="A785" s="22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>
      <c r="A786" s="22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>
      <c r="A787" s="22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>
      <c r="A788" s="22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>
      <c r="A789" s="22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>
      <c r="A790" s="22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>
      <c r="A791" s="22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>
      <c r="A792" s="22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>
      <c r="A793" s="22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>
      <c r="A794" s="22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>
      <c r="A795" s="22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>
      <c r="A796" s="22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>
      <c r="A797" s="22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>
      <c r="A798" s="22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>
      <c r="A799" s="22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>
      <c r="A800" s="22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>
      <c r="A801" s="22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>
      <c r="A802" s="22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>
      <c r="A803" s="22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>
      <c r="A804" s="22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>
      <c r="A805" s="22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>
      <c r="A806" s="22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>
      <c r="A807" s="22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>
      <c r="A808" s="22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>
      <c r="A809" s="22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>
      <c r="A810" s="22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>
      <c r="A811" s="22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>
      <c r="A812" s="22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>
      <c r="A813" s="22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>
      <c r="A814" s="22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>
      <c r="A815" s="22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>
      <c r="A816" s="22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>
      <c r="A817" s="22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>
      <c r="A818" s="22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>
      <c r="A819" s="22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>
      <c r="A820" s="22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>
      <c r="A821" s="22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>
      <c r="A822" s="22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>
      <c r="A823" s="22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>
      <c r="A824" s="22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>
      <c r="A825" s="22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>
      <c r="A826" s="22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>
      <c r="A827" s="22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>
      <c r="A828" s="22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>
      <c r="A829" s="22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>
      <c r="A830" s="22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>
      <c r="A831" s="22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>
      <c r="A832" s="22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>
      <c r="A833" s="22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>
      <c r="A834" s="22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>
      <c r="A835" s="22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>
      <c r="A836" s="22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>
      <c r="A837" s="22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>
      <c r="A838" s="22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>
      <c r="A839" s="22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>
      <c r="A840" s="22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>
      <c r="A841" s="22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>
      <c r="A842" s="22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>
      <c r="A843" s="22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>
      <c r="A844" s="22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>
      <c r="A845" s="22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>
      <c r="A846" s="22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>
      <c r="A847" s="22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>
      <c r="A848" s="22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>
      <c r="A849" s="22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>
      <c r="A850" s="22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>
      <c r="A851" s="22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>
      <c r="A852" s="22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>
      <c r="A853" s="22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>
      <c r="A854" s="22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>
      <c r="A855" s="22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>
      <c r="A856" s="22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>
      <c r="A857" s="22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>
      <c r="A858" s="22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>
      <c r="A859" s="22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>
      <c r="A860" s="22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>
      <c r="A861" s="22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>
      <c r="A862" s="22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>
      <c r="A863" s="22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>
      <c r="A864" s="22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>
      <c r="A865" s="22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>
      <c r="A866" s="22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>
      <c r="A867" s="22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>
      <c r="A868" s="22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>
      <c r="A869" s="22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>
      <c r="A870" s="22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>
      <c r="A871" s="22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>
      <c r="A872" s="22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>
      <c r="A873" s="22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>
      <c r="A874" s="22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>
      <c r="A875" s="22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>
      <c r="A876" s="22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>
      <c r="A877" s="22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>
      <c r="A878" s="22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>
      <c r="A879" s="22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>
      <c r="A880" s="22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>
      <c r="A881" s="22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>
      <c r="A882" s="22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>
      <c r="A883" s="22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>
      <c r="A884" s="22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>
      <c r="A885" s="22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>
      <c r="A886" s="22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>
      <c r="A887" s="22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>
      <c r="A888" s="22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>
      <c r="A889" s="22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>
      <c r="A890" s="22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>
      <c r="A891" s="22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>
      <c r="A892" s="22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>
      <c r="A893" s="22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>
      <c r="A894" s="22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>
      <c r="A895" s="22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>
      <c r="A896" s="22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>
      <c r="A897" s="22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>
      <c r="A898" s="22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>
      <c r="A899" s="22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>
      <c r="A900" s="22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>
      <c r="A901" s="22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>
      <c r="A902" s="22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>
      <c r="A903" s="22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>
      <c r="A904" s="22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>
      <c r="A905" s="22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>
      <c r="A906" s="22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>
      <c r="A907" s="22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>
      <c r="A908" s="22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>
      <c r="A909" s="22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>
      <c r="A910" s="22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>
      <c r="A911" s="22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>
      <c r="A912" s="22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>
      <c r="A913" s="22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>
      <c r="A914" s="22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>
      <c r="A915" s="22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>
      <c r="A916" s="22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>
      <c r="A917" s="22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>
      <c r="A918" s="22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>
      <c r="A919" s="22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>
      <c r="A920" s="22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>
      <c r="A921" s="22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>
      <c r="A922" s="22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>
      <c r="A923" s="22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>
      <c r="A924" s="22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>
      <c r="A925" s="22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>
      <c r="A926" s="22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>
      <c r="A927" s="22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>
      <c r="A928" s="22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>
      <c r="A929" s="22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>
      <c r="A930" s="22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>
      <c r="A931" s="22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>
      <c r="A932" s="22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>
      <c r="A933" s="22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>
      <c r="A934" s="22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>
      <c r="A935" s="22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>
      <c r="A936" s="22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>
      <c r="A937" s="22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>
      <c r="A938" s="22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>
      <c r="A939" s="22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>
      <c r="A940" s="22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>
      <c r="A941" s="22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>
      <c r="A942" s="22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>
      <c r="A943" s="22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>
      <c r="A944" s="22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>
      <c r="A945" s="22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>
      <c r="A946" s="22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>
      <c r="A947" s="22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>
      <c r="A948" s="22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>
      <c r="A949" s="22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>
      <c r="A950" s="22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>
      <c r="A951" s="22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>
      <c r="A952" s="22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>
      <c r="A953" s="22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>
      <c r="A954" s="22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>
      <c r="A955" s="22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>
      <c r="A956" s="22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>
      <c r="A957" s="22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>
      <c r="A958" s="22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>
      <c r="A959" s="22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>
      <c r="A960" s="22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>
      <c r="A961" s="22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>
      <c r="A962" s="22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>
      <c r="A963" s="22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>
      <c r="A964" s="22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>
      <c r="A965" s="22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>
      <c r="A966" s="22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>
      <c r="A967" s="22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>
      <c r="A968" s="22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>
      <c r="A969" s="22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>
      <c r="A970" s="22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>
      <c r="A971" s="22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>
      <c r="A972" s="22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>
      <c r="A973" s="22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>
      <c r="A974" s="22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>
      <c r="A975" s="22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>
      <c r="A976" s="22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>
      <c r="A977" s="22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>
      <c r="A978" s="22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>
      <c r="A979" s="22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>
      <c r="A980" s="22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>
      <c r="A981" s="22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>
      <c r="A982" s="22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>
      <c r="A983" s="22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>
      <c r="A984" s="22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>
      <c r="A985" s="22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>
      <c r="A986" s="22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>
      <c r="A987" s="22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>
      <c r="A988" s="22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>
      <c r="A989" s="22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>
      <c r="A990" s="22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>
      <c r="A991" s="22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>
      <c r="A992" s="22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>
      <c r="A993" s="22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>
      <c r="A994" s="22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>
      <c r="A995" s="22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>
      <c r="A996" s="22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>
      <c r="A997" s="22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>
      <c r="A998" s="22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>
      <c r="A999" s="22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>
      <c r="A1000" s="22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conditionalFormatting sqref="C1:D1">
    <cfRule type="expression" dxfId="1" priority="1">
      <formula>AND(ISNUMBER($L2),$L2=0)</formula>
    </cfRule>
  </conditionalFormatting>
  <conditionalFormatting sqref="C1:D1">
    <cfRule type="expression" dxfId="3" priority="2">
      <formula>AND(ISNUMBER($L2),$L2&gt;0)</formula>
    </cfRule>
  </conditionalFormatting>
  <conditionalFormatting sqref="C1:D1">
    <cfRule type="expression" dxfId="2" priority="3">
      <formula>AND(ISNUMBER($L2),$L2&gt;3)</formula>
    </cfRule>
  </conditionalFormatting>
  <conditionalFormatting sqref="C31">
    <cfRule type="expression" dxfId="2" priority="4">
      <formula>AND(ISNUMBER($L29),$L29&gt;3)</formula>
    </cfRule>
  </conditionalFormatting>
  <conditionalFormatting sqref="C31">
    <cfRule type="expression" dxfId="3" priority="5">
      <formula>AND(ISNUMBER($L29),$L29&gt;0)</formula>
    </cfRule>
  </conditionalFormatting>
  <conditionalFormatting sqref="C31">
    <cfRule type="expression" dxfId="1" priority="6">
      <formula>AND(ISNUMBER($L29),$L29=0)</formula>
    </cfRule>
  </conditionalFormatting>
  <conditionalFormatting sqref="A1:C1000 F1:AH1000 E2:E1000 D3:D1000">
    <cfRule type="expression" dxfId="2" priority="7">
      <formula>AND(ISNUMBER($L1),$L1&gt;3)</formula>
    </cfRule>
  </conditionalFormatting>
  <conditionalFormatting sqref="A1:C1000 F1:AH1000 E2:E1000 D3:D1000">
    <cfRule type="expression" dxfId="3" priority="8">
      <formula>AND(ISNUMBER($L1),$L1&gt;0)</formula>
    </cfRule>
  </conditionalFormatting>
  <conditionalFormatting sqref="A1:C1000 F1:AH1000 E2:E1000 D3:D1000">
    <cfRule type="expression" dxfId="1" priority="9">
      <formula>AND(ISNUMBER($L1),$L1=0)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9.88"/>
    <col hidden="1" min="6" max="9" width="12.63"/>
  </cols>
  <sheetData>
    <row r="1">
      <c r="A1" s="10" t="s">
        <v>5</v>
      </c>
      <c r="B1" s="11" t="s">
        <v>19</v>
      </c>
      <c r="C1" s="10" t="s">
        <v>7</v>
      </c>
      <c r="D1" s="12" t="str">
        <f>IFERROR(__xludf.DUMMYFUNCTION("IF(COUNTUNIQUE(B3:B1000)&gt;0,COUNTUNIQUE(B3:B1000),)"),"")</f>
        <v/>
      </c>
      <c r="E1" s="13" t="s">
        <v>8</v>
      </c>
      <c r="F1" s="14"/>
      <c r="G1" s="14"/>
      <c r="H1" s="14"/>
      <c r="I1" s="14"/>
      <c r="J1" s="14" t="str">
        <f>IF((COUNTA(B:B)-2)/(DATEDIF(A3,TODAY(),"D")+1)&gt;0,(COUNTA(B:B)-2)/(DATEDIF(A3,TODAY(),"D")+1),)</f>
        <v/>
      </c>
      <c r="K1" s="10"/>
      <c r="L1" s="10" t="s">
        <v>9</v>
      </c>
      <c r="M1" s="12"/>
      <c r="N1" s="15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>
      <c r="A2" s="16" t="s">
        <v>10</v>
      </c>
      <c r="B2" s="10" t="s">
        <v>11</v>
      </c>
      <c r="C2" s="17" t="s">
        <v>12</v>
      </c>
      <c r="D2" s="10" t="s">
        <v>13</v>
      </c>
      <c r="E2" s="10" t="s">
        <v>14</v>
      </c>
      <c r="F2" s="10" t="s">
        <v>15</v>
      </c>
      <c r="G2" s="10"/>
      <c r="H2" s="10"/>
      <c r="I2" s="10"/>
      <c r="J2" s="10" t="s">
        <v>16</v>
      </c>
      <c r="K2" s="10" t="s">
        <v>17</v>
      </c>
      <c r="L2" s="10" t="s">
        <v>18</v>
      </c>
      <c r="M2" s="12"/>
      <c r="N2" s="20"/>
      <c r="O2" s="20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>
      <c r="A3" s="19"/>
      <c r="B3" s="21"/>
      <c r="C3" s="20" t="str">
        <f>IFERROR(__xludf.DUMMYFUNCTION("IF(ISBLANK(B3),,IFERROR(array_constrain(FILTER('Leetcode分类顺序表'!B:J,'Leetcode分类顺序表'!A:A = B3), 1, 10000000),IFERROR(FILTER(Algoexpert.io!B:D,Algoexpert.io!A:A = B3),FILTER('Leetcode List'!B:J,'Leetcode List'!A:A = B3))))"),"")</f>
        <v/>
      </c>
      <c r="D3" s="20"/>
      <c r="E3" s="20"/>
      <c r="F3" s="20"/>
      <c r="G3" s="20"/>
      <c r="H3" s="20"/>
      <c r="I3" s="20"/>
      <c r="J3" s="20"/>
      <c r="K3" s="20"/>
      <c r="L3" s="20" t="str">
        <f t="shared" ref="L3:L211" si="1">IF(ISBLANK(B3),,COUNTIF(B:B,"="&amp;B3)-1)</f>
        <v/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>
      <c r="A4" s="19"/>
      <c r="B4" s="21"/>
      <c r="C4" s="20" t="str">
        <f>IFERROR(__xludf.DUMMYFUNCTION("IF(ISBLANK(B4),,IFERROR(array_constrain(FILTER('Leetcode分类顺序表'!B:J,'Leetcode分类顺序表'!A:A = B4), 1, 10000000),IFERROR(FILTER(Algoexpert.io!B:D,Algoexpert.io!A:A = B4),FILTER('Leetcode List'!B:J,'Leetcode List'!A:A = B4))))"),"")</f>
        <v/>
      </c>
      <c r="D4" s="20"/>
      <c r="E4" s="20"/>
      <c r="F4" s="20"/>
      <c r="G4" s="20"/>
      <c r="H4" s="20"/>
      <c r="I4" s="20"/>
      <c r="J4" s="20"/>
      <c r="K4" s="20"/>
      <c r="L4" s="20" t="str">
        <f t="shared" si="1"/>
        <v/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>
      <c r="A5" s="19"/>
      <c r="B5" s="21"/>
      <c r="C5" s="20" t="str">
        <f>IFERROR(__xludf.DUMMYFUNCTION("IF(ISBLANK(B5),,IFERROR(array_constrain(FILTER('Leetcode分类顺序表'!B:J,'Leetcode分类顺序表'!A:A = B5), 1, 10000000),IFERROR(FILTER(Algoexpert.io!B:D,Algoexpert.io!A:A = B5),FILTER('Leetcode List'!B:J,'Leetcode List'!A:A = B5))))"),"")</f>
        <v/>
      </c>
      <c r="D5" s="20"/>
      <c r="E5" s="20"/>
      <c r="F5" s="20"/>
      <c r="G5" s="20"/>
      <c r="H5" s="20"/>
      <c r="I5" s="20"/>
      <c r="J5" s="20"/>
      <c r="K5" s="20"/>
      <c r="L5" s="20" t="str">
        <f t="shared" si="1"/>
        <v/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>
      <c r="A6" s="19"/>
      <c r="B6" s="21"/>
      <c r="C6" s="20" t="str">
        <f>IFERROR(__xludf.DUMMYFUNCTION("IF(ISBLANK(B6),,IFERROR(array_constrain(FILTER('Leetcode分类顺序表'!B:J,'Leetcode分类顺序表'!A:A = B6), 1, 10000000),IFERROR(FILTER(Algoexpert.io!B:D,Algoexpert.io!A:A = B6),FILTER('Leetcode List'!B:J,'Leetcode List'!A:A = B6))))"),"")</f>
        <v/>
      </c>
      <c r="D6" s="20"/>
      <c r="E6" s="20"/>
      <c r="F6" s="20"/>
      <c r="G6" s="20"/>
      <c r="H6" s="20"/>
      <c r="I6" s="20"/>
      <c r="J6" s="20"/>
      <c r="K6" s="20"/>
      <c r="L6" s="20" t="str">
        <f t="shared" si="1"/>
        <v/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>
      <c r="A7" s="19"/>
      <c r="B7" s="21"/>
      <c r="C7" s="20" t="str">
        <f>IFERROR(__xludf.DUMMYFUNCTION("IF(ISBLANK(B7),,IFERROR(array_constrain(FILTER('Leetcode分类顺序表'!B:J,'Leetcode分类顺序表'!A:A = B7), 1, 10000000),IFERROR(FILTER(Algoexpert.io!B:D,Algoexpert.io!A:A = B7),FILTER('Leetcode List'!B:J,'Leetcode List'!A:A = B7))))"),"")</f>
        <v/>
      </c>
      <c r="D7" s="20"/>
      <c r="E7" s="20"/>
      <c r="F7" s="20"/>
      <c r="G7" s="20"/>
      <c r="H7" s="20"/>
      <c r="I7" s="20"/>
      <c r="J7" s="20"/>
      <c r="K7" s="20"/>
      <c r="L7" s="20" t="str">
        <f t="shared" si="1"/>
        <v/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>
      <c r="A8" s="19"/>
      <c r="B8" s="21"/>
      <c r="C8" s="20" t="str">
        <f>IFERROR(__xludf.DUMMYFUNCTION("IF(ISBLANK(B8),,IFERROR(array_constrain(FILTER('Leetcode分类顺序表'!B:J,'Leetcode分类顺序表'!A:A = B8), 1, 10000000),IFERROR(FILTER(Algoexpert.io!B:D,Algoexpert.io!A:A = B8),FILTER('Leetcode List'!B:J,'Leetcode List'!A:A = B8))))"),"")</f>
        <v/>
      </c>
      <c r="D8" s="20"/>
      <c r="E8" s="20"/>
      <c r="F8" s="20"/>
      <c r="G8" s="20"/>
      <c r="H8" s="20"/>
      <c r="I8" s="20"/>
      <c r="J8" s="20"/>
      <c r="K8" s="20"/>
      <c r="L8" s="20" t="str">
        <f t="shared" si="1"/>
        <v/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>
      <c r="A9" s="19"/>
      <c r="B9" s="21"/>
      <c r="C9" s="20" t="str">
        <f>IFERROR(__xludf.DUMMYFUNCTION("IF(ISBLANK(B9),,IFERROR(array_constrain(FILTER('Leetcode分类顺序表'!B:J,'Leetcode分类顺序表'!A:A = B9), 1, 10000000),IFERROR(FILTER(Algoexpert.io!B:D,Algoexpert.io!A:A = B9),FILTER('Leetcode List'!B:J,'Leetcode List'!A:A = B9))))"),"")</f>
        <v/>
      </c>
      <c r="D9" s="20"/>
      <c r="E9" s="20"/>
      <c r="F9" s="20"/>
      <c r="G9" s="20"/>
      <c r="H9" s="20"/>
      <c r="I9" s="20"/>
      <c r="J9" s="20"/>
      <c r="K9" s="20"/>
      <c r="L9" s="20" t="str">
        <f t="shared" si="1"/>
        <v/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>
      <c r="A10" s="19"/>
      <c r="B10" s="21"/>
      <c r="C10" s="20" t="str">
        <f>IFERROR(__xludf.DUMMYFUNCTION("IF(ISBLANK(B10),,IFERROR(array_constrain(FILTER('Leetcode分类顺序表'!B:J,'Leetcode分类顺序表'!A:A = B10), 1, 10000000),IFERROR(FILTER(Algoexpert.io!B:D,Algoexpert.io!A:A = B10),FILTER('Leetcode List'!B:J,'Leetcode List'!A:A = B10))))"),"")</f>
        <v/>
      </c>
      <c r="D10" s="20"/>
      <c r="E10" s="20"/>
      <c r="F10" s="20"/>
      <c r="G10" s="20"/>
      <c r="H10" s="20"/>
      <c r="I10" s="20"/>
      <c r="J10" s="20"/>
      <c r="K10" s="20"/>
      <c r="L10" s="20" t="str">
        <f t="shared" si="1"/>
        <v/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>
      <c r="A11" s="19"/>
      <c r="B11" s="21"/>
      <c r="C11" s="20" t="str">
        <f>IFERROR(__xludf.DUMMYFUNCTION("IF(ISBLANK(B11),,IFERROR(array_constrain(FILTER('Leetcode分类顺序表'!B:J,'Leetcode分类顺序表'!A:A = B11), 1, 10000000),IFERROR(FILTER(Algoexpert.io!B:D,Algoexpert.io!A:A = B11),FILTER('Leetcode List'!B:J,'Leetcode List'!A:A = B11))))"),"")</f>
        <v/>
      </c>
      <c r="D11" s="20"/>
      <c r="E11" s="20"/>
      <c r="F11" s="20"/>
      <c r="G11" s="20"/>
      <c r="H11" s="20"/>
      <c r="I11" s="20"/>
      <c r="J11" s="20"/>
      <c r="K11" s="20"/>
      <c r="L11" s="20" t="str">
        <f t="shared" si="1"/>
        <v/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>
      <c r="A12" s="19"/>
      <c r="B12" s="21"/>
      <c r="C12" s="20" t="str">
        <f>IFERROR(__xludf.DUMMYFUNCTION("IF(ISBLANK(B12),,IFERROR(array_constrain(FILTER('Leetcode分类顺序表'!B:J,'Leetcode分类顺序表'!A:A = B12), 1, 10000000),IFERROR(FILTER(Algoexpert.io!B:D,Algoexpert.io!A:A = B12),FILTER('Leetcode List'!B:J,'Leetcode List'!A:A = B12))))"),"")</f>
        <v/>
      </c>
      <c r="D12" s="20"/>
      <c r="E12" s="20"/>
      <c r="F12" s="20"/>
      <c r="G12" s="20"/>
      <c r="H12" s="20"/>
      <c r="I12" s="20"/>
      <c r="J12" s="20"/>
      <c r="K12" s="20"/>
      <c r="L12" s="20" t="str">
        <f t="shared" si="1"/>
        <v/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>
      <c r="A13" s="19"/>
      <c r="B13" s="21"/>
      <c r="C13" s="20" t="str">
        <f>IFERROR(__xludf.DUMMYFUNCTION("IF(ISBLANK(B13),,IFERROR(array_constrain(FILTER('Leetcode分类顺序表'!B:J,'Leetcode分类顺序表'!A:A = B13), 1, 10000000),IFERROR(FILTER(Algoexpert.io!B:D,Algoexpert.io!A:A = B13),FILTER('Leetcode List'!B:J,'Leetcode List'!A:A = B13))))"),"")</f>
        <v/>
      </c>
      <c r="D13" s="20"/>
      <c r="E13" s="20"/>
      <c r="F13" s="20"/>
      <c r="G13" s="20"/>
      <c r="H13" s="20"/>
      <c r="I13" s="20"/>
      <c r="J13" s="20"/>
      <c r="K13" s="20"/>
      <c r="L13" s="20" t="str">
        <f t="shared" si="1"/>
        <v/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>
      <c r="A14" s="19"/>
      <c r="B14" s="21"/>
      <c r="C14" s="20" t="str">
        <f>IFERROR(__xludf.DUMMYFUNCTION("IF(ISBLANK(B14),,IFERROR(array_constrain(FILTER('Leetcode分类顺序表'!B:J,'Leetcode分类顺序表'!A:A = B14), 1, 10000000),IFERROR(FILTER(Algoexpert.io!B:D,Algoexpert.io!A:A = B14),FILTER('Leetcode List'!B:J,'Leetcode List'!A:A = B14))))"),"")</f>
        <v/>
      </c>
      <c r="D14" s="20"/>
      <c r="E14" s="20"/>
      <c r="F14" s="20"/>
      <c r="G14" s="20"/>
      <c r="H14" s="20"/>
      <c r="I14" s="20"/>
      <c r="J14" s="20"/>
      <c r="K14" s="20"/>
      <c r="L14" s="20" t="str">
        <f t="shared" si="1"/>
        <v/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>
      <c r="A15" s="19"/>
      <c r="B15" s="21"/>
      <c r="C15" s="20" t="str">
        <f>IFERROR(__xludf.DUMMYFUNCTION("IF(ISBLANK(B15),,IFERROR(array_constrain(FILTER('Leetcode分类顺序表'!B:J,'Leetcode分类顺序表'!A:A = B15), 1, 10000000),IFERROR(FILTER(Algoexpert.io!B:D,Algoexpert.io!A:A = B15),FILTER('Leetcode List'!B:J,'Leetcode List'!A:A = B15))))"),"")</f>
        <v/>
      </c>
      <c r="D15" s="20"/>
      <c r="E15" s="20"/>
      <c r="F15" s="20"/>
      <c r="G15" s="20"/>
      <c r="H15" s="20"/>
      <c r="I15" s="20"/>
      <c r="J15" s="20"/>
      <c r="K15" s="20"/>
      <c r="L15" s="20" t="str">
        <f t="shared" si="1"/>
        <v/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>
      <c r="A16" s="19"/>
      <c r="B16" s="21"/>
      <c r="C16" s="20" t="str">
        <f>IFERROR(__xludf.DUMMYFUNCTION("IF(ISBLANK(B16),,IFERROR(array_constrain(FILTER('Leetcode分类顺序表'!B:J,'Leetcode分类顺序表'!A:A = B16), 1, 10000000),IFERROR(FILTER(Algoexpert.io!B:D,Algoexpert.io!A:A = B16),FILTER('Leetcode List'!B:J,'Leetcode List'!A:A = B16))))"),"")</f>
        <v/>
      </c>
      <c r="D16" s="20"/>
      <c r="E16" s="20"/>
      <c r="F16" s="20"/>
      <c r="G16" s="20"/>
      <c r="H16" s="20"/>
      <c r="I16" s="20"/>
      <c r="J16" s="20"/>
      <c r="K16" s="20"/>
      <c r="L16" s="20" t="str">
        <f t="shared" si="1"/>
        <v/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>
      <c r="A17" s="19"/>
      <c r="B17" s="21"/>
      <c r="C17" s="20" t="str">
        <f>IFERROR(__xludf.DUMMYFUNCTION("IF(ISBLANK(B17),,IFERROR(array_constrain(FILTER('Leetcode分类顺序表'!B:J,'Leetcode分类顺序表'!A:A = B17), 1, 10000000),IFERROR(FILTER(Algoexpert.io!B:D,Algoexpert.io!A:A = B17),FILTER('Leetcode List'!B:J,'Leetcode List'!A:A = B17))))"),"")</f>
        <v/>
      </c>
      <c r="D17" s="20"/>
      <c r="E17" s="20"/>
      <c r="F17" s="20"/>
      <c r="G17" s="20"/>
      <c r="H17" s="20"/>
      <c r="I17" s="20"/>
      <c r="J17" s="20"/>
      <c r="K17" s="20"/>
      <c r="L17" s="20" t="str">
        <f t="shared" si="1"/>
        <v/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>
      <c r="A18" s="19"/>
      <c r="B18" s="21"/>
      <c r="C18" s="20" t="str">
        <f>IFERROR(__xludf.DUMMYFUNCTION("IF(ISBLANK(B18),,IFERROR(array_constrain(FILTER('Leetcode分类顺序表'!B:J,'Leetcode分类顺序表'!A:A = B18), 1, 10000000),IFERROR(FILTER(Algoexpert.io!B:D,Algoexpert.io!A:A = B18),FILTER('Leetcode List'!B:J,'Leetcode List'!A:A = B18))))"),"")</f>
        <v/>
      </c>
      <c r="D18" s="20"/>
      <c r="E18" s="20"/>
      <c r="F18" s="20"/>
      <c r="G18" s="20"/>
      <c r="H18" s="20"/>
      <c r="I18" s="20"/>
      <c r="J18" s="20"/>
      <c r="K18" s="20"/>
      <c r="L18" s="20" t="str">
        <f t="shared" si="1"/>
        <v/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>
      <c r="A19" s="19"/>
      <c r="B19" s="21"/>
      <c r="C19" s="20" t="str">
        <f>IFERROR(__xludf.DUMMYFUNCTION("IF(ISBLANK(B19),,IFERROR(array_constrain(FILTER('Leetcode分类顺序表'!B:J,'Leetcode分类顺序表'!A:A = B19), 1, 10000000),IFERROR(FILTER(Algoexpert.io!B:D,Algoexpert.io!A:A = B19),FILTER('Leetcode List'!B:J,'Leetcode List'!A:A = B19))))"),"")</f>
        <v/>
      </c>
      <c r="D19" s="20"/>
      <c r="E19" s="20"/>
      <c r="F19" s="20"/>
      <c r="G19" s="20"/>
      <c r="H19" s="20"/>
      <c r="I19" s="20"/>
      <c r="J19" s="20"/>
      <c r="K19" s="20"/>
      <c r="L19" s="20" t="str">
        <f t="shared" si="1"/>
        <v/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>
      <c r="A20" s="19"/>
      <c r="B20" s="21"/>
      <c r="C20" s="20" t="str">
        <f>IFERROR(__xludf.DUMMYFUNCTION("IF(ISBLANK(B20),,IFERROR(array_constrain(FILTER('Leetcode分类顺序表'!B:J,'Leetcode分类顺序表'!A:A = B20), 1, 10000000),IFERROR(FILTER(Algoexpert.io!B:D,Algoexpert.io!A:A = B20),FILTER('Leetcode List'!B:J,'Leetcode List'!A:A = B20))))"),"")</f>
        <v/>
      </c>
      <c r="D20" s="20"/>
      <c r="E20" s="20"/>
      <c r="F20" s="20"/>
      <c r="G20" s="20"/>
      <c r="H20" s="20"/>
      <c r="I20" s="20"/>
      <c r="J20" s="20"/>
      <c r="K20" s="20"/>
      <c r="L20" s="20" t="str">
        <f t="shared" si="1"/>
        <v/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>
      <c r="A21" s="19"/>
      <c r="B21" s="21"/>
      <c r="C21" s="20" t="str">
        <f>IFERROR(__xludf.DUMMYFUNCTION("IF(ISBLANK(B21),,IFERROR(array_constrain(FILTER('Leetcode分类顺序表'!B:J,'Leetcode分类顺序表'!A:A = B21), 1, 10000000),IFERROR(FILTER(Algoexpert.io!B:D,Algoexpert.io!A:A = B21),FILTER('Leetcode List'!B:J,'Leetcode List'!A:A = B21))))"),"")</f>
        <v/>
      </c>
      <c r="D21" s="20"/>
      <c r="E21" s="20"/>
      <c r="F21" s="20"/>
      <c r="G21" s="20"/>
      <c r="H21" s="20"/>
      <c r="I21" s="20"/>
      <c r="J21" s="20"/>
      <c r="K21" s="20"/>
      <c r="L21" s="20" t="str">
        <f t="shared" si="1"/>
        <v/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>
      <c r="A22" s="19"/>
      <c r="B22" s="21"/>
      <c r="C22" s="20" t="str">
        <f>IFERROR(__xludf.DUMMYFUNCTION("IF(ISBLANK(B22),,IFERROR(array_constrain(FILTER('Leetcode分类顺序表'!B:J,'Leetcode分类顺序表'!A:A = B22), 1, 10000000),IFERROR(FILTER(Algoexpert.io!B:D,Algoexpert.io!A:A = B22),FILTER('Leetcode List'!B:J,'Leetcode List'!A:A = B22))))"),"")</f>
        <v/>
      </c>
      <c r="D22" s="20"/>
      <c r="E22" s="20"/>
      <c r="F22" s="20"/>
      <c r="G22" s="20"/>
      <c r="H22" s="20"/>
      <c r="I22" s="20"/>
      <c r="J22" s="20"/>
      <c r="K22" s="20"/>
      <c r="L22" s="20" t="str">
        <f t="shared" si="1"/>
        <v/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>
      <c r="A23" s="19"/>
      <c r="B23" s="21"/>
      <c r="C23" s="20" t="str">
        <f>IFERROR(__xludf.DUMMYFUNCTION("IF(ISBLANK(B23),,IFERROR(array_constrain(FILTER('Leetcode分类顺序表'!B:J,'Leetcode分类顺序表'!A:A = B23), 1, 10000000),IFERROR(FILTER(Algoexpert.io!B:D,Algoexpert.io!A:A = B23),FILTER('Leetcode List'!B:J,'Leetcode List'!A:A = B23))))"),"")</f>
        <v/>
      </c>
      <c r="D23" s="20"/>
      <c r="E23" s="20"/>
      <c r="F23" s="20"/>
      <c r="G23" s="20"/>
      <c r="H23" s="20"/>
      <c r="I23" s="20"/>
      <c r="J23" s="20"/>
      <c r="K23" s="20"/>
      <c r="L23" s="20" t="str">
        <f t="shared" si="1"/>
        <v/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>
      <c r="A24" s="19"/>
      <c r="B24" s="21"/>
      <c r="C24" s="20" t="str">
        <f>IFERROR(__xludf.DUMMYFUNCTION("IF(ISBLANK(B24),,IFERROR(array_constrain(FILTER('Leetcode分类顺序表'!B:J,'Leetcode分类顺序表'!A:A = B24), 1, 10000000),IFERROR(FILTER(Algoexpert.io!B:D,Algoexpert.io!A:A = B24),FILTER('Leetcode List'!B:J,'Leetcode List'!A:A = B24))))"),"")</f>
        <v/>
      </c>
      <c r="D24" s="20"/>
      <c r="E24" s="20"/>
      <c r="F24" s="20"/>
      <c r="G24" s="20"/>
      <c r="H24" s="20"/>
      <c r="I24" s="20"/>
      <c r="J24" s="20"/>
      <c r="K24" s="20"/>
      <c r="L24" s="20" t="str">
        <f t="shared" si="1"/>
        <v/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>
      <c r="A25" s="19"/>
      <c r="B25" s="21"/>
      <c r="C25" s="20" t="str">
        <f>IFERROR(__xludf.DUMMYFUNCTION("IF(ISBLANK(B25),,IFERROR(array_constrain(FILTER('Leetcode分类顺序表'!B:J,'Leetcode分类顺序表'!A:A = B25), 1, 10000000),IFERROR(FILTER(Algoexpert.io!B:D,Algoexpert.io!A:A = B25),FILTER('Leetcode List'!B:J,'Leetcode List'!A:A = B25))))"),"")</f>
        <v/>
      </c>
      <c r="D25" s="20"/>
      <c r="E25" s="20"/>
      <c r="F25" s="20"/>
      <c r="G25" s="20"/>
      <c r="H25" s="20"/>
      <c r="I25" s="20"/>
      <c r="J25" s="20"/>
      <c r="K25" s="20"/>
      <c r="L25" s="20" t="str">
        <f t="shared" si="1"/>
        <v/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>
      <c r="A26" s="19"/>
      <c r="B26" s="21"/>
      <c r="C26" s="20" t="str">
        <f>IFERROR(__xludf.DUMMYFUNCTION("IF(ISBLANK(B26),,IFERROR(array_constrain(FILTER('Leetcode分类顺序表'!B:J,'Leetcode分类顺序表'!A:A = B26), 1, 10000000),IFERROR(FILTER(Algoexpert.io!B:D,Algoexpert.io!A:A = B26),FILTER('Leetcode List'!B:J,'Leetcode List'!A:A = B26))))"),"")</f>
        <v/>
      </c>
      <c r="D26" s="20"/>
      <c r="E26" s="20"/>
      <c r="F26" s="20"/>
      <c r="G26" s="20"/>
      <c r="H26" s="20"/>
      <c r="I26" s="20"/>
      <c r="J26" s="20"/>
      <c r="K26" s="20"/>
      <c r="L26" s="20" t="str">
        <f t="shared" si="1"/>
        <v/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>
      <c r="A27" s="19"/>
      <c r="B27" s="21"/>
      <c r="C27" s="20" t="str">
        <f>IFERROR(__xludf.DUMMYFUNCTION("IF(ISBLANK(B27),,IFERROR(array_constrain(FILTER('Leetcode分类顺序表'!B:J,'Leetcode分类顺序表'!A:A = B27), 1, 10000000),IFERROR(FILTER(Algoexpert.io!B:D,Algoexpert.io!A:A = B27),FILTER('Leetcode List'!B:J,'Leetcode List'!A:A = B27))))"),"")</f>
        <v/>
      </c>
      <c r="D27" s="20"/>
      <c r="E27" s="20"/>
      <c r="F27" s="20"/>
      <c r="G27" s="20"/>
      <c r="H27" s="20"/>
      <c r="I27" s="20"/>
      <c r="J27" s="20"/>
      <c r="K27" s="20"/>
      <c r="L27" s="20" t="str">
        <f t="shared" si="1"/>
        <v/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>
      <c r="A28" s="19"/>
      <c r="B28" s="21"/>
      <c r="C28" s="20" t="str">
        <f>IFERROR(__xludf.DUMMYFUNCTION("IF(ISBLANK(B28),,IFERROR(array_constrain(FILTER('Leetcode分类顺序表'!B:J,'Leetcode分类顺序表'!A:A = B28), 1, 10000000),IFERROR(FILTER(Algoexpert.io!B:D,Algoexpert.io!A:A = B28),FILTER('Leetcode List'!B:J,'Leetcode List'!A:A = B28))))"),"")</f>
        <v/>
      </c>
      <c r="D28" s="20"/>
      <c r="E28" s="20"/>
      <c r="F28" s="20"/>
      <c r="G28" s="20"/>
      <c r="H28" s="20"/>
      <c r="I28" s="20"/>
      <c r="J28" s="20"/>
      <c r="K28" s="20"/>
      <c r="L28" s="20" t="str">
        <f t="shared" si="1"/>
        <v/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>
      <c r="A29" s="19"/>
      <c r="B29" s="21"/>
      <c r="C29" s="20" t="str">
        <f>IFERROR(__xludf.DUMMYFUNCTION("IF(ISBLANK(B29),,IFERROR(array_constrain(FILTER('Leetcode分类顺序表'!B:J,'Leetcode分类顺序表'!A:A = B29), 1, 10000000),IFERROR(FILTER(Algoexpert.io!B:D,Algoexpert.io!A:A = B29),FILTER('Leetcode List'!B:J,'Leetcode List'!A:A = B29))))"),"")</f>
        <v/>
      </c>
      <c r="D29" s="20"/>
      <c r="E29" s="20"/>
      <c r="F29" s="20"/>
      <c r="G29" s="20"/>
      <c r="H29" s="20"/>
      <c r="I29" s="20"/>
      <c r="J29" s="20"/>
      <c r="K29" s="20"/>
      <c r="L29" s="20" t="str">
        <f t="shared" si="1"/>
        <v/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>
      <c r="A30" s="19"/>
      <c r="B30" s="21"/>
      <c r="C30" s="20" t="str">
        <f>IFERROR(__xludf.DUMMYFUNCTION("IF(ISBLANK(B30),,IFERROR(array_constrain(FILTER('Leetcode分类顺序表'!B:J,'Leetcode分类顺序表'!A:A = B30), 1, 10000000),IFERROR(FILTER(Algoexpert.io!B:D,Algoexpert.io!A:A = B30),FILTER('Leetcode List'!B:J,'Leetcode List'!A:A = B30))))"),"")</f>
        <v/>
      </c>
      <c r="D30" s="20"/>
      <c r="E30" s="20"/>
      <c r="F30" s="20"/>
      <c r="G30" s="20"/>
      <c r="H30" s="20"/>
      <c r="I30" s="20"/>
      <c r="J30" s="20"/>
      <c r="K30" s="20"/>
      <c r="L30" s="20" t="str">
        <f t="shared" si="1"/>
        <v/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>
      <c r="A31" s="19"/>
      <c r="B31" s="21"/>
      <c r="C31" s="20" t="str">
        <f>IFERROR(__xludf.DUMMYFUNCTION("IF(ISBLANK(B31),,IFERROR(array_constrain(FILTER('Leetcode分类顺序表'!B:J,'Leetcode分类顺序表'!A:A = B31), 1, 10000000),IFERROR(FILTER(Algoexpert.io!B:D,Algoexpert.io!A:A = B31),FILTER('Leetcode List'!B:J,'Leetcode List'!A:A = B31))))"),"")</f>
        <v/>
      </c>
      <c r="D31" s="20"/>
      <c r="E31" s="20"/>
      <c r="F31" s="20"/>
      <c r="G31" s="20"/>
      <c r="H31" s="20"/>
      <c r="I31" s="20"/>
      <c r="J31" s="20"/>
      <c r="K31" s="20"/>
      <c r="L31" s="20" t="str">
        <f t="shared" si="1"/>
        <v/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>
      <c r="A32" s="19"/>
      <c r="B32" s="21"/>
      <c r="C32" s="20" t="str">
        <f>IFERROR(__xludf.DUMMYFUNCTION("IF(ISBLANK(B32),,IFERROR(array_constrain(FILTER('Leetcode分类顺序表'!B:J,'Leetcode分类顺序表'!A:A = B32), 1, 10000000),IFERROR(FILTER(Algoexpert.io!B:D,Algoexpert.io!A:A = B32),FILTER('Leetcode List'!B:J,'Leetcode List'!A:A = B32))))"),"")</f>
        <v/>
      </c>
      <c r="D32" s="20"/>
      <c r="E32" s="20"/>
      <c r="F32" s="20"/>
      <c r="G32" s="20"/>
      <c r="H32" s="20"/>
      <c r="I32" s="20"/>
      <c r="J32" s="20"/>
      <c r="K32" s="20"/>
      <c r="L32" s="20" t="str">
        <f t="shared" si="1"/>
        <v/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>
      <c r="A33" s="19"/>
      <c r="B33" s="21"/>
      <c r="C33" s="20" t="str">
        <f>IFERROR(__xludf.DUMMYFUNCTION("IF(ISBLANK(B33),,IFERROR(array_constrain(FILTER('Leetcode分类顺序表'!B:J,'Leetcode分类顺序表'!A:A = B33), 1, 10000000),IFERROR(FILTER(Algoexpert.io!B:D,Algoexpert.io!A:A = B33),FILTER('Leetcode List'!B:J,'Leetcode List'!A:A = B33))))"),"")</f>
        <v/>
      </c>
      <c r="D33" s="20"/>
      <c r="E33" s="20"/>
      <c r="F33" s="20"/>
      <c r="G33" s="20"/>
      <c r="H33" s="20"/>
      <c r="I33" s="20"/>
      <c r="J33" s="20"/>
      <c r="K33" s="20"/>
      <c r="L33" s="20" t="str">
        <f t="shared" si="1"/>
        <v/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>
      <c r="A34" s="19"/>
      <c r="B34" s="21"/>
      <c r="C34" s="20" t="str">
        <f>IFERROR(__xludf.DUMMYFUNCTION("IF(ISBLANK(B34),,IFERROR(array_constrain(FILTER('Leetcode分类顺序表'!B:J,'Leetcode分类顺序表'!A:A = B34), 1, 10000000),IFERROR(FILTER(Algoexpert.io!B:D,Algoexpert.io!A:A = B34),FILTER('Leetcode List'!B:J,'Leetcode List'!A:A = B34))))"),"")</f>
        <v/>
      </c>
      <c r="D34" s="20"/>
      <c r="E34" s="20"/>
      <c r="F34" s="20"/>
      <c r="G34" s="20"/>
      <c r="H34" s="20"/>
      <c r="I34" s="20"/>
      <c r="J34" s="20"/>
      <c r="K34" s="20"/>
      <c r="L34" s="20" t="str">
        <f t="shared" si="1"/>
        <v/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>
      <c r="A35" s="19"/>
      <c r="B35" s="21"/>
      <c r="C35" s="20" t="str">
        <f>IFERROR(__xludf.DUMMYFUNCTION("IF(ISBLANK(B35),,IFERROR(array_constrain(FILTER('Leetcode分类顺序表'!B:J,'Leetcode分类顺序表'!A:A = B35), 1, 10000000),IFERROR(FILTER(Algoexpert.io!B:D,Algoexpert.io!A:A = B35),FILTER('Leetcode List'!B:J,'Leetcode List'!A:A = B35))))"),"")</f>
        <v/>
      </c>
      <c r="D35" s="20"/>
      <c r="E35" s="20"/>
      <c r="F35" s="20"/>
      <c r="G35" s="20"/>
      <c r="H35" s="20"/>
      <c r="I35" s="20"/>
      <c r="J35" s="20"/>
      <c r="K35" s="20"/>
      <c r="L35" s="20" t="str">
        <f t="shared" si="1"/>
        <v/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>
      <c r="A36" s="19"/>
      <c r="B36" s="21"/>
      <c r="C36" s="20" t="str">
        <f>IFERROR(__xludf.DUMMYFUNCTION("IF(ISBLANK(B36),,IFERROR(array_constrain(FILTER('Leetcode分类顺序表'!B:J,'Leetcode分类顺序表'!A:A = B36), 1, 10000000),IFERROR(FILTER(Algoexpert.io!B:D,Algoexpert.io!A:A = B36),FILTER('Leetcode List'!B:J,'Leetcode List'!A:A = B36))))"),"")</f>
        <v/>
      </c>
      <c r="D36" s="20"/>
      <c r="E36" s="20"/>
      <c r="F36" s="20"/>
      <c r="G36" s="20"/>
      <c r="H36" s="20"/>
      <c r="I36" s="20"/>
      <c r="J36" s="20"/>
      <c r="K36" s="20"/>
      <c r="L36" s="20" t="str">
        <f t="shared" si="1"/>
        <v/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>
      <c r="A37" s="19"/>
      <c r="B37" s="21"/>
      <c r="C37" s="20" t="str">
        <f>IFERROR(__xludf.DUMMYFUNCTION("IF(ISBLANK(B37),,IFERROR(array_constrain(FILTER('Leetcode分类顺序表'!B:J,'Leetcode分类顺序表'!A:A = B37), 1, 10000000),IFERROR(FILTER(Algoexpert.io!B:D,Algoexpert.io!A:A = B37),FILTER('Leetcode List'!B:J,'Leetcode List'!A:A = B37))))"),"")</f>
        <v/>
      </c>
      <c r="D37" s="20"/>
      <c r="E37" s="20"/>
      <c r="F37" s="20"/>
      <c r="G37" s="20"/>
      <c r="H37" s="20"/>
      <c r="I37" s="20"/>
      <c r="J37" s="20"/>
      <c r="K37" s="20"/>
      <c r="L37" s="20" t="str">
        <f t="shared" si="1"/>
        <v/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>
      <c r="A38" s="19"/>
      <c r="B38" s="21"/>
      <c r="C38" s="20" t="str">
        <f>IFERROR(__xludf.DUMMYFUNCTION("IF(ISBLANK(B38),,IFERROR(array_constrain(FILTER('Leetcode分类顺序表'!B:J,'Leetcode分类顺序表'!A:A = B38), 1, 10000000),IFERROR(FILTER(Algoexpert.io!B:D,Algoexpert.io!A:A = B38),FILTER('Leetcode List'!B:J,'Leetcode List'!A:A = B38))))"),"")</f>
        <v/>
      </c>
      <c r="D38" s="20"/>
      <c r="E38" s="20"/>
      <c r="F38" s="20"/>
      <c r="G38" s="20"/>
      <c r="H38" s="20"/>
      <c r="I38" s="20"/>
      <c r="J38" s="20"/>
      <c r="K38" s="20"/>
      <c r="L38" s="20" t="str">
        <f t="shared" si="1"/>
        <v/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>
      <c r="A39" s="19"/>
      <c r="B39" s="21"/>
      <c r="C39" s="20" t="str">
        <f>IFERROR(__xludf.DUMMYFUNCTION("IF(ISBLANK(B39),,IFERROR(array_constrain(FILTER('Leetcode分类顺序表'!B:J,'Leetcode分类顺序表'!A:A = B39), 1, 10000000),IFERROR(FILTER(Algoexpert.io!B:D,Algoexpert.io!A:A = B39),FILTER('Leetcode List'!B:J,'Leetcode List'!A:A = B39))))"),"")</f>
        <v/>
      </c>
      <c r="D39" s="20"/>
      <c r="E39" s="20"/>
      <c r="F39" s="20"/>
      <c r="G39" s="20"/>
      <c r="H39" s="20"/>
      <c r="I39" s="20"/>
      <c r="J39" s="20"/>
      <c r="K39" s="20"/>
      <c r="L39" s="20" t="str">
        <f t="shared" si="1"/>
        <v/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>
      <c r="A40" s="19"/>
      <c r="B40" s="21"/>
      <c r="C40" s="20" t="str">
        <f>IFERROR(__xludf.DUMMYFUNCTION("IF(ISBLANK(B40),,IFERROR(array_constrain(FILTER('Leetcode分类顺序表'!B:J,'Leetcode分类顺序表'!A:A = B40), 1, 10000000),IFERROR(FILTER(Algoexpert.io!B:D,Algoexpert.io!A:A = B40),FILTER('Leetcode List'!B:J,'Leetcode List'!A:A = B40))))"),"")</f>
        <v/>
      </c>
      <c r="D40" s="20"/>
      <c r="E40" s="20"/>
      <c r="F40" s="20"/>
      <c r="G40" s="20"/>
      <c r="H40" s="20"/>
      <c r="I40" s="20"/>
      <c r="J40" s="20"/>
      <c r="K40" s="20"/>
      <c r="L40" s="20" t="str">
        <f t="shared" si="1"/>
        <v/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>
      <c r="A41" s="19"/>
      <c r="B41" s="21"/>
      <c r="C41" s="20" t="str">
        <f>IFERROR(__xludf.DUMMYFUNCTION("IF(ISBLANK(B41),,IFERROR(array_constrain(FILTER('Leetcode分类顺序表'!B:J,'Leetcode分类顺序表'!A:A = B41), 1, 10000000),IFERROR(FILTER(Algoexpert.io!B:D,Algoexpert.io!A:A = B41),FILTER('Leetcode List'!B:J,'Leetcode List'!A:A = B41))))"),"")</f>
        <v/>
      </c>
      <c r="D41" s="20"/>
      <c r="E41" s="20"/>
      <c r="F41" s="20"/>
      <c r="G41" s="20"/>
      <c r="H41" s="20"/>
      <c r="I41" s="20"/>
      <c r="J41" s="20"/>
      <c r="K41" s="20"/>
      <c r="L41" s="20" t="str">
        <f t="shared" si="1"/>
        <v/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>
      <c r="A42" s="19"/>
      <c r="B42" s="21"/>
      <c r="C42" s="20" t="str">
        <f>IFERROR(__xludf.DUMMYFUNCTION("IF(ISBLANK(B42),,IFERROR(array_constrain(FILTER('Leetcode分类顺序表'!B:J,'Leetcode分类顺序表'!A:A = B42), 1, 10000000),IFERROR(FILTER(Algoexpert.io!B:D,Algoexpert.io!A:A = B42),FILTER('Leetcode List'!B:J,'Leetcode List'!A:A = B42))))"),"")</f>
        <v/>
      </c>
      <c r="D42" s="20"/>
      <c r="E42" s="20"/>
      <c r="F42" s="20"/>
      <c r="G42" s="20"/>
      <c r="H42" s="20"/>
      <c r="I42" s="20"/>
      <c r="J42" s="20"/>
      <c r="K42" s="20"/>
      <c r="L42" s="20" t="str">
        <f t="shared" si="1"/>
        <v/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>
      <c r="A43" s="19"/>
      <c r="B43" s="21"/>
      <c r="C43" s="20" t="str">
        <f>IFERROR(__xludf.DUMMYFUNCTION("IF(ISBLANK(B43),,IFERROR(array_constrain(FILTER('Leetcode分类顺序表'!B:J,'Leetcode分类顺序表'!A:A = B43), 1, 10000000),IFERROR(FILTER(Algoexpert.io!B:D,Algoexpert.io!A:A = B43),FILTER('Leetcode List'!B:J,'Leetcode List'!A:A = B43))))"),"")</f>
        <v/>
      </c>
      <c r="D43" s="20"/>
      <c r="E43" s="20"/>
      <c r="F43" s="20"/>
      <c r="G43" s="20"/>
      <c r="H43" s="20"/>
      <c r="I43" s="20"/>
      <c r="J43" s="20"/>
      <c r="K43" s="20"/>
      <c r="L43" s="20" t="str">
        <f t="shared" si="1"/>
        <v/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>
      <c r="A44" s="19"/>
      <c r="B44" s="21"/>
      <c r="C44" s="20" t="str">
        <f>IFERROR(__xludf.DUMMYFUNCTION("IF(ISBLANK(B44),,IFERROR(array_constrain(FILTER('Leetcode分类顺序表'!B:J,'Leetcode分类顺序表'!A:A = B44), 1, 10000000),IFERROR(FILTER(Algoexpert.io!B:D,Algoexpert.io!A:A = B44),FILTER('Leetcode List'!B:J,'Leetcode List'!A:A = B44))))"),"")</f>
        <v/>
      </c>
      <c r="D44" s="20"/>
      <c r="E44" s="20"/>
      <c r="F44" s="20"/>
      <c r="G44" s="20"/>
      <c r="H44" s="20"/>
      <c r="I44" s="20"/>
      <c r="J44" s="20"/>
      <c r="K44" s="20"/>
      <c r="L44" s="20" t="str">
        <f t="shared" si="1"/>
        <v/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>
      <c r="A45" s="19"/>
      <c r="B45" s="21"/>
      <c r="C45" s="20" t="str">
        <f>IFERROR(__xludf.DUMMYFUNCTION("IF(ISBLANK(B45),,IFERROR(array_constrain(FILTER('Leetcode分类顺序表'!B:J,'Leetcode分类顺序表'!A:A = B45), 1, 10000000),IFERROR(FILTER(Algoexpert.io!B:D,Algoexpert.io!A:A = B45),FILTER('Leetcode List'!B:J,'Leetcode List'!A:A = B45))))"),"")</f>
        <v/>
      </c>
      <c r="D45" s="20"/>
      <c r="E45" s="20"/>
      <c r="F45" s="20"/>
      <c r="G45" s="20"/>
      <c r="H45" s="20"/>
      <c r="I45" s="20"/>
      <c r="J45" s="20"/>
      <c r="K45" s="20"/>
      <c r="L45" s="20" t="str">
        <f t="shared" si="1"/>
        <v/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>
      <c r="A46" s="19"/>
      <c r="B46" s="21"/>
      <c r="C46" s="20" t="str">
        <f>IFERROR(__xludf.DUMMYFUNCTION("IF(ISBLANK(B46),,IFERROR(array_constrain(FILTER('Leetcode分类顺序表'!B:J,'Leetcode分类顺序表'!A:A = B46), 1, 10000000),IFERROR(FILTER(Algoexpert.io!B:D,Algoexpert.io!A:A = B46),FILTER('Leetcode List'!B:J,'Leetcode List'!A:A = B46))))"),"")</f>
        <v/>
      </c>
      <c r="D46" s="20"/>
      <c r="E46" s="20"/>
      <c r="F46" s="20"/>
      <c r="G46" s="20"/>
      <c r="H46" s="20"/>
      <c r="I46" s="20"/>
      <c r="J46" s="20"/>
      <c r="K46" s="20"/>
      <c r="L46" s="20" t="str">
        <f t="shared" si="1"/>
        <v/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>
      <c r="A47" s="19"/>
      <c r="B47" s="21"/>
      <c r="C47" s="20" t="str">
        <f>IFERROR(__xludf.DUMMYFUNCTION("IF(ISBLANK(B47),,IFERROR(array_constrain(FILTER('Leetcode分类顺序表'!B:J,'Leetcode分类顺序表'!A:A = B47), 1, 10000000),IFERROR(FILTER(Algoexpert.io!B:D,Algoexpert.io!A:A = B47),FILTER('Leetcode List'!B:J,'Leetcode List'!A:A = B47))))"),"")</f>
        <v/>
      </c>
      <c r="D47" s="20"/>
      <c r="E47" s="20"/>
      <c r="F47" s="20"/>
      <c r="G47" s="20"/>
      <c r="H47" s="20"/>
      <c r="I47" s="20"/>
      <c r="J47" s="20"/>
      <c r="K47" s="20"/>
      <c r="L47" s="20" t="str">
        <f t="shared" si="1"/>
        <v/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>
      <c r="A48" s="19"/>
      <c r="B48" s="21"/>
      <c r="C48" s="20" t="str">
        <f>IFERROR(__xludf.DUMMYFUNCTION("IF(ISBLANK(B48),,IFERROR(array_constrain(FILTER('Leetcode分类顺序表'!B:J,'Leetcode分类顺序表'!A:A = B48), 1, 10000000),IFERROR(FILTER(Algoexpert.io!B:D,Algoexpert.io!A:A = B48),FILTER('Leetcode List'!B:J,'Leetcode List'!A:A = B48))))"),"")</f>
        <v/>
      </c>
      <c r="D48" s="20"/>
      <c r="E48" s="20"/>
      <c r="F48" s="20"/>
      <c r="G48" s="20"/>
      <c r="H48" s="20"/>
      <c r="I48" s="20"/>
      <c r="J48" s="20"/>
      <c r="K48" s="20"/>
      <c r="L48" s="20" t="str">
        <f t="shared" si="1"/>
        <v/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>
      <c r="A49" s="19"/>
      <c r="B49" s="21"/>
      <c r="C49" s="20" t="str">
        <f>IFERROR(__xludf.DUMMYFUNCTION("IF(ISBLANK(B49),,IFERROR(array_constrain(FILTER('Leetcode分类顺序表'!B:J,'Leetcode分类顺序表'!A:A = B49), 1, 10000000),IFERROR(FILTER(Algoexpert.io!B:D,Algoexpert.io!A:A = B49),FILTER('Leetcode List'!B:J,'Leetcode List'!A:A = B49))))"),"")</f>
        <v/>
      </c>
      <c r="D49" s="20"/>
      <c r="E49" s="20"/>
      <c r="F49" s="20"/>
      <c r="G49" s="20"/>
      <c r="H49" s="20"/>
      <c r="I49" s="20"/>
      <c r="J49" s="20"/>
      <c r="K49" s="20"/>
      <c r="L49" s="20" t="str">
        <f t="shared" si="1"/>
        <v/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>
      <c r="A50" s="19"/>
      <c r="B50" s="21"/>
      <c r="C50" s="20" t="str">
        <f>IFERROR(__xludf.DUMMYFUNCTION("IF(ISBLANK(B50),,IFERROR(array_constrain(FILTER('Leetcode分类顺序表'!B:J,'Leetcode分类顺序表'!A:A = B50), 1, 10000000),IFERROR(FILTER(Algoexpert.io!B:D,Algoexpert.io!A:A = B50),FILTER('Leetcode List'!B:J,'Leetcode List'!A:A = B50))))"),"")</f>
        <v/>
      </c>
      <c r="D50" s="20"/>
      <c r="E50" s="20"/>
      <c r="F50" s="20"/>
      <c r="G50" s="20"/>
      <c r="H50" s="20"/>
      <c r="I50" s="20"/>
      <c r="J50" s="20"/>
      <c r="K50" s="20"/>
      <c r="L50" s="20" t="str">
        <f t="shared" si="1"/>
        <v/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>
      <c r="A51" s="19"/>
      <c r="B51" s="21"/>
      <c r="C51" s="20" t="str">
        <f>IFERROR(__xludf.DUMMYFUNCTION("IF(ISBLANK(B51),,IFERROR(array_constrain(FILTER('Leetcode分类顺序表'!B:J,'Leetcode分类顺序表'!A:A = B51), 1, 10000000),IFERROR(FILTER(Algoexpert.io!B:D,Algoexpert.io!A:A = B51),FILTER('Leetcode List'!B:J,'Leetcode List'!A:A = B51))))"),"")</f>
        <v/>
      </c>
      <c r="D51" s="20"/>
      <c r="E51" s="20"/>
      <c r="F51" s="20"/>
      <c r="G51" s="20"/>
      <c r="H51" s="20"/>
      <c r="I51" s="20"/>
      <c r="J51" s="20"/>
      <c r="K51" s="20"/>
      <c r="L51" s="20" t="str">
        <f t="shared" si="1"/>
        <v/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>
      <c r="A52" s="19"/>
      <c r="B52" s="21"/>
      <c r="C52" s="20" t="str">
        <f>IFERROR(__xludf.DUMMYFUNCTION("IF(ISBLANK(B52),,IFERROR(array_constrain(FILTER('Leetcode分类顺序表'!B:J,'Leetcode分类顺序表'!A:A = B52), 1, 10000000),IFERROR(FILTER(Algoexpert.io!B:D,Algoexpert.io!A:A = B52),FILTER('Leetcode List'!B:J,'Leetcode List'!A:A = B52))))"),"")</f>
        <v/>
      </c>
      <c r="D52" s="20"/>
      <c r="E52" s="20"/>
      <c r="F52" s="20"/>
      <c r="G52" s="20"/>
      <c r="H52" s="20"/>
      <c r="I52" s="20"/>
      <c r="J52" s="20"/>
      <c r="K52" s="20"/>
      <c r="L52" s="20" t="str">
        <f t="shared" si="1"/>
        <v/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>
      <c r="A53" s="19"/>
      <c r="B53" s="21"/>
      <c r="C53" s="20" t="str">
        <f>IFERROR(__xludf.DUMMYFUNCTION("IF(ISBLANK(B53),,IFERROR(array_constrain(FILTER('Leetcode分类顺序表'!B:J,'Leetcode分类顺序表'!A:A = B53), 1, 10000000),IFERROR(FILTER(Algoexpert.io!B:D,Algoexpert.io!A:A = B53),FILTER('Leetcode List'!B:J,'Leetcode List'!A:A = B53))))"),"")</f>
        <v/>
      </c>
      <c r="D53" s="20"/>
      <c r="E53" s="20"/>
      <c r="F53" s="20"/>
      <c r="G53" s="20"/>
      <c r="H53" s="20"/>
      <c r="I53" s="20"/>
      <c r="J53" s="20"/>
      <c r="K53" s="20"/>
      <c r="L53" s="20" t="str">
        <f t="shared" si="1"/>
        <v/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>
      <c r="A54" s="19"/>
      <c r="B54" s="21"/>
      <c r="C54" s="20" t="str">
        <f>IFERROR(__xludf.DUMMYFUNCTION("IF(ISBLANK(B54),,IFERROR(array_constrain(FILTER('Leetcode分类顺序表'!B:J,'Leetcode分类顺序表'!A:A = B54), 1, 10000000),IFERROR(FILTER(Algoexpert.io!B:D,Algoexpert.io!A:A = B54),FILTER('Leetcode List'!B:J,'Leetcode List'!A:A = B54))))"),"")</f>
        <v/>
      </c>
      <c r="D54" s="20"/>
      <c r="E54" s="20"/>
      <c r="F54" s="20"/>
      <c r="G54" s="20"/>
      <c r="H54" s="20"/>
      <c r="I54" s="20"/>
      <c r="J54" s="20"/>
      <c r="K54" s="20"/>
      <c r="L54" s="20" t="str">
        <f t="shared" si="1"/>
        <v/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>
      <c r="A55" s="19"/>
      <c r="B55" s="21"/>
      <c r="C55" s="20" t="str">
        <f>IFERROR(__xludf.DUMMYFUNCTION("IF(ISBLANK(B55),,IFERROR(array_constrain(FILTER('Leetcode分类顺序表'!B:J,'Leetcode分类顺序表'!A:A = B55), 1, 10000000),IFERROR(FILTER(Algoexpert.io!B:D,Algoexpert.io!A:A = B55),FILTER('Leetcode List'!B:J,'Leetcode List'!A:A = B55))))"),"")</f>
        <v/>
      </c>
      <c r="D55" s="20"/>
      <c r="E55" s="20"/>
      <c r="F55" s="20"/>
      <c r="G55" s="20"/>
      <c r="H55" s="20"/>
      <c r="I55" s="20"/>
      <c r="J55" s="20"/>
      <c r="K55" s="20"/>
      <c r="L55" s="20" t="str">
        <f t="shared" si="1"/>
        <v/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>
      <c r="A56" s="19"/>
      <c r="B56" s="21"/>
      <c r="C56" s="20" t="str">
        <f>IFERROR(__xludf.DUMMYFUNCTION("IF(ISBLANK(B56),,IFERROR(array_constrain(FILTER('Leetcode分类顺序表'!B:J,'Leetcode分类顺序表'!A:A = B56), 1, 10000000),IFERROR(FILTER(Algoexpert.io!B:D,Algoexpert.io!A:A = B56),FILTER('Leetcode List'!B:J,'Leetcode List'!A:A = B56))))"),"")</f>
        <v/>
      </c>
      <c r="D56" s="20"/>
      <c r="E56" s="20"/>
      <c r="F56" s="20"/>
      <c r="G56" s="20"/>
      <c r="H56" s="20"/>
      <c r="I56" s="20"/>
      <c r="J56" s="20"/>
      <c r="K56" s="20"/>
      <c r="L56" s="20" t="str">
        <f t="shared" si="1"/>
        <v/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>
      <c r="A57" s="19"/>
      <c r="B57" s="21"/>
      <c r="C57" s="20" t="str">
        <f>IFERROR(__xludf.DUMMYFUNCTION("IF(ISBLANK(B57),,IFERROR(array_constrain(FILTER('Leetcode分类顺序表'!B:J,'Leetcode分类顺序表'!A:A = B57), 1, 10000000),IFERROR(FILTER(Algoexpert.io!B:D,Algoexpert.io!A:A = B57),FILTER('Leetcode List'!B:J,'Leetcode List'!A:A = B57))))"),"")</f>
        <v/>
      </c>
      <c r="D57" s="20"/>
      <c r="E57" s="20"/>
      <c r="F57" s="20"/>
      <c r="G57" s="20"/>
      <c r="H57" s="20"/>
      <c r="I57" s="20"/>
      <c r="J57" s="20"/>
      <c r="K57" s="20"/>
      <c r="L57" s="20" t="str">
        <f t="shared" si="1"/>
        <v/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>
      <c r="A58" s="19"/>
      <c r="B58" s="21"/>
      <c r="C58" s="20" t="str">
        <f>IFERROR(__xludf.DUMMYFUNCTION("IF(ISBLANK(B58),,IFERROR(array_constrain(FILTER('Leetcode分类顺序表'!B:J,'Leetcode分类顺序表'!A:A = B58), 1, 10000000),IFERROR(FILTER(Algoexpert.io!B:D,Algoexpert.io!A:A = B58),FILTER('Leetcode List'!B:J,'Leetcode List'!A:A = B58))))"),"")</f>
        <v/>
      </c>
      <c r="D58" s="20"/>
      <c r="E58" s="20"/>
      <c r="F58" s="20"/>
      <c r="G58" s="20"/>
      <c r="H58" s="20"/>
      <c r="I58" s="20"/>
      <c r="J58" s="20"/>
      <c r="K58" s="20"/>
      <c r="L58" s="20" t="str">
        <f t="shared" si="1"/>
        <v/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>
      <c r="A59" s="22"/>
      <c r="B59" s="21"/>
      <c r="C59" s="20" t="str">
        <f>IFERROR(__xludf.DUMMYFUNCTION("IF(ISBLANK(B59),,IFERROR(array_constrain(FILTER('Leetcode分类顺序表'!B:J,'Leetcode分类顺序表'!A:A = B59), 1, 10000000),IFERROR(FILTER(Algoexpert.io!B:D,Algoexpert.io!A:A = B59),FILTER('Leetcode List'!B:J,'Leetcode List'!A:A = B59))))"),"")</f>
        <v/>
      </c>
      <c r="D59" s="20"/>
      <c r="E59" s="20"/>
      <c r="F59" s="20"/>
      <c r="G59" s="20"/>
      <c r="H59" s="20"/>
      <c r="I59" s="20"/>
      <c r="J59" s="20"/>
      <c r="K59" s="20"/>
      <c r="L59" s="20" t="str">
        <f t="shared" si="1"/>
        <v/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>
      <c r="A60" s="22"/>
      <c r="B60" s="20"/>
      <c r="C60" s="20" t="str">
        <f>IFERROR(__xludf.DUMMYFUNCTION("IF(ISBLANK(B60),,IFERROR(array_constrain(FILTER('Leetcode分类顺序表'!B:J,'Leetcode分类顺序表'!A:A = B60), 1, 10000000),IFERROR(FILTER(Algoexpert.io!B:D,Algoexpert.io!A:A = B60),FILTER('Leetcode List'!B:J,'Leetcode List'!A:A = B60))))"),"")</f>
        <v/>
      </c>
      <c r="D60" s="20"/>
      <c r="E60" s="20"/>
      <c r="F60" s="20"/>
      <c r="G60" s="20"/>
      <c r="H60" s="20"/>
      <c r="I60" s="20"/>
      <c r="J60" s="20"/>
      <c r="K60" s="20"/>
      <c r="L60" s="20" t="str">
        <f t="shared" si="1"/>
        <v/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>
      <c r="A61" s="22"/>
      <c r="B61" s="20"/>
      <c r="C61" s="20" t="str">
        <f>IFERROR(__xludf.DUMMYFUNCTION("IF(ISBLANK(B61),,IFERROR(array_constrain(FILTER('Leetcode分类顺序表'!B:J,'Leetcode分类顺序表'!A:A = B61), 1, 10000000),IFERROR(FILTER(Algoexpert.io!B:D,Algoexpert.io!A:A = B61),FILTER('Leetcode List'!B:J,'Leetcode List'!A:A = B61))))"),"")</f>
        <v/>
      </c>
      <c r="D61" s="20"/>
      <c r="E61" s="20"/>
      <c r="F61" s="20"/>
      <c r="G61" s="20"/>
      <c r="H61" s="20"/>
      <c r="I61" s="20"/>
      <c r="J61" s="20"/>
      <c r="K61" s="20"/>
      <c r="L61" s="20" t="str">
        <f t="shared" si="1"/>
        <v/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>
      <c r="A62" s="22"/>
      <c r="B62" s="20"/>
      <c r="C62" s="20" t="str">
        <f>IFERROR(__xludf.DUMMYFUNCTION("IF(ISBLANK(B62),,IFERROR(array_constrain(FILTER('Leetcode分类顺序表'!B:J,'Leetcode分类顺序表'!A:A = B62), 1, 10000000),IFERROR(FILTER(Algoexpert.io!B:D,Algoexpert.io!A:A = B62),FILTER('Leetcode List'!B:J,'Leetcode List'!A:A = B62))))"),"")</f>
        <v/>
      </c>
      <c r="D62" s="20"/>
      <c r="E62" s="20"/>
      <c r="F62" s="20"/>
      <c r="G62" s="20"/>
      <c r="H62" s="20"/>
      <c r="I62" s="20"/>
      <c r="J62" s="20"/>
      <c r="K62" s="20"/>
      <c r="L62" s="20" t="str">
        <f t="shared" si="1"/>
        <v/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>
      <c r="A63" s="22"/>
      <c r="B63" s="20"/>
      <c r="C63" s="20" t="str">
        <f>IFERROR(__xludf.DUMMYFUNCTION("IF(ISBLANK(B63),,IFERROR(array_constrain(FILTER('Leetcode分类顺序表'!B:J,'Leetcode分类顺序表'!A:A = B63), 1, 10000000),IFERROR(FILTER(Algoexpert.io!B:D,Algoexpert.io!A:A = B63),FILTER('Leetcode List'!B:J,'Leetcode List'!A:A = B63))))"),"")</f>
        <v/>
      </c>
      <c r="D63" s="20"/>
      <c r="E63" s="20"/>
      <c r="F63" s="20"/>
      <c r="G63" s="20"/>
      <c r="H63" s="20"/>
      <c r="I63" s="20"/>
      <c r="J63" s="20"/>
      <c r="K63" s="20"/>
      <c r="L63" s="20" t="str">
        <f t="shared" si="1"/>
        <v/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>
      <c r="A64" s="22"/>
      <c r="B64" s="20"/>
      <c r="C64" s="20" t="str">
        <f>IFERROR(__xludf.DUMMYFUNCTION("IF(ISBLANK(B64),,IFERROR(array_constrain(FILTER('Leetcode分类顺序表'!B:J,'Leetcode分类顺序表'!A:A = B64), 1, 10000000),IFERROR(FILTER(Algoexpert.io!B:D,Algoexpert.io!A:A = B64),FILTER('Leetcode List'!B:J,'Leetcode List'!A:A = B64))))"),"")</f>
        <v/>
      </c>
      <c r="D64" s="20"/>
      <c r="E64" s="20"/>
      <c r="F64" s="20"/>
      <c r="G64" s="20"/>
      <c r="H64" s="20"/>
      <c r="I64" s="20"/>
      <c r="J64" s="20"/>
      <c r="K64" s="20"/>
      <c r="L64" s="20" t="str">
        <f t="shared" si="1"/>
        <v/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>
      <c r="A65" s="22"/>
      <c r="B65" s="20"/>
      <c r="C65" s="20" t="str">
        <f>IFERROR(__xludf.DUMMYFUNCTION("IF(ISBLANK(B65),,IFERROR(array_constrain(FILTER('Leetcode分类顺序表'!B:J,'Leetcode分类顺序表'!A:A = B65), 1, 10000000),IFERROR(FILTER(Algoexpert.io!B:D,Algoexpert.io!A:A = B65),FILTER('Leetcode List'!B:J,'Leetcode List'!A:A = B65))))"),"")</f>
        <v/>
      </c>
      <c r="D65" s="20"/>
      <c r="E65" s="20"/>
      <c r="F65" s="20"/>
      <c r="G65" s="20"/>
      <c r="H65" s="20"/>
      <c r="I65" s="20"/>
      <c r="J65" s="20"/>
      <c r="K65" s="20"/>
      <c r="L65" s="20" t="str">
        <f t="shared" si="1"/>
        <v/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>
      <c r="A66" s="22"/>
      <c r="B66" s="20"/>
      <c r="C66" s="20" t="str">
        <f>IFERROR(__xludf.DUMMYFUNCTION("IF(ISBLANK(B66),,IFERROR(array_constrain(FILTER('Leetcode分类顺序表'!B:J,'Leetcode分类顺序表'!A:A = B66), 1, 10000000),IFERROR(FILTER(Algoexpert.io!B:D,Algoexpert.io!A:A = B66),FILTER('Leetcode List'!B:J,'Leetcode List'!A:A = B66))))"),"")</f>
        <v/>
      </c>
      <c r="D66" s="20"/>
      <c r="E66" s="20"/>
      <c r="F66" s="20"/>
      <c r="G66" s="20"/>
      <c r="H66" s="20"/>
      <c r="I66" s="20"/>
      <c r="J66" s="20"/>
      <c r="K66" s="20"/>
      <c r="L66" s="20" t="str">
        <f t="shared" si="1"/>
        <v/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>
      <c r="A67" s="22"/>
      <c r="B67" s="20"/>
      <c r="C67" s="20" t="str">
        <f>IFERROR(__xludf.DUMMYFUNCTION("IF(ISBLANK(B67),,IFERROR(array_constrain(FILTER('Leetcode分类顺序表'!B:J,'Leetcode分类顺序表'!A:A = B67), 1, 10000000),IFERROR(FILTER(Algoexpert.io!B:D,Algoexpert.io!A:A = B67),FILTER('Leetcode List'!B:J,'Leetcode List'!A:A = B67))))"),"")</f>
        <v/>
      </c>
      <c r="D67" s="20"/>
      <c r="E67" s="20"/>
      <c r="F67" s="20"/>
      <c r="G67" s="20"/>
      <c r="H67" s="20"/>
      <c r="I67" s="20"/>
      <c r="J67" s="20"/>
      <c r="K67" s="20"/>
      <c r="L67" s="20" t="str">
        <f t="shared" si="1"/>
        <v/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>
      <c r="A68" s="22"/>
      <c r="B68" s="20"/>
      <c r="C68" s="20" t="str">
        <f>IFERROR(__xludf.DUMMYFUNCTION("IF(ISBLANK(B68),,IFERROR(array_constrain(FILTER('Leetcode分类顺序表'!B:J,'Leetcode分类顺序表'!A:A = B68), 1, 10000000),IFERROR(FILTER(Algoexpert.io!B:D,Algoexpert.io!A:A = B68),FILTER('Leetcode List'!B:J,'Leetcode List'!A:A = B68))))"),"")</f>
        <v/>
      </c>
      <c r="D68" s="20"/>
      <c r="E68" s="20"/>
      <c r="F68" s="20"/>
      <c r="G68" s="20"/>
      <c r="H68" s="20"/>
      <c r="I68" s="20"/>
      <c r="J68" s="20"/>
      <c r="K68" s="20"/>
      <c r="L68" s="20" t="str">
        <f t="shared" si="1"/>
        <v/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>
      <c r="A69" s="22"/>
      <c r="B69" s="20"/>
      <c r="C69" s="20" t="str">
        <f>IFERROR(__xludf.DUMMYFUNCTION("IF(ISBLANK(B69),,IFERROR(array_constrain(FILTER('Leetcode分类顺序表'!B:J,'Leetcode分类顺序表'!A:A = B69), 1, 10000000),IFERROR(FILTER(Algoexpert.io!B:D,Algoexpert.io!A:A = B69),FILTER('Leetcode List'!B:J,'Leetcode List'!A:A = B69))))"),"")</f>
        <v/>
      </c>
      <c r="D69" s="20"/>
      <c r="E69" s="20"/>
      <c r="F69" s="20"/>
      <c r="G69" s="20"/>
      <c r="H69" s="20"/>
      <c r="I69" s="20"/>
      <c r="J69" s="20"/>
      <c r="K69" s="20"/>
      <c r="L69" s="20" t="str">
        <f t="shared" si="1"/>
        <v/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>
      <c r="A70" s="22"/>
      <c r="B70" s="20"/>
      <c r="C70" s="20" t="str">
        <f>IFERROR(__xludf.DUMMYFUNCTION("IF(ISBLANK(B70),,IFERROR(array_constrain(FILTER('Leetcode分类顺序表'!B:J,'Leetcode分类顺序表'!A:A = B70), 1, 10000000),IFERROR(FILTER(Algoexpert.io!B:D,Algoexpert.io!A:A = B70),FILTER('Leetcode List'!B:J,'Leetcode List'!A:A = B70))))"),"")</f>
        <v/>
      </c>
      <c r="D70" s="20"/>
      <c r="E70" s="20"/>
      <c r="F70" s="20"/>
      <c r="G70" s="20"/>
      <c r="H70" s="20"/>
      <c r="I70" s="20"/>
      <c r="J70" s="20"/>
      <c r="K70" s="20"/>
      <c r="L70" s="20" t="str">
        <f t="shared" si="1"/>
        <v/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>
      <c r="A71" s="22"/>
      <c r="B71" s="20"/>
      <c r="C71" s="20" t="str">
        <f>IFERROR(__xludf.DUMMYFUNCTION("IF(ISBLANK(B71),,IFERROR(array_constrain(FILTER('Leetcode分类顺序表'!B:J,'Leetcode分类顺序表'!A:A = B71), 1, 10000000),IFERROR(FILTER(Algoexpert.io!B:D,Algoexpert.io!A:A = B71),FILTER('Leetcode List'!B:J,'Leetcode List'!A:A = B71))))"),"")</f>
        <v/>
      </c>
      <c r="D71" s="20"/>
      <c r="E71" s="20"/>
      <c r="F71" s="20"/>
      <c r="G71" s="20"/>
      <c r="H71" s="20"/>
      <c r="I71" s="20"/>
      <c r="J71" s="20"/>
      <c r="K71" s="20"/>
      <c r="L71" s="20" t="str">
        <f t="shared" si="1"/>
        <v/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>
      <c r="A72" s="22"/>
      <c r="B72" s="20"/>
      <c r="C72" s="20" t="str">
        <f>IFERROR(__xludf.DUMMYFUNCTION("IF(ISBLANK(B72),,IFERROR(array_constrain(FILTER('Leetcode分类顺序表'!B:J,'Leetcode分类顺序表'!A:A = B72), 1, 10000000),IFERROR(FILTER(Algoexpert.io!B:D,Algoexpert.io!A:A = B72),FILTER('Leetcode List'!B:J,'Leetcode List'!A:A = B72))))"),"")</f>
        <v/>
      </c>
      <c r="D72" s="20"/>
      <c r="E72" s="20"/>
      <c r="F72" s="20"/>
      <c r="G72" s="20"/>
      <c r="H72" s="20"/>
      <c r="I72" s="20"/>
      <c r="J72" s="20"/>
      <c r="K72" s="20"/>
      <c r="L72" s="20" t="str">
        <f t="shared" si="1"/>
        <v/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>
      <c r="A73" s="22"/>
      <c r="B73" s="20"/>
      <c r="C73" s="20" t="str">
        <f>IFERROR(__xludf.DUMMYFUNCTION("IF(ISBLANK(B73),,IFERROR(array_constrain(FILTER('Leetcode分类顺序表'!B:J,'Leetcode分类顺序表'!A:A = B73), 1, 10000000),IFERROR(FILTER(Algoexpert.io!B:D,Algoexpert.io!A:A = B73),FILTER('Leetcode List'!B:J,'Leetcode List'!A:A = B73))))"),"")</f>
        <v/>
      </c>
      <c r="D73" s="20"/>
      <c r="E73" s="20"/>
      <c r="F73" s="20"/>
      <c r="G73" s="20"/>
      <c r="H73" s="20"/>
      <c r="I73" s="20"/>
      <c r="J73" s="20"/>
      <c r="K73" s="20"/>
      <c r="L73" s="20" t="str">
        <f t="shared" si="1"/>
        <v/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>
      <c r="A74" s="22"/>
      <c r="B74" s="20"/>
      <c r="C74" s="20" t="str">
        <f>IFERROR(__xludf.DUMMYFUNCTION("IF(ISBLANK(B74),,IFERROR(array_constrain(FILTER('Leetcode分类顺序表'!B:J,'Leetcode分类顺序表'!A:A = B74), 1, 10000000),IFERROR(FILTER(Algoexpert.io!B:D,Algoexpert.io!A:A = B74),FILTER('Leetcode List'!B:J,'Leetcode List'!A:A = B74))))"),"")</f>
        <v/>
      </c>
      <c r="D74" s="20"/>
      <c r="E74" s="20"/>
      <c r="F74" s="20"/>
      <c r="G74" s="20"/>
      <c r="H74" s="20"/>
      <c r="I74" s="20"/>
      <c r="J74" s="20"/>
      <c r="K74" s="20"/>
      <c r="L74" s="20" t="str">
        <f t="shared" si="1"/>
        <v/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>
      <c r="A75" s="22"/>
      <c r="B75" s="20"/>
      <c r="C75" s="20" t="str">
        <f>IFERROR(__xludf.DUMMYFUNCTION("IF(ISBLANK(B75),,IFERROR(array_constrain(FILTER('Leetcode分类顺序表'!B:J,'Leetcode分类顺序表'!A:A = B75), 1, 10000000),IFERROR(FILTER(Algoexpert.io!B:D,Algoexpert.io!A:A = B75),FILTER('Leetcode List'!B:J,'Leetcode List'!A:A = B75))))"),"")</f>
        <v/>
      </c>
      <c r="D75" s="20"/>
      <c r="E75" s="20"/>
      <c r="F75" s="20"/>
      <c r="G75" s="20"/>
      <c r="H75" s="20"/>
      <c r="I75" s="20"/>
      <c r="J75" s="20"/>
      <c r="K75" s="20"/>
      <c r="L75" s="20" t="str">
        <f t="shared" si="1"/>
        <v/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>
      <c r="A76" s="22"/>
      <c r="B76" s="20"/>
      <c r="C76" s="20" t="str">
        <f>IFERROR(__xludf.DUMMYFUNCTION("IF(ISBLANK(B76),,IFERROR(array_constrain(FILTER('Leetcode分类顺序表'!B:J,'Leetcode分类顺序表'!A:A = B76), 1, 10000000),IFERROR(FILTER(Algoexpert.io!B:D,Algoexpert.io!A:A = B76),FILTER('Leetcode List'!B:J,'Leetcode List'!A:A = B76))))"),"")</f>
        <v/>
      </c>
      <c r="D76" s="20"/>
      <c r="E76" s="20"/>
      <c r="F76" s="20"/>
      <c r="G76" s="20"/>
      <c r="H76" s="20"/>
      <c r="I76" s="20"/>
      <c r="J76" s="20"/>
      <c r="K76" s="20"/>
      <c r="L76" s="20" t="str">
        <f t="shared" si="1"/>
        <v/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>
      <c r="A77" s="22"/>
      <c r="B77" s="20"/>
      <c r="C77" s="20" t="str">
        <f>IFERROR(__xludf.DUMMYFUNCTION("IF(ISBLANK(B77),,IFERROR(array_constrain(FILTER('Leetcode分类顺序表'!B:J,'Leetcode分类顺序表'!A:A = B77), 1, 10000000),IFERROR(FILTER(Algoexpert.io!B:D,Algoexpert.io!A:A = B77),FILTER('Leetcode List'!B:J,'Leetcode List'!A:A = B77))))"),"")</f>
        <v/>
      </c>
      <c r="D77" s="20"/>
      <c r="E77" s="20"/>
      <c r="F77" s="20"/>
      <c r="G77" s="20"/>
      <c r="H77" s="20"/>
      <c r="I77" s="20"/>
      <c r="J77" s="20"/>
      <c r="K77" s="20"/>
      <c r="L77" s="20" t="str">
        <f t="shared" si="1"/>
        <v/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>
      <c r="A78" s="22"/>
      <c r="B78" s="20"/>
      <c r="C78" s="20" t="str">
        <f>IFERROR(__xludf.DUMMYFUNCTION("IF(ISBLANK(B78),,IFERROR(array_constrain(FILTER('Leetcode分类顺序表'!B:J,'Leetcode分类顺序表'!A:A = B78), 1, 10000000),IFERROR(FILTER(Algoexpert.io!B:D,Algoexpert.io!A:A = B78),FILTER('Leetcode List'!B:J,'Leetcode List'!A:A = B78))))"),"")</f>
        <v/>
      </c>
      <c r="D78" s="20"/>
      <c r="E78" s="20"/>
      <c r="F78" s="20"/>
      <c r="G78" s="20"/>
      <c r="H78" s="20"/>
      <c r="I78" s="20"/>
      <c r="J78" s="20"/>
      <c r="K78" s="20"/>
      <c r="L78" s="20" t="str">
        <f t="shared" si="1"/>
        <v/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>
      <c r="A79" s="22"/>
      <c r="B79" s="20"/>
      <c r="C79" s="20" t="str">
        <f>IFERROR(__xludf.DUMMYFUNCTION("IF(ISBLANK(B79),,IFERROR(array_constrain(FILTER('Leetcode分类顺序表'!B:J,'Leetcode分类顺序表'!A:A = B79), 1, 10000000),IFERROR(FILTER(Algoexpert.io!B:D,Algoexpert.io!A:A = B79),FILTER('Leetcode List'!B:J,'Leetcode List'!A:A = B79))))"),"")</f>
        <v/>
      </c>
      <c r="D79" s="20"/>
      <c r="E79" s="20"/>
      <c r="F79" s="20"/>
      <c r="G79" s="20"/>
      <c r="H79" s="20"/>
      <c r="I79" s="20"/>
      <c r="J79" s="20"/>
      <c r="K79" s="20"/>
      <c r="L79" s="20" t="str">
        <f t="shared" si="1"/>
        <v/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>
      <c r="A80" s="22"/>
      <c r="B80" s="20"/>
      <c r="C80" s="20" t="str">
        <f>IFERROR(__xludf.DUMMYFUNCTION("IF(ISBLANK(B80),,IFERROR(array_constrain(FILTER('Leetcode分类顺序表'!B:J,'Leetcode分类顺序表'!A:A = B80), 1, 10000000),IFERROR(FILTER(Algoexpert.io!B:D,Algoexpert.io!A:A = B80),FILTER('Leetcode List'!B:J,'Leetcode List'!A:A = B80))))"),"")</f>
        <v/>
      </c>
      <c r="D80" s="20"/>
      <c r="E80" s="20"/>
      <c r="F80" s="20"/>
      <c r="G80" s="20"/>
      <c r="H80" s="20"/>
      <c r="I80" s="20"/>
      <c r="J80" s="20"/>
      <c r="K80" s="20"/>
      <c r="L80" s="20" t="str">
        <f t="shared" si="1"/>
        <v/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>
      <c r="A81" s="22"/>
      <c r="B81" s="20"/>
      <c r="C81" s="20" t="str">
        <f>IFERROR(__xludf.DUMMYFUNCTION("IF(ISBLANK(B81),,IFERROR(array_constrain(FILTER('Leetcode分类顺序表'!B:J,'Leetcode分类顺序表'!A:A = B81), 1, 10000000),IFERROR(FILTER(Algoexpert.io!B:D,Algoexpert.io!A:A = B81),FILTER('Leetcode List'!B:J,'Leetcode List'!A:A = B81))))"),"")</f>
        <v/>
      </c>
      <c r="D81" s="20"/>
      <c r="E81" s="20"/>
      <c r="F81" s="20"/>
      <c r="G81" s="20"/>
      <c r="H81" s="20"/>
      <c r="I81" s="20"/>
      <c r="J81" s="20"/>
      <c r="K81" s="20"/>
      <c r="L81" s="20" t="str">
        <f t="shared" si="1"/>
        <v/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>
      <c r="A82" s="22"/>
      <c r="B82" s="20"/>
      <c r="C82" s="20" t="str">
        <f>IFERROR(__xludf.DUMMYFUNCTION("IF(ISBLANK(B82),,IFERROR(array_constrain(FILTER('Leetcode分类顺序表'!B:J,'Leetcode分类顺序表'!A:A = B82), 1, 10000000),IFERROR(FILTER(Algoexpert.io!B:D,Algoexpert.io!A:A = B82),FILTER('Leetcode List'!B:J,'Leetcode List'!A:A = B82))))"),"")</f>
        <v/>
      </c>
      <c r="D82" s="20"/>
      <c r="E82" s="20"/>
      <c r="F82" s="20"/>
      <c r="G82" s="20"/>
      <c r="H82" s="20"/>
      <c r="I82" s="20"/>
      <c r="J82" s="20"/>
      <c r="K82" s="20"/>
      <c r="L82" s="20" t="str">
        <f t="shared" si="1"/>
        <v/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>
      <c r="A83" s="22"/>
      <c r="B83" s="20"/>
      <c r="C83" s="20" t="str">
        <f>IFERROR(__xludf.DUMMYFUNCTION("IF(ISBLANK(B83),,IFERROR(array_constrain(FILTER('Leetcode分类顺序表'!B:J,'Leetcode分类顺序表'!A:A = B83), 1, 10000000),IFERROR(FILTER(Algoexpert.io!B:D,Algoexpert.io!A:A = B83),FILTER('Leetcode List'!B:J,'Leetcode List'!A:A = B83))))"),"")</f>
        <v/>
      </c>
      <c r="D83" s="20"/>
      <c r="E83" s="20"/>
      <c r="F83" s="20"/>
      <c r="G83" s="20"/>
      <c r="H83" s="20"/>
      <c r="I83" s="20"/>
      <c r="J83" s="20"/>
      <c r="K83" s="20"/>
      <c r="L83" s="20" t="str">
        <f t="shared" si="1"/>
        <v/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>
      <c r="A84" s="22"/>
      <c r="B84" s="20"/>
      <c r="C84" s="20" t="str">
        <f>IFERROR(__xludf.DUMMYFUNCTION("IF(ISBLANK(B84),,IFERROR(array_constrain(FILTER('Leetcode分类顺序表'!B:J,'Leetcode分类顺序表'!A:A = B84), 1, 10000000),IFERROR(FILTER(Algoexpert.io!B:D,Algoexpert.io!A:A = B84),FILTER('Leetcode List'!B:J,'Leetcode List'!A:A = B84))))"),"")</f>
        <v/>
      </c>
      <c r="D84" s="20"/>
      <c r="E84" s="20"/>
      <c r="F84" s="20"/>
      <c r="G84" s="20"/>
      <c r="H84" s="20"/>
      <c r="I84" s="20"/>
      <c r="J84" s="20"/>
      <c r="K84" s="20"/>
      <c r="L84" s="20" t="str">
        <f t="shared" si="1"/>
        <v/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>
      <c r="A85" s="22"/>
      <c r="B85" s="20"/>
      <c r="C85" s="20" t="str">
        <f>IFERROR(__xludf.DUMMYFUNCTION("IF(ISBLANK(B85),,IFERROR(array_constrain(FILTER('Leetcode分类顺序表'!B:J,'Leetcode分类顺序表'!A:A = B85), 1, 10000000),IFERROR(FILTER(Algoexpert.io!B:D,Algoexpert.io!A:A = B85),FILTER('Leetcode List'!B:J,'Leetcode List'!A:A = B85))))"),"")</f>
        <v/>
      </c>
      <c r="D85" s="20"/>
      <c r="E85" s="20"/>
      <c r="F85" s="20"/>
      <c r="G85" s="20"/>
      <c r="H85" s="20"/>
      <c r="I85" s="20"/>
      <c r="J85" s="20"/>
      <c r="K85" s="20"/>
      <c r="L85" s="20" t="str">
        <f t="shared" si="1"/>
        <v/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>
      <c r="A86" s="22"/>
      <c r="B86" s="20"/>
      <c r="C86" s="20" t="str">
        <f>IFERROR(__xludf.DUMMYFUNCTION("IF(ISBLANK(B86),,IFERROR(array_constrain(FILTER('Leetcode分类顺序表'!B:J,'Leetcode分类顺序表'!A:A = B86), 1, 10000000),IFERROR(FILTER(Algoexpert.io!B:D,Algoexpert.io!A:A = B86),FILTER('Leetcode List'!B:J,'Leetcode List'!A:A = B86))))"),"")</f>
        <v/>
      </c>
      <c r="D86" s="20"/>
      <c r="E86" s="20"/>
      <c r="F86" s="20"/>
      <c r="G86" s="20"/>
      <c r="H86" s="20"/>
      <c r="I86" s="20"/>
      <c r="J86" s="20"/>
      <c r="K86" s="20"/>
      <c r="L86" s="20" t="str">
        <f t="shared" si="1"/>
        <v/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>
      <c r="A87" s="22"/>
      <c r="B87" s="20"/>
      <c r="C87" s="20" t="str">
        <f>IFERROR(__xludf.DUMMYFUNCTION("IF(ISBLANK(B87),,IFERROR(array_constrain(FILTER('Leetcode分类顺序表'!B:J,'Leetcode分类顺序表'!A:A = B87), 1, 10000000),IFERROR(FILTER(Algoexpert.io!B:D,Algoexpert.io!A:A = B87),FILTER('Leetcode List'!B:J,'Leetcode List'!A:A = B87))))"),"")</f>
        <v/>
      </c>
      <c r="D87" s="20"/>
      <c r="E87" s="20"/>
      <c r="F87" s="20"/>
      <c r="G87" s="20"/>
      <c r="H87" s="20"/>
      <c r="I87" s="20"/>
      <c r="J87" s="20"/>
      <c r="K87" s="20"/>
      <c r="L87" s="20" t="str">
        <f t="shared" si="1"/>
        <v/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>
      <c r="A88" s="22"/>
      <c r="B88" s="20"/>
      <c r="C88" s="20" t="str">
        <f>IFERROR(__xludf.DUMMYFUNCTION("IF(ISBLANK(B88),,IFERROR(array_constrain(FILTER('Leetcode分类顺序表'!B:J,'Leetcode分类顺序表'!A:A = B88), 1, 10000000),IFERROR(FILTER(Algoexpert.io!B:D,Algoexpert.io!A:A = B88),FILTER('Leetcode List'!B:J,'Leetcode List'!A:A = B88))))"),"")</f>
        <v/>
      </c>
      <c r="D88" s="20"/>
      <c r="E88" s="20"/>
      <c r="F88" s="20"/>
      <c r="G88" s="20"/>
      <c r="H88" s="20"/>
      <c r="I88" s="20"/>
      <c r="J88" s="20"/>
      <c r="K88" s="20"/>
      <c r="L88" s="20" t="str">
        <f t="shared" si="1"/>
        <v/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>
      <c r="A89" s="22"/>
      <c r="B89" s="20"/>
      <c r="C89" s="20" t="str">
        <f>IFERROR(__xludf.DUMMYFUNCTION("IF(ISBLANK(B89),,IFERROR(array_constrain(FILTER('Leetcode分类顺序表'!B:J,'Leetcode分类顺序表'!A:A = B89), 1, 10000000),IFERROR(FILTER(Algoexpert.io!B:D,Algoexpert.io!A:A = B89),FILTER('Leetcode List'!B:J,'Leetcode List'!A:A = B89))))"),"")</f>
        <v/>
      </c>
      <c r="D89" s="20"/>
      <c r="E89" s="20"/>
      <c r="F89" s="20"/>
      <c r="G89" s="20"/>
      <c r="H89" s="20"/>
      <c r="I89" s="20"/>
      <c r="J89" s="20"/>
      <c r="K89" s="20"/>
      <c r="L89" s="20" t="str">
        <f t="shared" si="1"/>
        <v/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>
      <c r="A90" s="22"/>
      <c r="B90" s="20"/>
      <c r="C90" s="20" t="str">
        <f>IFERROR(__xludf.DUMMYFUNCTION("IF(ISBLANK(B90),,IFERROR(array_constrain(FILTER('Leetcode分类顺序表'!B:J,'Leetcode分类顺序表'!A:A = B90), 1, 10000000),IFERROR(FILTER(Algoexpert.io!B:D,Algoexpert.io!A:A = B90),FILTER('Leetcode List'!B:J,'Leetcode List'!A:A = B90))))"),"")</f>
        <v/>
      </c>
      <c r="D90" s="20"/>
      <c r="E90" s="20"/>
      <c r="F90" s="20"/>
      <c r="G90" s="20"/>
      <c r="H90" s="20"/>
      <c r="I90" s="20"/>
      <c r="J90" s="20"/>
      <c r="K90" s="20"/>
      <c r="L90" s="20" t="str">
        <f t="shared" si="1"/>
        <v/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>
      <c r="A91" s="22"/>
      <c r="B91" s="20"/>
      <c r="C91" s="20" t="str">
        <f>IFERROR(__xludf.DUMMYFUNCTION("IF(ISBLANK(B91),,IFERROR(array_constrain(FILTER('Leetcode分类顺序表'!B:J,'Leetcode分类顺序表'!A:A = B91), 1, 10000000),IFERROR(FILTER(Algoexpert.io!B:D,Algoexpert.io!A:A = B91),FILTER('Leetcode List'!B:J,'Leetcode List'!A:A = B91))))"),"")</f>
        <v/>
      </c>
      <c r="D91" s="20"/>
      <c r="E91" s="20"/>
      <c r="F91" s="20"/>
      <c r="G91" s="20"/>
      <c r="H91" s="20"/>
      <c r="I91" s="20"/>
      <c r="J91" s="20"/>
      <c r="K91" s="20"/>
      <c r="L91" s="20" t="str">
        <f t="shared" si="1"/>
        <v/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>
      <c r="A92" s="22"/>
      <c r="B92" s="20"/>
      <c r="C92" s="20" t="str">
        <f>IFERROR(__xludf.DUMMYFUNCTION("IF(ISBLANK(B92),,IFERROR(array_constrain(FILTER('Leetcode分类顺序表'!B:J,'Leetcode分类顺序表'!A:A = B92), 1, 10000000),IFERROR(FILTER(Algoexpert.io!B:D,Algoexpert.io!A:A = B92),FILTER('Leetcode List'!B:J,'Leetcode List'!A:A = B92))))"),"")</f>
        <v/>
      </c>
      <c r="D92" s="20"/>
      <c r="E92" s="20"/>
      <c r="F92" s="20"/>
      <c r="G92" s="20"/>
      <c r="H92" s="20"/>
      <c r="I92" s="20"/>
      <c r="J92" s="20"/>
      <c r="K92" s="20"/>
      <c r="L92" s="20" t="str">
        <f t="shared" si="1"/>
        <v/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>
      <c r="A93" s="22"/>
      <c r="B93" s="20"/>
      <c r="C93" s="20" t="str">
        <f>IFERROR(__xludf.DUMMYFUNCTION("IF(ISBLANK(B93),,IFERROR(array_constrain(FILTER('Leetcode分类顺序表'!B:J,'Leetcode分类顺序表'!A:A = B93), 1, 10000000),IFERROR(FILTER(Algoexpert.io!B:D,Algoexpert.io!A:A = B93),FILTER('Leetcode List'!B:J,'Leetcode List'!A:A = B93))))"),"")</f>
        <v/>
      </c>
      <c r="D93" s="20"/>
      <c r="E93" s="20"/>
      <c r="F93" s="20"/>
      <c r="G93" s="20"/>
      <c r="H93" s="20"/>
      <c r="I93" s="20"/>
      <c r="J93" s="20"/>
      <c r="K93" s="20"/>
      <c r="L93" s="20" t="str">
        <f t="shared" si="1"/>
        <v/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>
      <c r="A94" s="22"/>
      <c r="B94" s="20"/>
      <c r="C94" s="20" t="str">
        <f>IFERROR(__xludf.DUMMYFUNCTION("IF(ISBLANK(B94),,IFERROR(array_constrain(FILTER('Leetcode分类顺序表'!B:J,'Leetcode分类顺序表'!A:A = B94), 1, 10000000),IFERROR(FILTER(Algoexpert.io!B:D,Algoexpert.io!A:A = B94),FILTER('Leetcode List'!B:J,'Leetcode List'!A:A = B94))))"),"")</f>
        <v/>
      </c>
      <c r="D94" s="20"/>
      <c r="E94" s="20"/>
      <c r="F94" s="20"/>
      <c r="G94" s="20"/>
      <c r="H94" s="20"/>
      <c r="I94" s="20"/>
      <c r="J94" s="20"/>
      <c r="K94" s="20"/>
      <c r="L94" s="20" t="str">
        <f t="shared" si="1"/>
        <v/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>
      <c r="A95" s="22"/>
      <c r="B95" s="20"/>
      <c r="C95" s="20" t="str">
        <f>IFERROR(__xludf.DUMMYFUNCTION("IF(ISBLANK(B95),,IFERROR(array_constrain(FILTER('Leetcode分类顺序表'!B:J,'Leetcode分类顺序表'!A:A = B95), 1, 10000000),IFERROR(FILTER(Algoexpert.io!B:D,Algoexpert.io!A:A = B95),FILTER('Leetcode List'!B:J,'Leetcode List'!A:A = B95))))"),"")</f>
        <v/>
      </c>
      <c r="D95" s="20"/>
      <c r="E95" s="20"/>
      <c r="F95" s="20"/>
      <c r="G95" s="20"/>
      <c r="H95" s="20"/>
      <c r="I95" s="20"/>
      <c r="J95" s="20"/>
      <c r="K95" s="20"/>
      <c r="L95" s="20" t="str">
        <f t="shared" si="1"/>
        <v/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>
      <c r="A96" s="22"/>
      <c r="B96" s="20"/>
      <c r="C96" s="20" t="str">
        <f>IFERROR(__xludf.DUMMYFUNCTION("IF(ISBLANK(B96),,IFERROR(array_constrain(FILTER('Leetcode分类顺序表'!B:J,'Leetcode分类顺序表'!A:A = B96), 1, 10000000),IFERROR(FILTER(Algoexpert.io!B:D,Algoexpert.io!A:A = B96),FILTER('Leetcode List'!B:J,'Leetcode List'!A:A = B96))))"),"")</f>
        <v/>
      </c>
      <c r="D96" s="20"/>
      <c r="E96" s="20"/>
      <c r="F96" s="20"/>
      <c r="G96" s="20"/>
      <c r="H96" s="20"/>
      <c r="I96" s="20"/>
      <c r="J96" s="20"/>
      <c r="K96" s="20"/>
      <c r="L96" s="20" t="str">
        <f t="shared" si="1"/>
        <v/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>
      <c r="A97" s="22"/>
      <c r="B97" s="20"/>
      <c r="C97" s="20" t="str">
        <f>IFERROR(__xludf.DUMMYFUNCTION("IF(ISBLANK(B97),,IFERROR(array_constrain(FILTER('Leetcode分类顺序表'!B:J,'Leetcode分类顺序表'!A:A = B97), 1, 10000000),IFERROR(FILTER(Algoexpert.io!B:D,Algoexpert.io!A:A = B97),FILTER('Leetcode List'!B:J,'Leetcode List'!A:A = B97))))"),"")</f>
        <v/>
      </c>
      <c r="D97" s="20"/>
      <c r="E97" s="20"/>
      <c r="F97" s="20"/>
      <c r="G97" s="20"/>
      <c r="H97" s="20"/>
      <c r="I97" s="20"/>
      <c r="J97" s="20"/>
      <c r="K97" s="20"/>
      <c r="L97" s="20" t="str">
        <f t="shared" si="1"/>
        <v/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>
      <c r="A98" s="22"/>
      <c r="B98" s="20"/>
      <c r="C98" s="20" t="str">
        <f>IFERROR(__xludf.DUMMYFUNCTION("IF(ISBLANK(B98),,IFERROR(array_constrain(FILTER('Leetcode分类顺序表'!B:J,'Leetcode分类顺序表'!A:A = B98), 1, 10000000),IFERROR(FILTER(Algoexpert.io!B:D,Algoexpert.io!A:A = B98),FILTER('Leetcode List'!B:J,'Leetcode List'!A:A = B98))))"),"")</f>
        <v/>
      </c>
      <c r="D98" s="20"/>
      <c r="E98" s="20"/>
      <c r="F98" s="20"/>
      <c r="G98" s="20"/>
      <c r="H98" s="20"/>
      <c r="I98" s="20"/>
      <c r="J98" s="20"/>
      <c r="K98" s="20"/>
      <c r="L98" s="20" t="str">
        <f t="shared" si="1"/>
        <v/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>
      <c r="A99" s="22"/>
      <c r="B99" s="20"/>
      <c r="C99" s="20" t="str">
        <f>IFERROR(__xludf.DUMMYFUNCTION("IF(ISBLANK(B99),,IFERROR(array_constrain(FILTER('Leetcode分类顺序表'!B:J,'Leetcode分类顺序表'!A:A = B99), 1, 10000000),IFERROR(FILTER(Algoexpert.io!B:D,Algoexpert.io!A:A = B99),FILTER('Leetcode List'!B:J,'Leetcode List'!A:A = B99))))"),"")</f>
        <v/>
      </c>
      <c r="D99" s="20"/>
      <c r="E99" s="20"/>
      <c r="F99" s="20"/>
      <c r="G99" s="20"/>
      <c r="H99" s="20"/>
      <c r="I99" s="20"/>
      <c r="J99" s="20"/>
      <c r="K99" s="20"/>
      <c r="L99" s="20" t="str">
        <f t="shared" si="1"/>
        <v/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>
      <c r="A100" s="22"/>
      <c r="B100" s="20"/>
      <c r="C100" s="20" t="str">
        <f>IFERROR(__xludf.DUMMYFUNCTION("IF(ISBLANK(B100),,IFERROR(array_constrain(FILTER('Leetcode分类顺序表'!B:J,'Leetcode分类顺序表'!A:A = B100), 1, 10000000),IFERROR(FILTER(Algoexpert.io!B:D,Algoexpert.io!A:A = B100),FILTER('Leetcode List'!B:J,'Leetcode List'!A:A = B100))))"),"")</f>
        <v/>
      </c>
      <c r="D100" s="20"/>
      <c r="E100" s="20"/>
      <c r="F100" s="20"/>
      <c r="G100" s="20"/>
      <c r="H100" s="20"/>
      <c r="I100" s="20"/>
      <c r="J100" s="20"/>
      <c r="K100" s="20"/>
      <c r="L100" s="20" t="str">
        <f t="shared" si="1"/>
        <v/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>
      <c r="A101" s="22"/>
      <c r="B101" s="20"/>
      <c r="C101" s="20" t="str">
        <f>IFERROR(__xludf.DUMMYFUNCTION("IF(ISBLANK(B101),,IFERROR(array_constrain(FILTER('Leetcode分类顺序表'!B:J,'Leetcode分类顺序表'!A:A = B101), 1, 10000000),IFERROR(FILTER(Algoexpert.io!B:D,Algoexpert.io!A:A = B101),FILTER('Leetcode List'!B:J,'Leetcode List'!A:A = B101))))"),"")</f>
        <v/>
      </c>
      <c r="D101" s="20"/>
      <c r="E101" s="20"/>
      <c r="F101" s="20"/>
      <c r="G101" s="20"/>
      <c r="H101" s="20"/>
      <c r="I101" s="20"/>
      <c r="J101" s="20"/>
      <c r="K101" s="20"/>
      <c r="L101" s="20" t="str">
        <f t="shared" si="1"/>
        <v/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>
      <c r="A102" s="22"/>
      <c r="B102" s="20"/>
      <c r="C102" s="20" t="str">
        <f>IFERROR(__xludf.DUMMYFUNCTION("IF(ISBLANK(B102),,IFERROR(array_constrain(FILTER('Leetcode分类顺序表'!B:J,'Leetcode分类顺序表'!A:A = B102), 1, 10000000),IFERROR(FILTER(Algoexpert.io!B:D,Algoexpert.io!A:A = B102),FILTER('Leetcode List'!B:J,'Leetcode List'!A:A = B102))))"),"")</f>
        <v/>
      </c>
      <c r="D102" s="20"/>
      <c r="E102" s="20"/>
      <c r="F102" s="20"/>
      <c r="G102" s="20"/>
      <c r="H102" s="20"/>
      <c r="I102" s="20"/>
      <c r="J102" s="20"/>
      <c r="K102" s="20"/>
      <c r="L102" s="20" t="str">
        <f t="shared" si="1"/>
        <v/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>
      <c r="A103" s="22"/>
      <c r="B103" s="20"/>
      <c r="C103" s="20" t="str">
        <f>IFERROR(__xludf.DUMMYFUNCTION("IF(ISBLANK(B103),,IFERROR(array_constrain(FILTER('Leetcode分类顺序表'!B:J,'Leetcode分类顺序表'!A:A = B103), 1, 10000000),IFERROR(FILTER(Algoexpert.io!B:D,Algoexpert.io!A:A = B103),FILTER('Leetcode List'!B:J,'Leetcode List'!A:A = B103))))"),"")</f>
        <v/>
      </c>
      <c r="D103" s="20"/>
      <c r="E103" s="20"/>
      <c r="F103" s="20"/>
      <c r="G103" s="20"/>
      <c r="H103" s="20"/>
      <c r="I103" s="20"/>
      <c r="J103" s="20"/>
      <c r="K103" s="20"/>
      <c r="L103" s="20" t="str">
        <f t="shared" si="1"/>
        <v/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>
      <c r="A104" s="22"/>
      <c r="B104" s="20"/>
      <c r="C104" s="20" t="str">
        <f>IFERROR(__xludf.DUMMYFUNCTION("IF(ISBLANK(B104),,IFERROR(array_constrain(FILTER('Leetcode分类顺序表'!B:J,'Leetcode分类顺序表'!A:A = B104), 1, 10000000),IFERROR(FILTER(Algoexpert.io!B:D,Algoexpert.io!A:A = B104),FILTER('Leetcode List'!B:J,'Leetcode List'!A:A = B104))))"),"")</f>
        <v/>
      </c>
      <c r="D104" s="20"/>
      <c r="E104" s="20"/>
      <c r="F104" s="20"/>
      <c r="G104" s="20"/>
      <c r="H104" s="20"/>
      <c r="I104" s="20"/>
      <c r="J104" s="20"/>
      <c r="K104" s="20"/>
      <c r="L104" s="20" t="str">
        <f t="shared" si="1"/>
        <v/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>
      <c r="A105" s="22"/>
      <c r="B105" s="20"/>
      <c r="C105" s="20" t="str">
        <f>IFERROR(__xludf.DUMMYFUNCTION("IF(ISBLANK(B105),,IFERROR(array_constrain(FILTER('Leetcode分类顺序表'!B:J,'Leetcode分类顺序表'!A:A = B105), 1, 10000000),IFERROR(FILTER(Algoexpert.io!B:D,Algoexpert.io!A:A = B105),FILTER('Leetcode List'!B:J,'Leetcode List'!A:A = B105))))"),"")</f>
        <v/>
      </c>
      <c r="D105" s="20"/>
      <c r="E105" s="20"/>
      <c r="F105" s="20"/>
      <c r="G105" s="20"/>
      <c r="H105" s="20"/>
      <c r="I105" s="20"/>
      <c r="J105" s="20"/>
      <c r="K105" s="20"/>
      <c r="L105" s="20" t="str">
        <f t="shared" si="1"/>
        <v/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>
      <c r="A106" s="22"/>
      <c r="B106" s="20"/>
      <c r="C106" s="20" t="str">
        <f>IFERROR(__xludf.DUMMYFUNCTION("IF(ISBLANK(B106),,IFERROR(array_constrain(FILTER('Leetcode分类顺序表'!B:J,'Leetcode分类顺序表'!A:A = B106), 1, 10000000),IFERROR(FILTER(Algoexpert.io!B:D,Algoexpert.io!A:A = B106),FILTER('Leetcode List'!B:J,'Leetcode List'!A:A = B106))))"),"")</f>
        <v/>
      </c>
      <c r="D106" s="20"/>
      <c r="E106" s="20"/>
      <c r="F106" s="20"/>
      <c r="G106" s="20"/>
      <c r="H106" s="20"/>
      <c r="I106" s="20"/>
      <c r="J106" s="20"/>
      <c r="K106" s="20"/>
      <c r="L106" s="20" t="str">
        <f t="shared" si="1"/>
        <v/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>
      <c r="A107" s="22"/>
      <c r="B107" s="20"/>
      <c r="C107" s="20" t="str">
        <f>IFERROR(__xludf.DUMMYFUNCTION("IF(ISBLANK(B107),,IFERROR(array_constrain(FILTER('Leetcode分类顺序表'!B:J,'Leetcode分类顺序表'!A:A = B107), 1, 10000000),IFERROR(FILTER(Algoexpert.io!B:D,Algoexpert.io!A:A = B107),FILTER('Leetcode List'!B:J,'Leetcode List'!A:A = B107))))"),"")</f>
        <v/>
      </c>
      <c r="D107" s="20"/>
      <c r="E107" s="20"/>
      <c r="F107" s="20"/>
      <c r="G107" s="20"/>
      <c r="H107" s="20"/>
      <c r="I107" s="20"/>
      <c r="J107" s="20"/>
      <c r="K107" s="20"/>
      <c r="L107" s="20" t="str">
        <f t="shared" si="1"/>
        <v/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>
      <c r="A108" s="22"/>
      <c r="B108" s="20"/>
      <c r="C108" s="20" t="str">
        <f>IFERROR(__xludf.DUMMYFUNCTION("IF(ISBLANK(B108),,IFERROR(array_constrain(FILTER('Leetcode分类顺序表'!B:J,'Leetcode分类顺序表'!A:A = B108), 1, 10000000),IFERROR(FILTER(Algoexpert.io!B:D,Algoexpert.io!A:A = B108),FILTER('Leetcode List'!B:J,'Leetcode List'!A:A = B108))))"),"")</f>
        <v/>
      </c>
      <c r="D108" s="20"/>
      <c r="E108" s="20"/>
      <c r="F108" s="20"/>
      <c r="G108" s="20"/>
      <c r="H108" s="20"/>
      <c r="I108" s="20"/>
      <c r="J108" s="20"/>
      <c r="K108" s="20"/>
      <c r="L108" s="20" t="str">
        <f t="shared" si="1"/>
        <v/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>
      <c r="A109" s="22"/>
      <c r="B109" s="20"/>
      <c r="C109" s="20" t="str">
        <f>IFERROR(__xludf.DUMMYFUNCTION("IF(ISBLANK(B109),,IFERROR(array_constrain(FILTER('Leetcode分类顺序表'!B:J,'Leetcode分类顺序表'!A:A = B109), 1, 10000000),IFERROR(FILTER(Algoexpert.io!B:D,Algoexpert.io!A:A = B109),FILTER('Leetcode List'!B:J,'Leetcode List'!A:A = B109))))"),"")</f>
        <v/>
      </c>
      <c r="D109" s="20"/>
      <c r="E109" s="20"/>
      <c r="F109" s="20"/>
      <c r="G109" s="20"/>
      <c r="H109" s="20"/>
      <c r="I109" s="20"/>
      <c r="J109" s="20"/>
      <c r="K109" s="20"/>
      <c r="L109" s="20" t="str">
        <f t="shared" si="1"/>
        <v/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>
      <c r="A110" s="22"/>
      <c r="B110" s="20"/>
      <c r="C110" s="20" t="str">
        <f>IFERROR(__xludf.DUMMYFUNCTION("IF(ISBLANK(B110),,IFERROR(array_constrain(FILTER('Leetcode分类顺序表'!B:J,'Leetcode分类顺序表'!A:A = B110), 1, 10000000),IFERROR(FILTER(Algoexpert.io!B:D,Algoexpert.io!A:A = B110),FILTER('Leetcode List'!B:J,'Leetcode List'!A:A = B110))))"),"")</f>
        <v/>
      </c>
      <c r="D110" s="20"/>
      <c r="E110" s="20"/>
      <c r="F110" s="20"/>
      <c r="G110" s="20"/>
      <c r="H110" s="20"/>
      <c r="I110" s="20"/>
      <c r="J110" s="20"/>
      <c r="K110" s="20"/>
      <c r="L110" s="20" t="str">
        <f t="shared" si="1"/>
        <v/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>
      <c r="A111" s="22"/>
      <c r="B111" s="20"/>
      <c r="C111" s="20" t="str">
        <f>IFERROR(__xludf.DUMMYFUNCTION("IF(ISBLANK(B111),,IFERROR(array_constrain(FILTER('Leetcode分类顺序表'!B:J,'Leetcode分类顺序表'!A:A = B111), 1, 10000000),IFERROR(FILTER(Algoexpert.io!B:D,Algoexpert.io!A:A = B111),FILTER('Leetcode List'!B:J,'Leetcode List'!A:A = B111))))"),"")</f>
        <v/>
      </c>
      <c r="D111" s="20"/>
      <c r="E111" s="20"/>
      <c r="F111" s="20"/>
      <c r="G111" s="20"/>
      <c r="H111" s="20"/>
      <c r="I111" s="20"/>
      <c r="J111" s="20"/>
      <c r="K111" s="20"/>
      <c r="L111" s="20" t="str">
        <f t="shared" si="1"/>
        <v/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>
      <c r="A112" s="22"/>
      <c r="B112" s="20"/>
      <c r="C112" s="20" t="str">
        <f>IFERROR(__xludf.DUMMYFUNCTION("IF(ISBLANK(B112),,IFERROR(array_constrain(FILTER('Leetcode分类顺序表'!B:J,'Leetcode分类顺序表'!A:A = B112), 1, 10000000),IFERROR(FILTER(Algoexpert.io!B:D,Algoexpert.io!A:A = B112),FILTER('Leetcode List'!B:J,'Leetcode List'!A:A = B112))))"),"")</f>
        <v/>
      </c>
      <c r="D112" s="20"/>
      <c r="E112" s="20"/>
      <c r="F112" s="20"/>
      <c r="G112" s="20"/>
      <c r="H112" s="20"/>
      <c r="I112" s="20"/>
      <c r="J112" s="20"/>
      <c r="K112" s="20"/>
      <c r="L112" s="20" t="str">
        <f t="shared" si="1"/>
        <v/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>
      <c r="A113" s="22"/>
      <c r="B113" s="20"/>
      <c r="C113" s="20" t="str">
        <f>IFERROR(__xludf.DUMMYFUNCTION("IF(ISBLANK(B113),,IFERROR(array_constrain(FILTER('Leetcode分类顺序表'!B:J,'Leetcode分类顺序表'!A:A = B113), 1, 10000000),IFERROR(FILTER(Algoexpert.io!B:D,Algoexpert.io!A:A = B113),FILTER('Leetcode List'!B:J,'Leetcode List'!A:A = B113))))"),"")</f>
        <v/>
      </c>
      <c r="D113" s="20"/>
      <c r="E113" s="20"/>
      <c r="F113" s="20"/>
      <c r="G113" s="20"/>
      <c r="H113" s="20"/>
      <c r="I113" s="20"/>
      <c r="J113" s="20"/>
      <c r="K113" s="20"/>
      <c r="L113" s="20" t="str">
        <f t="shared" si="1"/>
        <v/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>
      <c r="A114" s="22"/>
      <c r="B114" s="20"/>
      <c r="C114" s="20" t="str">
        <f>IFERROR(__xludf.DUMMYFUNCTION("IF(ISBLANK(B114),,IFERROR(array_constrain(FILTER('Leetcode分类顺序表'!B:J,'Leetcode分类顺序表'!A:A = B114), 1, 10000000),IFERROR(FILTER(Algoexpert.io!B:D,Algoexpert.io!A:A = B114),FILTER('Leetcode List'!B:J,'Leetcode List'!A:A = B114))))"),"")</f>
        <v/>
      </c>
      <c r="D114" s="20"/>
      <c r="E114" s="20"/>
      <c r="F114" s="20"/>
      <c r="G114" s="20"/>
      <c r="H114" s="20"/>
      <c r="I114" s="20"/>
      <c r="J114" s="20"/>
      <c r="K114" s="20"/>
      <c r="L114" s="20" t="str">
        <f t="shared" si="1"/>
        <v/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>
      <c r="A115" s="22"/>
      <c r="B115" s="20"/>
      <c r="C115" s="20" t="str">
        <f>IFERROR(__xludf.DUMMYFUNCTION("IF(ISBLANK(B115),,IFERROR(array_constrain(FILTER('Leetcode分类顺序表'!B:J,'Leetcode分类顺序表'!A:A = B115), 1, 10000000),IFERROR(FILTER(Algoexpert.io!B:D,Algoexpert.io!A:A = B115),FILTER('Leetcode List'!B:J,'Leetcode List'!A:A = B115))))"),"")</f>
        <v/>
      </c>
      <c r="D115" s="20"/>
      <c r="E115" s="20"/>
      <c r="F115" s="20"/>
      <c r="G115" s="20"/>
      <c r="H115" s="20"/>
      <c r="I115" s="20"/>
      <c r="J115" s="20"/>
      <c r="K115" s="20"/>
      <c r="L115" s="20" t="str">
        <f t="shared" si="1"/>
        <v/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>
      <c r="A116" s="22"/>
      <c r="B116" s="20"/>
      <c r="C116" s="20" t="str">
        <f>IFERROR(__xludf.DUMMYFUNCTION("IF(ISBLANK(B116),,IFERROR(array_constrain(FILTER('Leetcode分类顺序表'!B:J,'Leetcode分类顺序表'!A:A = B116), 1, 10000000),IFERROR(FILTER(Algoexpert.io!B:D,Algoexpert.io!A:A = B116),FILTER('Leetcode List'!B:J,'Leetcode List'!A:A = B116))))"),"")</f>
        <v/>
      </c>
      <c r="D116" s="20"/>
      <c r="E116" s="20"/>
      <c r="F116" s="20"/>
      <c r="G116" s="20"/>
      <c r="H116" s="20"/>
      <c r="I116" s="20"/>
      <c r="J116" s="20"/>
      <c r="K116" s="20"/>
      <c r="L116" s="20" t="str">
        <f t="shared" si="1"/>
        <v/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>
      <c r="A117" s="22"/>
      <c r="B117" s="20"/>
      <c r="C117" s="20" t="str">
        <f>IFERROR(__xludf.DUMMYFUNCTION("IF(ISBLANK(B117),,IFERROR(array_constrain(FILTER('Leetcode分类顺序表'!B:J,'Leetcode分类顺序表'!A:A = B117), 1, 10000000),IFERROR(FILTER(Algoexpert.io!B:D,Algoexpert.io!A:A = B117),FILTER('Leetcode List'!B:J,'Leetcode List'!A:A = B117))))"),"")</f>
        <v/>
      </c>
      <c r="D117" s="20"/>
      <c r="E117" s="20"/>
      <c r="F117" s="20"/>
      <c r="G117" s="20"/>
      <c r="H117" s="20"/>
      <c r="I117" s="20"/>
      <c r="J117" s="20"/>
      <c r="K117" s="20"/>
      <c r="L117" s="20" t="str">
        <f t="shared" si="1"/>
        <v/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>
      <c r="A118" s="22"/>
      <c r="B118" s="20"/>
      <c r="C118" s="20" t="str">
        <f>IFERROR(__xludf.DUMMYFUNCTION("IF(ISBLANK(B118),,IFERROR(array_constrain(FILTER('Leetcode分类顺序表'!B:J,'Leetcode分类顺序表'!A:A = B118), 1, 10000000),IFERROR(FILTER(Algoexpert.io!B:D,Algoexpert.io!A:A = B118),FILTER('Leetcode List'!B:J,'Leetcode List'!A:A = B118))))"),"")</f>
        <v/>
      </c>
      <c r="D118" s="20"/>
      <c r="E118" s="20"/>
      <c r="F118" s="20"/>
      <c r="G118" s="20"/>
      <c r="H118" s="20"/>
      <c r="I118" s="20"/>
      <c r="J118" s="20"/>
      <c r="K118" s="20"/>
      <c r="L118" s="20" t="str">
        <f t="shared" si="1"/>
        <v/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>
      <c r="A119" s="22"/>
      <c r="B119" s="20"/>
      <c r="C119" s="20" t="str">
        <f>IFERROR(__xludf.DUMMYFUNCTION("IF(ISBLANK(B119),,IFERROR(array_constrain(FILTER('Leetcode分类顺序表'!B:J,'Leetcode分类顺序表'!A:A = B119), 1, 10000000),IFERROR(FILTER(Algoexpert.io!B:D,Algoexpert.io!A:A = B119),FILTER('Leetcode List'!B:J,'Leetcode List'!A:A = B119))))"),"")</f>
        <v/>
      </c>
      <c r="D119" s="20"/>
      <c r="E119" s="20"/>
      <c r="F119" s="20"/>
      <c r="G119" s="20"/>
      <c r="H119" s="20"/>
      <c r="I119" s="20"/>
      <c r="J119" s="20"/>
      <c r="K119" s="20"/>
      <c r="L119" s="20" t="str">
        <f t="shared" si="1"/>
        <v/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>
      <c r="A120" s="22"/>
      <c r="B120" s="20"/>
      <c r="C120" s="20" t="str">
        <f>IFERROR(__xludf.DUMMYFUNCTION("IF(ISBLANK(B120),,IFERROR(array_constrain(FILTER('Leetcode分类顺序表'!B:J,'Leetcode分类顺序表'!A:A = B120), 1, 10000000),IFERROR(FILTER(Algoexpert.io!B:D,Algoexpert.io!A:A = B120),FILTER('Leetcode List'!B:J,'Leetcode List'!A:A = B120))))"),"")</f>
        <v/>
      </c>
      <c r="D120" s="20"/>
      <c r="E120" s="20"/>
      <c r="F120" s="20"/>
      <c r="G120" s="20"/>
      <c r="H120" s="20"/>
      <c r="I120" s="20"/>
      <c r="J120" s="20"/>
      <c r="K120" s="20"/>
      <c r="L120" s="20" t="str">
        <f t="shared" si="1"/>
        <v/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>
      <c r="A121" s="22"/>
      <c r="B121" s="20"/>
      <c r="C121" s="20" t="str">
        <f>IFERROR(__xludf.DUMMYFUNCTION("IF(ISBLANK(B121),,IFERROR(array_constrain(FILTER('Leetcode分类顺序表'!B:J,'Leetcode分类顺序表'!A:A = B121), 1, 10000000),IFERROR(FILTER(Algoexpert.io!B:D,Algoexpert.io!A:A = B121),FILTER('Leetcode List'!B:J,'Leetcode List'!A:A = B121))))"),"")</f>
        <v/>
      </c>
      <c r="D121" s="20"/>
      <c r="E121" s="20"/>
      <c r="F121" s="20"/>
      <c r="G121" s="20"/>
      <c r="H121" s="20"/>
      <c r="I121" s="20"/>
      <c r="J121" s="20"/>
      <c r="K121" s="20"/>
      <c r="L121" s="20" t="str">
        <f t="shared" si="1"/>
        <v/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>
      <c r="A122" s="22"/>
      <c r="B122" s="20"/>
      <c r="C122" s="20" t="str">
        <f>IFERROR(__xludf.DUMMYFUNCTION("IF(ISBLANK(B122),,IFERROR(array_constrain(FILTER('Leetcode分类顺序表'!B:J,'Leetcode分类顺序表'!A:A = B122), 1, 10000000),IFERROR(FILTER(Algoexpert.io!B:D,Algoexpert.io!A:A = B122),FILTER('Leetcode List'!B:J,'Leetcode List'!A:A = B122))))"),"")</f>
        <v/>
      </c>
      <c r="D122" s="20"/>
      <c r="E122" s="20"/>
      <c r="F122" s="20"/>
      <c r="G122" s="20"/>
      <c r="H122" s="20"/>
      <c r="I122" s="20"/>
      <c r="J122" s="20"/>
      <c r="K122" s="20"/>
      <c r="L122" s="20" t="str">
        <f t="shared" si="1"/>
        <v/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>
      <c r="A123" s="22"/>
      <c r="B123" s="20"/>
      <c r="C123" s="20" t="str">
        <f>IFERROR(__xludf.DUMMYFUNCTION("IF(ISBLANK(B123),,IFERROR(array_constrain(FILTER('Leetcode分类顺序表'!B:J,'Leetcode分类顺序表'!A:A = B123), 1, 10000000),IFERROR(FILTER(Algoexpert.io!B:D,Algoexpert.io!A:A = B123),FILTER('Leetcode List'!B:J,'Leetcode List'!A:A = B123))))"),"")</f>
        <v/>
      </c>
      <c r="D123" s="20"/>
      <c r="E123" s="20"/>
      <c r="F123" s="20"/>
      <c r="G123" s="20"/>
      <c r="H123" s="20"/>
      <c r="I123" s="20"/>
      <c r="J123" s="20"/>
      <c r="K123" s="20"/>
      <c r="L123" s="20" t="str">
        <f t="shared" si="1"/>
        <v/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>
      <c r="A124" s="22"/>
      <c r="B124" s="20"/>
      <c r="C124" s="20" t="str">
        <f>IFERROR(__xludf.DUMMYFUNCTION("IF(ISBLANK(B124),,IFERROR(array_constrain(FILTER('Leetcode分类顺序表'!B:J,'Leetcode分类顺序表'!A:A = B124), 1, 10000000),IFERROR(FILTER(Algoexpert.io!B:D,Algoexpert.io!A:A = B124),FILTER('Leetcode List'!B:J,'Leetcode List'!A:A = B124))))"),"")</f>
        <v/>
      </c>
      <c r="D124" s="20"/>
      <c r="E124" s="20"/>
      <c r="F124" s="20"/>
      <c r="G124" s="20"/>
      <c r="H124" s="20"/>
      <c r="I124" s="20"/>
      <c r="J124" s="20"/>
      <c r="K124" s="20"/>
      <c r="L124" s="20" t="str">
        <f t="shared" si="1"/>
        <v/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>
      <c r="A125" s="22"/>
      <c r="B125" s="20"/>
      <c r="C125" s="20" t="str">
        <f>IFERROR(__xludf.DUMMYFUNCTION("IF(ISBLANK(B125),,IFERROR(array_constrain(FILTER('Leetcode分类顺序表'!B:J,'Leetcode分类顺序表'!A:A = B125), 1, 10000000),IFERROR(FILTER(Algoexpert.io!B:D,Algoexpert.io!A:A = B125),FILTER('Leetcode List'!B:J,'Leetcode List'!A:A = B125))))"),"")</f>
        <v/>
      </c>
      <c r="D125" s="20"/>
      <c r="E125" s="20"/>
      <c r="F125" s="20"/>
      <c r="G125" s="20"/>
      <c r="H125" s="20"/>
      <c r="I125" s="20"/>
      <c r="J125" s="20"/>
      <c r="K125" s="20"/>
      <c r="L125" s="20" t="str">
        <f t="shared" si="1"/>
        <v/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>
      <c r="A126" s="22"/>
      <c r="B126" s="20"/>
      <c r="C126" s="20" t="str">
        <f>IFERROR(__xludf.DUMMYFUNCTION("IF(ISBLANK(B126),,IFERROR(array_constrain(FILTER('Leetcode分类顺序表'!B:J,'Leetcode分类顺序表'!A:A = B126), 1, 10000000),IFERROR(FILTER(Algoexpert.io!B:D,Algoexpert.io!A:A = B126),FILTER('Leetcode List'!B:J,'Leetcode List'!A:A = B126))))"),"")</f>
        <v/>
      </c>
      <c r="D126" s="20"/>
      <c r="E126" s="20"/>
      <c r="F126" s="20"/>
      <c r="G126" s="20"/>
      <c r="H126" s="20"/>
      <c r="I126" s="20"/>
      <c r="J126" s="20"/>
      <c r="K126" s="20"/>
      <c r="L126" s="20" t="str">
        <f t="shared" si="1"/>
        <v/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>
      <c r="A127" s="22"/>
      <c r="B127" s="20"/>
      <c r="C127" s="20" t="str">
        <f>IFERROR(__xludf.DUMMYFUNCTION("IF(ISBLANK(B127),,IFERROR(array_constrain(FILTER('Leetcode分类顺序表'!B:J,'Leetcode分类顺序表'!A:A = B127), 1, 10000000),IFERROR(FILTER(Algoexpert.io!B:D,Algoexpert.io!A:A = B127),FILTER('Leetcode List'!B:J,'Leetcode List'!A:A = B127))))"),"")</f>
        <v/>
      </c>
      <c r="D127" s="20"/>
      <c r="E127" s="20"/>
      <c r="F127" s="20"/>
      <c r="G127" s="20"/>
      <c r="H127" s="20"/>
      <c r="I127" s="20"/>
      <c r="J127" s="20"/>
      <c r="K127" s="20"/>
      <c r="L127" s="20" t="str">
        <f t="shared" si="1"/>
        <v/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>
      <c r="A128" s="22"/>
      <c r="B128" s="20"/>
      <c r="C128" s="20" t="str">
        <f>IFERROR(__xludf.DUMMYFUNCTION("IF(ISBLANK(B128),,IFERROR(array_constrain(FILTER('Leetcode分类顺序表'!B:J,'Leetcode分类顺序表'!A:A = B128), 1, 10000000),IFERROR(FILTER(Algoexpert.io!B:D,Algoexpert.io!A:A = B128),FILTER('Leetcode List'!B:J,'Leetcode List'!A:A = B128))))"),"")</f>
        <v/>
      </c>
      <c r="D128" s="20"/>
      <c r="E128" s="20"/>
      <c r="F128" s="20"/>
      <c r="G128" s="20"/>
      <c r="H128" s="20"/>
      <c r="I128" s="20"/>
      <c r="J128" s="20"/>
      <c r="K128" s="20"/>
      <c r="L128" s="20" t="str">
        <f t="shared" si="1"/>
        <v/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>
      <c r="A129" s="22"/>
      <c r="B129" s="20"/>
      <c r="C129" s="20" t="str">
        <f>IFERROR(__xludf.DUMMYFUNCTION("IF(ISBLANK(B129),,IFERROR(array_constrain(FILTER('Leetcode分类顺序表'!B:J,'Leetcode分类顺序表'!A:A = B129), 1, 10000000),IFERROR(FILTER(Algoexpert.io!B:D,Algoexpert.io!A:A = B129),FILTER('Leetcode List'!B:J,'Leetcode List'!A:A = B129))))"),"")</f>
        <v/>
      </c>
      <c r="D129" s="20"/>
      <c r="E129" s="20"/>
      <c r="F129" s="20"/>
      <c r="G129" s="20"/>
      <c r="H129" s="20"/>
      <c r="I129" s="20"/>
      <c r="J129" s="20"/>
      <c r="K129" s="20"/>
      <c r="L129" s="20" t="str">
        <f t="shared" si="1"/>
        <v/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>
      <c r="A130" s="22"/>
      <c r="B130" s="20"/>
      <c r="C130" s="20" t="str">
        <f>IFERROR(__xludf.DUMMYFUNCTION("IF(ISBLANK(B130),,IFERROR(array_constrain(FILTER('Leetcode分类顺序表'!B:J,'Leetcode分类顺序表'!A:A = B130), 1, 10000000),IFERROR(FILTER(Algoexpert.io!B:D,Algoexpert.io!A:A = B130),FILTER('Leetcode List'!B:J,'Leetcode List'!A:A = B130))))"),"")</f>
        <v/>
      </c>
      <c r="D130" s="20"/>
      <c r="E130" s="20"/>
      <c r="F130" s="20"/>
      <c r="G130" s="20"/>
      <c r="H130" s="20"/>
      <c r="I130" s="20"/>
      <c r="J130" s="20"/>
      <c r="K130" s="20"/>
      <c r="L130" s="20" t="str">
        <f t="shared" si="1"/>
        <v/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>
      <c r="A131" s="22"/>
      <c r="B131" s="20"/>
      <c r="C131" s="20" t="str">
        <f>IFERROR(__xludf.DUMMYFUNCTION("IF(ISBLANK(B131),,IFERROR(array_constrain(FILTER('Leetcode分类顺序表'!B:J,'Leetcode分类顺序表'!A:A = B131), 1, 10000000),IFERROR(FILTER(Algoexpert.io!B:D,Algoexpert.io!A:A = B131),FILTER('Leetcode List'!B:J,'Leetcode List'!A:A = B131))))"),"")</f>
        <v/>
      </c>
      <c r="D131" s="20"/>
      <c r="E131" s="20"/>
      <c r="F131" s="20"/>
      <c r="G131" s="20"/>
      <c r="H131" s="20"/>
      <c r="I131" s="20"/>
      <c r="J131" s="20"/>
      <c r="K131" s="20"/>
      <c r="L131" s="20" t="str">
        <f t="shared" si="1"/>
        <v/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>
      <c r="A132" s="22"/>
      <c r="B132" s="20"/>
      <c r="C132" s="20" t="str">
        <f>IFERROR(__xludf.DUMMYFUNCTION("IF(ISBLANK(B132),,IFERROR(array_constrain(FILTER('Leetcode分类顺序表'!B:J,'Leetcode分类顺序表'!A:A = B132), 1, 10000000),IFERROR(FILTER(Algoexpert.io!B:D,Algoexpert.io!A:A = B132),FILTER('Leetcode List'!B:J,'Leetcode List'!A:A = B132))))"),"")</f>
        <v/>
      </c>
      <c r="D132" s="20"/>
      <c r="E132" s="20"/>
      <c r="F132" s="20"/>
      <c r="G132" s="20"/>
      <c r="H132" s="20"/>
      <c r="I132" s="20"/>
      <c r="J132" s="20"/>
      <c r="K132" s="20"/>
      <c r="L132" s="20" t="str">
        <f t="shared" si="1"/>
        <v/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>
      <c r="A133" s="22"/>
      <c r="B133" s="20"/>
      <c r="C133" s="20" t="str">
        <f>IFERROR(__xludf.DUMMYFUNCTION("IF(ISBLANK(B133),,IFERROR(array_constrain(FILTER('Leetcode分类顺序表'!B:J,'Leetcode分类顺序表'!A:A = B133), 1, 10000000),IFERROR(FILTER(Algoexpert.io!B:D,Algoexpert.io!A:A = B133),FILTER('Leetcode List'!B:J,'Leetcode List'!A:A = B133))))"),"")</f>
        <v/>
      </c>
      <c r="D133" s="20"/>
      <c r="E133" s="20"/>
      <c r="F133" s="20"/>
      <c r="G133" s="20"/>
      <c r="H133" s="20"/>
      <c r="I133" s="20"/>
      <c r="J133" s="20"/>
      <c r="K133" s="20"/>
      <c r="L133" s="20" t="str">
        <f t="shared" si="1"/>
        <v/>
      </c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>
      <c r="A134" s="22"/>
      <c r="B134" s="20"/>
      <c r="C134" s="20" t="str">
        <f>IFERROR(__xludf.DUMMYFUNCTION("IF(ISBLANK(B134),,IFERROR(array_constrain(FILTER('Leetcode分类顺序表'!B:J,'Leetcode分类顺序表'!A:A = B134), 1, 10000000),IFERROR(FILTER(Algoexpert.io!B:D,Algoexpert.io!A:A = B134),FILTER('Leetcode List'!B:J,'Leetcode List'!A:A = B134))))"),"")</f>
        <v/>
      </c>
      <c r="D134" s="20"/>
      <c r="E134" s="20"/>
      <c r="F134" s="20"/>
      <c r="G134" s="20"/>
      <c r="H134" s="20"/>
      <c r="I134" s="20"/>
      <c r="J134" s="20"/>
      <c r="K134" s="20"/>
      <c r="L134" s="20" t="str">
        <f t="shared" si="1"/>
        <v/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>
      <c r="A135" s="22"/>
      <c r="B135" s="20"/>
      <c r="C135" s="20" t="str">
        <f>IFERROR(__xludf.DUMMYFUNCTION("IF(ISBLANK(B135),,IFERROR(array_constrain(FILTER('Leetcode分类顺序表'!B:J,'Leetcode分类顺序表'!A:A = B135), 1, 10000000),IFERROR(FILTER(Algoexpert.io!B:D,Algoexpert.io!A:A = B135),FILTER('Leetcode List'!B:J,'Leetcode List'!A:A = B135))))"),"")</f>
        <v/>
      </c>
      <c r="D135" s="20"/>
      <c r="E135" s="20"/>
      <c r="F135" s="20"/>
      <c r="G135" s="20"/>
      <c r="H135" s="20"/>
      <c r="I135" s="20"/>
      <c r="J135" s="20"/>
      <c r="K135" s="20"/>
      <c r="L135" s="20" t="str">
        <f t="shared" si="1"/>
        <v/>
      </c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>
      <c r="A136" s="22"/>
      <c r="B136" s="20"/>
      <c r="C136" s="20" t="str">
        <f>IFERROR(__xludf.DUMMYFUNCTION("IF(ISBLANK(B136),,IFERROR(array_constrain(FILTER('Leetcode分类顺序表'!B:J,'Leetcode分类顺序表'!A:A = B136), 1, 10000000),IFERROR(FILTER(Algoexpert.io!B:D,Algoexpert.io!A:A = B136),FILTER('Leetcode List'!B:J,'Leetcode List'!A:A = B136))))"),"")</f>
        <v/>
      </c>
      <c r="D136" s="20"/>
      <c r="E136" s="20"/>
      <c r="F136" s="20"/>
      <c r="G136" s="20"/>
      <c r="H136" s="20"/>
      <c r="I136" s="20"/>
      <c r="J136" s="20"/>
      <c r="K136" s="20"/>
      <c r="L136" s="20" t="str">
        <f t="shared" si="1"/>
        <v/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>
      <c r="A137" s="22"/>
      <c r="B137" s="20"/>
      <c r="C137" s="20" t="str">
        <f>IFERROR(__xludf.DUMMYFUNCTION("IF(ISBLANK(B137),,IFERROR(array_constrain(FILTER('Leetcode分类顺序表'!B:J,'Leetcode分类顺序表'!A:A = B137), 1, 10000000),IFERROR(FILTER(Algoexpert.io!B:D,Algoexpert.io!A:A = B137),FILTER('Leetcode List'!B:J,'Leetcode List'!A:A = B137))))"),"")</f>
        <v/>
      </c>
      <c r="D137" s="20"/>
      <c r="E137" s="20"/>
      <c r="F137" s="20"/>
      <c r="G137" s="20"/>
      <c r="H137" s="20"/>
      <c r="I137" s="20"/>
      <c r="J137" s="20"/>
      <c r="K137" s="20"/>
      <c r="L137" s="20" t="str">
        <f t="shared" si="1"/>
        <v/>
      </c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>
      <c r="A138" s="22"/>
      <c r="B138" s="20"/>
      <c r="C138" s="20" t="str">
        <f>IFERROR(__xludf.DUMMYFUNCTION("IF(ISBLANK(B138),,IFERROR(array_constrain(FILTER('Leetcode分类顺序表'!B:J,'Leetcode分类顺序表'!A:A = B138), 1, 10000000),IFERROR(FILTER(Algoexpert.io!B:D,Algoexpert.io!A:A = B138),FILTER('Leetcode List'!B:J,'Leetcode List'!A:A = B138))))"),"")</f>
        <v/>
      </c>
      <c r="D138" s="20"/>
      <c r="E138" s="20"/>
      <c r="F138" s="20"/>
      <c r="G138" s="20"/>
      <c r="H138" s="20"/>
      <c r="I138" s="20"/>
      <c r="J138" s="20"/>
      <c r="K138" s="20"/>
      <c r="L138" s="20" t="str">
        <f t="shared" si="1"/>
        <v/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>
      <c r="A139" s="22"/>
      <c r="B139" s="20"/>
      <c r="C139" s="20" t="str">
        <f>IFERROR(__xludf.DUMMYFUNCTION("IF(ISBLANK(B139),,IFERROR(array_constrain(FILTER('Leetcode分类顺序表'!B:J,'Leetcode分类顺序表'!A:A = B139), 1, 10000000),IFERROR(FILTER(Algoexpert.io!B:D,Algoexpert.io!A:A = B139),FILTER('Leetcode List'!B:J,'Leetcode List'!A:A = B139))))"),"")</f>
        <v/>
      </c>
      <c r="D139" s="20"/>
      <c r="E139" s="20"/>
      <c r="F139" s="20"/>
      <c r="G139" s="20"/>
      <c r="H139" s="20"/>
      <c r="I139" s="20"/>
      <c r="J139" s="20"/>
      <c r="K139" s="20"/>
      <c r="L139" s="20" t="str">
        <f t="shared" si="1"/>
        <v/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>
      <c r="A140" s="22"/>
      <c r="B140" s="20"/>
      <c r="C140" s="20" t="str">
        <f>IFERROR(__xludf.DUMMYFUNCTION("IF(ISBLANK(B140),,IFERROR(array_constrain(FILTER('Leetcode分类顺序表'!B:J,'Leetcode分类顺序表'!A:A = B140), 1, 10000000),IFERROR(FILTER(Algoexpert.io!B:D,Algoexpert.io!A:A = B140),FILTER('Leetcode List'!B:J,'Leetcode List'!A:A = B140))))"),"")</f>
        <v/>
      </c>
      <c r="D140" s="20"/>
      <c r="E140" s="20"/>
      <c r="F140" s="20"/>
      <c r="G140" s="20"/>
      <c r="H140" s="20"/>
      <c r="I140" s="20"/>
      <c r="J140" s="20"/>
      <c r="K140" s="20"/>
      <c r="L140" s="20" t="str">
        <f t="shared" si="1"/>
        <v/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>
      <c r="A141" s="22"/>
      <c r="B141" s="20"/>
      <c r="C141" s="20" t="str">
        <f>IFERROR(__xludf.DUMMYFUNCTION("IF(ISBLANK(B141),,IFERROR(array_constrain(FILTER('Leetcode分类顺序表'!B:J,'Leetcode分类顺序表'!A:A = B141), 1, 10000000),IFERROR(FILTER(Algoexpert.io!B:D,Algoexpert.io!A:A = B141),FILTER('Leetcode List'!B:J,'Leetcode List'!A:A = B141))))"),"")</f>
        <v/>
      </c>
      <c r="D141" s="20"/>
      <c r="E141" s="20"/>
      <c r="F141" s="20"/>
      <c r="G141" s="20"/>
      <c r="H141" s="20"/>
      <c r="I141" s="20"/>
      <c r="J141" s="20"/>
      <c r="K141" s="20"/>
      <c r="L141" s="20" t="str">
        <f t="shared" si="1"/>
        <v/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>
      <c r="A142" s="22"/>
      <c r="B142" s="20"/>
      <c r="C142" s="20" t="str">
        <f>IFERROR(__xludf.DUMMYFUNCTION("IF(ISBLANK(B142),,IFERROR(array_constrain(FILTER('Leetcode分类顺序表'!B:J,'Leetcode分类顺序表'!A:A = B142), 1, 10000000),IFERROR(FILTER(Algoexpert.io!B:D,Algoexpert.io!A:A = B142),FILTER('Leetcode List'!B:J,'Leetcode List'!A:A = B142))))"),"")</f>
        <v/>
      </c>
      <c r="D142" s="20"/>
      <c r="E142" s="20"/>
      <c r="F142" s="20"/>
      <c r="G142" s="20"/>
      <c r="H142" s="20"/>
      <c r="I142" s="20"/>
      <c r="J142" s="20"/>
      <c r="K142" s="20"/>
      <c r="L142" s="20" t="str">
        <f t="shared" si="1"/>
        <v/>
      </c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>
      <c r="A143" s="22"/>
      <c r="B143" s="20"/>
      <c r="C143" s="20" t="str">
        <f>IFERROR(__xludf.DUMMYFUNCTION("IF(ISBLANK(B143),,IFERROR(array_constrain(FILTER('Leetcode分类顺序表'!B:J,'Leetcode分类顺序表'!A:A = B143), 1, 10000000),IFERROR(FILTER(Algoexpert.io!B:D,Algoexpert.io!A:A = B143),FILTER('Leetcode List'!B:J,'Leetcode List'!A:A = B143))))"),"")</f>
        <v/>
      </c>
      <c r="D143" s="20"/>
      <c r="E143" s="20"/>
      <c r="F143" s="20"/>
      <c r="G143" s="20"/>
      <c r="H143" s="20"/>
      <c r="I143" s="20"/>
      <c r="J143" s="20"/>
      <c r="K143" s="20"/>
      <c r="L143" s="20" t="str">
        <f t="shared" si="1"/>
        <v/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>
      <c r="A144" s="22"/>
      <c r="B144" s="20"/>
      <c r="C144" s="20" t="str">
        <f>IFERROR(__xludf.DUMMYFUNCTION("IF(ISBLANK(B144),,IFERROR(array_constrain(FILTER('Leetcode分类顺序表'!B:J,'Leetcode分类顺序表'!A:A = B144), 1, 10000000),IFERROR(FILTER(Algoexpert.io!B:D,Algoexpert.io!A:A = B144),FILTER('Leetcode List'!B:J,'Leetcode List'!A:A = B144))))"),"")</f>
        <v/>
      </c>
      <c r="D144" s="20"/>
      <c r="E144" s="20"/>
      <c r="F144" s="20"/>
      <c r="G144" s="20"/>
      <c r="H144" s="20"/>
      <c r="I144" s="20"/>
      <c r="J144" s="20"/>
      <c r="K144" s="20"/>
      <c r="L144" s="20" t="str">
        <f t="shared" si="1"/>
        <v/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>
      <c r="A145" s="22"/>
      <c r="B145" s="20"/>
      <c r="C145" s="20" t="str">
        <f>IFERROR(__xludf.DUMMYFUNCTION("IF(ISBLANK(B145),,IFERROR(array_constrain(FILTER('Leetcode分类顺序表'!B:J,'Leetcode分类顺序表'!A:A = B145), 1, 10000000),IFERROR(FILTER(Algoexpert.io!B:D,Algoexpert.io!A:A = B145),FILTER('Leetcode List'!B:J,'Leetcode List'!A:A = B145))))"),"")</f>
        <v/>
      </c>
      <c r="D145" s="20"/>
      <c r="E145" s="20"/>
      <c r="F145" s="20"/>
      <c r="G145" s="20"/>
      <c r="H145" s="20"/>
      <c r="I145" s="20"/>
      <c r="J145" s="20"/>
      <c r="K145" s="20"/>
      <c r="L145" s="20" t="str">
        <f t="shared" si="1"/>
        <v/>
      </c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>
      <c r="A146" s="22"/>
      <c r="B146" s="20"/>
      <c r="C146" s="20" t="str">
        <f>IFERROR(__xludf.DUMMYFUNCTION("IF(ISBLANK(B146),,IFERROR(array_constrain(FILTER('Leetcode分类顺序表'!B:J,'Leetcode分类顺序表'!A:A = B146), 1, 10000000),IFERROR(FILTER(Algoexpert.io!B:D,Algoexpert.io!A:A = B146),FILTER('Leetcode List'!B:J,'Leetcode List'!A:A = B146))))"),"")</f>
        <v/>
      </c>
      <c r="D146" s="20"/>
      <c r="E146" s="20"/>
      <c r="F146" s="20"/>
      <c r="G146" s="20"/>
      <c r="H146" s="20"/>
      <c r="I146" s="20"/>
      <c r="J146" s="20"/>
      <c r="K146" s="20"/>
      <c r="L146" s="20" t="str">
        <f t="shared" si="1"/>
        <v/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>
      <c r="A147" s="22"/>
      <c r="B147" s="20"/>
      <c r="C147" s="20" t="str">
        <f>IFERROR(__xludf.DUMMYFUNCTION("IF(ISBLANK(B147),,IFERROR(array_constrain(FILTER('Leetcode分类顺序表'!B:J,'Leetcode分类顺序表'!A:A = B147), 1, 10000000),IFERROR(FILTER(Algoexpert.io!B:D,Algoexpert.io!A:A = B147),FILTER('Leetcode List'!B:J,'Leetcode List'!A:A = B147))))"),"")</f>
        <v/>
      </c>
      <c r="D147" s="20"/>
      <c r="E147" s="20"/>
      <c r="F147" s="20"/>
      <c r="G147" s="20"/>
      <c r="H147" s="20"/>
      <c r="I147" s="20"/>
      <c r="J147" s="20"/>
      <c r="K147" s="20"/>
      <c r="L147" s="20" t="str">
        <f t="shared" si="1"/>
        <v/>
      </c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>
      <c r="A148" s="22"/>
      <c r="B148" s="20"/>
      <c r="C148" s="20" t="str">
        <f>IFERROR(__xludf.DUMMYFUNCTION("IF(ISBLANK(B148),,IFERROR(array_constrain(FILTER('Leetcode分类顺序表'!B:J,'Leetcode分类顺序表'!A:A = B148), 1, 10000000),IFERROR(FILTER(Algoexpert.io!B:D,Algoexpert.io!A:A = B148),FILTER('Leetcode List'!B:J,'Leetcode List'!A:A = B148))))"),"")</f>
        <v/>
      </c>
      <c r="D148" s="20"/>
      <c r="E148" s="20"/>
      <c r="F148" s="20"/>
      <c r="G148" s="20"/>
      <c r="H148" s="20"/>
      <c r="I148" s="20"/>
      <c r="J148" s="20"/>
      <c r="K148" s="20"/>
      <c r="L148" s="20" t="str">
        <f t="shared" si="1"/>
        <v/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>
      <c r="A149" s="22"/>
      <c r="B149" s="20"/>
      <c r="C149" s="20" t="str">
        <f>IFERROR(__xludf.DUMMYFUNCTION("IF(ISBLANK(B149),,IFERROR(array_constrain(FILTER('Leetcode分类顺序表'!B:J,'Leetcode分类顺序表'!A:A = B149), 1, 10000000),IFERROR(FILTER(Algoexpert.io!B:D,Algoexpert.io!A:A = B149),FILTER('Leetcode List'!B:J,'Leetcode List'!A:A = B149))))"),"")</f>
        <v/>
      </c>
      <c r="D149" s="20"/>
      <c r="E149" s="20"/>
      <c r="F149" s="20"/>
      <c r="G149" s="20"/>
      <c r="H149" s="20"/>
      <c r="I149" s="20"/>
      <c r="J149" s="20"/>
      <c r="K149" s="20"/>
      <c r="L149" s="20" t="str">
        <f t="shared" si="1"/>
        <v/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>
      <c r="A150" s="22"/>
      <c r="B150" s="20"/>
      <c r="C150" s="20" t="str">
        <f>IFERROR(__xludf.DUMMYFUNCTION("IF(ISBLANK(B150),,IFERROR(array_constrain(FILTER('Leetcode分类顺序表'!B:J,'Leetcode分类顺序表'!A:A = B150), 1, 10000000),IFERROR(FILTER(Algoexpert.io!B:D,Algoexpert.io!A:A = B150),FILTER('Leetcode List'!B:J,'Leetcode List'!A:A = B150))))"),"")</f>
        <v/>
      </c>
      <c r="D150" s="20"/>
      <c r="E150" s="20"/>
      <c r="F150" s="20"/>
      <c r="G150" s="20"/>
      <c r="H150" s="20"/>
      <c r="I150" s="20"/>
      <c r="J150" s="20"/>
      <c r="K150" s="20"/>
      <c r="L150" s="20" t="str">
        <f t="shared" si="1"/>
        <v/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>
      <c r="A151" s="22"/>
      <c r="B151" s="20"/>
      <c r="C151" s="20" t="str">
        <f>IFERROR(__xludf.DUMMYFUNCTION("IF(ISBLANK(B151),,IFERROR(array_constrain(FILTER('Leetcode分类顺序表'!B:J,'Leetcode分类顺序表'!A:A = B151), 1, 10000000),IFERROR(FILTER(Algoexpert.io!B:D,Algoexpert.io!A:A = B151),FILTER('Leetcode List'!B:J,'Leetcode List'!A:A = B151))))"),"")</f>
        <v/>
      </c>
      <c r="D151" s="20"/>
      <c r="E151" s="20"/>
      <c r="F151" s="20"/>
      <c r="G151" s="20"/>
      <c r="H151" s="20"/>
      <c r="I151" s="20"/>
      <c r="J151" s="20"/>
      <c r="K151" s="20"/>
      <c r="L151" s="20" t="str">
        <f t="shared" si="1"/>
        <v/>
      </c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>
      <c r="A152" s="22"/>
      <c r="B152" s="20"/>
      <c r="C152" s="20" t="str">
        <f>IFERROR(__xludf.DUMMYFUNCTION("IF(ISBLANK(B152),,IFERROR(array_constrain(FILTER('Leetcode分类顺序表'!B:J,'Leetcode分类顺序表'!A:A = B152), 1, 10000000),IFERROR(FILTER(Algoexpert.io!B:D,Algoexpert.io!A:A = B152),FILTER('Leetcode List'!B:J,'Leetcode List'!A:A = B152))))"),"")</f>
        <v/>
      </c>
      <c r="D152" s="20"/>
      <c r="E152" s="20"/>
      <c r="F152" s="20"/>
      <c r="G152" s="20"/>
      <c r="H152" s="20"/>
      <c r="I152" s="20"/>
      <c r="J152" s="20"/>
      <c r="K152" s="20"/>
      <c r="L152" s="20" t="str">
        <f t="shared" si="1"/>
        <v/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>
      <c r="A153" s="22"/>
      <c r="B153" s="20"/>
      <c r="C153" s="20" t="str">
        <f>IFERROR(__xludf.DUMMYFUNCTION("IF(ISBLANK(B153),,IFERROR(array_constrain(FILTER('Leetcode分类顺序表'!B:J,'Leetcode分类顺序表'!A:A = B153), 1, 10000000),IFERROR(FILTER(Algoexpert.io!B:D,Algoexpert.io!A:A = B153),FILTER('Leetcode List'!B:J,'Leetcode List'!A:A = B153))))"),"")</f>
        <v/>
      </c>
      <c r="D153" s="20"/>
      <c r="E153" s="20"/>
      <c r="F153" s="20"/>
      <c r="G153" s="20"/>
      <c r="H153" s="20"/>
      <c r="I153" s="20"/>
      <c r="J153" s="20"/>
      <c r="K153" s="20"/>
      <c r="L153" s="20" t="str">
        <f t="shared" si="1"/>
        <v/>
      </c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>
      <c r="A154" s="22"/>
      <c r="B154" s="20"/>
      <c r="C154" s="20" t="str">
        <f>IFERROR(__xludf.DUMMYFUNCTION("IF(ISBLANK(B154),,IFERROR(array_constrain(FILTER('Leetcode分类顺序表'!B:J,'Leetcode分类顺序表'!A:A = B154), 1, 10000000),IFERROR(FILTER(Algoexpert.io!B:D,Algoexpert.io!A:A = B154),FILTER('Leetcode List'!B:J,'Leetcode List'!A:A = B154))))"),"")</f>
        <v/>
      </c>
      <c r="D154" s="20"/>
      <c r="E154" s="20"/>
      <c r="F154" s="20"/>
      <c r="G154" s="20"/>
      <c r="H154" s="20"/>
      <c r="I154" s="20"/>
      <c r="J154" s="20"/>
      <c r="K154" s="20"/>
      <c r="L154" s="20" t="str">
        <f t="shared" si="1"/>
        <v/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>
      <c r="A155" s="22"/>
      <c r="B155" s="20"/>
      <c r="C155" s="20" t="str">
        <f>IFERROR(__xludf.DUMMYFUNCTION("IF(ISBLANK(B155),,IFERROR(array_constrain(FILTER('Leetcode分类顺序表'!B:J,'Leetcode分类顺序表'!A:A = B155), 1, 10000000),IFERROR(FILTER(Algoexpert.io!B:D,Algoexpert.io!A:A = B155),FILTER('Leetcode List'!B:J,'Leetcode List'!A:A = B155))))"),"")</f>
        <v/>
      </c>
      <c r="D155" s="20"/>
      <c r="E155" s="20"/>
      <c r="F155" s="20"/>
      <c r="G155" s="20"/>
      <c r="H155" s="20"/>
      <c r="I155" s="20"/>
      <c r="J155" s="20"/>
      <c r="K155" s="20"/>
      <c r="L155" s="20" t="str">
        <f t="shared" si="1"/>
        <v/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>
      <c r="A156" s="22"/>
      <c r="B156" s="20"/>
      <c r="C156" s="20" t="str">
        <f>IFERROR(__xludf.DUMMYFUNCTION("IF(ISBLANK(B156),,IFERROR(array_constrain(FILTER('Leetcode分类顺序表'!B:J,'Leetcode分类顺序表'!A:A = B156), 1, 10000000),IFERROR(FILTER(Algoexpert.io!B:D,Algoexpert.io!A:A = B156),FILTER('Leetcode List'!B:J,'Leetcode List'!A:A = B156))))"),"")</f>
        <v/>
      </c>
      <c r="D156" s="20"/>
      <c r="E156" s="20"/>
      <c r="F156" s="20"/>
      <c r="G156" s="20"/>
      <c r="H156" s="20"/>
      <c r="I156" s="20"/>
      <c r="J156" s="20"/>
      <c r="K156" s="20"/>
      <c r="L156" s="20" t="str">
        <f t="shared" si="1"/>
        <v/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>
      <c r="A157" s="22"/>
      <c r="B157" s="20"/>
      <c r="C157" s="20" t="str">
        <f>IFERROR(__xludf.DUMMYFUNCTION("IF(ISBLANK(B157),,IFERROR(array_constrain(FILTER('Leetcode分类顺序表'!B:J,'Leetcode分类顺序表'!A:A = B157), 1, 10000000),IFERROR(FILTER(Algoexpert.io!B:D,Algoexpert.io!A:A = B157),FILTER('Leetcode List'!B:J,'Leetcode List'!A:A = B157))))"),"")</f>
        <v/>
      </c>
      <c r="D157" s="20"/>
      <c r="E157" s="20"/>
      <c r="F157" s="20"/>
      <c r="G157" s="20"/>
      <c r="H157" s="20"/>
      <c r="I157" s="20"/>
      <c r="J157" s="20"/>
      <c r="K157" s="20"/>
      <c r="L157" s="20" t="str">
        <f t="shared" si="1"/>
        <v/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>
      <c r="A158" s="22"/>
      <c r="B158" s="20"/>
      <c r="C158" s="20" t="str">
        <f>IFERROR(__xludf.DUMMYFUNCTION("IF(ISBLANK(B158),,IFERROR(array_constrain(FILTER('Leetcode分类顺序表'!B:J,'Leetcode分类顺序表'!A:A = B158), 1, 10000000),IFERROR(FILTER(Algoexpert.io!B:D,Algoexpert.io!A:A = B158),FILTER('Leetcode List'!B:J,'Leetcode List'!A:A = B158))))"),"")</f>
        <v/>
      </c>
      <c r="D158" s="20"/>
      <c r="E158" s="20"/>
      <c r="F158" s="20"/>
      <c r="G158" s="20"/>
      <c r="H158" s="20"/>
      <c r="I158" s="20"/>
      <c r="J158" s="20"/>
      <c r="K158" s="20"/>
      <c r="L158" s="20" t="str">
        <f t="shared" si="1"/>
        <v/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>
      <c r="A159" s="22"/>
      <c r="B159" s="20"/>
      <c r="C159" s="20" t="str">
        <f>IFERROR(__xludf.DUMMYFUNCTION("IF(ISBLANK(B159),,IFERROR(array_constrain(FILTER('Leetcode分类顺序表'!B:J,'Leetcode分类顺序表'!A:A = B159), 1, 10000000),IFERROR(FILTER(Algoexpert.io!B:D,Algoexpert.io!A:A = B159),FILTER('Leetcode List'!B:J,'Leetcode List'!A:A = B159))))"),"")</f>
        <v/>
      </c>
      <c r="D159" s="20"/>
      <c r="E159" s="20"/>
      <c r="F159" s="20"/>
      <c r="G159" s="20"/>
      <c r="H159" s="20"/>
      <c r="I159" s="20"/>
      <c r="J159" s="20"/>
      <c r="K159" s="20"/>
      <c r="L159" s="20" t="str">
        <f t="shared" si="1"/>
        <v/>
      </c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>
      <c r="A160" s="22"/>
      <c r="B160" s="20"/>
      <c r="C160" s="20" t="str">
        <f>IFERROR(__xludf.DUMMYFUNCTION("IF(ISBLANK(B160),,IFERROR(array_constrain(FILTER('Leetcode分类顺序表'!B:J,'Leetcode分类顺序表'!A:A = B160), 1, 10000000),IFERROR(FILTER(Algoexpert.io!B:D,Algoexpert.io!A:A = B160),FILTER('Leetcode List'!B:J,'Leetcode List'!A:A = B160))))"),"")</f>
        <v/>
      </c>
      <c r="D160" s="20"/>
      <c r="E160" s="20"/>
      <c r="F160" s="20"/>
      <c r="G160" s="20"/>
      <c r="H160" s="20"/>
      <c r="I160" s="20"/>
      <c r="J160" s="20"/>
      <c r="K160" s="20"/>
      <c r="L160" s="20" t="str">
        <f t="shared" si="1"/>
        <v/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>
      <c r="A161" s="22"/>
      <c r="B161" s="20"/>
      <c r="C161" s="20" t="str">
        <f>IFERROR(__xludf.DUMMYFUNCTION("IF(ISBLANK(B161),,IFERROR(array_constrain(FILTER('Leetcode分类顺序表'!B:J,'Leetcode分类顺序表'!A:A = B161), 1, 10000000),IFERROR(FILTER(Algoexpert.io!B:D,Algoexpert.io!A:A = B161),FILTER('Leetcode List'!B:J,'Leetcode List'!A:A = B161))))"),"")</f>
        <v/>
      </c>
      <c r="D161" s="20"/>
      <c r="E161" s="20"/>
      <c r="F161" s="20"/>
      <c r="G161" s="20"/>
      <c r="H161" s="20"/>
      <c r="I161" s="20"/>
      <c r="J161" s="20"/>
      <c r="K161" s="20"/>
      <c r="L161" s="20" t="str">
        <f t="shared" si="1"/>
        <v/>
      </c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>
      <c r="A162" s="22"/>
      <c r="B162" s="20"/>
      <c r="C162" s="20" t="str">
        <f>IFERROR(__xludf.DUMMYFUNCTION("IF(ISBLANK(B162),,IFERROR(array_constrain(FILTER('Leetcode分类顺序表'!B:J,'Leetcode分类顺序表'!A:A = B162), 1, 10000000),IFERROR(FILTER(Algoexpert.io!B:D,Algoexpert.io!A:A = B162),FILTER('Leetcode List'!B:J,'Leetcode List'!A:A = B162))))"),"")</f>
        <v/>
      </c>
      <c r="D162" s="20"/>
      <c r="E162" s="20"/>
      <c r="F162" s="20"/>
      <c r="G162" s="20"/>
      <c r="H162" s="20"/>
      <c r="I162" s="20"/>
      <c r="J162" s="20"/>
      <c r="K162" s="20"/>
      <c r="L162" s="20" t="str">
        <f t="shared" si="1"/>
        <v/>
      </c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>
      <c r="A163" s="22"/>
      <c r="B163" s="20"/>
      <c r="C163" s="20" t="str">
        <f>IFERROR(__xludf.DUMMYFUNCTION("IF(ISBLANK(B163),,IFERROR(array_constrain(FILTER('Leetcode分类顺序表'!B:J,'Leetcode分类顺序表'!A:A = B163), 1, 10000000),IFERROR(FILTER(Algoexpert.io!B:D,Algoexpert.io!A:A = B163),FILTER('Leetcode List'!B:J,'Leetcode List'!A:A = B163))))"),"")</f>
        <v/>
      </c>
      <c r="D163" s="20"/>
      <c r="E163" s="20"/>
      <c r="F163" s="20"/>
      <c r="G163" s="20"/>
      <c r="H163" s="20"/>
      <c r="I163" s="20"/>
      <c r="J163" s="20"/>
      <c r="K163" s="20"/>
      <c r="L163" s="20" t="str">
        <f t="shared" si="1"/>
        <v/>
      </c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>
      <c r="A164" s="22"/>
      <c r="B164" s="20"/>
      <c r="C164" s="20" t="str">
        <f>IFERROR(__xludf.DUMMYFUNCTION("IF(ISBLANK(B164),,IFERROR(array_constrain(FILTER('Leetcode分类顺序表'!B:J,'Leetcode分类顺序表'!A:A = B164), 1, 10000000),IFERROR(FILTER(Algoexpert.io!B:D,Algoexpert.io!A:A = B164),FILTER('Leetcode List'!B:J,'Leetcode List'!A:A = B164))))"),"")</f>
        <v/>
      </c>
      <c r="D164" s="20"/>
      <c r="E164" s="20"/>
      <c r="F164" s="20"/>
      <c r="G164" s="20"/>
      <c r="H164" s="20"/>
      <c r="I164" s="20"/>
      <c r="J164" s="20"/>
      <c r="K164" s="20"/>
      <c r="L164" s="20" t="str">
        <f t="shared" si="1"/>
        <v/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>
      <c r="A165" s="22"/>
      <c r="B165" s="20"/>
      <c r="C165" s="20" t="str">
        <f>IFERROR(__xludf.DUMMYFUNCTION("IF(ISBLANK(B165),,IFERROR(array_constrain(FILTER('Leetcode分类顺序表'!B:J,'Leetcode分类顺序表'!A:A = B165), 1, 10000000),IFERROR(FILTER(Algoexpert.io!B:D,Algoexpert.io!A:A = B165),FILTER('Leetcode List'!B:J,'Leetcode List'!A:A = B165))))"),"")</f>
        <v/>
      </c>
      <c r="D165" s="20"/>
      <c r="E165" s="20"/>
      <c r="F165" s="20"/>
      <c r="G165" s="20"/>
      <c r="H165" s="20"/>
      <c r="I165" s="20"/>
      <c r="J165" s="20"/>
      <c r="K165" s="20"/>
      <c r="L165" s="20" t="str">
        <f t="shared" si="1"/>
        <v/>
      </c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>
      <c r="A166" s="22"/>
      <c r="B166" s="20"/>
      <c r="C166" s="20" t="str">
        <f>IFERROR(__xludf.DUMMYFUNCTION("IF(ISBLANK(B166),,IFERROR(array_constrain(FILTER('Leetcode分类顺序表'!B:J,'Leetcode分类顺序表'!A:A = B166), 1, 10000000),IFERROR(FILTER(Algoexpert.io!B:D,Algoexpert.io!A:A = B166),FILTER('Leetcode List'!B:J,'Leetcode List'!A:A = B166))))"),"")</f>
        <v/>
      </c>
      <c r="D166" s="20"/>
      <c r="E166" s="20"/>
      <c r="F166" s="20"/>
      <c r="G166" s="20"/>
      <c r="H166" s="20"/>
      <c r="I166" s="20"/>
      <c r="J166" s="20"/>
      <c r="K166" s="20"/>
      <c r="L166" s="20" t="str">
        <f t="shared" si="1"/>
        <v/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>
      <c r="A167" s="22"/>
      <c r="B167" s="20"/>
      <c r="C167" s="20" t="str">
        <f>IFERROR(__xludf.DUMMYFUNCTION("IF(ISBLANK(B167),,IFERROR(array_constrain(FILTER('Leetcode分类顺序表'!B:J,'Leetcode分类顺序表'!A:A = B167), 1, 10000000),IFERROR(FILTER(Algoexpert.io!B:D,Algoexpert.io!A:A = B167),FILTER('Leetcode List'!B:J,'Leetcode List'!A:A = B167))))"),"")</f>
        <v/>
      </c>
      <c r="D167" s="20"/>
      <c r="E167" s="20"/>
      <c r="F167" s="20"/>
      <c r="G167" s="20"/>
      <c r="H167" s="20"/>
      <c r="I167" s="20"/>
      <c r="J167" s="20"/>
      <c r="K167" s="20"/>
      <c r="L167" s="20" t="str">
        <f t="shared" si="1"/>
        <v/>
      </c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>
      <c r="A168" s="22"/>
      <c r="B168" s="20"/>
      <c r="C168" s="20" t="str">
        <f>IFERROR(__xludf.DUMMYFUNCTION("IF(ISBLANK(B168),,IFERROR(array_constrain(FILTER('Leetcode分类顺序表'!B:J,'Leetcode分类顺序表'!A:A = B168), 1, 10000000),IFERROR(FILTER(Algoexpert.io!B:D,Algoexpert.io!A:A = B168),FILTER('Leetcode List'!B:J,'Leetcode List'!A:A = B168))))"),"")</f>
        <v/>
      </c>
      <c r="D168" s="20"/>
      <c r="E168" s="20"/>
      <c r="F168" s="20"/>
      <c r="G168" s="20"/>
      <c r="H168" s="20"/>
      <c r="I168" s="20"/>
      <c r="J168" s="20"/>
      <c r="K168" s="20"/>
      <c r="L168" s="20" t="str">
        <f t="shared" si="1"/>
        <v/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>
      <c r="A169" s="22"/>
      <c r="B169" s="20"/>
      <c r="C169" s="20" t="str">
        <f>IFERROR(__xludf.DUMMYFUNCTION("IF(ISBLANK(B169),,IFERROR(array_constrain(FILTER('Leetcode分类顺序表'!B:J,'Leetcode分类顺序表'!A:A = B169), 1, 10000000),IFERROR(FILTER(Algoexpert.io!B:D,Algoexpert.io!A:A = B169),FILTER('Leetcode List'!B:J,'Leetcode List'!A:A = B169))))"),"")</f>
        <v/>
      </c>
      <c r="D169" s="20"/>
      <c r="E169" s="20"/>
      <c r="F169" s="20"/>
      <c r="G169" s="20"/>
      <c r="H169" s="20"/>
      <c r="I169" s="20"/>
      <c r="J169" s="20"/>
      <c r="K169" s="20"/>
      <c r="L169" s="20" t="str">
        <f t="shared" si="1"/>
        <v/>
      </c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>
      <c r="A170" s="22"/>
      <c r="B170" s="20"/>
      <c r="C170" s="20" t="str">
        <f>IFERROR(__xludf.DUMMYFUNCTION("IF(ISBLANK(B170),,IFERROR(array_constrain(FILTER('Leetcode分类顺序表'!B:J,'Leetcode分类顺序表'!A:A = B170), 1, 10000000),IFERROR(FILTER(Algoexpert.io!B:D,Algoexpert.io!A:A = B170),FILTER('Leetcode List'!B:J,'Leetcode List'!A:A = B170))))"),"")</f>
        <v/>
      </c>
      <c r="D170" s="20"/>
      <c r="E170" s="20"/>
      <c r="F170" s="20"/>
      <c r="G170" s="20"/>
      <c r="H170" s="20"/>
      <c r="I170" s="20"/>
      <c r="J170" s="20"/>
      <c r="K170" s="20"/>
      <c r="L170" s="20" t="str">
        <f t="shared" si="1"/>
        <v/>
      </c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>
      <c r="A171" s="22"/>
      <c r="B171" s="20"/>
      <c r="C171" s="20" t="str">
        <f>IFERROR(__xludf.DUMMYFUNCTION("IF(ISBLANK(B171),,IFERROR(array_constrain(FILTER('Leetcode分类顺序表'!B:J,'Leetcode分类顺序表'!A:A = B171), 1, 10000000),IFERROR(FILTER(Algoexpert.io!B:D,Algoexpert.io!A:A = B171),FILTER('Leetcode List'!B:J,'Leetcode List'!A:A = B171))))"),"")</f>
        <v/>
      </c>
      <c r="D171" s="20"/>
      <c r="E171" s="20"/>
      <c r="F171" s="20"/>
      <c r="G171" s="20"/>
      <c r="H171" s="20"/>
      <c r="I171" s="20"/>
      <c r="J171" s="20"/>
      <c r="K171" s="20"/>
      <c r="L171" s="20" t="str">
        <f t="shared" si="1"/>
        <v/>
      </c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>
      <c r="A172" s="22"/>
      <c r="B172" s="20"/>
      <c r="C172" s="20" t="str">
        <f>IFERROR(__xludf.DUMMYFUNCTION("IF(ISBLANK(B172),,IFERROR(array_constrain(FILTER('Leetcode分类顺序表'!B:J,'Leetcode分类顺序表'!A:A = B172), 1, 10000000),IFERROR(FILTER(Algoexpert.io!B:D,Algoexpert.io!A:A = B172),FILTER('Leetcode List'!B:J,'Leetcode List'!A:A = B172))))"),"")</f>
        <v/>
      </c>
      <c r="D172" s="20"/>
      <c r="E172" s="20"/>
      <c r="F172" s="20"/>
      <c r="G172" s="20"/>
      <c r="H172" s="20"/>
      <c r="I172" s="20"/>
      <c r="J172" s="20"/>
      <c r="K172" s="20"/>
      <c r="L172" s="20" t="str">
        <f t="shared" si="1"/>
        <v/>
      </c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>
      <c r="A173" s="22"/>
      <c r="B173" s="20"/>
      <c r="C173" s="20" t="str">
        <f>IFERROR(__xludf.DUMMYFUNCTION("IF(ISBLANK(B173),,IFERROR(array_constrain(FILTER('Leetcode分类顺序表'!B:J,'Leetcode分类顺序表'!A:A = B173), 1, 10000000),IFERROR(FILTER(Algoexpert.io!B:D,Algoexpert.io!A:A = B173),FILTER('Leetcode List'!B:J,'Leetcode List'!A:A = B173))))"),"")</f>
        <v/>
      </c>
      <c r="D173" s="20"/>
      <c r="E173" s="20"/>
      <c r="F173" s="20"/>
      <c r="G173" s="20"/>
      <c r="H173" s="20"/>
      <c r="I173" s="20"/>
      <c r="J173" s="20"/>
      <c r="K173" s="20"/>
      <c r="L173" s="20" t="str">
        <f t="shared" si="1"/>
        <v/>
      </c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>
      <c r="A174" s="22"/>
      <c r="B174" s="20"/>
      <c r="C174" s="20" t="str">
        <f>IFERROR(__xludf.DUMMYFUNCTION("IF(ISBLANK(B174),,IFERROR(array_constrain(FILTER('Leetcode分类顺序表'!B:J,'Leetcode分类顺序表'!A:A = B174), 1, 10000000),IFERROR(FILTER(Algoexpert.io!B:D,Algoexpert.io!A:A = B174),FILTER('Leetcode List'!B:J,'Leetcode List'!A:A = B174))))"),"")</f>
        <v/>
      </c>
      <c r="D174" s="20"/>
      <c r="E174" s="20"/>
      <c r="F174" s="20"/>
      <c r="G174" s="20"/>
      <c r="H174" s="20"/>
      <c r="I174" s="20"/>
      <c r="J174" s="20"/>
      <c r="K174" s="20"/>
      <c r="L174" s="20" t="str">
        <f t="shared" si="1"/>
        <v/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>
      <c r="A175" s="22"/>
      <c r="B175" s="20"/>
      <c r="C175" s="20" t="str">
        <f>IFERROR(__xludf.DUMMYFUNCTION("IF(ISBLANK(B175),,IFERROR(array_constrain(FILTER('Leetcode分类顺序表'!B:J,'Leetcode分类顺序表'!A:A = B175), 1, 10000000),IFERROR(FILTER(Algoexpert.io!B:D,Algoexpert.io!A:A = B175),FILTER('Leetcode List'!B:J,'Leetcode List'!A:A = B175))))"),"")</f>
        <v/>
      </c>
      <c r="D175" s="20"/>
      <c r="E175" s="20"/>
      <c r="F175" s="20"/>
      <c r="G175" s="20"/>
      <c r="H175" s="20"/>
      <c r="I175" s="20"/>
      <c r="J175" s="20"/>
      <c r="K175" s="20"/>
      <c r="L175" s="20" t="str">
        <f t="shared" si="1"/>
        <v/>
      </c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>
      <c r="A176" s="22"/>
      <c r="B176" s="20"/>
      <c r="C176" s="20" t="str">
        <f>IFERROR(__xludf.DUMMYFUNCTION("IF(ISBLANK(B176),,IFERROR(array_constrain(FILTER('Leetcode分类顺序表'!B:J,'Leetcode分类顺序表'!A:A = B176), 1, 10000000),IFERROR(FILTER(Algoexpert.io!B:D,Algoexpert.io!A:A = B176),FILTER('Leetcode List'!B:J,'Leetcode List'!A:A = B176))))"),"")</f>
        <v/>
      </c>
      <c r="D176" s="20"/>
      <c r="E176" s="20"/>
      <c r="F176" s="20"/>
      <c r="G176" s="20"/>
      <c r="H176" s="20"/>
      <c r="I176" s="20"/>
      <c r="J176" s="20"/>
      <c r="K176" s="20"/>
      <c r="L176" s="20" t="str">
        <f t="shared" si="1"/>
        <v/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>
      <c r="A177" s="22"/>
      <c r="B177" s="20"/>
      <c r="C177" s="20" t="str">
        <f>IFERROR(__xludf.DUMMYFUNCTION("IF(ISBLANK(B177),,IFERROR(array_constrain(FILTER('Leetcode分类顺序表'!B:J,'Leetcode分类顺序表'!A:A = B177), 1, 10000000),IFERROR(FILTER(Algoexpert.io!B:D,Algoexpert.io!A:A = B177),FILTER('Leetcode List'!B:J,'Leetcode List'!A:A = B177))))"),"")</f>
        <v/>
      </c>
      <c r="D177" s="20"/>
      <c r="E177" s="20"/>
      <c r="F177" s="20"/>
      <c r="G177" s="20"/>
      <c r="H177" s="20"/>
      <c r="I177" s="20"/>
      <c r="J177" s="20"/>
      <c r="K177" s="20"/>
      <c r="L177" s="20" t="str">
        <f t="shared" si="1"/>
        <v/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>
      <c r="A178" s="22"/>
      <c r="B178" s="20"/>
      <c r="C178" s="20" t="str">
        <f>IFERROR(__xludf.DUMMYFUNCTION("IF(ISBLANK(B178),,IFERROR(array_constrain(FILTER('Leetcode分类顺序表'!B:J,'Leetcode分类顺序表'!A:A = B178), 1, 10000000),IFERROR(FILTER(Algoexpert.io!B:D,Algoexpert.io!A:A = B178),FILTER('Leetcode List'!B:J,'Leetcode List'!A:A = B178))))"),"")</f>
        <v/>
      </c>
      <c r="D178" s="20"/>
      <c r="E178" s="20"/>
      <c r="F178" s="20"/>
      <c r="G178" s="20"/>
      <c r="H178" s="20"/>
      <c r="I178" s="20"/>
      <c r="J178" s="20"/>
      <c r="K178" s="20"/>
      <c r="L178" s="20" t="str">
        <f t="shared" si="1"/>
        <v/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>
      <c r="A179" s="22"/>
      <c r="B179" s="20"/>
      <c r="C179" s="20" t="str">
        <f>IFERROR(__xludf.DUMMYFUNCTION("IF(ISBLANK(B179),,IFERROR(array_constrain(FILTER('Leetcode分类顺序表'!B:J,'Leetcode分类顺序表'!A:A = B179), 1, 10000000),IFERROR(FILTER(Algoexpert.io!B:D,Algoexpert.io!A:A = B179),FILTER('Leetcode List'!B:J,'Leetcode List'!A:A = B179))))"),"")</f>
        <v/>
      </c>
      <c r="D179" s="20"/>
      <c r="E179" s="20"/>
      <c r="F179" s="20"/>
      <c r="G179" s="20"/>
      <c r="H179" s="20"/>
      <c r="I179" s="20"/>
      <c r="J179" s="20"/>
      <c r="K179" s="20"/>
      <c r="L179" s="20" t="str">
        <f t="shared" si="1"/>
        <v/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>
      <c r="A180" s="22"/>
      <c r="B180" s="20"/>
      <c r="C180" s="20" t="str">
        <f>IFERROR(__xludf.DUMMYFUNCTION("IF(ISBLANK(B180),,IFERROR(array_constrain(FILTER('Leetcode分类顺序表'!B:J,'Leetcode分类顺序表'!A:A = B180), 1, 10000000),IFERROR(FILTER(Algoexpert.io!B:D,Algoexpert.io!A:A = B180),FILTER('Leetcode List'!B:J,'Leetcode List'!A:A = B180))))"),"")</f>
        <v/>
      </c>
      <c r="D180" s="20"/>
      <c r="E180" s="20"/>
      <c r="F180" s="20"/>
      <c r="G180" s="20"/>
      <c r="H180" s="20"/>
      <c r="I180" s="20"/>
      <c r="J180" s="20"/>
      <c r="K180" s="20"/>
      <c r="L180" s="20" t="str">
        <f t="shared" si="1"/>
        <v/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>
      <c r="A181" s="22"/>
      <c r="B181" s="20"/>
      <c r="C181" s="20" t="str">
        <f>IFERROR(__xludf.DUMMYFUNCTION("IF(ISBLANK(B181),,IFERROR(array_constrain(FILTER('Leetcode分类顺序表'!B:J,'Leetcode分类顺序表'!A:A = B181), 1, 10000000),IFERROR(FILTER(Algoexpert.io!B:D,Algoexpert.io!A:A = B181),FILTER('Leetcode List'!B:J,'Leetcode List'!A:A = B181))))"),"")</f>
        <v/>
      </c>
      <c r="D181" s="20"/>
      <c r="E181" s="20"/>
      <c r="F181" s="20"/>
      <c r="G181" s="20"/>
      <c r="H181" s="20"/>
      <c r="I181" s="20"/>
      <c r="J181" s="20"/>
      <c r="K181" s="20"/>
      <c r="L181" s="20" t="str">
        <f t="shared" si="1"/>
        <v/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>
      <c r="A182" s="22"/>
      <c r="B182" s="20"/>
      <c r="C182" s="20" t="str">
        <f>IFERROR(__xludf.DUMMYFUNCTION("IF(ISBLANK(B182),,IFERROR(array_constrain(FILTER('Leetcode分类顺序表'!B:J,'Leetcode分类顺序表'!A:A = B182), 1, 10000000),IFERROR(FILTER(Algoexpert.io!B:D,Algoexpert.io!A:A = B182),FILTER('Leetcode List'!B:J,'Leetcode List'!A:A = B182))))"),"")</f>
        <v/>
      </c>
      <c r="D182" s="20"/>
      <c r="E182" s="20"/>
      <c r="F182" s="20"/>
      <c r="G182" s="20"/>
      <c r="H182" s="20"/>
      <c r="I182" s="20"/>
      <c r="J182" s="20"/>
      <c r="K182" s="20"/>
      <c r="L182" s="20" t="str">
        <f t="shared" si="1"/>
        <v/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>
      <c r="A183" s="22"/>
      <c r="B183" s="20"/>
      <c r="C183" s="20" t="str">
        <f>IFERROR(__xludf.DUMMYFUNCTION("IF(ISBLANK(B183),,IFERROR(array_constrain(FILTER('Leetcode分类顺序表'!B:J,'Leetcode分类顺序表'!A:A = B183), 1, 10000000),IFERROR(FILTER(Algoexpert.io!B:D,Algoexpert.io!A:A = B183),FILTER('Leetcode List'!B:J,'Leetcode List'!A:A = B183))))"),"")</f>
        <v/>
      </c>
      <c r="D183" s="20"/>
      <c r="E183" s="20"/>
      <c r="F183" s="20"/>
      <c r="G183" s="20"/>
      <c r="H183" s="20"/>
      <c r="I183" s="20"/>
      <c r="J183" s="20"/>
      <c r="K183" s="20"/>
      <c r="L183" s="20" t="str">
        <f t="shared" si="1"/>
        <v/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>
      <c r="A184" s="22"/>
      <c r="B184" s="20"/>
      <c r="C184" s="20" t="str">
        <f>IFERROR(__xludf.DUMMYFUNCTION("IF(ISBLANK(B184),,IFERROR(array_constrain(FILTER('Leetcode分类顺序表'!B:J,'Leetcode分类顺序表'!A:A = B184), 1, 10000000),IFERROR(FILTER(Algoexpert.io!B:D,Algoexpert.io!A:A = B184),FILTER('Leetcode List'!B:J,'Leetcode List'!A:A = B184))))"),"")</f>
        <v/>
      </c>
      <c r="D184" s="20"/>
      <c r="E184" s="20"/>
      <c r="F184" s="20"/>
      <c r="G184" s="20"/>
      <c r="H184" s="20"/>
      <c r="I184" s="20"/>
      <c r="J184" s="20"/>
      <c r="K184" s="20"/>
      <c r="L184" s="20" t="str">
        <f t="shared" si="1"/>
        <v/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>
      <c r="A185" s="22"/>
      <c r="B185" s="20"/>
      <c r="C185" s="20" t="str">
        <f>IFERROR(__xludf.DUMMYFUNCTION("IF(ISBLANK(B185),,IFERROR(array_constrain(FILTER('Leetcode分类顺序表'!B:J,'Leetcode分类顺序表'!A:A = B185), 1, 10000000),IFERROR(FILTER(Algoexpert.io!B:D,Algoexpert.io!A:A = B185),FILTER('Leetcode List'!B:J,'Leetcode List'!A:A = B185))))"),"")</f>
        <v/>
      </c>
      <c r="D185" s="20"/>
      <c r="E185" s="20"/>
      <c r="F185" s="20"/>
      <c r="G185" s="20"/>
      <c r="H185" s="20"/>
      <c r="I185" s="20"/>
      <c r="J185" s="20"/>
      <c r="K185" s="20"/>
      <c r="L185" s="20" t="str">
        <f t="shared" si="1"/>
        <v/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>
      <c r="A186" s="22"/>
      <c r="B186" s="20"/>
      <c r="C186" s="20" t="str">
        <f>IFERROR(__xludf.DUMMYFUNCTION("IF(ISBLANK(B186),,IFERROR(array_constrain(FILTER('Leetcode分类顺序表'!B:J,'Leetcode分类顺序表'!A:A = B186), 1, 10000000),IFERROR(FILTER(Algoexpert.io!B:D,Algoexpert.io!A:A = B186),FILTER('Leetcode List'!B:J,'Leetcode List'!A:A = B186))))"),"")</f>
        <v/>
      </c>
      <c r="D186" s="20"/>
      <c r="E186" s="20"/>
      <c r="F186" s="20"/>
      <c r="G186" s="20"/>
      <c r="H186" s="20"/>
      <c r="I186" s="20"/>
      <c r="J186" s="20"/>
      <c r="K186" s="20"/>
      <c r="L186" s="20" t="str">
        <f t="shared" si="1"/>
        <v/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>
      <c r="A187" s="22"/>
      <c r="B187" s="20"/>
      <c r="C187" s="20" t="str">
        <f>IFERROR(__xludf.DUMMYFUNCTION("IF(ISBLANK(B187),,IFERROR(array_constrain(FILTER('Leetcode分类顺序表'!B:J,'Leetcode分类顺序表'!A:A = B187), 1, 10000000),IFERROR(FILTER(Algoexpert.io!B:D,Algoexpert.io!A:A = B187),FILTER('Leetcode List'!B:J,'Leetcode List'!A:A = B187))))"),"")</f>
        <v/>
      </c>
      <c r="D187" s="20"/>
      <c r="E187" s="20"/>
      <c r="F187" s="20"/>
      <c r="G187" s="20"/>
      <c r="H187" s="20"/>
      <c r="I187" s="20"/>
      <c r="J187" s="20"/>
      <c r="K187" s="20"/>
      <c r="L187" s="20" t="str">
        <f t="shared" si="1"/>
        <v/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>
      <c r="A188" s="22"/>
      <c r="B188" s="20"/>
      <c r="C188" s="20" t="str">
        <f>IFERROR(__xludf.DUMMYFUNCTION("IF(ISBLANK(B188),,IFERROR(array_constrain(FILTER('Leetcode分类顺序表'!B:J,'Leetcode分类顺序表'!A:A = B188), 1, 10000000),IFERROR(FILTER(Algoexpert.io!B:D,Algoexpert.io!A:A = B188),FILTER('Leetcode List'!B:J,'Leetcode List'!A:A = B188))))"),"")</f>
        <v/>
      </c>
      <c r="D188" s="20"/>
      <c r="E188" s="20"/>
      <c r="F188" s="20"/>
      <c r="G188" s="20"/>
      <c r="H188" s="20"/>
      <c r="I188" s="20"/>
      <c r="J188" s="20"/>
      <c r="K188" s="20"/>
      <c r="L188" s="20" t="str">
        <f t="shared" si="1"/>
        <v/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>
      <c r="A189" s="22"/>
      <c r="B189" s="20"/>
      <c r="C189" s="20" t="str">
        <f>IFERROR(__xludf.DUMMYFUNCTION("IF(ISBLANK(B189),,IFERROR(array_constrain(FILTER('Leetcode分类顺序表'!B:J,'Leetcode分类顺序表'!A:A = B189), 1, 10000000),IFERROR(FILTER(Algoexpert.io!B:D,Algoexpert.io!A:A = B189),FILTER('Leetcode List'!B:J,'Leetcode List'!A:A = B189))))"),"")</f>
        <v/>
      </c>
      <c r="D189" s="20"/>
      <c r="E189" s="20"/>
      <c r="F189" s="20"/>
      <c r="G189" s="20"/>
      <c r="H189" s="20"/>
      <c r="I189" s="20"/>
      <c r="J189" s="20"/>
      <c r="K189" s="20"/>
      <c r="L189" s="20" t="str">
        <f t="shared" si="1"/>
        <v/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>
      <c r="A190" s="22"/>
      <c r="B190" s="20"/>
      <c r="C190" s="20" t="str">
        <f>IFERROR(__xludf.DUMMYFUNCTION("IF(ISBLANK(B190),,IFERROR(array_constrain(FILTER('Leetcode分类顺序表'!B:J,'Leetcode分类顺序表'!A:A = B190), 1, 10000000),IFERROR(FILTER(Algoexpert.io!B:D,Algoexpert.io!A:A = B190),FILTER('Leetcode List'!B:J,'Leetcode List'!A:A = B190))))"),"")</f>
        <v/>
      </c>
      <c r="D190" s="20"/>
      <c r="E190" s="20"/>
      <c r="F190" s="20"/>
      <c r="G190" s="20"/>
      <c r="H190" s="20"/>
      <c r="I190" s="20"/>
      <c r="J190" s="20"/>
      <c r="K190" s="20"/>
      <c r="L190" s="20" t="str">
        <f t="shared" si="1"/>
        <v/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>
      <c r="A191" s="22"/>
      <c r="B191" s="20"/>
      <c r="C191" s="20" t="str">
        <f>IFERROR(__xludf.DUMMYFUNCTION("IF(ISBLANK(B191),,IFERROR(array_constrain(FILTER('Leetcode分类顺序表'!B:J,'Leetcode分类顺序表'!A:A = B191), 1, 10000000),IFERROR(FILTER(Algoexpert.io!B:D,Algoexpert.io!A:A = B191),FILTER('Leetcode List'!B:J,'Leetcode List'!A:A = B191))))"),"")</f>
        <v/>
      </c>
      <c r="D191" s="20"/>
      <c r="E191" s="20"/>
      <c r="F191" s="20"/>
      <c r="G191" s="20"/>
      <c r="H191" s="20"/>
      <c r="I191" s="20"/>
      <c r="J191" s="20"/>
      <c r="K191" s="20"/>
      <c r="L191" s="20" t="str">
        <f t="shared" si="1"/>
        <v/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>
      <c r="A192" s="22"/>
      <c r="B192" s="20"/>
      <c r="C192" s="20" t="str">
        <f>IFERROR(__xludf.DUMMYFUNCTION("IF(ISBLANK(B192),,IFERROR(array_constrain(FILTER('Leetcode分类顺序表'!B:J,'Leetcode分类顺序表'!A:A = B192), 1, 10000000),IFERROR(FILTER(Algoexpert.io!B:D,Algoexpert.io!A:A = B192),FILTER('Leetcode List'!B:J,'Leetcode List'!A:A = B192))))"),"")</f>
        <v/>
      </c>
      <c r="D192" s="20"/>
      <c r="E192" s="20"/>
      <c r="F192" s="20"/>
      <c r="G192" s="20"/>
      <c r="H192" s="20"/>
      <c r="I192" s="20"/>
      <c r="J192" s="20"/>
      <c r="K192" s="20"/>
      <c r="L192" s="20" t="str">
        <f t="shared" si="1"/>
        <v/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>
      <c r="A193" s="22"/>
      <c r="B193" s="20"/>
      <c r="C193" s="20" t="str">
        <f>IFERROR(__xludf.DUMMYFUNCTION("IF(ISBLANK(B193),,IFERROR(array_constrain(FILTER('Leetcode分类顺序表'!B:J,'Leetcode分类顺序表'!A:A = B193), 1, 10000000),IFERROR(FILTER(Algoexpert.io!B:D,Algoexpert.io!A:A = B193),FILTER('Leetcode List'!B:J,'Leetcode List'!A:A = B193))))"),"")</f>
        <v/>
      </c>
      <c r="D193" s="20"/>
      <c r="E193" s="20"/>
      <c r="F193" s="20"/>
      <c r="G193" s="20"/>
      <c r="H193" s="20"/>
      <c r="I193" s="20"/>
      <c r="J193" s="20"/>
      <c r="K193" s="20"/>
      <c r="L193" s="20" t="str">
        <f t="shared" si="1"/>
        <v/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>
      <c r="A194" s="22"/>
      <c r="B194" s="20"/>
      <c r="C194" s="20" t="str">
        <f>IFERROR(__xludf.DUMMYFUNCTION("IF(ISBLANK(B194),,IFERROR(array_constrain(FILTER('Leetcode分类顺序表'!B:J,'Leetcode分类顺序表'!A:A = B194), 1, 10000000),IFERROR(FILTER(Algoexpert.io!B:D,Algoexpert.io!A:A = B194),FILTER('Leetcode List'!B:J,'Leetcode List'!A:A = B194))))"),"")</f>
        <v/>
      </c>
      <c r="D194" s="20"/>
      <c r="E194" s="20"/>
      <c r="F194" s="20"/>
      <c r="G194" s="20"/>
      <c r="H194" s="20"/>
      <c r="I194" s="20"/>
      <c r="J194" s="20"/>
      <c r="K194" s="20"/>
      <c r="L194" s="20" t="str">
        <f t="shared" si="1"/>
        <v/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>
      <c r="A195" s="22"/>
      <c r="B195" s="20"/>
      <c r="C195" s="20" t="str">
        <f>IFERROR(__xludf.DUMMYFUNCTION("IF(ISBLANK(B195),,IFERROR(array_constrain(FILTER('Leetcode分类顺序表'!B:J,'Leetcode分类顺序表'!A:A = B195), 1, 10000000),IFERROR(FILTER(Algoexpert.io!B:D,Algoexpert.io!A:A = B195),FILTER('Leetcode List'!B:J,'Leetcode List'!A:A = B195))))"),"")</f>
        <v/>
      </c>
      <c r="D195" s="20"/>
      <c r="E195" s="20"/>
      <c r="F195" s="20"/>
      <c r="G195" s="20"/>
      <c r="H195" s="20"/>
      <c r="I195" s="20"/>
      <c r="J195" s="20"/>
      <c r="K195" s="20"/>
      <c r="L195" s="20" t="str">
        <f t="shared" si="1"/>
        <v/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>
      <c r="A196" s="22"/>
      <c r="B196" s="20"/>
      <c r="C196" s="20" t="str">
        <f>IFERROR(__xludf.DUMMYFUNCTION("IF(ISBLANK(B196),,IFERROR(array_constrain(FILTER('Leetcode分类顺序表'!B:J,'Leetcode分类顺序表'!A:A = B196), 1, 10000000),IFERROR(FILTER(Algoexpert.io!B:D,Algoexpert.io!A:A = B196),FILTER('Leetcode List'!B:J,'Leetcode List'!A:A = B196))))"),"")</f>
        <v/>
      </c>
      <c r="D196" s="20"/>
      <c r="E196" s="20"/>
      <c r="F196" s="20"/>
      <c r="G196" s="20"/>
      <c r="H196" s="20"/>
      <c r="I196" s="20"/>
      <c r="J196" s="20"/>
      <c r="K196" s="20"/>
      <c r="L196" s="20" t="str">
        <f t="shared" si="1"/>
        <v/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>
      <c r="A197" s="22"/>
      <c r="B197" s="20"/>
      <c r="C197" s="20" t="str">
        <f>IFERROR(__xludf.DUMMYFUNCTION("IF(ISBLANK(B197),,IFERROR(array_constrain(FILTER('Leetcode分类顺序表'!B:J,'Leetcode分类顺序表'!A:A = B197), 1, 10000000),IFERROR(FILTER(Algoexpert.io!B:D,Algoexpert.io!A:A = B197),FILTER('Leetcode List'!B:J,'Leetcode List'!A:A = B197))))"),"")</f>
        <v/>
      </c>
      <c r="D197" s="20"/>
      <c r="E197" s="20"/>
      <c r="F197" s="20"/>
      <c r="G197" s="20"/>
      <c r="H197" s="20"/>
      <c r="I197" s="20"/>
      <c r="J197" s="20"/>
      <c r="K197" s="20"/>
      <c r="L197" s="20" t="str">
        <f t="shared" si="1"/>
        <v/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>
      <c r="A198" s="22"/>
      <c r="B198" s="20"/>
      <c r="C198" s="20" t="str">
        <f>IFERROR(__xludf.DUMMYFUNCTION("IF(ISBLANK(B198),,IFERROR(array_constrain(FILTER('Leetcode分类顺序表'!B:J,'Leetcode分类顺序表'!A:A = B198), 1, 10000000),IFERROR(FILTER(Algoexpert.io!B:D,Algoexpert.io!A:A = B198),FILTER('Leetcode List'!B:J,'Leetcode List'!A:A = B198))))"),"")</f>
        <v/>
      </c>
      <c r="D198" s="20"/>
      <c r="E198" s="20"/>
      <c r="F198" s="20"/>
      <c r="G198" s="20"/>
      <c r="H198" s="20"/>
      <c r="I198" s="20"/>
      <c r="J198" s="20"/>
      <c r="K198" s="20"/>
      <c r="L198" s="20" t="str">
        <f t="shared" si="1"/>
        <v/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>
      <c r="A199" s="22"/>
      <c r="B199" s="20"/>
      <c r="C199" s="20" t="str">
        <f>IFERROR(__xludf.DUMMYFUNCTION("IF(ISBLANK(B199),,IFERROR(array_constrain(FILTER('Leetcode分类顺序表'!B:J,'Leetcode分类顺序表'!A:A = B199), 1, 10000000),IFERROR(FILTER(Algoexpert.io!B:D,Algoexpert.io!A:A = B199),FILTER('Leetcode List'!B:J,'Leetcode List'!A:A = B199))))"),"")</f>
        <v/>
      </c>
      <c r="D199" s="20"/>
      <c r="E199" s="20"/>
      <c r="F199" s="20"/>
      <c r="G199" s="20"/>
      <c r="H199" s="20"/>
      <c r="I199" s="20"/>
      <c r="J199" s="20"/>
      <c r="K199" s="20"/>
      <c r="L199" s="20" t="str">
        <f t="shared" si="1"/>
        <v/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>
      <c r="A200" s="22"/>
      <c r="B200" s="20"/>
      <c r="C200" s="20" t="str">
        <f>IFERROR(__xludf.DUMMYFUNCTION("IF(ISBLANK(B200),,IFERROR(array_constrain(FILTER('Leetcode分类顺序表'!B:J,'Leetcode分类顺序表'!A:A = B200), 1, 10000000),IFERROR(FILTER(Algoexpert.io!B:D,Algoexpert.io!A:A = B200),FILTER('Leetcode List'!B:J,'Leetcode List'!A:A = B200))))"),"")</f>
        <v/>
      </c>
      <c r="D200" s="20"/>
      <c r="E200" s="20"/>
      <c r="F200" s="20"/>
      <c r="G200" s="20"/>
      <c r="H200" s="20"/>
      <c r="I200" s="20"/>
      <c r="J200" s="20"/>
      <c r="K200" s="20"/>
      <c r="L200" s="20" t="str">
        <f t="shared" si="1"/>
        <v/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>
      <c r="A201" s="22"/>
      <c r="B201" s="20"/>
      <c r="C201" s="20" t="str">
        <f>IFERROR(__xludf.DUMMYFUNCTION("IF(ISBLANK(B201),,IFERROR(array_constrain(FILTER('Leetcode分类顺序表'!B:J,'Leetcode分类顺序表'!A:A = B201), 1, 10000000),IFERROR(FILTER(Algoexpert.io!B:D,Algoexpert.io!A:A = B201),FILTER('Leetcode List'!B:J,'Leetcode List'!A:A = B201))))"),"")</f>
        <v/>
      </c>
      <c r="D201" s="20"/>
      <c r="E201" s="20"/>
      <c r="F201" s="20"/>
      <c r="G201" s="20"/>
      <c r="H201" s="20"/>
      <c r="I201" s="20"/>
      <c r="J201" s="20"/>
      <c r="K201" s="20"/>
      <c r="L201" s="20" t="str">
        <f t="shared" si="1"/>
        <v/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>
      <c r="A202" s="22"/>
      <c r="B202" s="20"/>
      <c r="C202" s="20" t="str">
        <f>IFERROR(__xludf.DUMMYFUNCTION("IF(ISBLANK(B202),,IFERROR(array_constrain(FILTER('Leetcode分类顺序表'!B:J,'Leetcode分类顺序表'!A:A = B202), 1, 10000000),IFERROR(FILTER(Algoexpert.io!B:D,Algoexpert.io!A:A = B202),FILTER('Leetcode List'!B:J,'Leetcode List'!A:A = B202))))"),"")</f>
        <v/>
      </c>
      <c r="D202" s="20"/>
      <c r="E202" s="20"/>
      <c r="F202" s="20"/>
      <c r="G202" s="20"/>
      <c r="H202" s="20"/>
      <c r="I202" s="20"/>
      <c r="J202" s="20"/>
      <c r="K202" s="20"/>
      <c r="L202" s="20" t="str">
        <f t="shared" si="1"/>
        <v/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>
      <c r="A203" s="22"/>
      <c r="B203" s="20"/>
      <c r="C203" s="20" t="str">
        <f>IFERROR(__xludf.DUMMYFUNCTION("IF(ISBLANK(B203),,IFERROR(array_constrain(FILTER('Leetcode分类顺序表'!B:J,'Leetcode分类顺序表'!A:A = B203), 1, 10000000),IFERROR(FILTER(Algoexpert.io!B:D,Algoexpert.io!A:A = B203),FILTER('Leetcode List'!B:J,'Leetcode List'!A:A = B203))))"),"")</f>
        <v/>
      </c>
      <c r="D203" s="20"/>
      <c r="E203" s="20"/>
      <c r="F203" s="20"/>
      <c r="G203" s="20"/>
      <c r="H203" s="20"/>
      <c r="I203" s="20"/>
      <c r="J203" s="20"/>
      <c r="K203" s="20"/>
      <c r="L203" s="20" t="str">
        <f t="shared" si="1"/>
        <v/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>
      <c r="A204" s="22"/>
      <c r="B204" s="20"/>
      <c r="C204" s="20" t="str">
        <f>IFERROR(__xludf.DUMMYFUNCTION("IF(ISBLANK(B204),,IFERROR(array_constrain(FILTER('Leetcode分类顺序表'!B:J,'Leetcode分类顺序表'!A:A = B204), 1, 10000000),IFERROR(FILTER(Algoexpert.io!B:D,Algoexpert.io!A:A = B204),FILTER('Leetcode List'!B:J,'Leetcode List'!A:A = B204))))"),"")</f>
        <v/>
      </c>
      <c r="D204" s="20"/>
      <c r="E204" s="20"/>
      <c r="F204" s="20"/>
      <c r="G204" s="20"/>
      <c r="H204" s="20"/>
      <c r="I204" s="20"/>
      <c r="J204" s="20"/>
      <c r="K204" s="20"/>
      <c r="L204" s="20" t="str">
        <f t="shared" si="1"/>
        <v/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>
      <c r="A205" s="22"/>
      <c r="B205" s="20"/>
      <c r="C205" s="20" t="str">
        <f>IFERROR(__xludf.DUMMYFUNCTION("IF(ISBLANK(B205),,IFERROR(array_constrain(FILTER('Leetcode分类顺序表'!B:J,'Leetcode分类顺序表'!A:A = B205), 1, 10000000),IFERROR(FILTER(Algoexpert.io!B:D,Algoexpert.io!A:A = B205),FILTER('Leetcode List'!B:J,'Leetcode List'!A:A = B205))))"),"")</f>
        <v/>
      </c>
      <c r="D205" s="20"/>
      <c r="E205" s="20"/>
      <c r="F205" s="20"/>
      <c r="G205" s="20"/>
      <c r="H205" s="20"/>
      <c r="I205" s="20"/>
      <c r="J205" s="20"/>
      <c r="K205" s="20"/>
      <c r="L205" s="20" t="str">
        <f t="shared" si="1"/>
        <v/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>
      <c r="A206" s="22"/>
      <c r="B206" s="20"/>
      <c r="C206" s="20" t="str">
        <f>IFERROR(__xludf.DUMMYFUNCTION("IF(ISBLANK(B206),,IFERROR(array_constrain(FILTER('Leetcode分类顺序表'!B:J,'Leetcode分类顺序表'!A:A = B206), 1, 10000000),IFERROR(FILTER(Algoexpert.io!B:D,Algoexpert.io!A:A = B206),FILTER('Leetcode List'!B:J,'Leetcode List'!A:A = B206))))"),"")</f>
        <v/>
      </c>
      <c r="D206" s="20"/>
      <c r="E206" s="20"/>
      <c r="F206" s="20"/>
      <c r="G206" s="20"/>
      <c r="H206" s="20"/>
      <c r="I206" s="20"/>
      <c r="J206" s="20"/>
      <c r="K206" s="20"/>
      <c r="L206" s="20" t="str">
        <f t="shared" si="1"/>
        <v/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>
      <c r="A207" s="22"/>
      <c r="B207" s="20"/>
      <c r="C207" s="20" t="str">
        <f>IFERROR(__xludf.DUMMYFUNCTION("IF(ISBLANK(B207),,IFERROR(array_constrain(FILTER('Leetcode分类顺序表'!B:J,'Leetcode分类顺序表'!A:A = B207), 1, 10000000),IFERROR(FILTER(Algoexpert.io!B:D,Algoexpert.io!A:A = B207),FILTER('Leetcode List'!B:J,'Leetcode List'!A:A = B207))))"),"")</f>
        <v/>
      </c>
      <c r="D207" s="20"/>
      <c r="E207" s="20"/>
      <c r="F207" s="20"/>
      <c r="G207" s="20"/>
      <c r="H207" s="20"/>
      <c r="I207" s="20"/>
      <c r="J207" s="20"/>
      <c r="K207" s="20"/>
      <c r="L207" s="20" t="str">
        <f t="shared" si="1"/>
        <v/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>
      <c r="A208" s="22"/>
      <c r="B208" s="20"/>
      <c r="C208" s="20" t="str">
        <f>IFERROR(__xludf.DUMMYFUNCTION("IF(ISBLANK(B208),,IFERROR(array_constrain(FILTER('Leetcode分类顺序表'!B:J,'Leetcode分类顺序表'!A:A = B208), 1, 10000000),IFERROR(FILTER(Algoexpert.io!B:D,Algoexpert.io!A:A = B208),FILTER('Leetcode List'!B:J,'Leetcode List'!A:A = B208))))"),"")</f>
        <v/>
      </c>
      <c r="D208" s="20"/>
      <c r="E208" s="20"/>
      <c r="F208" s="20"/>
      <c r="G208" s="20"/>
      <c r="H208" s="20"/>
      <c r="I208" s="20"/>
      <c r="J208" s="20"/>
      <c r="K208" s="20"/>
      <c r="L208" s="20" t="str">
        <f t="shared" si="1"/>
        <v/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>
      <c r="A209" s="22"/>
      <c r="B209" s="20"/>
      <c r="C209" s="20" t="str">
        <f>IFERROR(__xludf.DUMMYFUNCTION("IF(ISBLANK(B209),,IFERROR(array_constrain(FILTER('Leetcode分类顺序表'!B:J,'Leetcode分类顺序表'!A:A = B209), 1, 10000000),IFERROR(FILTER(Algoexpert.io!B:D,Algoexpert.io!A:A = B209),FILTER('Leetcode List'!B:J,'Leetcode List'!A:A = B209))))"),"")</f>
        <v/>
      </c>
      <c r="D209" s="20"/>
      <c r="E209" s="20"/>
      <c r="F209" s="20"/>
      <c r="G209" s="20"/>
      <c r="H209" s="20"/>
      <c r="I209" s="20"/>
      <c r="J209" s="20"/>
      <c r="K209" s="20"/>
      <c r="L209" s="20" t="str">
        <f t="shared" si="1"/>
        <v/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>
      <c r="A210" s="22"/>
      <c r="B210" s="20"/>
      <c r="C210" s="20" t="str">
        <f>IFERROR(__xludf.DUMMYFUNCTION("IF(ISBLANK(B210),,IFERROR(array_constrain(FILTER('Leetcode分类顺序表'!B:J,'Leetcode分类顺序表'!A:A = B210), 1, 10000000),IFERROR(FILTER(Algoexpert.io!B:D,Algoexpert.io!A:A = B210),FILTER('Leetcode List'!B:J,'Leetcode List'!A:A = B210))))"),"")</f>
        <v/>
      </c>
      <c r="D210" s="20"/>
      <c r="E210" s="20"/>
      <c r="F210" s="20"/>
      <c r="G210" s="20"/>
      <c r="H210" s="20"/>
      <c r="I210" s="20"/>
      <c r="J210" s="20"/>
      <c r="K210" s="20"/>
      <c r="L210" s="20" t="str">
        <f t="shared" si="1"/>
        <v/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>
      <c r="A211" s="22"/>
      <c r="B211" s="20"/>
      <c r="C211" s="20" t="str">
        <f>IFERROR(__xludf.DUMMYFUNCTION("IF(ISBLANK(B211),,IFERROR(array_constrain(FILTER('Leetcode分类顺序表'!B:J,'Leetcode分类顺序表'!A:A = B211), 1, 10000000),IFERROR(FILTER(Algoexpert.io!B:D,Algoexpert.io!A:A = B211),FILTER('Leetcode List'!B:J,'Leetcode List'!A:A = B211))))"),"")</f>
        <v/>
      </c>
      <c r="D211" s="20"/>
      <c r="E211" s="20"/>
      <c r="F211" s="20"/>
      <c r="G211" s="20"/>
      <c r="H211" s="20"/>
      <c r="I211" s="20"/>
      <c r="J211" s="20"/>
      <c r="K211" s="20"/>
      <c r="L211" s="20" t="str">
        <f t="shared" si="1"/>
        <v/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>
      <c r="A212" s="22"/>
      <c r="B212" s="20"/>
      <c r="C212" s="20" t="str">
        <f>IFERROR(__xludf.DUMMYFUNCTION("IF(ISBLANK(B212),,IFERROR(array_constrain(FILTER('Leetcode分类顺序表'!B:J,'Leetcode分类顺序表'!A:A = B212), 1, 10000000),IFERROR(FILTER(Algoexpert.io!B:D,Algoexpert.io!A:A = B212),FILTER('Leetcode List'!B:J,'Leetcode List'!A:A = B212))))"),"")</f>
        <v/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>
      <c r="A213" s="22"/>
      <c r="B213" s="20"/>
      <c r="C213" s="20" t="str">
        <f>IFERROR(__xludf.DUMMYFUNCTION("IF(ISBLANK(B213),,IFERROR(array_constrain(FILTER('Leetcode分类顺序表'!B:J,'Leetcode分类顺序表'!A:A = B213), 1, 10000000),IFERROR(FILTER(Algoexpert.io!B:D,Algoexpert.io!A:A = B213),FILTER('Leetcode List'!B:J,'Leetcode List'!A:A = B213))))"),"")</f>
        <v/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>
      <c r="A214" s="22"/>
      <c r="B214" s="20"/>
      <c r="C214" s="20" t="str">
        <f>IFERROR(__xludf.DUMMYFUNCTION("IF(ISBLANK(B214),,IFERROR(array_constrain(FILTER('Leetcode分类顺序表'!B:J,'Leetcode分类顺序表'!A:A = B214), 1, 10000000),IFERROR(FILTER(Algoexpert.io!B:D,Algoexpert.io!A:A = B214),FILTER('Leetcode List'!B:J,'Leetcode List'!A:A = B214))))"),"")</f>
        <v/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>
      <c r="A215" s="22"/>
      <c r="B215" s="20"/>
      <c r="C215" s="20" t="str">
        <f>IFERROR(__xludf.DUMMYFUNCTION("IF(ISBLANK(B215),,IFERROR(array_constrain(FILTER('Leetcode分类顺序表'!B:J,'Leetcode分类顺序表'!A:A = B215), 1, 10000000),IFERROR(FILTER(Algoexpert.io!B:D,Algoexpert.io!A:A = B215),FILTER('Leetcode List'!B:J,'Leetcode List'!A:A = B215))))"),"")</f>
        <v/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>
      <c r="A216" s="22"/>
      <c r="B216" s="20"/>
      <c r="C216" s="20" t="str">
        <f>IFERROR(__xludf.DUMMYFUNCTION("IF(ISBLANK(B216),,IFERROR(array_constrain(FILTER('Leetcode分类顺序表'!B:J,'Leetcode分类顺序表'!A:A = B216), 1, 10000000),IFERROR(FILTER(Algoexpert.io!B:D,Algoexpert.io!A:A = B216),FILTER('Leetcode List'!B:J,'Leetcode List'!A:A = B216))))"),"")</f>
        <v/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>
      <c r="A217" s="22"/>
      <c r="B217" s="20"/>
      <c r="C217" s="20" t="str">
        <f>IFERROR(__xludf.DUMMYFUNCTION("IF(ISBLANK(B217),,IFERROR(array_constrain(FILTER('Leetcode分类顺序表'!B:J,'Leetcode分类顺序表'!A:A = B217), 1, 10000000),IFERROR(FILTER(Algoexpert.io!B:D,Algoexpert.io!A:A = B217),FILTER('Leetcode List'!B:J,'Leetcode List'!A:A = B217))))"),"")</f>
        <v/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>
      <c r="A218" s="22"/>
      <c r="B218" s="20"/>
      <c r="C218" s="20" t="str">
        <f>IFERROR(__xludf.DUMMYFUNCTION("IF(ISBLANK(B218),,IFERROR(array_constrain(FILTER('Leetcode分类顺序表'!B:J,'Leetcode分类顺序表'!A:A = B218), 1, 10000000),IFERROR(FILTER(Algoexpert.io!B:D,Algoexpert.io!A:A = B218),FILTER('Leetcode List'!B:J,'Leetcode List'!A:A = B218))))"),"")</f>
        <v/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>
      <c r="A219" s="22"/>
      <c r="B219" s="20"/>
      <c r="C219" s="20" t="str">
        <f>IFERROR(__xludf.DUMMYFUNCTION("IF(ISBLANK(B219),,IFERROR(array_constrain(FILTER('Leetcode分类顺序表'!B:J,'Leetcode分类顺序表'!A:A = B219), 1, 10000000),IFERROR(FILTER(Algoexpert.io!B:D,Algoexpert.io!A:A = B219),FILTER('Leetcode List'!B:J,'Leetcode List'!A:A = B219))))"),"")</f>
        <v/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>
      <c r="A220" s="22"/>
      <c r="B220" s="20"/>
      <c r="C220" s="20" t="str">
        <f>IFERROR(__xludf.DUMMYFUNCTION("IF(ISBLANK(B220),,IFERROR(array_constrain(FILTER('Leetcode分类顺序表'!B:J,'Leetcode分类顺序表'!A:A = B220), 1, 10000000),IFERROR(FILTER(Algoexpert.io!B:D,Algoexpert.io!A:A = B220),FILTER('Leetcode List'!B:J,'Leetcode List'!A:A = B220))))"),"")</f>
        <v/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>
      <c r="A221" s="22"/>
      <c r="B221" s="20"/>
      <c r="C221" s="20" t="str">
        <f>IFERROR(__xludf.DUMMYFUNCTION("IF(ISBLANK(B221),,IFERROR(array_constrain(FILTER('Leetcode分类顺序表'!B:J,'Leetcode分类顺序表'!A:A = B221), 1, 10000000),IFERROR(FILTER(Algoexpert.io!B:D,Algoexpert.io!A:A = B221),FILTER('Leetcode List'!B:J,'Leetcode List'!A:A = B221))))"),"")</f>
        <v/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>
      <c r="A222" s="22"/>
      <c r="B222" s="20"/>
      <c r="C222" s="20" t="str">
        <f>IFERROR(__xludf.DUMMYFUNCTION("IF(ISBLANK(B222),,IFERROR(array_constrain(FILTER('Leetcode分类顺序表'!B:J,'Leetcode分类顺序表'!A:A = B222), 1, 10000000),IFERROR(FILTER(Algoexpert.io!B:D,Algoexpert.io!A:A = B222),FILTER('Leetcode List'!B:J,'Leetcode List'!A:A = B222))))"),"")</f>
        <v/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>
      <c r="A223" s="22"/>
      <c r="B223" s="20"/>
      <c r="C223" s="20" t="str">
        <f>IFERROR(__xludf.DUMMYFUNCTION("IF(ISBLANK(B223),,IFERROR(array_constrain(FILTER('Leetcode分类顺序表'!B:J,'Leetcode分类顺序表'!A:A = B223), 1, 10000000),IFERROR(FILTER(Algoexpert.io!B:D,Algoexpert.io!A:A = B223),FILTER('Leetcode List'!B:J,'Leetcode List'!A:A = B223))))"),"")</f>
        <v/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>
      <c r="A224" s="22"/>
      <c r="B224" s="20"/>
      <c r="C224" s="20" t="str">
        <f>IFERROR(__xludf.DUMMYFUNCTION("IF(ISBLANK(B224),,IFERROR(array_constrain(FILTER('Leetcode分类顺序表'!B:J,'Leetcode分类顺序表'!A:A = B224), 1, 10000000),IFERROR(FILTER(Algoexpert.io!B:D,Algoexpert.io!A:A = B224),FILTER('Leetcode List'!B:J,'Leetcode List'!A:A = B224))))"),"")</f>
        <v/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>
      <c r="A225" s="22"/>
      <c r="B225" s="20"/>
      <c r="C225" s="20" t="str">
        <f>IFERROR(__xludf.DUMMYFUNCTION("IF(ISBLANK(B225),,IFERROR(array_constrain(FILTER('Leetcode分类顺序表'!B:J,'Leetcode分类顺序表'!A:A = B225), 1, 10000000),IFERROR(FILTER(Algoexpert.io!B:D,Algoexpert.io!A:A = B225),FILTER('Leetcode List'!B:J,'Leetcode List'!A:A = B225))))"),"")</f>
        <v/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>
      <c r="A226" s="22"/>
      <c r="B226" s="20"/>
      <c r="C226" s="20" t="str">
        <f>IFERROR(__xludf.DUMMYFUNCTION("IF(ISBLANK(B226),,IFERROR(array_constrain(FILTER('Leetcode分类顺序表'!B:J,'Leetcode分类顺序表'!A:A = B226), 1, 10000000),IFERROR(FILTER(Algoexpert.io!B:D,Algoexpert.io!A:A = B226),FILTER('Leetcode List'!B:J,'Leetcode List'!A:A = B226))))"),"")</f>
        <v/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>
      <c r="A227" s="22"/>
      <c r="B227" s="20"/>
      <c r="C227" s="20" t="str">
        <f>IFERROR(__xludf.DUMMYFUNCTION("IF(ISBLANK(B227),,IFERROR(array_constrain(FILTER('Leetcode分类顺序表'!B:J,'Leetcode分类顺序表'!A:A = B227), 1, 10000000),IFERROR(FILTER(Algoexpert.io!B:D,Algoexpert.io!A:A = B227),FILTER('Leetcode List'!B:J,'Leetcode List'!A:A = B227))))"),"")</f>
        <v/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>
      <c r="A228" s="22"/>
      <c r="B228" s="20"/>
      <c r="C228" s="20" t="str">
        <f>IFERROR(__xludf.DUMMYFUNCTION("IF(ISBLANK(B228),,IFERROR(array_constrain(FILTER('Leetcode分类顺序表'!B:J,'Leetcode分类顺序表'!A:A = B228), 1, 10000000),IFERROR(FILTER(Algoexpert.io!B:D,Algoexpert.io!A:A = B228),FILTER('Leetcode List'!B:J,'Leetcode List'!A:A = B228))))"),"")</f>
        <v/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>
      <c r="A229" s="22"/>
      <c r="B229" s="20"/>
      <c r="C229" s="20" t="str">
        <f>IFERROR(__xludf.DUMMYFUNCTION("IF(ISBLANK(B229),,IFERROR(array_constrain(FILTER('Leetcode分类顺序表'!B:J,'Leetcode分类顺序表'!A:A = B229), 1, 10000000),IFERROR(FILTER(Algoexpert.io!B:D,Algoexpert.io!A:A = B229),FILTER('Leetcode List'!B:J,'Leetcode List'!A:A = B229))))"),"")</f>
        <v/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>
      <c r="A230" s="22"/>
      <c r="B230" s="20"/>
      <c r="C230" s="20" t="str">
        <f>IFERROR(__xludf.DUMMYFUNCTION("IF(ISBLANK(B230),,IFERROR(array_constrain(FILTER('Leetcode分类顺序表'!B:J,'Leetcode分类顺序表'!A:A = B230), 1, 10000000),IFERROR(FILTER(Algoexpert.io!B:D,Algoexpert.io!A:A = B230),FILTER('Leetcode List'!B:J,'Leetcode List'!A:A = B230))))"),"")</f>
        <v/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>
      <c r="A231" s="22"/>
      <c r="B231" s="20"/>
      <c r="C231" s="20" t="str">
        <f>IFERROR(__xludf.DUMMYFUNCTION("IF(ISBLANK(B231),,IFERROR(array_constrain(FILTER('Leetcode分类顺序表'!B:J,'Leetcode分类顺序表'!A:A = B231), 1, 10000000),IFERROR(FILTER(Algoexpert.io!B:D,Algoexpert.io!A:A = B231),FILTER('Leetcode List'!B:J,'Leetcode List'!A:A = B231))))"),"")</f>
        <v/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>
      <c r="A232" s="22"/>
      <c r="B232" s="20"/>
      <c r="C232" s="20" t="str">
        <f>IFERROR(__xludf.DUMMYFUNCTION("IF(ISBLANK(B232),,IFERROR(array_constrain(FILTER('Leetcode分类顺序表'!B:J,'Leetcode分类顺序表'!A:A = B232), 1, 10000000),IFERROR(FILTER(Algoexpert.io!B:D,Algoexpert.io!A:A = B232),FILTER('Leetcode List'!B:J,'Leetcode List'!A:A = B232))))"),"")</f>
        <v/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>
      <c r="A233" s="22"/>
      <c r="B233" s="20"/>
      <c r="C233" s="20" t="str">
        <f>IFERROR(__xludf.DUMMYFUNCTION("IF(ISBLANK(B233),,IFERROR(array_constrain(FILTER('Leetcode分类顺序表'!B:J,'Leetcode分类顺序表'!A:A = B233), 1, 10000000),IFERROR(FILTER(Algoexpert.io!B:D,Algoexpert.io!A:A = B233),FILTER('Leetcode List'!B:J,'Leetcode List'!A:A = B233))))"),"")</f>
        <v/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>
      <c r="A234" s="22"/>
      <c r="B234" s="20"/>
      <c r="C234" s="20" t="str">
        <f>IFERROR(__xludf.DUMMYFUNCTION("IF(ISBLANK(B234),,IFERROR(array_constrain(FILTER('Leetcode分类顺序表'!B:J,'Leetcode分类顺序表'!A:A = B234), 1, 10000000),IFERROR(FILTER(Algoexpert.io!B:D,Algoexpert.io!A:A = B234),FILTER('Leetcode List'!B:J,'Leetcode List'!A:A = B234))))"),"")</f>
        <v/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>
      <c r="A235" s="22"/>
      <c r="B235" s="20"/>
      <c r="C235" s="20" t="str">
        <f>IFERROR(__xludf.DUMMYFUNCTION("IF(ISBLANK(B235),,IFERROR(array_constrain(FILTER('Leetcode分类顺序表'!B:J,'Leetcode分类顺序表'!A:A = B235), 1, 10000000),IFERROR(FILTER(Algoexpert.io!B:D,Algoexpert.io!A:A = B235),FILTER('Leetcode List'!B:J,'Leetcode List'!A:A = B235))))"),"")</f>
        <v/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>
      <c r="A236" s="22"/>
      <c r="B236" s="20"/>
      <c r="C236" s="20" t="str">
        <f>IFERROR(__xludf.DUMMYFUNCTION("IF(ISBLANK(B236),,IFERROR(array_constrain(FILTER('Leetcode分类顺序表'!B:J,'Leetcode分类顺序表'!A:A = B236), 1, 10000000),IFERROR(FILTER(Algoexpert.io!B:D,Algoexpert.io!A:A = B236),FILTER('Leetcode List'!B:J,'Leetcode List'!A:A = B236))))"),"")</f>
        <v/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>
      <c r="A237" s="22"/>
      <c r="B237" s="20"/>
      <c r="C237" s="20" t="str">
        <f>IFERROR(__xludf.DUMMYFUNCTION("IF(ISBLANK(B237),,IFERROR(array_constrain(FILTER('Leetcode分类顺序表'!B:J,'Leetcode分类顺序表'!A:A = B237), 1, 10000000),IFERROR(FILTER(Algoexpert.io!B:D,Algoexpert.io!A:A = B237),FILTER('Leetcode List'!B:J,'Leetcode List'!A:A = B237))))"),"")</f>
        <v/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>
      <c r="A238" s="22"/>
      <c r="B238" s="20"/>
      <c r="C238" s="20" t="str">
        <f>IFERROR(__xludf.DUMMYFUNCTION("IF(ISBLANK(B238),,IFERROR(array_constrain(FILTER('Leetcode分类顺序表'!B:J,'Leetcode分类顺序表'!A:A = B238), 1, 10000000),IFERROR(FILTER(Algoexpert.io!B:D,Algoexpert.io!A:A = B238),FILTER('Leetcode List'!B:J,'Leetcode List'!A:A = B238))))"),"")</f>
        <v/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>
      <c r="A239" s="22"/>
      <c r="B239" s="20"/>
      <c r="C239" s="20" t="str">
        <f>IFERROR(__xludf.DUMMYFUNCTION("IF(ISBLANK(B239),,IFERROR(array_constrain(FILTER('Leetcode分类顺序表'!B:J,'Leetcode分类顺序表'!A:A = B239), 1, 10000000),IFERROR(FILTER(Algoexpert.io!B:D,Algoexpert.io!A:A = B239),FILTER('Leetcode List'!B:J,'Leetcode List'!A:A = B239))))"),"")</f>
        <v/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>
      <c r="A240" s="22"/>
      <c r="B240" s="20"/>
      <c r="C240" s="20" t="str">
        <f>IFERROR(__xludf.DUMMYFUNCTION("IF(ISBLANK(B240),,IFERROR(array_constrain(FILTER('Leetcode分类顺序表'!B:J,'Leetcode分类顺序表'!A:A = B240), 1, 10000000),IFERROR(FILTER(Algoexpert.io!B:D,Algoexpert.io!A:A = B240),FILTER('Leetcode List'!B:J,'Leetcode List'!A:A = B240))))"),"")</f>
        <v/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>
      <c r="A241" s="22"/>
      <c r="B241" s="20"/>
      <c r="C241" s="20" t="str">
        <f>IFERROR(__xludf.DUMMYFUNCTION("IF(ISBLANK(B241),,IFERROR(array_constrain(FILTER('Leetcode分类顺序表'!B:J,'Leetcode分类顺序表'!A:A = B241), 1, 10000000),IFERROR(FILTER(Algoexpert.io!B:D,Algoexpert.io!A:A = B241),FILTER('Leetcode List'!B:J,'Leetcode List'!A:A = B241))))"),"")</f>
        <v/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>
      <c r="A242" s="22"/>
      <c r="B242" s="20"/>
      <c r="C242" s="20" t="str">
        <f>IFERROR(__xludf.DUMMYFUNCTION("IF(ISBLANK(B242),,IFERROR(array_constrain(FILTER('Leetcode分类顺序表'!B:J,'Leetcode分类顺序表'!A:A = B242), 1, 10000000),IFERROR(FILTER(Algoexpert.io!B:D,Algoexpert.io!A:A = B242),FILTER('Leetcode List'!B:J,'Leetcode List'!A:A = B242))))"),"")</f>
        <v/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>
      <c r="A243" s="22"/>
      <c r="B243" s="20"/>
      <c r="C243" s="20" t="str">
        <f>IFERROR(__xludf.DUMMYFUNCTION("IF(ISBLANK(B243),,IFERROR(array_constrain(FILTER('Leetcode分类顺序表'!B:J,'Leetcode分类顺序表'!A:A = B243), 1, 10000000),IFERROR(FILTER(Algoexpert.io!B:D,Algoexpert.io!A:A = B243),FILTER('Leetcode List'!B:J,'Leetcode List'!A:A = B243))))"),"")</f>
        <v/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>
      <c r="A244" s="22"/>
      <c r="B244" s="20"/>
      <c r="C244" s="20" t="str">
        <f>IFERROR(__xludf.DUMMYFUNCTION("IF(ISBLANK(B244),,IFERROR(array_constrain(FILTER('Leetcode分类顺序表'!B:J,'Leetcode分类顺序表'!A:A = B244), 1, 10000000),IFERROR(FILTER(Algoexpert.io!B:D,Algoexpert.io!A:A = B244),FILTER('Leetcode List'!B:J,'Leetcode List'!A:A = B244))))"),"")</f>
        <v/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>
      <c r="A245" s="22"/>
      <c r="B245" s="20"/>
      <c r="C245" s="20" t="str">
        <f>IFERROR(__xludf.DUMMYFUNCTION("IF(ISBLANK(B245),,IFERROR(array_constrain(FILTER('Leetcode分类顺序表'!B:J,'Leetcode分类顺序表'!A:A = B245), 1, 10000000),IFERROR(FILTER(Algoexpert.io!B:D,Algoexpert.io!A:A = B245),FILTER('Leetcode List'!B:J,'Leetcode List'!A:A = B245))))"),"")</f>
        <v/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>
      <c r="A246" s="22"/>
      <c r="B246" s="20"/>
      <c r="C246" s="20" t="str">
        <f>IFERROR(__xludf.DUMMYFUNCTION("IF(ISBLANK(B246),,IFERROR(array_constrain(FILTER('Leetcode分类顺序表'!B:J,'Leetcode分类顺序表'!A:A = B246), 1, 10000000),IFERROR(FILTER(Algoexpert.io!B:D,Algoexpert.io!A:A = B246),FILTER('Leetcode List'!B:J,'Leetcode List'!A:A = B246))))"),"")</f>
        <v/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>
      <c r="A247" s="22"/>
      <c r="B247" s="20"/>
      <c r="C247" s="20" t="str">
        <f>IFERROR(__xludf.DUMMYFUNCTION("IF(ISBLANK(B247),,IFERROR(array_constrain(FILTER('Leetcode分类顺序表'!B:J,'Leetcode分类顺序表'!A:A = B247), 1, 10000000),IFERROR(FILTER(Algoexpert.io!B:D,Algoexpert.io!A:A = B247),FILTER('Leetcode List'!B:J,'Leetcode List'!A:A = B247))))"),"")</f>
        <v/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>
      <c r="A248" s="22"/>
      <c r="B248" s="20"/>
      <c r="C248" s="20" t="str">
        <f>IFERROR(__xludf.DUMMYFUNCTION("IF(ISBLANK(B248),,IFERROR(array_constrain(FILTER('Leetcode分类顺序表'!B:J,'Leetcode分类顺序表'!A:A = B248), 1, 10000000),IFERROR(FILTER(Algoexpert.io!B:D,Algoexpert.io!A:A = B248),FILTER('Leetcode List'!B:J,'Leetcode List'!A:A = B248))))"),"")</f>
        <v/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>
      <c r="A249" s="22"/>
      <c r="B249" s="20"/>
      <c r="C249" s="20" t="str">
        <f>IFERROR(__xludf.DUMMYFUNCTION("IF(ISBLANK(B249),,IFERROR(array_constrain(FILTER('Leetcode分类顺序表'!B:J,'Leetcode分类顺序表'!A:A = B249), 1, 10000000),IFERROR(FILTER(Algoexpert.io!B:D,Algoexpert.io!A:A = B249),FILTER('Leetcode List'!B:J,'Leetcode List'!A:A = B249))))"),"")</f>
        <v/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>
      <c r="A250" s="22"/>
      <c r="B250" s="20"/>
      <c r="C250" s="20" t="str">
        <f>IFERROR(__xludf.DUMMYFUNCTION("IF(ISBLANK(B250),,IFERROR(array_constrain(FILTER('Leetcode分类顺序表'!B:J,'Leetcode分类顺序表'!A:A = B250), 1, 10000000),IFERROR(FILTER(Algoexpert.io!B:D,Algoexpert.io!A:A = B250),FILTER('Leetcode List'!B:J,'Leetcode List'!A:A = B250))))"),"")</f>
        <v/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>
      <c r="A251" s="22"/>
      <c r="B251" s="20"/>
      <c r="C251" s="20" t="str">
        <f>IFERROR(__xludf.DUMMYFUNCTION("IF(ISBLANK(B251),,IFERROR(array_constrain(FILTER('Leetcode分类顺序表'!B:J,'Leetcode分类顺序表'!A:A = B251), 1, 10000000),IFERROR(FILTER(Algoexpert.io!B:D,Algoexpert.io!A:A = B251),FILTER('Leetcode List'!B:J,'Leetcode List'!A:A = B251))))"),"")</f>
        <v/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>
      <c r="A252" s="22"/>
      <c r="B252" s="20"/>
      <c r="C252" s="20" t="str">
        <f>IFERROR(__xludf.DUMMYFUNCTION("IF(ISBLANK(B252),,IFERROR(array_constrain(FILTER('Leetcode分类顺序表'!B:J,'Leetcode分类顺序表'!A:A = B252), 1, 10000000),IFERROR(FILTER(Algoexpert.io!B:D,Algoexpert.io!A:A = B252),FILTER('Leetcode List'!B:J,'Leetcode List'!A:A = B252))))"),"")</f>
        <v/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>
      <c r="A253" s="22"/>
      <c r="B253" s="20"/>
      <c r="C253" s="20" t="str">
        <f>IFERROR(__xludf.DUMMYFUNCTION("IF(ISBLANK(B253),,IFERROR(array_constrain(FILTER('Leetcode分类顺序表'!B:J,'Leetcode分类顺序表'!A:A = B253), 1, 10000000),IFERROR(FILTER(Algoexpert.io!B:D,Algoexpert.io!A:A = B253),FILTER('Leetcode List'!B:J,'Leetcode List'!A:A = B253))))"),"")</f>
        <v/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>
      <c r="A254" s="22"/>
      <c r="B254" s="20"/>
      <c r="C254" s="20" t="str">
        <f>IFERROR(__xludf.DUMMYFUNCTION("IF(ISBLANK(B254),,IFERROR(array_constrain(FILTER('Leetcode分类顺序表'!B:J,'Leetcode分类顺序表'!A:A = B254), 1, 10000000),IFERROR(FILTER(Algoexpert.io!B:D,Algoexpert.io!A:A = B254),FILTER('Leetcode List'!B:J,'Leetcode List'!A:A = B254))))"),"")</f>
        <v/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>
      <c r="A255" s="22"/>
      <c r="B255" s="20"/>
      <c r="C255" s="20" t="str">
        <f>IFERROR(__xludf.DUMMYFUNCTION("IF(ISBLANK(B255),,IFERROR(array_constrain(FILTER('Leetcode分类顺序表'!B:J,'Leetcode分类顺序表'!A:A = B255), 1, 10000000),IFERROR(FILTER(Algoexpert.io!B:D,Algoexpert.io!A:A = B255),FILTER('Leetcode List'!B:J,'Leetcode List'!A:A = B255))))"),"")</f>
        <v/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>
      <c r="A256" s="22"/>
      <c r="B256" s="20"/>
      <c r="C256" s="20" t="str">
        <f>IFERROR(__xludf.DUMMYFUNCTION("IF(ISBLANK(B256),,IFERROR(array_constrain(FILTER('Leetcode分类顺序表'!B:J,'Leetcode分类顺序表'!A:A = B256), 1, 10000000),IFERROR(FILTER(Algoexpert.io!B:D,Algoexpert.io!A:A = B256),FILTER('Leetcode List'!B:J,'Leetcode List'!A:A = B256))))"),"")</f>
        <v/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>
      <c r="A257" s="22"/>
      <c r="B257" s="20"/>
      <c r="C257" s="20" t="str">
        <f>IFERROR(__xludf.DUMMYFUNCTION("IF(ISBLANK(B257),,IFERROR(array_constrain(FILTER('Leetcode分类顺序表'!B:J,'Leetcode分类顺序表'!A:A = B257), 1, 10000000),IFERROR(FILTER(Algoexpert.io!B:D,Algoexpert.io!A:A = B257),FILTER('Leetcode List'!B:J,'Leetcode List'!A:A = B257))))"),"")</f>
        <v/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>
      <c r="A258" s="22"/>
      <c r="B258" s="20"/>
      <c r="C258" s="20" t="str">
        <f>IFERROR(__xludf.DUMMYFUNCTION("IF(ISBLANK(B258),,IFERROR(array_constrain(FILTER('Leetcode分类顺序表'!B:J,'Leetcode分类顺序表'!A:A = B258), 1, 10000000),IFERROR(FILTER(Algoexpert.io!B:D,Algoexpert.io!A:A = B258),FILTER('Leetcode List'!B:J,'Leetcode List'!A:A = B258))))"),"")</f>
        <v/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>
      <c r="A259" s="22"/>
      <c r="B259" s="20"/>
      <c r="C259" s="20" t="str">
        <f>IFERROR(__xludf.DUMMYFUNCTION("IF(ISBLANK(B259),,IFERROR(array_constrain(FILTER('Leetcode分类顺序表'!B:J,'Leetcode分类顺序表'!A:A = B259), 1, 10000000),IFERROR(FILTER(Algoexpert.io!B:D,Algoexpert.io!A:A = B259),FILTER('Leetcode List'!B:J,'Leetcode List'!A:A = B259))))"),"")</f>
        <v/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>
      <c r="A260" s="22"/>
      <c r="B260" s="20"/>
      <c r="C260" s="20" t="str">
        <f>IFERROR(__xludf.DUMMYFUNCTION("IF(ISBLANK(B260),,IFERROR(array_constrain(FILTER('Leetcode分类顺序表'!B:J,'Leetcode分类顺序表'!A:A = B260), 1, 10000000),IFERROR(FILTER(Algoexpert.io!B:D,Algoexpert.io!A:A = B260),FILTER('Leetcode List'!B:J,'Leetcode List'!A:A = B260))))"),"")</f>
        <v/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>
      <c r="A261" s="22"/>
      <c r="B261" s="20"/>
      <c r="C261" s="20" t="str">
        <f>IFERROR(__xludf.DUMMYFUNCTION("IF(ISBLANK(B261),,IFERROR(array_constrain(FILTER('Leetcode分类顺序表'!B:J,'Leetcode分类顺序表'!A:A = B261), 1, 10000000),IFERROR(FILTER(Algoexpert.io!B:D,Algoexpert.io!A:A = B261),FILTER('Leetcode List'!B:J,'Leetcode List'!A:A = B261))))"),"")</f>
        <v/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>
      <c r="A262" s="22"/>
      <c r="B262" s="20"/>
      <c r="C262" s="20" t="str">
        <f>IFERROR(__xludf.DUMMYFUNCTION("IF(ISBLANK(B262),,IFERROR(array_constrain(FILTER('Leetcode分类顺序表'!B:J,'Leetcode分类顺序表'!A:A = B262), 1, 10000000),IFERROR(FILTER(Algoexpert.io!B:D,Algoexpert.io!A:A = B262),FILTER('Leetcode List'!B:J,'Leetcode List'!A:A = B262))))"),"")</f>
        <v/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>
      <c r="A263" s="22"/>
      <c r="B263" s="20"/>
      <c r="C263" s="20" t="str">
        <f>IFERROR(__xludf.DUMMYFUNCTION("IF(ISBLANK(B263),,IFERROR(array_constrain(FILTER('Leetcode分类顺序表'!B:J,'Leetcode分类顺序表'!A:A = B263), 1, 10000000),IFERROR(FILTER(Algoexpert.io!B:D,Algoexpert.io!A:A = B263),FILTER('Leetcode List'!B:J,'Leetcode List'!A:A = B263))))"),"")</f>
        <v/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>
      <c r="A264" s="22"/>
      <c r="B264" s="20"/>
      <c r="C264" s="20" t="str">
        <f>IFERROR(__xludf.DUMMYFUNCTION("IF(ISBLANK(B264),,IFERROR(array_constrain(FILTER('Leetcode分类顺序表'!B:J,'Leetcode分类顺序表'!A:A = B264), 1, 10000000),IFERROR(FILTER(Algoexpert.io!B:D,Algoexpert.io!A:A = B264),FILTER('Leetcode List'!B:J,'Leetcode List'!A:A = B264))))"),"")</f>
        <v/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>
      <c r="A265" s="22"/>
      <c r="B265" s="20"/>
      <c r="C265" s="20" t="str">
        <f>IFERROR(__xludf.DUMMYFUNCTION("IF(ISBLANK(B265),,IFERROR(array_constrain(FILTER('Leetcode分类顺序表'!B:J,'Leetcode分类顺序表'!A:A = B265), 1, 10000000),IFERROR(FILTER(Algoexpert.io!B:D,Algoexpert.io!A:A = B265),FILTER('Leetcode List'!B:J,'Leetcode List'!A:A = B265))))"),"")</f>
        <v/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>
      <c r="A266" s="22"/>
      <c r="B266" s="20"/>
      <c r="C266" s="20" t="str">
        <f>IFERROR(__xludf.DUMMYFUNCTION("IF(ISBLANK(B266),,IFERROR(array_constrain(FILTER('Leetcode分类顺序表'!B:J,'Leetcode分类顺序表'!A:A = B266), 1, 10000000),IFERROR(FILTER(Algoexpert.io!B:D,Algoexpert.io!A:A = B266),FILTER('Leetcode List'!B:J,'Leetcode List'!A:A = B266))))"),"")</f>
        <v/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>
      <c r="A267" s="22"/>
      <c r="B267" s="20"/>
      <c r="C267" s="20" t="str">
        <f>IFERROR(__xludf.DUMMYFUNCTION("IF(ISBLANK(B267),,IFERROR(array_constrain(FILTER('Leetcode分类顺序表'!B:J,'Leetcode分类顺序表'!A:A = B267), 1, 10000000),IFERROR(FILTER(Algoexpert.io!B:D,Algoexpert.io!A:A = B267),FILTER('Leetcode List'!B:J,'Leetcode List'!A:A = B267))))"),"")</f>
        <v/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>
      <c r="A268" s="22"/>
      <c r="B268" s="20"/>
      <c r="C268" s="20" t="str">
        <f>IFERROR(__xludf.DUMMYFUNCTION("IF(ISBLANK(B268),,IFERROR(array_constrain(FILTER('Leetcode分类顺序表'!B:J,'Leetcode分类顺序表'!A:A = B268), 1, 10000000),IFERROR(FILTER(Algoexpert.io!B:D,Algoexpert.io!A:A = B268),FILTER('Leetcode List'!B:J,'Leetcode List'!A:A = B268))))"),"")</f>
        <v/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>
      <c r="A269" s="22"/>
      <c r="B269" s="20"/>
      <c r="C269" s="20" t="str">
        <f>IFERROR(__xludf.DUMMYFUNCTION("IF(ISBLANK(B269),,IFERROR(array_constrain(FILTER('Leetcode分类顺序表'!B:J,'Leetcode分类顺序表'!A:A = B269), 1, 10000000),IFERROR(FILTER(Algoexpert.io!B:D,Algoexpert.io!A:A = B269),FILTER('Leetcode List'!B:J,'Leetcode List'!A:A = B269))))"),"")</f>
        <v/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>
      <c r="A270" s="22"/>
      <c r="B270" s="20"/>
      <c r="C270" s="20" t="str">
        <f>IFERROR(__xludf.DUMMYFUNCTION("IF(ISBLANK(B270),,IFERROR(array_constrain(FILTER('Leetcode分类顺序表'!B:J,'Leetcode分类顺序表'!A:A = B270), 1, 10000000),IFERROR(FILTER(Algoexpert.io!B:D,Algoexpert.io!A:A = B270),FILTER('Leetcode List'!B:J,'Leetcode List'!A:A = B270))))"),"")</f>
        <v/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>
      <c r="A271" s="22"/>
      <c r="B271" s="20"/>
      <c r="C271" s="20" t="str">
        <f>IFERROR(__xludf.DUMMYFUNCTION("IF(ISBLANK(B271),,IFERROR(array_constrain(FILTER('Leetcode分类顺序表'!B:J,'Leetcode分类顺序表'!A:A = B271), 1, 10000000),IFERROR(FILTER(Algoexpert.io!B:D,Algoexpert.io!A:A = B271),FILTER('Leetcode List'!B:J,'Leetcode List'!A:A = B271))))"),"")</f>
        <v/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>
      <c r="A272" s="22"/>
      <c r="B272" s="20"/>
      <c r="C272" s="20" t="str">
        <f>IFERROR(__xludf.DUMMYFUNCTION("IF(ISBLANK(B272),,IFERROR(array_constrain(FILTER('Leetcode分类顺序表'!B:J,'Leetcode分类顺序表'!A:A = B272), 1, 10000000),IFERROR(FILTER(Algoexpert.io!B:D,Algoexpert.io!A:A = B272),FILTER('Leetcode List'!B:J,'Leetcode List'!A:A = B272))))"),"")</f>
        <v/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>
      <c r="A273" s="22"/>
      <c r="B273" s="20"/>
      <c r="C273" s="20" t="str">
        <f>IFERROR(__xludf.DUMMYFUNCTION("IF(ISBLANK(B273),,IFERROR(array_constrain(FILTER('Leetcode分类顺序表'!B:J,'Leetcode分类顺序表'!A:A = B273), 1, 10000000),IFERROR(FILTER(Algoexpert.io!B:D,Algoexpert.io!A:A = B273),FILTER('Leetcode List'!B:J,'Leetcode List'!A:A = B273))))"),"")</f>
        <v/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>
      <c r="A274" s="22"/>
      <c r="B274" s="20"/>
      <c r="C274" s="20" t="str">
        <f>IFERROR(__xludf.DUMMYFUNCTION("IF(ISBLANK(B274),,IFERROR(array_constrain(FILTER('Leetcode分类顺序表'!B:J,'Leetcode分类顺序表'!A:A = B274), 1, 10000000),IFERROR(FILTER(Algoexpert.io!B:D,Algoexpert.io!A:A = B274),FILTER('Leetcode List'!B:J,'Leetcode List'!A:A = B274))))"),"")</f>
        <v/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>
      <c r="A275" s="22"/>
      <c r="B275" s="20"/>
      <c r="C275" s="20" t="str">
        <f>IFERROR(__xludf.DUMMYFUNCTION("IF(ISBLANK(B275),,IFERROR(array_constrain(FILTER('Leetcode分类顺序表'!B:J,'Leetcode分类顺序表'!A:A = B275), 1, 10000000),IFERROR(FILTER(Algoexpert.io!B:D,Algoexpert.io!A:A = B275),FILTER('Leetcode List'!B:J,'Leetcode List'!A:A = B275))))"),"")</f>
        <v/>
      </c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>
      <c r="A276" s="22"/>
      <c r="B276" s="20"/>
      <c r="C276" s="20" t="str">
        <f>IFERROR(__xludf.DUMMYFUNCTION("IF(ISBLANK(B276),,IFERROR(array_constrain(FILTER('Leetcode分类顺序表'!B:J,'Leetcode分类顺序表'!A:A = B276), 1, 10000000),IFERROR(FILTER(Algoexpert.io!B:D,Algoexpert.io!A:A = B276),FILTER('Leetcode List'!B:J,'Leetcode List'!A:A = B276))))"),"")</f>
        <v/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>
      <c r="A277" s="22"/>
      <c r="B277" s="20"/>
      <c r="C277" s="20" t="str">
        <f>IFERROR(__xludf.DUMMYFUNCTION("IF(ISBLANK(B277),,IFERROR(array_constrain(FILTER('Leetcode分类顺序表'!B:J,'Leetcode分类顺序表'!A:A = B277), 1, 10000000),IFERROR(FILTER(Algoexpert.io!B:D,Algoexpert.io!A:A = B277),FILTER('Leetcode List'!B:J,'Leetcode List'!A:A = B277))))"),"")</f>
        <v/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>
      <c r="A278" s="22"/>
      <c r="B278" s="20"/>
      <c r="C278" s="20" t="str">
        <f>IFERROR(__xludf.DUMMYFUNCTION("IF(ISBLANK(B278),,IFERROR(array_constrain(FILTER('Leetcode分类顺序表'!B:J,'Leetcode分类顺序表'!A:A = B278), 1, 10000000),IFERROR(FILTER(Algoexpert.io!B:D,Algoexpert.io!A:A = B278),FILTER('Leetcode List'!B:J,'Leetcode List'!A:A = B278))))"),"")</f>
        <v/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>
      <c r="A279" s="22"/>
      <c r="B279" s="20"/>
      <c r="C279" s="20" t="str">
        <f>IFERROR(__xludf.DUMMYFUNCTION("IF(ISBLANK(B279),,IFERROR(array_constrain(FILTER('Leetcode分类顺序表'!B:J,'Leetcode分类顺序表'!A:A = B279), 1, 10000000),IFERROR(FILTER(Algoexpert.io!B:D,Algoexpert.io!A:A = B279),FILTER('Leetcode List'!B:J,'Leetcode List'!A:A = B279))))"),"")</f>
        <v/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>
      <c r="A280" s="22"/>
      <c r="B280" s="20"/>
      <c r="C280" s="20" t="str">
        <f>IFERROR(__xludf.DUMMYFUNCTION("IF(ISBLANK(B280),,IFERROR(array_constrain(FILTER('Leetcode分类顺序表'!B:J,'Leetcode分类顺序表'!A:A = B280), 1, 10000000),IFERROR(FILTER(Algoexpert.io!B:D,Algoexpert.io!A:A = B280),FILTER('Leetcode List'!B:J,'Leetcode List'!A:A = B280))))"),"")</f>
        <v/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>
      <c r="A281" s="22"/>
      <c r="B281" s="20"/>
      <c r="C281" s="20" t="str">
        <f>IFERROR(__xludf.DUMMYFUNCTION("IF(ISBLANK(B281),,IFERROR(array_constrain(FILTER('Leetcode分类顺序表'!B:J,'Leetcode分类顺序表'!A:A = B281), 1, 10000000),IFERROR(FILTER(Algoexpert.io!B:D,Algoexpert.io!A:A = B281),FILTER('Leetcode List'!B:J,'Leetcode List'!A:A = B281))))"),"")</f>
        <v/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>
      <c r="A282" s="22"/>
      <c r="B282" s="20"/>
      <c r="C282" s="20" t="str">
        <f>IFERROR(__xludf.DUMMYFUNCTION("IF(ISBLANK(B282),,IFERROR(array_constrain(FILTER('Leetcode分类顺序表'!B:J,'Leetcode分类顺序表'!A:A = B282), 1, 10000000),IFERROR(FILTER(Algoexpert.io!B:D,Algoexpert.io!A:A = B282),FILTER('Leetcode List'!B:J,'Leetcode List'!A:A = B282))))"),"")</f>
        <v/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>
      <c r="A283" s="22"/>
      <c r="B283" s="20"/>
      <c r="C283" s="20" t="str">
        <f>IFERROR(__xludf.DUMMYFUNCTION("IF(ISBLANK(B283),,IFERROR(array_constrain(FILTER('Leetcode分类顺序表'!B:J,'Leetcode分类顺序表'!A:A = B283), 1, 10000000),IFERROR(FILTER(Algoexpert.io!B:D,Algoexpert.io!A:A = B283),FILTER('Leetcode List'!B:J,'Leetcode List'!A:A = B283))))"),"")</f>
        <v/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>
      <c r="A284" s="22"/>
      <c r="B284" s="20"/>
      <c r="C284" s="20" t="str">
        <f>IFERROR(__xludf.DUMMYFUNCTION("IF(ISBLANK(B284),,IFERROR(array_constrain(FILTER('Leetcode分类顺序表'!B:J,'Leetcode分类顺序表'!A:A = B284), 1, 10000000),IFERROR(FILTER(Algoexpert.io!B:D,Algoexpert.io!A:A = B284),FILTER('Leetcode List'!B:J,'Leetcode List'!A:A = B284))))"),"")</f>
        <v/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>
      <c r="A285" s="22"/>
      <c r="B285" s="20"/>
      <c r="C285" s="20" t="str">
        <f>IFERROR(__xludf.DUMMYFUNCTION("IF(ISBLANK(B285),,IFERROR(array_constrain(FILTER('Leetcode分类顺序表'!B:J,'Leetcode分类顺序表'!A:A = B285), 1, 10000000),IFERROR(FILTER(Algoexpert.io!B:D,Algoexpert.io!A:A = B285),FILTER('Leetcode List'!B:J,'Leetcode List'!A:A = B285))))"),"")</f>
        <v/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>
      <c r="A286" s="22"/>
      <c r="B286" s="20"/>
      <c r="C286" s="20" t="str">
        <f>IFERROR(__xludf.DUMMYFUNCTION("IF(ISBLANK(B286),,IFERROR(array_constrain(FILTER('Leetcode分类顺序表'!B:J,'Leetcode分类顺序表'!A:A = B286), 1, 10000000),IFERROR(FILTER(Algoexpert.io!B:D,Algoexpert.io!A:A = B286),FILTER('Leetcode List'!B:J,'Leetcode List'!A:A = B286))))"),"")</f>
        <v/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>
      <c r="A287" s="22"/>
      <c r="B287" s="20"/>
      <c r="C287" s="20" t="str">
        <f>IFERROR(__xludf.DUMMYFUNCTION("IF(ISBLANK(B287),,IFERROR(array_constrain(FILTER('Leetcode分类顺序表'!B:J,'Leetcode分类顺序表'!A:A = B287), 1, 10000000),IFERROR(FILTER(Algoexpert.io!B:D,Algoexpert.io!A:A = B287),FILTER('Leetcode List'!B:J,'Leetcode List'!A:A = B287))))"),"")</f>
        <v/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>
      <c r="A288" s="22"/>
      <c r="B288" s="20"/>
      <c r="C288" s="20" t="str">
        <f>IFERROR(__xludf.DUMMYFUNCTION("IF(ISBLANK(B288),,IFERROR(array_constrain(FILTER('Leetcode分类顺序表'!B:J,'Leetcode分类顺序表'!A:A = B288), 1, 10000000),IFERROR(FILTER(Algoexpert.io!B:D,Algoexpert.io!A:A = B288),FILTER('Leetcode List'!B:J,'Leetcode List'!A:A = B288))))"),"")</f>
        <v/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>
      <c r="A289" s="22"/>
      <c r="B289" s="20"/>
      <c r="C289" s="20" t="str">
        <f>IFERROR(__xludf.DUMMYFUNCTION("IF(ISBLANK(B289),,IFERROR(array_constrain(FILTER('Leetcode分类顺序表'!B:J,'Leetcode分类顺序表'!A:A = B289), 1, 10000000),IFERROR(FILTER(Algoexpert.io!B:D,Algoexpert.io!A:A = B289),FILTER('Leetcode List'!B:J,'Leetcode List'!A:A = B289))))"),"")</f>
        <v/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>
      <c r="A290" s="22"/>
      <c r="B290" s="20"/>
      <c r="C290" s="20" t="str">
        <f>IFERROR(__xludf.DUMMYFUNCTION("IF(ISBLANK(B290),,IFERROR(array_constrain(FILTER('Leetcode分类顺序表'!B:J,'Leetcode分类顺序表'!A:A = B290), 1, 10000000),IFERROR(FILTER(Algoexpert.io!B:D,Algoexpert.io!A:A = B290),FILTER('Leetcode List'!B:J,'Leetcode List'!A:A = B290))))"),"")</f>
        <v/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>
      <c r="A291" s="22"/>
      <c r="B291" s="20"/>
      <c r="C291" s="20" t="str">
        <f>IFERROR(__xludf.DUMMYFUNCTION("IF(ISBLANK(B291),,IFERROR(array_constrain(FILTER('Leetcode分类顺序表'!B:J,'Leetcode分类顺序表'!A:A = B291), 1, 10000000),IFERROR(FILTER(Algoexpert.io!B:D,Algoexpert.io!A:A = B291),FILTER('Leetcode List'!B:J,'Leetcode List'!A:A = B291))))"),"")</f>
        <v/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>
      <c r="A292" s="22"/>
      <c r="B292" s="20"/>
      <c r="C292" s="20" t="str">
        <f>IFERROR(__xludf.DUMMYFUNCTION("IF(ISBLANK(B292),,IFERROR(array_constrain(FILTER('Leetcode分类顺序表'!B:J,'Leetcode分类顺序表'!A:A = B292), 1, 10000000),IFERROR(FILTER(Algoexpert.io!B:D,Algoexpert.io!A:A = B292),FILTER('Leetcode List'!B:J,'Leetcode List'!A:A = B292))))"),"")</f>
        <v/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>
      <c r="A293" s="22"/>
      <c r="B293" s="20"/>
      <c r="C293" s="20" t="str">
        <f>IFERROR(__xludf.DUMMYFUNCTION("IF(ISBLANK(B293),,IFERROR(array_constrain(FILTER('Leetcode分类顺序表'!B:J,'Leetcode分类顺序表'!A:A = B293), 1, 10000000),IFERROR(FILTER(Algoexpert.io!B:D,Algoexpert.io!A:A = B293),FILTER('Leetcode List'!B:J,'Leetcode List'!A:A = B293))))"),"")</f>
        <v/>
      </c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>
      <c r="A294" s="22"/>
      <c r="B294" s="20"/>
      <c r="C294" s="20" t="str">
        <f>IFERROR(__xludf.DUMMYFUNCTION("IF(ISBLANK(B294),,IFERROR(array_constrain(FILTER('Leetcode分类顺序表'!B:J,'Leetcode分类顺序表'!A:A = B294), 1, 10000000),IFERROR(FILTER(Algoexpert.io!B:D,Algoexpert.io!A:A = B294),FILTER('Leetcode List'!B:J,'Leetcode List'!A:A = B294))))"),"")</f>
        <v/>
      </c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>
      <c r="A295" s="22"/>
      <c r="B295" s="20"/>
      <c r="C295" s="20" t="str">
        <f>IFERROR(__xludf.DUMMYFUNCTION("IF(ISBLANK(B295),,IFERROR(array_constrain(FILTER('Leetcode分类顺序表'!B:J,'Leetcode分类顺序表'!A:A = B295), 1, 10000000),IFERROR(FILTER(Algoexpert.io!B:D,Algoexpert.io!A:A = B295),FILTER('Leetcode List'!B:J,'Leetcode List'!A:A = B295))))"),"")</f>
        <v/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>
      <c r="A296" s="22"/>
      <c r="B296" s="20"/>
      <c r="C296" s="20" t="str">
        <f>IFERROR(__xludf.DUMMYFUNCTION("IF(ISBLANK(B296),,IFERROR(array_constrain(FILTER('Leetcode分类顺序表'!B:J,'Leetcode分类顺序表'!A:A = B296), 1, 10000000),IFERROR(FILTER(Algoexpert.io!B:D,Algoexpert.io!A:A = B296),FILTER('Leetcode List'!B:J,'Leetcode List'!A:A = B296))))"),"")</f>
        <v/>
      </c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>
      <c r="A297" s="22"/>
      <c r="B297" s="20"/>
      <c r="C297" s="20" t="str">
        <f>IFERROR(__xludf.DUMMYFUNCTION("IF(ISBLANK(B297),,IFERROR(array_constrain(FILTER('Leetcode分类顺序表'!B:J,'Leetcode分类顺序表'!A:A = B297), 1, 10000000),IFERROR(FILTER(Algoexpert.io!B:D,Algoexpert.io!A:A = B297),FILTER('Leetcode List'!B:J,'Leetcode List'!A:A = B297))))"),"")</f>
        <v/>
      </c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>
      <c r="A298" s="22"/>
      <c r="B298" s="20"/>
      <c r="C298" s="20" t="str">
        <f>IFERROR(__xludf.DUMMYFUNCTION("IF(ISBLANK(B298),,IFERROR(array_constrain(FILTER('Leetcode分类顺序表'!B:J,'Leetcode分类顺序表'!A:A = B298), 1, 10000000),IFERROR(FILTER(Algoexpert.io!B:D,Algoexpert.io!A:A = B298),FILTER('Leetcode List'!B:J,'Leetcode List'!A:A = B298))))"),"")</f>
        <v/>
      </c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>
      <c r="A299" s="22"/>
      <c r="B299" s="20"/>
      <c r="C299" s="20" t="str">
        <f>IFERROR(__xludf.DUMMYFUNCTION("IF(ISBLANK(B299),,IFERROR(array_constrain(FILTER('Leetcode分类顺序表'!B:J,'Leetcode分类顺序表'!A:A = B299), 1, 10000000),IFERROR(FILTER(Algoexpert.io!B:D,Algoexpert.io!A:A = B299),FILTER('Leetcode List'!B:J,'Leetcode List'!A:A = B299))))"),"")</f>
        <v/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>
      <c r="A300" s="22"/>
      <c r="B300" s="20"/>
      <c r="C300" s="20" t="str">
        <f>IFERROR(__xludf.DUMMYFUNCTION("IF(ISBLANK(B300),,IFERROR(array_constrain(FILTER('Leetcode分类顺序表'!B:J,'Leetcode分类顺序表'!A:A = B300), 1, 10000000),IFERROR(FILTER(Algoexpert.io!B:D,Algoexpert.io!A:A = B300),FILTER('Leetcode List'!B:J,'Leetcode List'!A:A = B300))))"),"")</f>
        <v/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>
      <c r="A301" s="22"/>
      <c r="B301" s="20"/>
      <c r="C301" s="20" t="str">
        <f>IFERROR(__xludf.DUMMYFUNCTION("IF(ISBLANK(B301),,IFERROR(array_constrain(FILTER('Leetcode分类顺序表'!B:J,'Leetcode分类顺序表'!A:A = B301), 1, 10000000),IFERROR(FILTER(Algoexpert.io!B:D,Algoexpert.io!A:A = B301),FILTER('Leetcode List'!B:J,'Leetcode List'!A:A = B301))))"),"")</f>
        <v/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>
      <c r="A302" s="22"/>
      <c r="B302" s="20"/>
      <c r="C302" s="20" t="str">
        <f>IFERROR(__xludf.DUMMYFUNCTION("IF(ISBLANK(B302),,IFERROR(array_constrain(FILTER('Leetcode分类顺序表'!B:J,'Leetcode分类顺序表'!A:A = B302), 1, 10000000),IFERROR(FILTER(Algoexpert.io!B:D,Algoexpert.io!A:A = B302),FILTER('Leetcode List'!B:J,'Leetcode List'!A:A = B302))))"),"")</f>
        <v/>
      </c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>
      <c r="A303" s="22"/>
      <c r="B303" s="20"/>
      <c r="C303" s="20" t="str">
        <f>IFERROR(__xludf.DUMMYFUNCTION("IF(ISBLANK(B303),,IFERROR(array_constrain(FILTER('Leetcode分类顺序表'!B:J,'Leetcode分类顺序表'!A:A = B303), 1, 10000000),IFERROR(FILTER(Algoexpert.io!B:D,Algoexpert.io!A:A = B303),FILTER('Leetcode List'!B:J,'Leetcode List'!A:A = B303))))"),"")</f>
        <v/>
      </c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>
      <c r="A304" s="22"/>
      <c r="B304" s="20"/>
      <c r="C304" s="20" t="str">
        <f>IFERROR(__xludf.DUMMYFUNCTION("IF(ISBLANK(B304),,IFERROR(array_constrain(FILTER('Leetcode分类顺序表'!B:J,'Leetcode分类顺序表'!A:A = B304), 1, 10000000),IFERROR(FILTER(Algoexpert.io!B:D,Algoexpert.io!A:A = B304),FILTER('Leetcode List'!B:J,'Leetcode List'!A:A = B304))))"),"")</f>
        <v/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>
      <c r="A305" s="22"/>
      <c r="B305" s="20"/>
      <c r="C305" s="20" t="str">
        <f>IFERROR(__xludf.DUMMYFUNCTION("IF(ISBLANK(B305),,IFERROR(array_constrain(FILTER('Leetcode分类顺序表'!B:J,'Leetcode分类顺序表'!A:A = B305), 1, 10000000),IFERROR(FILTER(Algoexpert.io!B:D,Algoexpert.io!A:A = B305),FILTER('Leetcode List'!B:J,'Leetcode List'!A:A = B305))))"),"")</f>
        <v/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>
      <c r="A306" s="22"/>
      <c r="B306" s="20"/>
      <c r="C306" s="20" t="str">
        <f>IFERROR(__xludf.DUMMYFUNCTION("IF(ISBLANK(B306),,IFERROR(array_constrain(FILTER('Leetcode分类顺序表'!B:J,'Leetcode分类顺序表'!A:A = B306), 1, 10000000),IFERROR(FILTER(Algoexpert.io!B:D,Algoexpert.io!A:A = B306),FILTER('Leetcode List'!B:J,'Leetcode List'!A:A = B306))))"),"")</f>
        <v/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>
      <c r="A307" s="22"/>
      <c r="B307" s="20"/>
      <c r="C307" s="20" t="str">
        <f>IFERROR(__xludf.DUMMYFUNCTION("IF(ISBLANK(B307),,IFERROR(array_constrain(FILTER('Leetcode分类顺序表'!B:J,'Leetcode分类顺序表'!A:A = B307), 1, 10000000),IFERROR(FILTER(Algoexpert.io!B:D,Algoexpert.io!A:A = B307),FILTER('Leetcode List'!B:J,'Leetcode List'!A:A = B307))))"),"")</f>
        <v/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>
      <c r="A308" s="22"/>
      <c r="B308" s="20"/>
      <c r="C308" s="20" t="str">
        <f>IFERROR(__xludf.DUMMYFUNCTION("IF(ISBLANK(B308),,IFERROR(array_constrain(FILTER('Leetcode分类顺序表'!B:J,'Leetcode分类顺序表'!A:A = B308), 1, 10000000),IFERROR(FILTER(Algoexpert.io!B:D,Algoexpert.io!A:A = B308),FILTER('Leetcode List'!B:J,'Leetcode List'!A:A = B308))))"),"")</f>
        <v/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>
      <c r="A309" s="22"/>
      <c r="B309" s="20"/>
      <c r="C309" s="20" t="str">
        <f>IFERROR(__xludf.DUMMYFUNCTION("IF(ISBLANK(B309),,IFERROR(array_constrain(FILTER('Leetcode分类顺序表'!B:J,'Leetcode分类顺序表'!A:A = B309), 1, 10000000),IFERROR(FILTER(Algoexpert.io!B:D,Algoexpert.io!A:A = B309),FILTER('Leetcode List'!B:J,'Leetcode List'!A:A = B309))))"),"")</f>
        <v/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>
      <c r="A310" s="22"/>
      <c r="B310" s="20"/>
      <c r="C310" s="20" t="str">
        <f>IFERROR(__xludf.DUMMYFUNCTION("IF(ISBLANK(B310),,IFERROR(array_constrain(FILTER('Leetcode分类顺序表'!B:J,'Leetcode分类顺序表'!A:A = B310), 1, 10000000),IFERROR(FILTER(Algoexpert.io!B:D,Algoexpert.io!A:A = B310),FILTER('Leetcode List'!B:J,'Leetcode List'!A:A = B310))))"),"")</f>
        <v/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>
      <c r="A311" s="22"/>
      <c r="B311" s="20"/>
      <c r="C311" s="20" t="str">
        <f>IFERROR(__xludf.DUMMYFUNCTION("IF(ISBLANK(B311),,IFERROR(array_constrain(FILTER('Leetcode分类顺序表'!B:J,'Leetcode分类顺序表'!A:A = B311), 1, 10000000),IFERROR(FILTER(Algoexpert.io!B:D,Algoexpert.io!A:A = B311),FILTER('Leetcode List'!B:J,'Leetcode List'!A:A = B311))))"),"")</f>
        <v/>
      </c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>
      <c r="A312" s="22"/>
      <c r="B312" s="20"/>
      <c r="C312" s="20" t="str">
        <f>IFERROR(__xludf.DUMMYFUNCTION("IF(ISBLANK(B312),,IFERROR(array_constrain(FILTER('Leetcode分类顺序表'!B:J,'Leetcode分类顺序表'!A:A = B312), 1, 10000000),IFERROR(FILTER(Algoexpert.io!B:D,Algoexpert.io!A:A = B312),FILTER('Leetcode List'!B:J,'Leetcode List'!A:A = B312))))"),"")</f>
        <v/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>
      <c r="A313" s="22"/>
      <c r="B313" s="20"/>
      <c r="C313" s="20" t="str">
        <f>IFERROR(__xludf.DUMMYFUNCTION("IF(ISBLANK(B313),,IFERROR(array_constrain(FILTER('Leetcode分类顺序表'!B:J,'Leetcode分类顺序表'!A:A = B313), 1, 10000000),IFERROR(FILTER(Algoexpert.io!B:D,Algoexpert.io!A:A = B313),FILTER('Leetcode List'!B:J,'Leetcode List'!A:A = B313))))"),"")</f>
        <v/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>
      <c r="A314" s="22"/>
      <c r="B314" s="20"/>
      <c r="C314" s="20" t="str">
        <f>IFERROR(__xludf.DUMMYFUNCTION("IF(ISBLANK(B314),,IFERROR(array_constrain(FILTER('Leetcode分类顺序表'!B:J,'Leetcode分类顺序表'!A:A = B314), 1, 10000000),IFERROR(FILTER(Algoexpert.io!B:D,Algoexpert.io!A:A = B314),FILTER('Leetcode List'!B:J,'Leetcode List'!A:A = B314))))"),"")</f>
        <v/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>
      <c r="A315" s="22"/>
      <c r="B315" s="20"/>
      <c r="C315" s="20" t="str">
        <f>IFERROR(__xludf.DUMMYFUNCTION("IF(ISBLANK(B315),,IFERROR(array_constrain(FILTER('Leetcode分类顺序表'!B:J,'Leetcode分类顺序表'!A:A = B315), 1, 10000000),IFERROR(FILTER(Algoexpert.io!B:D,Algoexpert.io!A:A = B315),FILTER('Leetcode List'!B:J,'Leetcode List'!A:A = B315))))"),"")</f>
        <v/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>
      <c r="A316" s="22"/>
      <c r="B316" s="20"/>
      <c r="C316" s="20" t="str">
        <f>IFERROR(__xludf.DUMMYFUNCTION("IF(ISBLANK(B316),,IFERROR(array_constrain(FILTER('Leetcode分类顺序表'!B:J,'Leetcode分类顺序表'!A:A = B316), 1, 10000000),IFERROR(FILTER(Algoexpert.io!B:D,Algoexpert.io!A:A = B316),FILTER('Leetcode List'!B:J,'Leetcode List'!A:A = B316))))"),"")</f>
        <v/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>
      <c r="A317" s="22"/>
      <c r="B317" s="20"/>
      <c r="C317" s="20" t="str">
        <f>IFERROR(__xludf.DUMMYFUNCTION("IF(ISBLANK(B317),,IFERROR(array_constrain(FILTER('Leetcode分类顺序表'!B:J,'Leetcode分类顺序表'!A:A = B317), 1, 10000000),IFERROR(FILTER(Algoexpert.io!B:D,Algoexpert.io!A:A = B317),FILTER('Leetcode List'!B:J,'Leetcode List'!A:A = B317))))"),"")</f>
        <v/>
      </c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>
      <c r="A318" s="22"/>
      <c r="B318" s="20"/>
      <c r="C318" s="20" t="str">
        <f>IFERROR(__xludf.DUMMYFUNCTION("IF(ISBLANK(B318),,IFERROR(array_constrain(FILTER('Leetcode分类顺序表'!B:J,'Leetcode分类顺序表'!A:A = B318), 1, 10000000),IFERROR(FILTER(Algoexpert.io!B:D,Algoexpert.io!A:A = B318),FILTER('Leetcode List'!B:J,'Leetcode List'!A:A = B318))))"),"")</f>
        <v/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>
      <c r="A319" s="22"/>
      <c r="B319" s="20"/>
      <c r="C319" s="20" t="str">
        <f>IFERROR(__xludf.DUMMYFUNCTION("IF(ISBLANK(B319),,IFERROR(array_constrain(FILTER('Leetcode分类顺序表'!B:J,'Leetcode分类顺序表'!A:A = B319), 1, 10000000),IFERROR(FILTER(Algoexpert.io!B:D,Algoexpert.io!A:A = B319),FILTER('Leetcode List'!B:J,'Leetcode List'!A:A = B319))))"),"")</f>
        <v/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>
      <c r="A320" s="22"/>
      <c r="B320" s="20"/>
      <c r="C320" s="20" t="str">
        <f>IFERROR(__xludf.DUMMYFUNCTION("IF(ISBLANK(B320),,IFERROR(array_constrain(FILTER('Leetcode分类顺序表'!B:J,'Leetcode分类顺序表'!A:A = B320), 1, 10000000),IFERROR(FILTER(Algoexpert.io!B:D,Algoexpert.io!A:A = B320),FILTER('Leetcode List'!B:J,'Leetcode List'!A:A = B320))))"),"")</f>
        <v/>
      </c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>
      <c r="A321" s="22"/>
      <c r="B321" s="20"/>
      <c r="C321" s="20" t="str">
        <f>IFERROR(__xludf.DUMMYFUNCTION("IF(ISBLANK(B321),,IFERROR(array_constrain(FILTER('Leetcode分类顺序表'!B:J,'Leetcode分类顺序表'!A:A = B321), 1, 10000000),IFERROR(FILTER(Algoexpert.io!B:D,Algoexpert.io!A:A = B321),FILTER('Leetcode List'!B:J,'Leetcode List'!A:A = B321))))"),"")</f>
        <v/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>
      <c r="A322" s="22"/>
      <c r="B322" s="20"/>
      <c r="C322" s="20" t="str">
        <f>IFERROR(__xludf.DUMMYFUNCTION("IF(ISBLANK(B322),,IFERROR(array_constrain(FILTER('Leetcode分类顺序表'!B:J,'Leetcode分类顺序表'!A:A = B322), 1, 10000000),IFERROR(FILTER(Algoexpert.io!B:D,Algoexpert.io!A:A = B322),FILTER('Leetcode List'!B:J,'Leetcode List'!A:A = B322))))"),"")</f>
        <v/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>
      <c r="A323" s="22"/>
      <c r="B323" s="20"/>
      <c r="C323" s="20" t="str">
        <f>IFERROR(__xludf.DUMMYFUNCTION("IF(ISBLANK(B323),,IFERROR(array_constrain(FILTER('Leetcode分类顺序表'!B:J,'Leetcode分类顺序表'!A:A = B323), 1, 10000000),IFERROR(FILTER(Algoexpert.io!B:D,Algoexpert.io!A:A = B323),FILTER('Leetcode List'!B:J,'Leetcode List'!A:A = B323))))"),"")</f>
        <v/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>
      <c r="A324" s="22"/>
      <c r="B324" s="20"/>
      <c r="C324" s="20" t="str">
        <f>IFERROR(__xludf.DUMMYFUNCTION("IF(ISBLANK(B324),,IFERROR(array_constrain(FILTER('Leetcode分类顺序表'!B:J,'Leetcode分类顺序表'!A:A = B324), 1, 10000000),IFERROR(FILTER(Algoexpert.io!B:D,Algoexpert.io!A:A = B324),FILTER('Leetcode List'!B:J,'Leetcode List'!A:A = B324))))"),"")</f>
        <v/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>
      <c r="A325" s="22"/>
      <c r="B325" s="20"/>
      <c r="C325" s="20" t="str">
        <f>IFERROR(__xludf.DUMMYFUNCTION("IF(ISBLANK(B325),,IFERROR(array_constrain(FILTER('Leetcode分类顺序表'!B:J,'Leetcode分类顺序表'!A:A = B325), 1, 10000000),IFERROR(FILTER(Algoexpert.io!B:D,Algoexpert.io!A:A = B325),FILTER('Leetcode List'!B:J,'Leetcode List'!A:A = B325))))"),"")</f>
        <v/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>
      <c r="A326" s="22"/>
      <c r="B326" s="20"/>
      <c r="C326" s="20" t="str">
        <f>IFERROR(__xludf.DUMMYFUNCTION("IF(ISBLANK(B326),,IFERROR(array_constrain(FILTER('Leetcode分类顺序表'!B:J,'Leetcode分类顺序表'!A:A = B326), 1, 10000000),IFERROR(FILTER(Algoexpert.io!B:D,Algoexpert.io!A:A = B326),FILTER('Leetcode List'!B:J,'Leetcode List'!A:A = B326))))"),"")</f>
        <v/>
      </c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>
      <c r="A327" s="22"/>
      <c r="B327" s="20"/>
      <c r="C327" s="20" t="str">
        <f>IFERROR(__xludf.DUMMYFUNCTION("IF(ISBLANK(B327),,IFERROR(array_constrain(FILTER('Leetcode分类顺序表'!B:J,'Leetcode分类顺序表'!A:A = B327), 1, 10000000),IFERROR(FILTER(Algoexpert.io!B:D,Algoexpert.io!A:A = B327),FILTER('Leetcode List'!B:J,'Leetcode List'!A:A = B327))))"),"")</f>
        <v/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>
      <c r="A328" s="22"/>
      <c r="B328" s="20"/>
      <c r="C328" s="20" t="str">
        <f>IFERROR(__xludf.DUMMYFUNCTION("IF(ISBLANK(B328),,IFERROR(array_constrain(FILTER('Leetcode分类顺序表'!B:J,'Leetcode分类顺序表'!A:A = B328), 1, 10000000),IFERROR(FILTER(Algoexpert.io!B:D,Algoexpert.io!A:A = B328),FILTER('Leetcode List'!B:J,'Leetcode List'!A:A = B328))))"),"")</f>
        <v/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>
      <c r="A329" s="22"/>
      <c r="B329" s="20"/>
      <c r="C329" s="20" t="str">
        <f>IFERROR(__xludf.DUMMYFUNCTION("IF(ISBLANK(B329),,IFERROR(array_constrain(FILTER('Leetcode分类顺序表'!B:J,'Leetcode分类顺序表'!A:A = B329), 1, 10000000),IFERROR(FILTER(Algoexpert.io!B:D,Algoexpert.io!A:A = B329),FILTER('Leetcode List'!B:J,'Leetcode List'!A:A = B329))))"),"")</f>
        <v/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>
      <c r="A330" s="22"/>
      <c r="B330" s="20"/>
      <c r="C330" s="20" t="str">
        <f>IFERROR(__xludf.DUMMYFUNCTION("IF(ISBLANK(B330),,IFERROR(array_constrain(FILTER('Leetcode分类顺序表'!B:J,'Leetcode分类顺序表'!A:A = B330), 1, 10000000),IFERROR(FILTER(Algoexpert.io!B:D,Algoexpert.io!A:A = B330),FILTER('Leetcode List'!B:J,'Leetcode List'!A:A = B330))))"),"")</f>
        <v/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>
      <c r="A331" s="22"/>
      <c r="B331" s="20"/>
      <c r="C331" s="20" t="str">
        <f>IFERROR(__xludf.DUMMYFUNCTION("IF(ISBLANK(B331),,IFERROR(array_constrain(FILTER('Leetcode分类顺序表'!B:J,'Leetcode分类顺序表'!A:A = B331), 1, 10000000),IFERROR(FILTER(Algoexpert.io!B:D,Algoexpert.io!A:A = B331),FILTER('Leetcode List'!B:J,'Leetcode List'!A:A = B331))))"),"")</f>
        <v/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>
      <c r="A332" s="22"/>
      <c r="B332" s="20"/>
      <c r="C332" s="20" t="str">
        <f>IFERROR(__xludf.DUMMYFUNCTION("IF(ISBLANK(B332),,IFERROR(array_constrain(FILTER('Leetcode分类顺序表'!B:J,'Leetcode分类顺序表'!A:A = B332), 1, 10000000),IFERROR(FILTER(Algoexpert.io!B:D,Algoexpert.io!A:A = B332),FILTER('Leetcode List'!B:J,'Leetcode List'!A:A = B332))))"),"")</f>
        <v/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>
      <c r="A333" s="22"/>
      <c r="B333" s="20"/>
      <c r="C333" s="20" t="str">
        <f>IFERROR(__xludf.DUMMYFUNCTION("IF(ISBLANK(B333),,IFERROR(array_constrain(FILTER('Leetcode分类顺序表'!B:J,'Leetcode分类顺序表'!A:A = B333), 1, 10000000),IFERROR(FILTER(Algoexpert.io!B:D,Algoexpert.io!A:A = B333),FILTER('Leetcode List'!B:J,'Leetcode List'!A:A = B333))))"),"")</f>
        <v/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>
      <c r="A334" s="22"/>
      <c r="B334" s="20"/>
      <c r="C334" s="20" t="str">
        <f>IFERROR(__xludf.DUMMYFUNCTION("IF(ISBLANK(B334),,IFERROR(array_constrain(FILTER('Leetcode分类顺序表'!B:J,'Leetcode分类顺序表'!A:A = B334), 1, 10000000),IFERROR(FILTER(Algoexpert.io!B:D,Algoexpert.io!A:A = B334),FILTER('Leetcode List'!B:J,'Leetcode List'!A:A = B334))))"),"")</f>
        <v/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>
      <c r="A335" s="22"/>
      <c r="B335" s="20"/>
      <c r="C335" s="20" t="str">
        <f>IFERROR(__xludf.DUMMYFUNCTION("IF(ISBLANK(B335),,IFERROR(array_constrain(FILTER('Leetcode分类顺序表'!B:J,'Leetcode分类顺序表'!A:A = B335), 1, 10000000),IFERROR(FILTER(Algoexpert.io!B:D,Algoexpert.io!A:A = B335),FILTER('Leetcode List'!B:J,'Leetcode List'!A:A = B335))))"),"")</f>
        <v/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>
      <c r="A336" s="22"/>
      <c r="B336" s="20"/>
      <c r="C336" s="20" t="str">
        <f>IFERROR(__xludf.DUMMYFUNCTION("IF(ISBLANK(B336),,IFERROR(array_constrain(FILTER('Leetcode分类顺序表'!B:J,'Leetcode分类顺序表'!A:A = B336), 1, 10000000),IFERROR(FILTER(Algoexpert.io!B:D,Algoexpert.io!A:A = B336),FILTER('Leetcode List'!B:J,'Leetcode List'!A:A = B336))))"),"")</f>
        <v/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>
      <c r="A337" s="22"/>
      <c r="B337" s="20"/>
      <c r="C337" s="20" t="str">
        <f>IFERROR(__xludf.DUMMYFUNCTION("IF(ISBLANK(B337),,IFERROR(array_constrain(FILTER('Leetcode分类顺序表'!B:J,'Leetcode分类顺序表'!A:A = B337), 1, 10000000),IFERROR(FILTER(Algoexpert.io!B:D,Algoexpert.io!A:A = B337),FILTER('Leetcode List'!B:J,'Leetcode List'!A:A = B337))))"),"")</f>
        <v/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>
      <c r="A338" s="22"/>
      <c r="B338" s="20"/>
      <c r="C338" s="20" t="str">
        <f>IFERROR(__xludf.DUMMYFUNCTION("IF(ISBLANK(B338),,IFERROR(array_constrain(FILTER('Leetcode分类顺序表'!B:J,'Leetcode分类顺序表'!A:A = B338), 1, 10000000),IFERROR(FILTER(Algoexpert.io!B:D,Algoexpert.io!A:A = B338),FILTER('Leetcode List'!B:J,'Leetcode List'!A:A = B338))))"),"")</f>
        <v/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>
      <c r="A339" s="22"/>
      <c r="B339" s="20"/>
      <c r="C339" s="20" t="str">
        <f>IFERROR(__xludf.DUMMYFUNCTION("IF(ISBLANK(B339),,IFERROR(array_constrain(FILTER('Leetcode分类顺序表'!B:J,'Leetcode分类顺序表'!A:A = B339), 1, 10000000),IFERROR(FILTER(Algoexpert.io!B:D,Algoexpert.io!A:A = B339),FILTER('Leetcode List'!B:J,'Leetcode List'!A:A = B339))))"),"")</f>
        <v/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>
      <c r="A340" s="22"/>
      <c r="B340" s="20"/>
      <c r="C340" s="20" t="str">
        <f>IFERROR(__xludf.DUMMYFUNCTION("IF(ISBLANK(B340),,IFERROR(array_constrain(FILTER('Leetcode分类顺序表'!B:J,'Leetcode分类顺序表'!A:A = B340), 1, 10000000),IFERROR(FILTER(Algoexpert.io!B:D,Algoexpert.io!A:A = B340),FILTER('Leetcode List'!B:J,'Leetcode List'!A:A = B340))))"),"")</f>
        <v/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>
      <c r="A341" s="22"/>
      <c r="B341" s="20"/>
      <c r="C341" s="20" t="str">
        <f>IFERROR(__xludf.DUMMYFUNCTION("IF(ISBLANK(B341),,IFERROR(array_constrain(FILTER('Leetcode分类顺序表'!B:J,'Leetcode分类顺序表'!A:A = B341), 1, 10000000),IFERROR(FILTER(Algoexpert.io!B:D,Algoexpert.io!A:A = B341),FILTER('Leetcode List'!B:J,'Leetcode List'!A:A = B341))))"),"")</f>
        <v/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>
      <c r="A342" s="22"/>
      <c r="B342" s="20"/>
      <c r="C342" s="20" t="str">
        <f>IFERROR(__xludf.DUMMYFUNCTION("IF(ISBLANK(B342),,IFERROR(array_constrain(FILTER('Leetcode分类顺序表'!B:J,'Leetcode分类顺序表'!A:A = B342), 1, 10000000),IFERROR(FILTER(Algoexpert.io!B:D,Algoexpert.io!A:A = B342),FILTER('Leetcode List'!B:J,'Leetcode List'!A:A = B342))))"),"")</f>
        <v/>
      </c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>
      <c r="A343" s="22"/>
      <c r="B343" s="20"/>
      <c r="C343" s="20" t="str">
        <f>IFERROR(__xludf.DUMMYFUNCTION("IF(ISBLANK(B343),,IFERROR(array_constrain(FILTER('Leetcode分类顺序表'!B:J,'Leetcode分类顺序表'!A:A = B343), 1, 10000000),IFERROR(FILTER(Algoexpert.io!B:D,Algoexpert.io!A:A = B343),FILTER('Leetcode List'!B:J,'Leetcode List'!A:A = B343))))"),"")</f>
        <v/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>
      <c r="A344" s="22"/>
      <c r="B344" s="20"/>
      <c r="C344" s="20" t="str">
        <f>IFERROR(__xludf.DUMMYFUNCTION("IF(ISBLANK(B344),,IFERROR(array_constrain(FILTER('Leetcode分类顺序表'!B:J,'Leetcode分类顺序表'!A:A = B344), 1, 10000000),IFERROR(FILTER(Algoexpert.io!B:D,Algoexpert.io!A:A = B344),FILTER('Leetcode List'!B:J,'Leetcode List'!A:A = B344))))"),"")</f>
        <v/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>
      <c r="A345" s="22"/>
      <c r="B345" s="20"/>
      <c r="C345" s="20" t="str">
        <f>IFERROR(__xludf.DUMMYFUNCTION("IF(ISBLANK(B345),,IFERROR(array_constrain(FILTER('Leetcode分类顺序表'!B:J,'Leetcode分类顺序表'!A:A = B345), 1, 10000000),IFERROR(FILTER(Algoexpert.io!B:D,Algoexpert.io!A:A = B345),FILTER('Leetcode List'!B:J,'Leetcode List'!A:A = B345))))"),"")</f>
        <v/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>
      <c r="A346" s="22"/>
      <c r="B346" s="20"/>
      <c r="C346" s="20" t="str">
        <f>IFERROR(__xludf.DUMMYFUNCTION("IF(ISBLANK(B346),,IFERROR(array_constrain(FILTER('Leetcode分类顺序表'!B:J,'Leetcode分类顺序表'!A:A = B346), 1, 10000000),IFERROR(FILTER(Algoexpert.io!B:D,Algoexpert.io!A:A = B346),FILTER('Leetcode List'!B:J,'Leetcode List'!A:A = B346))))"),"")</f>
        <v/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>
      <c r="A347" s="22"/>
      <c r="B347" s="20"/>
      <c r="C347" s="20" t="str">
        <f>IFERROR(__xludf.DUMMYFUNCTION("IF(ISBLANK(B347),,IFERROR(array_constrain(FILTER('Leetcode分类顺序表'!B:J,'Leetcode分类顺序表'!A:A = B347), 1, 10000000),IFERROR(FILTER(Algoexpert.io!B:D,Algoexpert.io!A:A = B347),FILTER('Leetcode List'!B:J,'Leetcode List'!A:A = B347))))"),"")</f>
        <v/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>
      <c r="A348" s="22"/>
      <c r="B348" s="20"/>
      <c r="C348" s="20" t="str">
        <f>IFERROR(__xludf.DUMMYFUNCTION("IF(ISBLANK(B348),,IFERROR(array_constrain(FILTER('Leetcode分类顺序表'!B:J,'Leetcode分类顺序表'!A:A = B348), 1, 10000000),IFERROR(FILTER(Algoexpert.io!B:D,Algoexpert.io!A:A = B348),FILTER('Leetcode List'!B:J,'Leetcode List'!A:A = B348))))"),"")</f>
        <v/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>
      <c r="A349" s="22"/>
      <c r="B349" s="20"/>
      <c r="C349" s="20" t="str">
        <f>IFERROR(__xludf.DUMMYFUNCTION("IF(ISBLANK(B349),,IFERROR(array_constrain(FILTER('Leetcode分类顺序表'!B:J,'Leetcode分类顺序表'!A:A = B349), 1, 10000000),IFERROR(FILTER(Algoexpert.io!B:D,Algoexpert.io!A:A = B349),FILTER('Leetcode List'!B:J,'Leetcode List'!A:A = B349))))"),"")</f>
        <v/>
      </c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>
      <c r="A350" s="22"/>
      <c r="B350" s="20"/>
      <c r="C350" s="20" t="str">
        <f>IFERROR(__xludf.DUMMYFUNCTION("IF(ISBLANK(B350),,IFERROR(array_constrain(FILTER('Leetcode分类顺序表'!B:J,'Leetcode分类顺序表'!A:A = B350), 1, 10000000),IFERROR(FILTER(Algoexpert.io!B:D,Algoexpert.io!A:A = B350),FILTER('Leetcode List'!B:J,'Leetcode List'!A:A = B350))))"),"")</f>
        <v/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>
      <c r="A351" s="22"/>
      <c r="B351" s="20"/>
      <c r="C351" s="20" t="str">
        <f>IFERROR(__xludf.DUMMYFUNCTION("IF(ISBLANK(B351),,IFERROR(array_constrain(FILTER('Leetcode分类顺序表'!B:J,'Leetcode分类顺序表'!A:A = B351), 1, 10000000),IFERROR(FILTER(Algoexpert.io!B:D,Algoexpert.io!A:A = B351),FILTER('Leetcode List'!B:J,'Leetcode List'!A:A = B351))))"),"")</f>
        <v/>
      </c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>
      <c r="A352" s="22"/>
      <c r="B352" s="20"/>
      <c r="C352" s="20" t="str">
        <f>IFERROR(__xludf.DUMMYFUNCTION("IF(ISBLANK(B352),,IFERROR(array_constrain(FILTER('Leetcode分类顺序表'!B:J,'Leetcode分类顺序表'!A:A = B352), 1, 10000000),IFERROR(FILTER(Algoexpert.io!B:D,Algoexpert.io!A:A = B352),FILTER('Leetcode List'!B:J,'Leetcode List'!A:A = B352))))"),"")</f>
        <v/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>
      <c r="A353" s="22"/>
      <c r="B353" s="20"/>
      <c r="C353" s="20" t="str">
        <f>IFERROR(__xludf.DUMMYFUNCTION("IF(ISBLANK(B353),,IFERROR(array_constrain(FILTER('Leetcode分类顺序表'!B:J,'Leetcode分类顺序表'!A:A = B353), 1, 10000000),IFERROR(FILTER(Algoexpert.io!B:D,Algoexpert.io!A:A = B353),FILTER('Leetcode List'!B:J,'Leetcode List'!A:A = B353))))"),"")</f>
        <v/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>
      <c r="A354" s="22"/>
      <c r="B354" s="20"/>
      <c r="C354" s="20" t="str">
        <f>IFERROR(__xludf.DUMMYFUNCTION("IF(ISBLANK(B354),,IFERROR(array_constrain(FILTER('Leetcode分类顺序表'!B:J,'Leetcode分类顺序表'!A:A = B354), 1, 10000000),IFERROR(FILTER(Algoexpert.io!B:D,Algoexpert.io!A:A = B354),FILTER('Leetcode List'!B:J,'Leetcode List'!A:A = B354))))"),"")</f>
        <v/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>
      <c r="A355" s="22"/>
      <c r="B355" s="20"/>
      <c r="C355" s="20" t="str">
        <f>IFERROR(__xludf.DUMMYFUNCTION("IF(ISBLANK(B355),,IFERROR(array_constrain(FILTER('Leetcode分类顺序表'!B:J,'Leetcode分类顺序表'!A:A = B355), 1, 10000000),IFERROR(FILTER(Algoexpert.io!B:D,Algoexpert.io!A:A = B355),FILTER('Leetcode List'!B:J,'Leetcode List'!A:A = B355))))"),"")</f>
        <v/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>
      <c r="A356" s="22"/>
      <c r="B356" s="20"/>
      <c r="C356" s="20" t="str">
        <f>IFERROR(__xludf.DUMMYFUNCTION("IF(ISBLANK(B356),,IFERROR(array_constrain(FILTER('Leetcode分类顺序表'!B:J,'Leetcode分类顺序表'!A:A = B356), 1, 10000000),IFERROR(FILTER(Algoexpert.io!B:D,Algoexpert.io!A:A = B356),FILTER('Leetcode List'!B:J,'Leetcode List'!A:A = B356))))"),"")</f>
        <v/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>
      <c r="A357" s="22"/>
      <c r="B357" s="20"/>
      <c r="C357" s="20" t="str">
        <f>IFERROR(__xludf.DUMMYFUNCTION("IF(ISBLANK(B357),,IFERROR(array_constrain(FILTER('Leetcode分类顺序表'!B:J,'Leetcode分类顺序表'!A:A = B357), 1, 10000000),IFERROR(FILTER(Algoexpert.io!B:D,Algoexpert.io!A:A = B357),FILTER('Leetcode List'!B:J,'Leetcode List'!A:A = B357))))"),"")</f>
        <v/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>
      <c r="A358" s="22"/>
      <c r="B358" s="20"/>
      <c r="C358" s="20" t="str">
        <f>IFERROR(__xludf.DUMMYFUNCTION("IF(ISBLANK(B358),,IFERROR(array_constrain(FILTER('Leetcode分类顺序表'!B:J,'Leetcode分类顺序表'!A:A = B358), 1, 10000000),IFERROR(FILTER(Algoexpert.io!B:D,Algoexpert.io!A:A = B358),FILTER('Leetcode List'!B:J,'Leetcode List'!A:A = B358))))"),"")</f>
        <v/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>
      <c r="A359" s="22"/>
      <c r="B359" s="20"/>
      <c r="C359" s="20" t="str">
        <f>IFERROR(__xludf.DUMMYFUNCTION("IF(ISBLANK(B359),,IFERROR(array_constrain(FILTER('Leetcode分类顺序表'!B:J,'Leetcode分类顺序表'!A:A = B359), 1, 10000000),IFERROR(FILTER(Algoexpert.io!B:D,Algoexpert.io!A:A = B359),FILTER('Leetcode List'!B:J,'Leetcode List'!A:A = B359))))"),"")</f>
        <v/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>
      <c r="A360" s="22"/>
      <c r="B360" s="20"/>
      <c r="C360" s="20" t="str">
        <f>IFERROR(__xludf.DUMMYFUNCTION("IF(ISBLANK(B360),,IFERROR(array_constrain(FILTER('Leetcode分类顺序表'!B:J,'Leetcode分类顺序表'!A:A = B360), 1, 10000000),IFERROR(FILTER(Algoexpert.io!B:D,Algoexpert.io!A:A = B360),FILTER('Leetcode List'!B:J,'Leetcode List'!A:A = B360))))"),"")</f>
        <v/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>
      <c r="A361" s="22"/>
      <c r="B361" s="20"/>
      <c r="C361" s="20" t="str">
        <f>IFERROR(__xludf.DUMMYFUNCTION("IF(ISBLANK(B361),,IFERROR(array_constrain(FILTER('Leetcode分类顺序表'!B:J,'Leetcode分类顺序表'!A:A = B361), 1, 10000000),IFERROR(FILTER(Algoexpert.io!B:D,Algoexpert.io!A:A = B361),FILTER('Leetcode List'!B:J,'Leetcode List'!A:A = B361))))"),"")</f>
        <v/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>
      <c r="A362" s="22"/>
      <c r="B362" s="20"/>
      <c r="C362" s="20" t="str">
        <f>IFERROR(__xludf.DUMMYFUNCTION("IF(ISBLANK(B362),,IFERROR(array_constrain(FILTER('Leetcode分类顺序表'!B:J,'Leetcode分类顺序表'!A:A = B362), 1, 10000000),IFERROR(FILTER(Algoexpert.io!B:D,Algoexpert.io!A:A = B362),FILTER('Leetcode List'!B:J,'Leetcode List'!A:A = B362))))"),"")</f>
        <v/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>
      <c r="A363" s="22"/>
      <c r="B363" s="20"/>
      <c r="C363" s="20" t="str">
        <f>IFERROR(__xludf.DUMMYFUNCTION("IF(ISBLANK(B363),,IFERROR(array_constrain(FILTER('Leetcode分类顺序表'!B:J,'Leetcode分类顺序表'!A:A = B363), 1, 10000000),IFERROR(FILTER(Algoexpert.io!B:D,Algoexpert.io!A:A = B363),FILTER('Leetcode List'!B:J,'Leetcode List'!A:A = B363))))"),"")</f>
        <v/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>
      <c r="A364" s="22"/>
      <c r="B364" s="20"/>
      <c r="C364" s="20" t="str">
        <f>IFERROR(__xludf.DUMMYFUNCTION("IF(ISBLANK(B364),,IFERROR(array_constrain(FILTER('Leetcode分类顺序表'!B:J,'Leetcode分类顺序表'!A:A = B364), 1, 10000000),IFERROR(FILTER(Algoexpert.io!B:D,Algoexpert.io!A:A = B364),FILTER('Leetcode List'!B:J,'Leetcode List'!A:A = B364))))"),"")</f>
        <v/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>
      <c r="A365" s="22"/>
      <c r="B365" s="20"/>
      <c r="C365" s="20" t="str">
        <f>IFERROR(__xludf.DUMMYFUNCTION("IF(ISBLANK(B365),,IFERROR(array_constrain(FILTER('Leetcode分类顺序表'!B:J,'Leetcode分类顺序表'!A:A = B365), 1, 10000000),IFERROR(FILTER(Algoexpert.io!B:D,Algoexpert.io!A:A = B365),FILTER('Leetcode List'!B:J,'Leetcode List'!A:A = B365))))"),"")</f>
        <v/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>
      <c r="A366" s="22"/>
      <c r="B366" s="20"/>
      <c r="C366" s="20" t="str">
        <f>IFERROR(__xludf.DUMMYFUNCTION("IF(ISBLANK(B366),,IFERROR(array_constrain(FILTER('Leetcode分类顺序表'!B:J,'Leetcode分类顺序表'!A:A = B366), 1, 10000000),IFERROR(FILTER(Algoexpert.io!B:D,Algoexpert.io!A:A = B366),FILTER('Leetcode List'!B:J,'Leetcode List'!A:A = B366))))"),"")</f>
        <v/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>
      <c r="A367" s="22"/>
      <c r="B367" s="20"/>
      <c r="C367" s="20" t="str">
        <f>IFERROR(__xludf.DUMMYFUNCTION("IF(ISBLANK(B367),,IFERROR(array_constrain(FILTER('Leetcode分类顺序表'!B:J,'Leetcode分类顺序表'!A:A = B367), 1, 10000000),IFERROR(FILTER(Algoexpert.io!B:D,Algoexpert.io!A:A = B367),FILTER('Leetcode List'!B:J,'Leetcode List'!A:A = B367))))"),"")</f>
        <v/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>
      <c r="A368" s="22"/>
      <c r="B368" s="20"/>
      <c r="C368" s="20" t="str">
        <f>IFERROR(__xludf.DUMMYFUNCTION("IF(ISBLANK(B368),,IFERROR(array_constrain(FILTER('Leetcode分类顺序表'!B:J,'Leetcode分类顺序表'!A:A = B368), 1, 10000000),IFERROR(FILTER(Algoexpert.io!B:D,Algoexpert.io!A:A = B368),FILTER('Leetcode List'!B:J,'Leetcode List'!A:A = B368))))"),"")</f>
        <v/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>
      <c r="A369" s="22"/>
      <c r="B369" s="20"/>
      <c r="C369" s="20" t="str">
        <f>IFERROR(__xludf.DUMMYFUNCTION("IF(ISBLANK(B369),,IFERROR(array_constrain(FILTER('Leetcode分类顺序表'!B:J,'Leetcode分类顺序表'!A:A = B369), 1, 10000000),IFERROR(FILTER(Algoexpert.io!B:D,Algoexpert.io!A:A = B369),FILTER('Leetcode List'!B:J,'Leetcode List'!A:A = B369))))"),"")</f>
        <v/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>
      <c r="A370" s="22"/>
      <c r="B370" s="20"/>
      <c r="C370" s="20" t="str">
        <f>IFERROR(__xludf.DUMMYFUNCTION("IF(ISBLANK(B370),,IFERROR(array_constrain(FILTER('Leetcode分类顺序表'!B:J,'Leetcode分类顺序表'!A:A = B370), 1, 10000000),IFERROR(FILTER(Algoexpert.io!B:D,Algoexpert.io!A:A = B370),FILTER('Leetcode List'!B:J,'Leetcode List'!A:A = B370))))"),"")</f>
        <v/>
      </c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>
      <c r="A371" s="22"/>
      <c r="B371" s="20"/>
      <c r="C371" s="20" t="str">
        <f>IFERROR(__xludf.DUMMYFUNCTION("IF(ISBLANK(B371),,IFERROR(array_constrain(FILTER('Leetcode分类顺序表'!B:J,'Leetcode分类顺序表'!A:A = B371), 1, 10000000),IFERROR(FILTER(Algoexpert.io!B:D,Algoexpert.io!A:A = B371),FILTER('Leetcode List'!B:J,'Leetcode List'!A:A = B371))))"),"")</f>
        <v/>
      </c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>
      <c r="A372" s="22"/>
      <c r="B372" s="20"/>
      <c r="C372" s="20" t="str">
        <f>IFERROR(__xludf.DUMMYFUNCTION("IF(ISBLANK(B372),,IFERROR(array_constrain(FILTER('Leetcode分类顺序表'!B:J,'Leetcode分类顺序表'!A:A = B372), 1, 10000000),IFERROR(FILTER(Algoexpert.io!B:D,Algoexpert.io!A:A = B372),FILTER('Leetcode List'!B:J,'Leetcode List'!A:A = B372))))"),"")</f>
        <v/>
      </c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>
      <c r="A373" s="22"/>
      <c r="B373" s="20"/>
      <c r="C373" s="20" t="str">
        <f>IFERROR(__xludf.DUMMYFUNCTION("IF(ISBLANK(B373),,IFERROR(array_constrain(FILTER('Leetcode分类顺序表'!B:J,'Leetcode分类顺序表'!A:A = B373), 1, 10000000),IFERROR(FILTER(Algoexpert.io!B:D,Algoexpert.io!A:A = B373),FILTER('Leetcode List'!B:J,'Leetcode List'!A:A = B373))))"),"")</f>
        <v/>
      </c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>
      <c r="A374" s="22"/>
      <c r="B374" s="20"/>
      <c r="C374" s="20" t="str">
        <f>IFERROR(__xludf.DUMMYFUNCTION("IF(ISBLANK(B374),,IFERROR(array_constrain(FILTER('Leetcode分类顺序表'!B:J,'Leetcode分类顺序表'!A:A = B374), 1, 10000000),IFERROR(FILTER(Algoexpert.io!B:D,Algoexpert.io!A:A = B374),FILTER('Leetcode List'!B:J,'Leetcode List'!A:A = B374))))"),"")</f>
        <v/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>
      <c r="A375" s="22"/>
      <c r="B375" s="20"/>
      <c r="C375" s="20" t="str">
        <f>IFERROR(__xludf.DUMMYFUNCTION("IF(ISBLANK(B375),,IFERROR(array_constrain(FILTER('Leetcode分类顺序表'!B:J,'Leetcode分类顺序表'!A:A = B375), 1, 10000000),IFERROR(FILTER(Algoexpert.io!B:D,Algoexpert.io!A:A = B375),FILTER('Leetcode List'!B:J,'Leetcode List'!A:A = B375))))"),"")</f>
        <v/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>
      <c r="A376" s="22"/>
      <c r="B376" s="20"/>
      <c r="C376" s="20" t="str">
        <f>IFERROR(__xludf.DUMMYFUNCTION("IF(ISBLANK(B376),,IFERROR(array_constrain(FILTER('Leetcode分类顺序表'!B:J,'Leetcode分类顺序表'!A:A = B376), 1, 10000000),IFERROR(FILTER(Algoexpert.io!B:D,Algoexpert.io!A:A = B376),FILTER('Leetcode List'!B:J,'Leetcode List'!A:A = B376))))"),"")</f>
        <v/>
      </c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>
      <c r="A377" s="22"/>
      <c r="B377" s="20"/>
      <c r="C377" s="20" t="str">
        <f>IFERROR(__xludf.DUMMYFUNCTION("IF(ISBLANK(B377),,IFERROR(array_constrain(FILTER('Leetcode分类顺序表'!B:J,'Leetcode分类顺序表'!A:A = B377), 1, 10000000),IFERROR(FILTER(Algoexpert.io!B:D,Algoexpert.io!A:A = B377),FILTER('Leetcode List'!B:J,'Leetcode List'!A:A = B377))))"),"")</f>
        <v/>
      </c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>
      <c r="A378" s="22"/>
      <c r="B378" s="20"/>
      <c r="C378" s="20" t="str">
        <f>IFERROR(__xludf.DUMMYFUNCTION("IF(ISBLANK(B378),,IFERROR(array_constrain(FILTER('Leetcode分类顺序表'!B:J,'Leetcode分类顺序表'!A:A = B378), 1, 10000000),IFERROR(FILTER(Algoexpert.io!B:D,Algoexpert.io!A:A = B378),FILTER('Leetcode List'!B:J,'Leetcode List'!A:A = B378))))"),"")</f>
        <v/>
      </c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>
      <c r="A379" s="22"/>
      <c r="B379" s="20"/>
      <c r="C379" s="20" t="str">
        <f>IFERROR(__xludf.DUMMYFUNCTION("IF(ISBLANK(B379),,IFERROR(array_constrain(FILTER('Leetcode分类顺序表'!B:J,'Leetcode分类顺序表'!A:A = B379), 1, 10000000),IFERROR(FILTER(Algoexpert.io!B:D,Algoexpert.io!A:A = B379),FILTER('Leetcode List'!B:J,'Leetcode List'!A:A = B379))))"),"")</f>
        <v/>
      </c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>
      <c r="A380" s="22"/>
      <c r="B380" s="20"/>
      <c r="C380" s="20" t="str">
        <f>IFERROR(__xludf.DUMMYFUNCTION("IF(ISBLANK(B380),,IFERROR(array_constrain(FILTER('Leetcode分类顺序表'!B:J,'Leetcode分类顺序表'!A:A = B380), 1, 10000000),IFERROR(FILTER(Algoexpert.io!B:D,Algoexpert.io!A:A = B380),FILTER('Leetcode List'!B:J,'Leetcode List'!A:A = B380))))"),"")</f>
        <v/>
      </c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>
      <c r="A381" s="22"/>
      <c r="B381" s="20"/>
      <c r="C381" s="20" t="str">
        <f>IFERROR(__xludf.DUMMYFUNCTION("IF(ISBLANK(B381),,IFERROR(array_constrain(FILTER('Leetcode分类顺序表'!B:J,'Leetcode分类顺序表'!A:A = B381), 1, 10000000),IFERROR(FILTER(Algoexpert.io!B:D,Algoexpert.io!A:A = B381),FILTER('Leetcode List'!B:J,'Leetcode List'!A:A = B381))))"),"")</f>
        <v/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>
      <c r="A382" s="22"/>
      <c r="B382" s="20"/>
      <c r="C382" s="20" t="str">
        <f>IFERROR(__xludf.DUMMYFUNCTION("IF(ISBLANK(B382),,IFERROR(array_constrain(FILTER('Leetcode分类顺序表'!B:J,'Leetcode分类顺序表'!A:A = B382), 1, 10000000),IFERROR(FILTER(Algoexpert.io!B:D,Algoexpert.io!A:A = B382),FILTER('Leetcode List'!B:J,'Leetcode List'!A:A = B382))))"),"")</f>
        <v/>
      </c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>
      <c r="A383" s="22"/>
      <c r="B383" s="20"/>
      <c r="C383" s="20" t="str">
        <f>IFERROR(__xludf.DUMMYFUNCTION("IF(ISBLANK(B383),,IFERROR(array_constrain(FILTER('Leetcode分类顺序表'!B:J,'Leetcode分类顺序表'!A:A = B383), 1, 10000000),IFERROR(FILTER(Algoexpert.io!B:D,Algoexpert.io!A:A = B383),FILTER('Leetcode List'!B:J,'Leetcode List'!A:A = B383))))"),"")</f>
        <v/>
      </c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>
      <c r="A384" s="22"/>
      <c r="B384" s="20"/>
      <c r="C384" s="20" t="str">
        <f>IFERROR(__xludf.DUMMYFUNCTION("IF(ISBLANK(B384),,IFERROR(array_constrain(FILTER('Leetcode分类顺序表'!B:J,'Leetcode分类顺序表'!A:A = B384), 1, 10000000),IFERROR(FILTER(Algoexpert.io!B:D,Algoexpert.io!A:A = B384),FILTER('Leetcode List'!B:J,'Leetcode List'!A:A = B384))))"),"")</f>
        <v/>
      </c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>
      <c r="A385" s="22"/>
      <c r="B385" s="20"/>
      <c r="C385" s="20" t="str">
        <f>IFERROR(__xludf.DUMMYFUNCTION("IF(ISBLANK(B385),,IFERROR(array_constrain(FILTER('Leetcode分类顺序表'!B:J,'Leetcode分类顺序表'!A:A = B385), 1, 10000000),IFERROR(FILTER(Algoexpert.io!B:D,Algoexpert.io!A:A = B385),FILTER('Leetcode List'!B:J,'Leetcode List'!A:A = B385))))"),"")</f>
        <v/>
      </c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>
      <c r="A386" s="22"/>
      <c r="B386" s="20"/>
      <c r="C386" s="20" t="str">
        <f>IFERROR(__xludf.DUMMYFUNCTION("IF(ISBLANK(B386),,IFERROR(array_constrain(FILTER('Leetcode分类顺序表'!B:J,'Leetcode分类顺序表'!A:A = B386), 1, 10000000),IFERROR(FILTER(Algoexpert.io!B:D,Algoexpert.io!A:A = B386),FILTER('Leetcode List'!B:J,'Leetcode List'!A:A = B386))))"),"")</f>
        <v/>
      </c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>
      <c r="A387" s="22"/>
      <c r="B387" s="20"/>
      <c r="C387" s="20" t="str">
        <f>IFERROR(__xludf.DUMMYFUNCTION("IF(ISBLANK(B387),,IFERROR(array_constrain(FILTER('Leetcode分类顺序表'!B:J,'Leetcode分类顺序表'!A:A = B387), 1, 10000000),IFERROR(FILTER(Algoexpert.io!B:D,Algoexpert.io!A:A = B387),FILTER('Leetcode List'!B:J,'Leetcode List'!A:A = B387))))"),"")</f>
        <v/>
      </c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>
      <c r="A388" s="22"/>
      <c r="B388" s="20"/>
      <c r="C388" s="20" t="str">
        <f>IFERROR(__xludf.DUMMYFUNCTION("IF(ISBLANK(B388),,IFERROR(array_constrain(FILTER('Leetcode分类顺序表'!B:J,'Leetcode分类顺序表'!A:A = B388), 1, 10000000),IFERROR(FILTER(Algoexpert.io!B:D,Algoexpert.io!A:A = B388),FILTER('Leetcode List'!B:J,'Leetcode List'!A:A = B388))))"),"")</f>
        <v/>
      </c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>
      <c r="A389" s="22"/>
      <c r="B389" s="20"/>
      <c r="C389" s="20" t="str">
        <f>IFERROR(__xludf.DUMMYFUNCTION("IF(ISBLANK(B389),,IFERROR(array_constrain(FILTER('Leetcode分类顺序表'!B:J,'Leetcode分类顺序表'!A:A = B389), 1, 10000000),IFERROR(FILTER(Algoexpert.io!B:D,Algoexpert.io!A:A = B389),FILTER('Leetcode List'!B:J,'Leetcode List'!A:A = B389))))"),"")</f>
        <v/>
      </c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>
      <c r="A390" s="22"/>
      <c r="B390" s="20"/>
      <c r="C390" s="20" t="str">
        <f>IFERROR(__xludf.DUMMYFUNCTION("IF(ISBLANK(B390),,IFERROR(array_constrain(FILTER('Leetcode分类顺序表'!B:J,'Leetcode分类顺序表'!A:A = B390), 1, 10000000),IFERROR(FILTER(Algoexpert.io!B:D,Algoexpert.io!A:A = B390),FILTER('Leetcode List'!B:J,'Leetcode List'!A:A = B390))))"),"")</f>
        <v/>
      </c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>
      <c r="A391" s="22"/>
      <c r="B391" s="20"/>
      <c r="C391" s="20" t="str">
        <f>IFERROR(__xludf.DUMMYFUNCTION("IF(ISBLANK(B391),,IFERROR(array_constrain(FILTER('Leetcode分类顺序表'!B:J,'Leetcode分类顺序表'!A:A = B391), 1, 10000000),IFERROR(FILTER(Algoexpert.io!B:D,Algoexpert.io!A:A = B391),FILTER('Leetcode List'!B:J,'Leetcode List'!A:A = B391))))"),"")</f>
        <v/>
      </c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>
      <c r="A392" s="22"/>
      <c r="B392" s="20"/>
      <c r="C392" s="20" t="str">
        <f>IFERROR(__xludf.DUMMYFUNCTION("IF(ISBLANK(B392),,IFERROR(array_constrain(FILTER('Leetcode分类顺序表'!B:J,'Leetcode分类顺序表'!A:A = B392), 1, 10000000),IFERROR(FILTER(Algoexpert.io!B:D,Algoexpert.io!A:A = B392),FILTER('Leetcode List'!B:J,'Leetcode List'!A:A = B392))))"),"")</f>
        <v/>
      </c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>
      <c r="A393" s="22"/>
      <c r="B393" s="20"/>
      <c r="C393" s="20" t="str">
        <f>IFERROR(__xludf.DUMMYFUNCTION("IF(ISBLANK(B393),,IFERROR(array_constrain(FILTER('Leetcode分类顺序表'!B:J,'Leetcode分类顺序表'!A:A = B393), 1, 10000000),IFERROR(FILTER(Algoexpert.io!B:D,Algoexpert.io!A:A = B393),FILTER('Leetcode List'!B:J,'Leetcode List'!A:A = B393))))"),"")</f>
        <v/>
      </c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>
      <c r="A394" s="22"/>
      <c r="B394" s="20"/>
      <c r="C394" s="20" t="str">
        <f>IFERROR(__xludf.DUMMYFUNCTION("IF(ISBLANK(B394),,IFERROR(array_constrain(FILTER('Leetcode分类顺序表'!B:J,'Leetcode分类顺序表'!A:A = B394), 1, 10000000),IFERROR(FILTER(Algoexpert.io!B:D,Algoexpert.io!A:A = B394),FILTER('Leetcode List'!B:J,'Leetcode List'!A:A = B394))))"),"")</f>
        <v/>
      </c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>
      <c r="A395" s="22"/>
      <c r="B395" s="20"/>
      <c r="C395" s="20" t="str">
        <f>IFERROR(__xludf.DUMMYFUNCTION("IF(ISBLANK(B395),,IFERROR(array_constrain(FILTER('Leetcode分类顺序表'!B:J,'Leetcode分类顺序表'!A:A = B395), 1, 10000000),IFERROR(FILTER(Algoexpert.io!B:D,Algoexpert.io!A:A = B395),FILTER('Leetcode List'!B:J,'Leetcode List'!A:A = B395))))"),"")</f>
        <v/>
      </c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>
      <c r="A396" s="22"/>
      <c r="B396" s="20"/>
      <c r="C396" s="20" t="str">
        <f>IFERROR(__xludf.DUMMYFUNCTION("IF(ISBLANK(B396),,IFERROR(array_constrain(FILTER('Leetcode分类顺序表'!B:J,'Leetcode分类顺序表'!A:A = B396), 1, 10000000),IFERROR(FILTER(Algoexpert.io!B:D,Algoexpert.io!A:A = B396),FILTER('Leetcode List'!B:J,'Leetcode List'!A:A = B396))))"),"")</f>
        <v/>
      </c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>
      <c r="A397" s="22"/>
      <c r="B397" s="20"/>
      <c r="C397" s="20" t="str">
        <f>IFERROR(__xludf.DUMMYFUNCTION("IF(ISBLANK(B397),,IFERROR(array_constrain(FILTER('Leetcode分类顺序表'!B:J,'Leetcode分类顺序表'!A:A = B397), 1, 10000000),IFERROR(FILTER(Algoexpert.io!B:D,Algoexpert.io!A:A = B397),FILTER('Leetcode List'!B:J,'Leetcode List'!A:A = B397))))"),"")</f>
        <v/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>
      <c r="A398" s="22"/>
      <c r="B398" s="20"/>
      <c r="C398" s="20" t="str">
        <f>IFERROR(__xludf.DUMMYFUNCTION("IF(ISBLANK(B398),,IFERROR(array_constrain(FILTER('Leetcode分类顺序表'!B:J,'Leetcode分类顺序表'!A:A = B398), 1, 10000000),IFERROR(FILTER(Algoexpert.io!B:D,Algoexpert.io!A:A = B398),FILTER('Leetcode List'!B:J,'Leetcode List'!A:A = B398))))"),"")</f>
        <v/>
      </c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>
      <c r="A399" s="22"/>
      <c r="B399" s="20"/>
      <c r="C399" s="20" t="str">
        <f>IFERROR(__xludf.DUMMYFUNCTION("IF(ISBLANK(B399),,IFERROR(array_constrain(FILTER('Leetcode分类顺序表'!B:J,'Leetcode分类顺序表'!A:A = B399), 1, 10000000),IFERROR(FILTER(Algoexpert.io!B:D,Algoexpert.io!A:A = B399),FILTER('Leetcode List'!B:J,'Leetcode List'!A:A = B399))))"),"")</f>
        <v/>
      </c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>
      <c r="A400" s="22"/>
      <c r="B400" s="20"/>
      <c r="C400" s="20" t="str">
        <f>IFERROR(__xludf.DUMMYFUNCTION("IF(ISBLANK(B400),,IFERROR(array_constrain(FILTER('Leetcode分类顺序表'!B:J,'Leetcode分类顺序表'!A:A = B400), 1, 10000000),IFERROR(FILTER(Algoexpert.io!B:D,Algoexpert.io!A:A = B400),FILTER('Leetcode List'!B:J,'Leetcode List'!A:A = B400))))"),"")</f>
        <v/>
      </c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>
      <c r="A401" s="22"/>
      <c r="B401" s="20"/>
      <c r="C401" s="20" t="str">
        <f>IFERROR(__xludf.DUMMYFUNCTION("IF(ISBLANK(B401),,IFERROR(array_constrain(FILTER('Leetcode分类顺序表'!B:J,'Leetcode分类顺序表'!A:A = B401), 1, 10000000),IFERROR(FILTER(Algoexpert.io!B:D,Algoexpert.io!A:A = B401),FILTER('Leetcode List'!B:J,'Leetcode List'!A:A = B401))))"),"")</f>
        <v/>
      </c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>
      <c r="A402" s="22"/>
      <c r="B402" s="20"/>
      <c r="C402" s="20" t="str">
        <f>IFERROR(__xludf.DUMMYFUNCTION("IF(ISBLANK(B402),,IFERROR(array_constrain(FILTER('Leetcode分类顺序表'!B:J,'Leetcode分类顺序表'!A:A = B402), 1, 10000000),IFERROR(FILTER(Algoexpert.io!B:D,Algoexpert.io!A:A = B402),FILTER('Leetcode List'!B:J,'Leetcode List'!A:A = B402))))"),"")</f>
        <v/>
      </c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>
      <c r="A403" s="22"/>
      <c r="B403" s="20"/>
      <c r="C403" s="20" t="str">
        <f>IFERROR(__xludf.DUMMYFUNCTION("IF(ISBLANK(B403),,IFERROR(array_constrain(FILTER('Leetcode分类顺序表'!B:J,'Leetcode分类顺序表'!A:A = B403), 1, 10000000),IFERROR(FILTER(Algoexpert.io!B:D,Algoexpert.io!A:A = B403),FILTER('Leetcode List'!B:J,'Leetcode List'!A:A = B403))))"),"")</f>
        <v/>
      </c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>
      <c r="A404" s="22"/>
      <c r="B404" s="20"/>
      <c r="C404" s="20" t="str">
        <f>IFERROR(__xludf.DUMMYFUNCTION("IF(ISBLANK(B404),,IFERROR(array_constrain(FILTER('Leetcode分类顺序表'!B:J,'Leetcode分类顺序表'!A:A = B404), 1, 10000000),IFERROR(FILTER(Algoexpert.io!B:D,Algoexpert.io!A:A = B404),FILTER('Leetcode List'!B:J,'Leetcode List'!A:A = B404))))"),"")</f>
        <v/>
      </c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>
      <c r="A405" s="22"/>
      <c r="B405" s="20"/>
      <c r="C405" s="20" t="str">
        <f>IFERROR(__xludf.DUMMYFUNCTION("IF(ISBLANK(B405),,IFERROR(array_constrain(FILTER('Leetcode分类顺序表'!B:J,'Leetcode分类顺序表'!A:A = B405), 1, 10000000),IFERROR(FILTER(Algoexpert.io!B:D,Algoexpert.io!A:A = B405),FILTER('Leetcode List'!B:J,'Leetcode List'!A:A = B405))))"),"")</f>
        <v/>
      </c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>
      <c r="A406" s="22"/>
      <c r="B406" s="20"/>
      <c r="C406" s="20" t="str">
        <f>IFERROR(__xludf.DUMMYFUNCTION("IF(ISBLANK(B406),,IFERROR(array_constrain(FILTER('Leetcode分类顺序表'!B:J,'Leetcode分类顺序表'!A:A = B406), 1, 10000000),IFERROR(FILTER(Algoexpert.io!B:D,Algoexpert.io!A:A = B406),FILTER('Leetcode List'!B:J,'Leetcode List'!A:A = B406))))"),"")</f>
        <v/>
      </c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>
      <c r="A407" s="22"/>
      <c r="B407" s="20"/>
      <c r="C407" s="20" t="str">
        <f>IFERROR(__xludf.DUMMYFUNCTION("IF(ISBLANK(B407),,IFERROR(array_constrain(FILTER('Leetcode分类顺序表'!B:J,'Leetcode分类顺序表'!A:A = B407), 1, 10000000),IFERROR(FILTER(Algoexpert.io!B:D,Algoexpert.io!A:A = B407),FILTER('Leetcode List'!B:J,'Leetcode List'!A:A = B407))))"),"")</f>
        <v/>
      </c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>
      <c r="A408" s="22"/>
      <c r="B408" s="20"/>
      <c r="C408" s="20" t="str">
        <f>IFERROR(__xludf.DUMMYFUNCTION("IF(ISBLANK(B408),,IFERROR(array_constrain(FILTER('Leetcode分类顺序表'!B:J,'Leetcode分类顺序表'!A:A = B408), 1, 10000000),IFERROR(FILTER(Algoexpert.io!B:D,Algoexpert.io!A:A = B408),FILTER('Leetcode List'!B:J,'Leetcode List'!A:A = B408))))"),"")</f>
        <v/>
      </c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>
      <c r="A409" s="22"/>
      <c r="B409" s="20"/>
      <c r="C409" s="20" t="str">
        <f>IFERROR(__xludf.DUMMYFUNCTION("IF(ISBLANK(B409),,IFERROR(array_constrain(FILTER('Leetcode分类顺序表'!B:J,'Leetcode分类顺序表'!A:A = B409), 1, 10000000),IFERROR(FILTER(Algoexpert.io!B:D,Algoexpert.io!A:A = B409),FILTER('Leetcode List'!B:J,'Leetcode List'!A:A = B409))))"),"")</f>
        <v/>
      </c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>
      <c r="A410" s="22"/>
      <c r="B410" s="20"/>
      <c r="C410" s="20" t="str">
        <f>IFERROR(__xludf.DUMMYFUNCTION("IF(ISBLANK(B410),,IFERROR(array_constrain(FILTER('Leetcode分类顺序表'!B:J,'Leetcode分类顺序表'!A:A = B410), 1, 10000000),IFERROR(FILTER(Algoexpert.io!B:D,Algoexpert.io!A:A = B410),FILTER('Leetcode List'!B:J,'Leetcode List'!A:A = B410))))"),"")</f>
        <v/>
      </c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>
      <c r="A411" s="22"/>
      <c r="B411" s="20"/>
      <c r="C411" s="20" t="str">
        <f>IFERROR(__xludf.DUMMYFUNCTION("IF(ISBLANK(B411),,IFERROR(array_constrain(FILTER('Leetcode分类顺序表'!B:J,'Leetcode分类顺序表'!A:A = B411), 1, 10000000),IFERROR(FILTER(Algoexpert.io!B:D,Algoexpert.io!A:A = B411),FILTER('Leetcode List'!B:J,'Leetcode List'!A:A = B411))))"),"")</f>
        <v/>
      </c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>
      <c r="A412" s="22"/>
      <c r="B412" s="20"/>
      <c r="C412" s="20" t="str">
        <f>IFERROR(__xludf.DUMMYFUNCTION("IF(ISBLANK(B412),,IFERROR(array_constrain(FILTER('Leetcode分类顺序表'!B:J,'Leetcode分类顺序表'!A:A = B412), 1, 10000000),IFERROR(FILTER(Algoexpert.io!B:D,Algoexpert.io!A:A = B412),FILTER('Leetcode List'!B:J,'Leetcode List'!A:A = B412))))"),"")</f>
        <v/>
      </c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>
      <c r="A413" s="22"/>
      <c r="B413" s="20"/>
      <c r="C413" s="20" t="str">
        <f>IFERROR(__xludf.DUMMYFUNCTION("IF(ISBLANK(B413),,IFERROR(array_constrain(FILTER('Leetcode分类顺序表'!B:J,'Leetcode分类顺序表'!A:A = B413), 1, 10000000),IFERROR(FILTER(Algoexpert.io!B:D,Algoexpert.io!A:A = B413),FILTER('Leetcode List'!B:J,'Leetcode List'!A:A = B413))))"),"")</f>
        <v/>
      </c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>
      <c r="A414" s="22"/>
      <c r="B414" s="20"/>
      <c r="C414" s="20" t="str">
        <f>IFERROR(__xludf.DUMMYFUNCTION("IF(ISBLANK(B414),,IFERROR(array_constrain(FILTER('Leetcode分类顺序表'!B:J,'Leetcode分类顺序表'!A:A = B414), 1, 10000000),IFERROR(FILTER(Algoexpert.io!B:D,Algoexpert.io!A:A = B414),FILTER('Leetcode List'!B:J,'Leetcode List'!A:A = B414))))"),"")</f>
        <v/>
      </c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>
      <c r="A415" s="22"/>
      <c r="B415" s="20"/>
      <c r="C415" s="20" t="str">
        <f>IFERROR(__xludf.DUMMYFUNCTION("IF(ISBLANK(B415),,IFERROR(array_constrain(FILTER('Leetcode分类顺序表'!B:J,'Leetcode分类顺序表'!A:A = B415), 1, 10000000),IFERROR(FILTER(Algoexpert.io!B:D,Algoexpert.io!A:A = B415),FILTER('Leetcode List'!B:J,'Leetcode List'!A:A = B415))))"),"")</f>
        <v/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>
      <c r="A416" s="22"/>
      <c r="B416" s="20"/>
      <c r="C416" s="20" t="str">
        <f>IFERROR(__xludf.DUMMYFUNCTION("IF(ISBLANK(B416),,IFERROR(array_constrain(FILTER('Leetcode分类顺序表'!B:J,'Leetcode分类顺序表'!A:A = B416), 1, 10000000),IFERROR(FILTER(Algoexpert.io!B:D,Algoexpert.io!A:A = B416),FILTER('Leetcode List'!B:J,'Leetcode List'!A:A = B416))))"),"")</f>
        <v/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>
      <c r="A417" s="22"/>
      <c r="B417" s="20"/>
      <c r="C417" s="20" t="str">
        <f>IFERROR(__xludf.DUMMYFUNCTION("IF(ISBLANK(B417),,IFERROR(array_constrain(FILTER('Leetcode分类顺序表'!B:J,'Leetcode分类顺序表'!A:A = B417), 1, 10000000),IFERROR(FILTER(Algoexpert.io!B:D,Algoexpert.io!A:A = B417),FILTER('Leetcode List'!B:J,'Leetcode List'!A:A = B417))))"),"")</f>
        <v/>
      </c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>
      <c r="A418" s="22"/>
      <c r="B418" s="20"/>
      <c r="C418" s="20" t="str">
        <f>IFERROR(__xludf.DUMMYFUNCTION("IF(ISBLANK(B418),,IFERROR(array_constrain(FILTER('Leetcode分类顺序表'!B:J,'Leetcode分类顺序表'!A:A = B418), 1, 10000000),IFERROR(FILTER(Algoexpert.io!B:D,Algoexpert.io!A:A = B418),FILTER('Leetcode List'!B:J,'Leetcode List'!A:A = B418))))"),"")</f>
        <v/>
      </c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>
      <c r="A419" s="22"/>
      <c r="B419" s="20"/>
      <c r="C419" s="20" t="str">
        <f>IFERROR(__xludf.DUMMYFUNCTION("IF(ISBLANK(B419),,IFERROR(array_constrain(FILTER('Leetcode分类顺序表'!B:J,'Leetcode分类顺序表'!A:A = B419), 1, 10000000),IFERROR(FILTER(Algoexpert.io!B:D,Algoexpert.io!A:A = B419),FILTER('Leetcode List'!B:J,'Leetcode List'!A:A = B419))))"),"")</f>
        <v/>
      </c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>
      <c r="A420" s="22"/>
      <c r="B420" s="20"/>
      <c r="C420" s="20" t="str">
        <f>IFERROR(__xludf.DUMMYFUNCTION("IF(ISBLANK(B420),,IFERROR(array_constrain(FILTER('Leetcode分类顺序表'!B:J,'Leetcode分类顺序表'!A:A = B420), 1, 10000000),IFERROR(FILTER(Algoexpert.io!B:D,Algoexpert.io!A:A = B420),FILTER('Leetcode List'!B:J,'Leetcode List'!A:A = B420))))"),"")</f>
        <v/>
      </c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>
      <c r="A421" s="22"/>
      <c r="B421" s="20"/>
      <c r="C421" s="20" t="str">
        <f>IFERROR(__xludf.DUMMYFUNCTION("IF(ISBLANK(B421),,IFERROR(array_constrain(FILTER('Leetcode分类顺序表'!B:J,'Leetcode分类顺序表'!A:A = B421), 1, 10000000),IFERROR(FILTER(Algoexpert.io!B:D,Algoexpert.io!A:A = B421),FILTER('Leetcode List'!B:J,'Leetcode List'!A:A = B421))))"),"")</f>
        <v/>
      </c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>
      <c r="A422" s="22"/>
      <c r="B422" s="20"/>
      <c r="C422" s="20" t="str">
        <f>IFERROR(__xludf.DUMMYFUNCTION("IF(ISBLANK(B422),,IFERROR(array_constrain(FILTER('Leetcode分类顺序表'!B:J,'Leetcode分类顺序表'!A:A = B422), 1, 10000000),IFERROR(FILTER(Algoexpert.io!B:D,Algoexpert.io!A:A = B422),FILTER('Leetcode List'!B:J,'Leetcode List'!A:A = B422))))"),"")</f>
        <v/>
      </c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>
      <c r="A423" s="22"/>
      <c r="B423" s="20"/>
      <c r="C423" s="20" t="str">
        <f>IFERROR(__xludf.DUMMYFUNCTION("IF(ISBLANK(B423),,IFERROR(array_constrain(FILTER('Leetcode分类顺序表'!B:J,'Leetcode分类顺序表'!A:A = B423), 1, 10000000),IFERROR(FILTER(Algoexpert.io!B:D,Algoexpert.io!A:A = B423),FILTER('Leetcode List'!B:J,'Leetcode List'!A:A = B423))))"),"")</f>
        <v/>
      </c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>
      <c r="A424" s="22"/>
      <c r="B424" s="20"/>
      <c r="C424" s="20" t="str">
        <f>IFERROR(__xludf.DUMMYFUNCTION("IF(ISBLANK(B424),,IFERROR(array_constrain(FILTER('Leetcode分类顺序表'!B:J,'Leetcode分类顺序表'!A:A = B424), 1, 10000000),IFERROR(FILTER(Algoexpert.io!B:D,Algoexpert.io!A:A = B424),FILTER('Leetcode List'!B:J,'Leetcode List'!A:A = B424))))"),"")</f>
        <v/>
      </c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>
      <c r="A425" s="22"/>
      <c r="B425" s="20"/>
      <c r="C425" s="20" t="str">
        <f>IFERROR(__xludf.DUMMYFUNCTION("IF(ISBLANK(B425),,IFERROR(array_constrain(FILTER('Leetcode分类顺序表'!B:J,'Leetcode分类顺序表'!A:A = B425), 1, 10000000),IFERROR(FILTER(Algoexpert.io!B:D,Algoexpert.io!A:A = B425),FILTER('Leetcode List'!B:J,'Leetcode List'!A:A = B425))))"),"")</f>
        <v/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>
      <c r="A426" s="22"/>
      <c r="B426" s="20"/>
      <c r="C426" s="20" t="str">
        <f>IFERROR(__xludf.DUMMYFUNCTION("IF(ISBLANK(B426),,IFERROR(array_constrain(FILTER('Leetcode分类顺序表'!B:J,'Leetcode分类顺序表'!A:A = B426), 1, 10000000),IFERROR(FILTER(Algoexpert.io!B:D,Algoexpert.io!A:A = B426),FILTER('Leetcode List'!B:J,'Leetcode List'!A:A = B426))))"),"")</f>
        <v/>
      </c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>
      <c r="A427" s="22"/>
      <c r="B427" s="20"/>
      <c r="C427" s="20" t="str">
        <f>IFERROR(__xludf.DUMMYFUNCTION("IF(ISBLANK(B427),,IFERROR(array_constrain(FILTER('Leetcode分类顺序表'!B:J,'Leetcode分类顺序表'!A:A = B427), 1, 10000000),IFERROR(FILTER(Algoexpert.io!B:D,Algoexpert.io!A:A = B427),FILTER('Leetcode List'!B:J,'Leetcode List'!A:A = B427))))"),"")</f>
        <v/>
      </c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>
      <c r="A428" s="22"/>
      <c r="B428" s="20"/>
      <c r="C428" s="20" t="str">
        <f>IFERROR(__xludf.DUMMYFUNCTION("IF(ISBLANK(B428),,IFERROR(array_constrain(FILTER('Leetcode分类顺序表'!B:J,'Leetcode分类顺序表'!A:A = B428), 1, 10000000),IFERROR(FILTER(Algoexpert.io!B:D,Algoexpert.io!A:A = B428),FILTER('Leetcode List'!B:J,'Leetcode List'!A:A = B428))))"),"")</f>
        <v/>
      </c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>
      <c r="A429" s="22"/>
      <c r="B429" s="20"/>
      <c r="C429" s="20" t="str">
        <f>IFERROR(__xludf.DUMMYFUNCTION("IF(ISBLANK(B429),,IFERROR(array_constrain(FILTER('Leetcode分类顺序表'!B:J,'Leetcode分类顺序表'!A:A = B429), 1, 10000000),IFERROR(FILTER(Algoexpert.io!B:D,Algoexpert.io!A:A = B429),FILTER('Leetcode List'!B:J,'Leetcode List'!A:A = B429))))"),"")</f>
        <v/>
      </c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>
      <c r="A430" s="22"/>
      <c r="B430" s="20"/>
      <c r="C430" s="20" t="str">
        <f>IFERROR(__xludf.DUMMYFUNCTION("IF(ISBLANK(B430),,IFERROR(array_constrain(FILTER('Leetcode分类顺序表'!B:J,'Leetcode分类顺序表'!A:A = B430), 1, 10000000),IFERROR(FILTER(Algoexpert.io!B:D,Algoexpert.io!A:A = B430),FILTER('Leetcode List'!B:J,'Leetcode List'!A:A = B430))))"),"")</f>
        <v/>
      </c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>
      <c r="A431" s="22"/>
      <c r="B431" s="20"/>
      <c r="C431" s="20" t="str">
        <f>IFERROR(__xludf.DUMMYFUNCTION("IF(ISBLANK(B431),,IFERROR(array_constrain(FILTER('Leetcode分类顺序表'!B:J,'Leetcode分类顺序表'!A:A = B431), 1, 10000000),IFERROR(FILTER(Algoexpert.io!B:D,Algoexpert.io!A:A = B431),FILTER('Leetcode List'!B:J,'Leetcode List'!A:A = B431))))"),"")</f>
        <v/>
      </c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>
      <c r="A432" s="22"/>
      <c r="B432" s="20"/>
      <c r="C432" s="20" t="str">
        <f>IFERROR(__xludf.DUMMYFUNCTION("IF(ISBLANK(B432),,IFERROR(array_constrain(FILTER('Leetcode分类顺序表'!B:J,'Leetcode分类顺序表'!A:A = B432), 1, 10000000),IFERROR(FILTER(Algoexpert.io!B:D,Algoexpert.io!A:A = B432),FILTER('Leetcode List'!B:J,'Leetcode List'!A:A = B432))))"),"")</f>
        <v/>
      </c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>
      <c r="A433" s="22"/>
      <c r="B433" s="20"/>
      <c r="C433" s="20" t="str">
        <f>IFERROR(__xludf.DUMMYFUNCTION("IF(ISBLANK(B433),,IFERROR(array_constrain(FILTER('Leetcode分类顺序表'!B:J,'Leetcode分类顺序表'!A:A = B433), 1, 10000000),IFERROR(FILTER(Algoexpert.io!B:D,Algoexpert.io!A:A = B433),FILTER('Leetcode List'!B:J,'Leetcode List'!A:A = B433))))"),"")</f>
        <v/>
      </c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>
      <c r="A434" s="22"/>
      <c r="B434" s="20"/>
      <c r="C434" s="20" t="str">
        <f>IFERROR(__xludf.DUMMYFUNCTION("IF(ISBLANK(B434),,IFERROR(array_constrain(FILTER('Leetcode分类顺序表'!B:J,'Leetcode分类顺序表'!A:A = B434), 1, 10000000),IFERROR(FILTER(Algoexpert.io!B:D,Algoexpert.io!A:A = B434),FILTER('Leetcode List'!B:J,'Leetcode List'!A:A = B434))))"),"")</f>
        <v/>
      </c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>
      <c r="A435" s="22"/>
      <c r="B435" s="20"/>
      <c r="C435" s="20" t="str">
        <f>IFERROR(__xludf.DUMMYFUNCTION("IF(ISBLANK(B435),,IFERROR(array_constrain(FILTER('Leetcode分类顺序表'!B:J,'Leetcode分类顺序表'!A:A = B435), 1, 10000000),IFERROR(FILTER(Algoexpert.io!B:D,Algoexpert.io!A:A = B435),FILTER('Leetcode List'!B:J,'Leetcode List'!A:A = B435))))"),"")</f>
        <v/>
      </c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>
      <c r="A436" s="22"/>
      <c r="B436" s="20"/>
      <c r="C436" s="20" t="str">
        <f>IFERROR(__xludf.DUMMYFUNCTION("IF(ISBLANK(B436),,IFERROR(array_constrain(FILTER('Leetcode分类顺序表'!B:J,'Leetcode分类顺序表'!A:A = B436), 1, 10000000),IFERROR(FILTER(Algoexpert.io!B:D,Algoexpert.io!A:A = B436),FILTER('Leetcode List'!B:J,'Leetcode List'!A:A = B436))))"),"")</f>
        <v/>
      </c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>
      <c r="A437" s="22"/>
      <c r="B437" s="20"/>
      <c r="C437" s="20" t="str">
        <f>IFERROR(__xludf.DUMMYFUNCTION("IF(ISBLANK(B437),,IFERROR(array_constrain(FILTER('Leetcode分类顺序表'!B:J,'Leetcode分类顺序表'!A:A = B437), 1, 10000000),IFERROR(FILTER(Algoexpert.io!B:D,Algoexpert.io!A:A = B437),FILTER('Leetcode List'!B:J,'Leetcode List'!A:A = B437))))"),"")</f>
        <v/>
      </c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>
      <c r="A438" s="22"/>
      <c r="B438" s="20"/>
      <c r="C438" s="20" t="str">
        <f>IFERROR(__xludf.DUMMYFUNCTION("IF(ISBLANK(B438),,IFERROR(array_constrain(FILTER('Leetcode分类顺序表'!B:J,'Leetcode分类顺序表'!A:A = B438), 1, 10000000),IFERROR(FILTER(Algoexpert.io!B:D,Algoexpert.io!A:A = B438),FILTER('Leetcode List'!B:J,'Leetcode List'!A:A = B438))))"),"")</f>
        <v/>
      </c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>
      <c r="A439" s="22"/>
      <c r="B439" s="20"/>
      <c r="C439" s="20" t="str">
        <f>IFERROR(__xludf.DUMMYFUNCTION("IF(ISBLANK(B439),,IFERROR(array_constrain(FILTER('Leetcode分类顺序表'!B:J,'Leetcode分类顺序表'!A:A = B439), 1, 10000000),IFERROR(FILTER(Algoexpert.io!B:D,Algoexpert.io!A:A = B439),FILTER('Leetcode List'!B:J,'Leetcode List'!A:A = B439))))"),"")</f>
        <v/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>
      <c r="A440" s="22"/>
      <c r="B440" s="20"/>
      <c r="C440" s="20" t="str">
        <f>IFERROR(__xludf.DUMMYFUNCTION("IF(ISBLANK(B440),,IFERROR(array_constrain(FILTER('Leetcode分类顺序表'!B:J,'Leetcode分类顺序表'!A:A = B440), 1, 10000000),IFERROR(FILTER(Algoexpert.io!B:D,Algoexpert.io!A:A = B440),FILTER('Leetcode List'!B:J,'Leetcode List'!A:A = B440))))"),"")</f>
        <v/>
      </c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>
      <c r="A441" s="22"/>
      <c r="B441" s="20"/>
      <c r="C441" s="20" t="str">
        <f>IFERROR(__xludf.DUMMYFUNCTION("IF(ISBLANK(B441),,IFERROR(array_constrain(FILTER('Leetcode分类顺序表'!B:J,'Leetcode分类顺序表'!A:A = B441), 1, 10000000),IFERROR(FILTER(Algoexpert.io!B:D,Algoexpert.io!A:A = B441),FILTER('Leetcode List'!B:J,'Leetcode List'!A:A = B441))))"),"")</f>
        <v/>
      </c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>
      <c r="A442" s="22"/>
      <c r="B442" s="20"/>
      <c r="C442" s="20" t="str">
        <f>IFERROR(__xludf.DUMMYFUNCTION("IF(ISBLANK(B442),,IFERROR(array_constrain(FILTER('Leetcode分类顺序表'!B:J,'Leetcode分类顺序表'!A:A = B442), 1, 10000000),IFERROR(FILTER(Algoexpert.io!B:D,Algoexpert.io!A:A = B442),FILTER('Leetcode List'!B:J,'Leetcode List'!A:A = B442))))"),"")</f>
        <v/>
      </c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>
      <c r="A443" s="22"/>
      <c r="B443" s="20"/>
      <c r="C443" s="20" t="str">
        <f>IFERROR(__xludf.DUMMYFUNCTION("IF(ISBLANK(B443),,IFERROR(array_constrain(FILTER('Leetcode分类顺序表'!B:J,'Leetcode分类顺序表'!A:A = B443), 1, 10000000),IFERROR(FILTER(Algoexpert.io!B:D,Algoexpert.io!A:A = B443),FILTER('Leetcode List'!B:J,'Leetcode List'!A:A = B443))))"),"")</f>
        <v/>
      </c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>
      <c r="A444" s="22"/>
      <c r="B444" s="20"/>
      <c r="C444" s="20" t="str">
        <f>IFERROR(__xludf.DUMMYFUNCTION("IF(ISBLANK(B444),,IFERROR(array_constrain(FILTER('Leetcode分类顺序表'!B:J,'Leetcode分类顺序表'!A:A = B444), 1, 10000000),IFERROR(FILTER(Algoexpert.io!B:D,Algoexpert.io!A:A = B444),FILTER('Leetcode List'!B:J,'Leetcode List'!A:A = B444))))"),"")</f>
        <v/>
      </c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>
      <c r="A445" s="22"/>
      <c r="B445" s="20"/>
      <c r="C445" s="20" t="str">
        <f>IFERROR(__xludf.DUMMYFUNCTION("IF(ISBLANK(B445),,IFERROR(array_constrain(FILTER('Leetcode分类顺序表'!B:J,'Leetcode分类顺序表'!A:A = B445), 1, 10000000),IFERROR(FILTER(Algoexpert.io!B:D,Algoexpert.io!A:A = B445),FILTER('Leetcode List'!B:J,'Leetcode List'!A:A = B445))))"),"")</f>
        <v/>
      </c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>
      <c r="A446" s="22"/>
      <c r="B446" s="20"/>
      <c r="C446" s="20" t="str">
        <f>IFERROR(__xludf.DUMMYFUNCTION("IF(ISBLANK(B446),,IFERROR(array_constrain(FILTER('Leetcode分类顺序表'!B:J,'Leetcode分类顺序表'!A:A = B446), 1, 10000000),IFERROR(FILTER(Algoexpert.io!B:D,Algoexpert.io!A:A = B446),FILTER('Leetcode List'!B:J,'Leetcode List'!A:A = B446))))"),"")</f>
        <v/>
      </c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>
      <c r="A447" s="22"/>
      <c r="B447" s="20"/>
      <c r="C447" s="20" t="str">
        <f>IFERROR(__xludf.DUMMYFUNCTION("IF(ISBLANK(B447),,IFERROR(array_constrain(FILTER('Leetcode分类顺序表'!B:J,'Leetcode分类顺序表'!A:A = B447), 1, 10000000),IFERROR(FILTER(Algoexpert.io!B:D,Algoexpert.io!A:A = B447),FILTER('Leetcode List'!B:J,'Leetcode List'!A:A = B447))))"),"")</f>
        <v/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>
      <c r="A448" s="22"/>
      <c r="B448" s="20"/>
      <c r="C448" s="20" t="str">
        <f>IFERROR(__xludf.DUMMYFUNCTION("IF(ISBLANK(B448),,IFERROR(array_constrain(FILTER('Leetcode分类顺序表'!B:J,'Leetcode分类顺序表'!A:A = B448), 1, 10000000),IFERROR(FILTER(Algoexpert.io!B:D,Algoexpert.io!A:A = B448),FILTER('Leetcode List'!B:J,'Leetcode List'!A:A = B448))))"),"")</f>
        <v/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>
      <c r="A449" s="22"/>
      <c r="B449" s="20"/>
      <c r="C449" s="20" t="str">
        <f>IFERROR(__xludf.DUMMYFUNCTION("IF(ISBLANK(B449),,IFERROR(array_constrain(FILTER('Leetcode分类顺序表'!B:J,'Leetcode分类顺序表'!A:A = B449), 1, 10000000),IFERROR(FILTER(Algoexpert.io!B:D,Algoexpert.io!A:A = B449),FILTER('Leetcode List'!B:J,'Leetcode List'!A:A = B449))))"),"")</f>
        <v/>
      </c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>
      <c r="A450" s="22"/>
      <c r="B450" s="20"/>
      <c r="C450" s="20" t="str">
        <f>IFERROR(__xludf.DUMMYFUNCTION("IF(ISBLANK(B450),,IFERROR(array_constrain(FILTER('Leetcode分类顺序表'!B:J,'Leetcode分类顺序表'!A:A = B450), 1, 10000000),IFERROR(FILTER(Algoexpert.io!B:D,Algoexpert.io!A:A = B450),FILTER('Leetcode List'!B:J,'Leetcode List'!A:A = B450))))"),"")</f>
        <v/>
      </c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>
      <c r="A451" s="22"/>
      <c r="B451" s="20"/>
      <c r="C451" s="20" t="str">
        <f>IFERROR(__xludf.DUMMYFUNCTION("IF(ISBLANK(B451),,IFERROR(array_constrain(FILTER('Leetcode分类顺序表'!B:J,'Leetcode分类顺序表'!A:A = B451), 1, 10000000),IFERROR(FILTER(Algoexpert.io!B:D,Algoexpert.io!A:A = B451),FILTER('Leetcode List'!B:J,'Leetcode List'!A:A = B451))))"),"")</f>
        <v/>
      </c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>
      <c r="A452" s="22"/>
      <c r="B452" s="20"/>
      <c r="C452" s="20" t="str">
        <f>IFERROR(__xludf.DUMMYFUNCTION("IF(ISBLANK(B452),,IFERROR(array_constrain(FILTER('Leetcode分类顺序表'!B:J,'Leetcode分类顺序表'!A:A = B452), 1, 10000000),IFERROR(FILTER(Algoexpert.io!B:D,Algoexpert.io!A:A = B452),FILTER('Leetcode List'!B:J,'Leetcode List'!A:A = B452))))"),"")</f>
        <v/>
      </c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>
      <c r="A453" s="22"/>
      <c r="B453" s="20"/>
      <c r="C453" s="20" t="str">
        <f>IFERROR(__xludf.DUMMYFUNCTION("IF(ISBLANK(B453),,IFERROR(array_constrain(FILTER('Leetcode分类顺序表'!B:J,'Leetcode分类顺序表'!A:A = B453), 1, 10000000),IFERROR(FILTER(Algoexpert.io!B:D,Algoexpert.io!A:A = B453),FILTER('Leetcode List'!B:J,'Leetcode List'!A:A = B453))))"),"")</f>
        <v/>
      </c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>
      <c r="A454" s="22"/>
      <c r="B454" s="20"/>
      <c r="C454" s="20" t="str">
        <f>IFERROR(__xludf.DUMMYFUNCTION("IF(ISBLANK(B454),,IFERROR(array_constrain(FILTER('Leetcode分类顺序表'!B:J,'Leetcode分类顺序表'!A:A = B454), 1, 10000000),IFERROR(FILTER(Algoexpert.io!B:D,Algoexpert.io!A:A = B454),FILTER('Leetcode List'!B:J,'Leetcode List'!A:A = B454))))"),"")</f>
        <v/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>
      <c r="A455" s="22"/>
      <c r="B455" s="20"/>
      <c r="C455" s="20" t="str">
        <f>IFERROR(__xludf.DUMMYFUNCTION("IF(ISBLANK(B455),,IFERROR(array_constrain(FILTER('Leetcode分类顺序表'!B:J,'Leetcode分类顺序表'!A:A = B455), 1, 10000000),IFERROR(FILTER(Algoexpert.io!B:D,Algoexpert.io!A:A = B455),FILTER('Leetcode List'!B:J,'Leetcode List'!A:A = B455))))"),"")</f>
        <v/>
      </c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>
      <c r="A456" s="22"/>
      <c r="B456" s="20"/>
      <c r="C456" s="20" t="str">
        <f>IFERROR(__xludf.DUMMYFUNCTION("IF(ISBLANK(B456),,IFERROR(array_constrain(FILTER('Leetcode分类顺序表'!B:J,'Leetcode分类顺序表'!A:A = B456), 1, 10000000),IFERROR(FILTER(Algoexpert.io!B:D,Algoexpert.io!A:A = B456),FILTER('Leetcode List'!B:J,'Leetcode List'!A:A = B456))))"),"")</f>
        <v/>
      </c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>
      <c r="A457" s="22"/>
      <c r="B457" s="20"/>
      <c r="C457" s="20" t="str">
        <f>IFERROR(__xludf.DUMMYFUNCTION("IF(ISBLANK(B457),,IFERROR(array_constrain(FILTER('Leetcode分类顺序表'!B:J,'Leetcode分类顺序表'!A:A = B457), 1, 10000000),IFERROR(FILTER(Algoexpert.io!B:D,Algoexpert.io!A:A = B457),FILTER('Leetcode List'!B:J,'Leetcode List'!A:A = B457))))"),"")</f>
        <v/>
      </c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>
      <c r="A458" s="22"/>
      <c r="B458" s="20"/>
      <c r="C458" s="20" t="str">
        <f>IFERROR(__xludf.DUMMYFUNCTION("IF(ISBLANK(B458),,IFERROR(array_constrain(FILTER('Leetcode分类顺序表'!B:J,'Leetcode分类顺序表'!A:A = B458), 1, 10000000),IFERROR(FILTER(Algoexpert.io!B:D,Algoexpert.io!A:A = B458),FILTER('Leetcode List'!B:J,'Leetcode List'!A:A = B458))))"),"")</f>
        <v/>
      </c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>
      <c r="A459" s="22"/>
      <c r="B459" s="20"/>
      <c r="C459" s="20" t="str">
        <f>IFERROR(__xludf.DUMMYFUNCTION("IF(ISBLANK(B459),,IFERROR(array_constrain(FILTER('Leetcode分类顺序表'!B:J,'Leetcode分类顺序表'!A:A = B459), 1, 10000000),IFERROR(FILTER(Algoexpert.io!B:D,Algoexpert.io!A:A = B459),FILTER('Leetcode List'!B:J,'Leetcode List'!A:A = B459))))"),"")</f>
        <v/>
      </c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>
      <c r="A460" s="22"/>
      <c r="B460" s="20"/>
      <c r="C460" s="20" t="str">
        <f>IFERROR(__xludf.DUMMYFUNCTION("IF(ISBLANK(B460),,IFERROR(array_constrain(FILTER('Leetcode分类顺序表'!B:J,'Leetcode分类顺序表'!A:A = B460), 1, 10000000),IFERROR(FILTER(Algoexpert.io!B:D,Algoexpert.io!A:A = B460),FILTER('Leetcode List'!B:J,'Leetcode List'!A:A = B460))))"),"")</f>
        <v/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>
      <c r="A461" s="22"/>
      <c r="B461" s="20"/>
      <c r="C461" s="20" t="str">
        <f>IFERROR(__xludf.DUMMYFUNCTION("IF(ISBLANK(B461),,IFERROR(array_constrain(FILTER('Leetcode分类顺序表'!B:J,'Leetcode分类顺序表'!A:A = B461), 1, 10000000),IFERROR(FILTER(Algoexpert.io!B:D,Algoexpert.io!A:A = B461),FILTER('Leetcode List'!B:J,'Leetcode List'!A:A = B461))))"),"")</f>
        <v/>
      </c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>
      <c r="A462" s="22"/>
      <c r="B462" s="20"/>
      <c r="C462" s="20" t="str">
        <f>IFERROR(__xludf.DUMMYFUNCTION("IF(ISBLANK(B462),,IFERROR(array_constrain(FILTER('Leetcode分类顺序表'!B:J,'Leetcode分类顺序表'!A:A = B462), 1, 10000000),IFERROR(FILTER(Algoexpert.io!B:D,Algoexpert.io!A:A = B462),FILTER('Leetcode List'!B:J,'Leetcode List'!A:A = B462))))"),"")</f>
        <v/>
      </c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>
      <c r="A463" s="22"/>
      <c r="B463" s="20"/>
      <c r="C463" s="20" t="str">
        <f>IFERROR(__xludf.DUMMYFUNCTION("IF(ISBLANK(B463),,IFERROR(array_constrain(FILTER('Leetcode分类顺序表'!B:J,'Leetcode分类顺序表'!A:A = B463), 1, 10000000),IFERROR(FILTER(Algoexpert.io!B:D,Algoexpert.io!A:A = B463),FILTER('Leetcode List'!B:J,'Leetcode List'!A:A = B463))))"),"")</f>
        <v/>
      </c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>
      <c r="A464" s="22"/>
      <c r="B464" s="20"/>
      <c r="C464" s="20" t="str">
        <f>IFERROR(__xludf.DUMMYFUNCTION("IF(ISBLANK(B464),,IFERROR(array_constrain(FILTER('Leetcode分类顺序表'!B:J,'Leetcode分类顺序表'!A:A = B464), 1, 10000000),IFERROR(FILTER(Algoexpert.io!B:D,Algoexpert.io!A:A = B464),FILTER('Leetcode List'!B:J,'Leetcode List'!A:A = B464))))"),"")</f>
        <v/>
      </c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>
      <c r="A465" s="22"/>
      <c r="B465" s="20"/>
      <c r="C465" s="20" t="str">
        <f>IFERROR(__xludf.DUMMYFUNCTION("IF(ISBLANK(B465),,IFERROR(array_constrain(FILTER('Leetcode分类顺序表'!B:J,'Leetcode分类顺序表'!A:A = B465), 1, 10000000),IFERROR(FILTER(Algoexpert.io!B:D,Algoexpert.io!A:A = B465),FILTER('Leetcode List'!B:J,'Leetcode List'!A:A = B465))))"),"")</f>
        <v/>
      </c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>
      <c r="A466" s="22"/>
      <c r="B466" s="20"/>
      <c r="C466" s="20" t="str">
        <f>IFERROR(__xludf.DUMMYFUNCTION("IF(ISBLANK(B466),,IFERROR(array_constrain(FILTER('Leetcode分类顺序表'!B:J,'Leetcode分类顺序表'!A:A = B466), 1, 10000000),IFERROR(FILTER(Algoexpert.io!B:D,Algoexpert.io!A:A = B466),FILTER('Leetcode List'!B:J,'Leetcode List'!A:A = B466))))"),"")</f>
        <v/>
      </c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>
      <c r="A467" s="22"/>
      <c r="B467" s="20"/>
      <c r="C467" s="20" t="str">
        <f>IFERROR(__xludf.DUMMYFUNCTION("IF(ISBLANK(B467),,IFERROR(array_constrain(FILTER('Leetcode分类顺序表'!B:J,'Leetcode分类顺序表'!A:A = B467), 1, 10000000),IFERROR(FILTER(Algoexpert.io!B:D,Algoexpert.io!A:A = B467),FILTER('Leetcode List'!B:J,'Leetcode List'!A:A = B467))))"),"")</f>
        <v/>
      </c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>
      <c r="A468" s="22"/>
      <c r="B468" s="20"/>
      <c r="C468" s="20" t="str">
        <f>IFERROR(__xludf.DUMMYFUNCTION("IF(ISBLANK(B468),,IFERROR(array_constrain(FILTER('Leetcode分类顺序表'!B:J,'Leetcode分类顺序表'!A:A = B468), 1, 10000000),IFERROR(FILTER(Algoexpert.io!B:D,Algoexpert.io!A:A = B468),FILTER('Leetcode List'!B:J,'Leetcode List'!A:A = B468))))"),"")</f>
        <v/>
      </c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>
      <c r="A469" s="22"/>
      <c r="B469" s="20"/>
      <c r="C469" s="20" t="str">
        <f>IFERROR(__xludf.DUMMYFUNCTION("IF(ISBLANK(B469),,IFERROR(array_constrain(FILTER('Leetcode分类顺序表'!B:J,'Leetcode分类顺序表'!A:A = B469), 1, 10000000),IFERROR(FILTER(Algoexpert.io!B:D,Algoexpert.io!A:A = B469),FILTER('Leetcode List'!B:J,'Leetcode List'!A:A = B469))))"),"")</f>
        <v/>
      </c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>
      <c r="A470" s="22"/>
      <c r="B470" s="20"/>
      <c r="C470" s="20" t="str">
        <f>IFERROR(__xludf.DUMMYFUNCTION("IF(ISBLANK(B470),,IFERROR(array_constrain(FILTER('Leetcode分类顺序表'!B:J,'Leetcode分类顺序表'!A:A = B470), 1, 10000000),IFERROR(FILTER(Algoexpert.io!B:D,Algoexpert.io!A:A = B470),FILTER('Leetcode List'!B:J,'Leetcode List'!A:A = B470))))"),"")</f>
        <v/>
      </c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>
      <c r="A471" s="22"/>
      <c r="B471" s="20"/>
      <c r="C471" s="20" t="str">
        <f>IFERROR(__xludf.DUMMYFUNCTION("IF(ISBLANK(B471),,IFERROR(array_constrain(FILTER('Leetcode分类顺序表'!B:J,'Leetcode分类顺序表'!A:A = B471), 1, 10000000),IFERROR(FILTER(Algoexpert.io!B:D,Algoexpert.io!A:A = B471),FILTER('Leetcode List'!B:J,'Leetcode List'!A:A = B471))))"),"")</f>
        <v/>
      </c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>
      <c r="A472" s="22"/>
      <c r="B472" s="20"/>
      <c r="C472" s="20" t="str">
        <f>IFERROR(__xludf.DUMMYFUNCTION("IF(ISBLANK(B472),,IFERROR(array_constrain(FILTER('Leetcode分类顺序表'!B:J,'Leetcode分类顺序表'!A:A = B472), 1, 10000000),IFERROR(FILTER(Algoexpert.io!B:D,Algoexpert.io!A:A = B472),FILTER('Leetcode List'!B:J,'Leetcode List'!A:A = B472))))"),"")</f>
        <v/>
      </c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>
      <c r="A473" s="22"/>
      <c r="B473" s="20"/>
      <c r="C473" s="20" t="str">
        <f>IFERROR(__xludf.DUMMYFUNCTION("IF(ISBLANK(B473),,IFERROR(array_constrain(FILTER('Leetcode分类顺序表'!B:J,'Leetcode分类顺序表'!A:A = B473), 1, 10000000),IFERROR(FILTER(Algoexpert.io!B:D,Algoexpert.io!A:A = B473),FILTER('Leetcode List'!B:J,'Leetcode List'!A:A = B473))))"),"")</f>
        <v/>
      </c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>
      <c r="A474" s="22"/>
      <c r="B474" s="20"/>
      <c r="C474" s="20" t="str">
        <f>IFERROR(__xludf.DUMMYFUNCTION("IF(ISBLANK(B474),,IFERROR(array_constrain(FILTER('Leetcode分类顺序表'!B:J,'Leetcode分类顺序表'!A:A = B474), 1, 10000000),IFERROR(FILTER(Algoexpert.io!B:D,Algoexpert.io!A:A = B474),FILTER('Leetcode List'!B:J,'Leetcode List'!A:A = B474))))"),"")</f>
        <v/>
      </c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>
      <c r="A475" s="22"/>
      <c r="B475" s="20"/>
      <c r="C475" s="20" t="str">
        <f>IFERROR(__xludf.DUMMYFUNCTION("IF(ISBLANK(B475),,IFERROR(array_constrain(FILTER('Leetcode分类顺序表'!B:J,'Leetcode分类顺序表'!A:A = B475), 1, 10000000),IFERROR(FILTER(Algoexpert.io!B:D,Algoexpert.io!A:A = B475),FILTER('Leetcode List'!B:J,'Leetcode List'!A:A = B475))))"),"")</f>
        <v/>
      </c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>
      <c r="A476" s="22"/>
      <c r="B476" s="20"/>
      <c r="C476" s="20" t="str">
        <f>IFERROR(__xludf.DUMMYFUNCTION("IF(ISBLANK(B476),,IFERROR(array_constrain(FILTER('Leetcode分类顺序表'!B:J,'Leetcode分类顺序表'!A:A = B476), 1, 10000000),IFERROR(FILTER(Algoexpert.io!B:D,Algoexpert.io!A:A = B476),FILTER('Leetcode List'!B:J,'Leetcode List'!A:A = B476))))"),"")</f>
        <v/>
      </c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>
      <c r="A477" s="22"/>
      <c r="B477" s="20"/>
      <c r="C477" s="20" t="str">
        <f>IFERROR(__xludf.DUMMYFUNCTION("IF(ISBLANK(B477),,IFERROR(array_constrain(FILTER('Leetcode分类顺序表'!B:J,'Leetcode分类顺序表'!A:A = B477), 1, 10000000),IFERROR(FILTER(Algoexpert.io!B:D,Algoexpert.io!A:A = B477),FILTER('Leetcode List'!B:J,'Leetcode List'!A:A = B477))))"),"")</f>
        <v/>
      </c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>
      <c r="A478" s="22"/>
      <c r="B478" s="20"/>
      <c r="C478" s="20" t="str">
        <f>IFERROR(__xludf.DUMMYFUNCTION("IF(ISBLANK(B478),,IFERROR(array_constrain(FILTER('Leetcode分类顺序表'!B:J,'Leetcode分类顺序表'!A:A = B478), 1, 10000000),IFERROR(FILTER(Algoexpert.io!B:D,Algoexpert.io!A:A = B478),FILTER('Leetcode List'!B:J,'Leetcode List'!A:A = B478))))"),"")</f>
        <v/>
      </c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>
      <c r="A479" s="22"/>
      <c r="B479" s="20"/>
      <c r="C479" s="20" t="str">
        <f>IFERROR(__xludf.DUMMYFUNCTION("IF(ISBLANK(B479),,IFERROR(array_constrain(FILTER('Leetcode分类顺序表'!B:J,'Leetcode分类顺序表'!A:A = B479), 1, 10000000),IFERROR(FILTER(Algoexpert.io!B:D,Algoexpert.io!A:A = B479),FILTER('Leetcode List'!B:J,'Leetcode List'!A:A = B479))))"),"")</f>
        <v/>
      </c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>
      <c r="A480" s="22"/>
      <c r="B480" s="20"/>
      <c r="C480" s="20" t="str">
        <f>IFERROR(__xludf.DUMMYFUNCTION("IF(ISBLANK(B480),,IFERROR(array_constrain(FILTER('Leetcode分类顺序表'!B:J,'Leetcode分类顺序表'!A:A = B480), 1, 10000000),IFERROR(FILTER(Algoexpert.io!B:D,Algoexpert.io!A:A = B480),FILTER('Leetcode List'!B:J,'Leetcode List'!A:A = B480))))"),"")</f>
        <v/>
      </c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>
      <c r="A481" s="22"/>
      <c r="B481" s="20"/>
      <c r="C481" s="20" t="str">
        <f>IFERROR(__xludf.DUMMYFUNCTION("IF(ISBLANK(B481),,IFERROR(array_constrain(FILTER('Leetcode分类顺序表'!B:J,'Leetcode分类顺序表'!A:A = B481), 1, 10000000),IFERROR(FILTER(Algoexpert.io!B:D,Algoexpert.io!A:A = B481),FILTER('Leetcode List'!B:J,'Leetcode List'!A:A = B481))))"),"")</f>
        <v/>
      </c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>
      <c r="A482" s="22"/>
      <c r="B482" s="20"/>
      <c r="C482" s="20" t="str">
        <f>IFERROR(__xludf.DUMMYFUNCTION("IF(ISBLANK(B482),,IFERROR(array_constrain(FILTER('Leetcode分类顺序表'!B:J,'Leetcode分类顺序表'!A:A = B482), 1, 10000000),IFERROR(FILTER(Algoexpert.io!B:D,Algoexpert.io!A:A = B482),FILTER('Leetcode List'!B:J,'Leetcode List'!A:A = B482))))"),"")</f>
        <v/>
      </c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>
      <c r="A483" s="22"/>
      <c r="B483" s="20"/>
      <c r="C483" s="20" t="str">
        <f>IFERROR(__xludf.DUMMYFUNCTION("IF(ISBLANK(B483),,IFERROR(array_constrain(FILTER('Leetcode分类顺序表'!B:J,'Leetcode分类顺序表'!A:A = B483), 1, 10000000),IFERROR(FILTER(Algoexpert.io!B:D,Algoexpert.io!A:A = B483),FILTER('Leetcode List'!B:J,'Leetcode List'!A:A = B483))))"),"")</f>
        <v/>
      </c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>
      <c r="A484" s="22"/>
      <c r="B484" s="20"/>
      <c r="C484" s="20" t="str">
        <f>IFERROR(__xludf.DUMMYFUNCTION("IF(ISBLANK(B484),,IFERROR(array_constrain(FILTER('Leetcode分类顺序表'!B:J,'Leetcode分类顺序表'!A:A = B484), 1, 10000000),IFERROR(FILTER(Algoexpert.io!B:D,Algoexpert.io!A:A = B484),FILTER('Leetcode List'!B:J,'Leetcode List'!A:A = B484))))"),"")</f>
        <v/>
      </c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>
      <c r="A485" s="22"/>
      <c r="B485" s="20"/>
      <c r="C485" s="20" t="str">
        <f>IFERROR(__xludf.DUMMYFUNCTION("IF(ISBLANK(B485),,IFERROR(array_constrain(FILTER('Leetcode分类顺序表'!B:J,'Leetcode分类顺序表'!A:A = B485), 1, 10000000),IFERROR(FILTER(Algoexpert.io!B:D,Algoexpert.io!A:A = B485),FILTER('Leetcode List'!B:J,'Leetcode List'!A:A = B485))))"),"")</f>
        <v/>
      </c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>
      <c r="A486" s="22"/>
      <c r="B486" s="20"/>
      <c r="C486" s="20" t="str">
        <f>IFERROR(__xludf.DUMMYFUNCTION("IF(ISBLANK(B486),,IFERROR(array_constrain(FILTER('Leetcode分类顺序表'!B:J,'Leetcode分类顺序表'!A:A = B486), 1, 10000000),IFERROR(FILTER(Algoexpert.io!B:D,Algoexpert.io!A:A = B486),FILTER('Leetcode List'!B:J,'Leetcode List'!A:A = B486))))"),"")</f>
        <v/>
      </c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>
      <c r="A487" s="22"/>
      <c r="B487" s="20"/>
      <c r="C487" s="20" t="str">
        <f>IFERROR(__xludf.DUMMYFUNCTION("IF(ISBLANK(B487),,IFERROR(array_constrain(FILTER('Leetcode分类顺序表'!B:J,'Leetcode分类顺序表'!A:A = B487), 1, 10000000),IFERROR(FILTER(Algoexpert.io!B:D,Algoexpert.io!A:A = B487),FILTER('Leetcode List'!B:J,'Leetcode List'!A:A = B487))))"),"")</f>
        <v/>
      </c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>
      <c r="A488" s="22"/>
      <c r="B488" s="20"/>
      <c r="C488" s="20" t="str">
        <f>IFERROR(__xludf.DUMMYFUNCTION("IF(ISBLANK(B488),,IFERROR(array_constrain(FILTER('Leetcode分类顺序表'!B:J,'Leetcode分类顺序表'!A:A = B488), 1, 10000000),IFERROR(FILTER(Algoexpert.io!B:D,Algoexpert.io!A:A = B488),FILTER('Leetcode List'!B:J,'Leetcode List'!A:A = B488))))"),"")</f>
        <v/>
      </c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>
      <c r="A489" s="22"/>
      <c r="B489" s="20"/>
      <c r="C489" s="20" t="str">
        <f>IFERROR(__xludf.DUMMYFUNCTION("IF(ISBLANK(B489),,IFERROR(array_constrain(FILTER('Leetcode分类顺序表'!B:J,'Leetcode分类顺序表'!A:A = B489), 1, 10000000),IFERROR(FILTER(Algoexpert.io!B:D,Algoexpert.io!A:A = B489),FILTER('Leetcode List'!B:J,'Leetcode List'!A:A = B489))))"),"")</f>
        <v/>
      </c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>
      <c r="A490" s="22"/>
      <c r="B490" s="20"/>
      <c r="C490" s="20" t="str">
        <f>IFERROR(__xludf.DUMMYFUNCTION("IF(ISBLANK(B490),,IFERROR(array_constrain(FILTER('Leetcode分类顺序表'!B:J,'Leetcode分类顺序表'!A:A = B490), 1, 10000000),IFERROR(FILTER(Algoexpert.io!B:D,Algoexpert.io!A:A = B490),FILTER('Leetcode List'!B:J,'Leetcode List'!A:A = B490))))"),"")</f>
        <v/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>
      <c r="A491" s="22"/>
      <c r="B491" s="20"/>
      <c r="C491" s="20" t="str">
        <f>IFERROR(__xludf.DUMMYFUNCTION("IF(ISBLANK(B491),,IFERROR(array_constrain(FILTER('Leetcode分类顺序表'!B:J,'Leetcode分类顺序表'!A:A = B491), 1, 10000000),IFERROR(FILTER(Algoexpert.io!B:D,Algoexpert.io!A:A = B491),FILTER('Leetcode List'!B:J,'Leetcode List'!A:A = B491))))"),"")</f>
        <v/>
      </c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>
      <c r="A492" s="22"/>
      <c r="B492" s="20"/>
      <c r="C492" s="20" t="str">
        <f>IFERROR(__xludf.DUMMYFUNCTION("IF(ISBLANK(B492),,IFERROR(array_constrain(FILTER('Leetcode分类顺序表'!B:J,'Leetcode分类顺序表'!A:A = B492), 1, 10000000),IFERROR(FILTER(Algoexpert.io!B:D,Algoexpert.io!A:A = B492),FILTER('Leetcode List'!B:J,'Leetcode List'!A:A = B492))))"),"")</f>
        <v/>
      </c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>
      <c r="A493" s="22"/>
      <c r="B493" s="20"/>
      <c r="C493" s="20" t="str">
        <f>IFERROR(__xludf.DUMMYFUNCTION("IF(ISBLANK(B493),,IFERROR(array_constrain(FILTER('Leetcode分类顺序表'!B:J,'Leetcode分类顺序表'!A:A = B493), 1, 10000000),IFERROR(FILTER(Algoexpert.io!B:D,Algoexpert.io!A:A = B493),FILTER('Leetcode List'!B:J,'Leetcode List'!A:A = B493))))"),"")</f>
        <v/>
      </c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>
      <c r="A494" s="22"/>
      <c r="B494" s="20"/>
      <c r="C494" s="20" t="str">
        <f>IFERROR(__xludf.DUMMYFUNCTION("IF(ISBLANK(B494),,IFERROR(array_constrain(FILTER('Leetcode分类顺序表'!B:J,'Leetcode分类顺序表'!A:A = B494), 1, 10000000),IFERROR(FILTER(Algoexpert.io!B:D,Algoexpert.io!A:A = B494),FILTER('Leetcode List'!B:J,'Leetcode List'!A:A = B494))))"),"")</f>
        <v/>
      </c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>
      <c r="A495" s="22"/>
      <c r="B495" s="20"/>
      <c r="C495" s="20" t="str">
        <f>IFERROR(__xludf.DUMMYFUNCTION("IF(ISBLANK(B495),,IFERROR(array_constrain(FILTER('Leetcode分类顺序表'!B:J,'Leetcode分类顺序表'!A:A = B495), 1, 10000000),IFERROR(FILTER(Algoexpert.io!B:D,Algoexpert.io!A:A = B495),FILTER('Leetcode List'!B:J,'Leetcode List'!A:A = B495))))"),"")</f>
        <v/>
      </c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>
      <c r="A496" s="22"/>
      <c r="B496" s="20"/>
      <c r="C496" s="20" t="str">
        <f>IFERROR(__xludf.DUMMYFUNCTION("IF(ISBLANK(B496),,IFERROR(array_constrain(FILTER('Leetcode分类顺序表'!B:J,'Leetcode分类顺序表'!A:A = B496), 1, 10000000),IFERROR(FILTER(Algoexpert.io!B:D,Algoexpert.io!A:A = B496),FILTER('Leetcode List'!B:J,'Leetcode List'!A:A = B496))))"),"")</f>
        <v/>
      </c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>
      <c r="A497" s="22"/>
      <c r="B497" s="20"/>
      <c r="C497" s="20" t="str">
        <f>IFERROR(__xludf.DUMMYFUNCTION("IF(ISBLANK(B497),,IFERROR(array_constrain(FILTER('Leetcode分类顺序表'!B:J,'Leetcode分类顺序表'!A:A = B497), 1, 10000000),IFERROR(FILTER(Algoexpert.io!B:D,Algoexpert.io!A:A = B497),FILTER('Leetcode List'!B:J,'Leetcode List'!A:A = B497))))"),"")</f>
        <v/>
      </c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>
      <c r="A498" s="22"/>
      <c r="B498" s="20"/>
      <c r="C498" s="20" t="str">
        <f>IFERROR(__xludf.DUMMYFUNCTION("IF(ISBLANK(B498),,IFERROR(array_constrain(FILTER('Leetcode分类顺序表'!B:J,'Leetcode分类顺序表'!A:A = B498), 1, 10000000),IFERROR(FILTER(Algoexpert.io!B:D,Algoexpert.io!A:A = B498),FILTER('Leetcode List'!B:J,'Leetcode List'!A:A = B498))))"),"")</f>
        <v/>
      </c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>
      <c r="A499" s="22"/>
      <c r="B499" s="20"/>
      <c r="C499" s="20" t="str">
        <f>IFERROR(__xludf.DUMMYFUNCTION("IF(ISBLANK(B499),,IFERROR(array_constrain(FILTER('Leetcode分类顺序表'!B:J,'Leetcode分类顺序表'!A:A = B499), 1, 10000000),IFERROR(FILTER(Algoexpert.io!B:D,Algoexpert.io!A:A = B499),FILTER('Leetcode List'!B:J,'Leetcode List'!A:A = B499))))"),"")</f>
        <v/>
      </c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>
      <c r="A500" s="22"/>
      <c r="B500" s="20"/>
      <c r="C500" s="20" t="str">
        <f>IFERROR(__xludf.DUMMYFUNCTION("IF(ISBLANK(B500),,IFERROR(array_constrain(FILTER('Leetcode分类顺序表'!B:J,'Leetcode分类顺序表'!A:A = B500), 1, 10000000),IFERROR(FILTER(Algoexpert.io!B:D,Algoexpert.io!A:A = B500),FILTER('Leetcode List'!B:J,'Leetcode List'!A:A = B500))))"),"")</f>
        <v/>
      </c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>
      <c r="A501" s="22"/>
      <c r="B501" s="20"/>
      <c r="C501" s="20" t="str">
        <f>IFERROR(__xludf.DUMMYFUNCTION("IF(ISBLANK(B501),,IFERROR(array_constrain(FILTER('Leetcode分类顺序表'!B:J,'Leetcode分类顺序表'!A:A = B501), 1, 10000000),IFERROR(FILTER(Algoexpert.io!B:D,Algoexpert.io!A:A = B501),FILTER('Leetcode List'!B:J,'Leetcode List'!A:A = B501))))"),"")</f>
        <v/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>
      <c r="A502" s="22"/>
      <c r="B502" s="20"/>
      <c r="C502" s="20" t="str">
        <f>IFERROR(__xludf.DUMMYFUNCTION("IF(ISBLANK(B502),,IFERROR(array_constrain(FILTER('Leetcode分类顺序表'!B:J,'Leetcode分类顺序表'!A:A = B502), 1, 10000000),IFERROR(FILTER(Algoexpert.io!B:D,Algoexpert.io!A:A = B502),FILTER('Leetcode List'!B:J,'Leetcode List'!A:A = B502))))"),"")</f>
        <v/>
      </c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>
      <c r="A503" s="22"/>
      <c r="B503" s="20"/>
      <c r="C503" s="20" t="str">
        <f>IFERROR(__xludf.DUMMYFUNCTION("IF(ISBLANK(B503),,IFERROR(array_constrain(FILTER('Leetcode分类顺序表'!B:J,'Leetcode分类顺序表'!A:A = B503), 1, 10000000),IFERROR(FILTER(Algoexpert.io!B:D,Algoexpert.io!A:A = B503),FILTER('Leetcode List'!B:J,'Leetcode List'!A:A = B503))))"),"")</f>
        <v/>
      </c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>
      <c r="A504" s="22"/>
      <c r="B504" s="20"/>
      <c r="C504" s="20" t="str">
        <f>IFERROR(__xludf.DUMMYFUNCTION("IF(ISBLANK(B504),,IFERROR(array_constrain(FILTER('Leetcode分类顺序表'!B:J,'Leetcode分类顺序表'!A:A = B504), 1, 10000000),IFERROR(FILTER(Algoexpert.io!B:D,Algoexpert.io!A:A = B504),FILTER('Leetcode List'!B:J,'Leetcode List'!A:A = B504))))"),"")</f>
        <v/>
      </c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>
      <c r="A505" s="22"/>
      <c r="B505" s="20"/>
      <c r="C505" s="20" t="str">
        <f>IFERROR(__xludf.DUMMYFUNCTION("IF(ISBLANK(B505),,IFERROR(array_constrain(FILTER('Leetcode分类顺序表'!B:J,'Leetcode分类顺序表'!A:A = B505), 1, 10000000),IFERROR(FILTER(Algoexpert.io!B:D,Algoexpert.io!A:A = B505),FILTER('Leetcode List'!B:J,'Leetcode List'!A:A = B505))))"),"")</f>
        <v/>
      </c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>
      <c r="A506" s="22"/>
      <c r="B506" s="20"/>
      <c r="C506" s="20" t="str">
        <f>IFERROR(__xludf.DUMMYFUNCTION("IF(ISBLANK(B506),,IFERROR(array_constrain(FILTER('Leetcode分类顺序表'!B:J,'Leetcode分类顺序表'!A:A = B506), 1, 10000000),IFERROR(FILTER(Algoexpert.io!B:D,Algoexpert.io!A:A = B506),FILTER('Leetcode List'!B:J,'Leetcode List'!A:A = B506))))"),"")</f>
        <v/>
      </c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>
      <c r="A507" s="22"/>
      <c r="B507" s="20"/>
      <c r="C507" s="20" t="str">
        <f>IFERROR(__xludf.DUMMYFUNCTION("IF(ISBLANK(B507),,IFERROR(array_constrain(FILTER('Leetcode分类顺序表'!B:J,'Leetcode分类顺序表'!A:A = B507), 1, 10000000),IFERROR(FILTER(Algoexpert.io!B:D,Algoexpert.io!A:A = B507),FILTER('Leetcode List'!B:J,'Leetcode List'!A:A = B507))))"),"")</f>
        <v/>
      </c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>
      <c r="A508" s="22"/>
      <c r="B508" s="20"/>
      <c r="C508" s="20" t="str">
        <f>IFERROR(__xludf.DUMMYFUNCTION("IF(ISBLANK(B508),,IFERROR(array_constrain(FILTER('Leetcode分类顺序表'!B:J,'Leetcode分类顺序表'!A:A = B508), 1, 10000000),IFERROR(FILTER(Algoexpert.io!B:D,Algoexpert.io!A:A = B508),FILTER('Leetcode List'!B:J,'Leetcode List'!A:A = B508))))"),"")</f>
        <v/>
      </c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>
      <c r="A509" s="22"/>
      <c r="B509" s="20"/>
      <c r="C509" s="20" t="str">
        <f>IFERROR(__xludf.DUMMYFUNCTION("IF(ISBLANK(B509),,IFERROR(array_constrain(FILTER('Leetcode分类顺序表'!B:J,'Leetcode分类顺序表'!A:A = B509), 1, 10000000),IFERROR(FILTER(Algoexpert.io!B:D,Algoexpert.io!A:A = B509),FILTER('Leetcode List'!B:J,'Leetcode List'!A:A = B509))))"),"")</f>
        <v/>
      </c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>
      <c r="A510" s="22"/>
      <c r="B510" s="20"/>
      <c r="C510" s="20" t="str">
        <f>IFERROR(__xludf.DUMMYFUNCTION("IF(ISBLANK(B510),,IFERROR(array_constrain(FILTER('Leetcode分类顺序表'!B:J,'Leetcode分类顺序表'!A:A = B510), 1, 10000000),IFERROR(FILTER(Algoexpert.io!B:D,Algoexpert.io!A:A = B510),FILTER('Leetcode List'!B:J,'Leetcode List'!A:A = B510))))"),"")</f>
        <v/>
      </c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>
      <c r="A511" s="22"/>
      <c r="B511" s="20"/>
      <c r="C511" s="20" t="str">
        <f>IFERROR(__xludf.DUMMYFUNCTION("IF(ISBLANK(B511),,IFERROR(array_constrain(FILTER('Leetcode分类顺序表'!B:J,'Leetcode分类顺序表'!A:A = B511), 1, 10000000),IFERROR(FILTER(Algoexpert.io!B:D,Algoexpert.io!A:A = B511),FILTER('Leetcode List'!B:J,'Leetcode List'!A:A = B511))))"),"")</f>
        <v/>
      </c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>
      <c r="A512" s="22"/>
      <c r="B512" s="20"/>
      <c r="C512" s="20" t="str">
        <f>IFERROR(__xludf.DUMMYFUNCTION("IF(ISBLANK(B512),,IFERROR(array_constrain(FILTER('Leetcode分类顺序表'!B:J,'Leetcode分类顺序表'!A:A = B512), 1, 10000000),IFERROR(FILTER(Algoexpert.io!B:D,Algoexpert.io!A:A = B512),FILTER('Leetcode List'!B:J,'Leetcode List'!A:A = B512))))"),"")</f>
        <v/>
      </c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>
      <c r="A513" s="22"/>
      <c r="B513" s="20"/>
      <c r="C513" s="20" t="str">
        <f>IFERROR(__xludf.DUMMYFUNCTION("IF(ISBLANK(B513),,IFERROR(array_constrain(FILTER('Leetcode分类顺序表'!B:J,'Leetcode分类顺序表'!A:A = B513), 1, 10000000),IFERROR(FILTER(Algoexpert.io!B:D,Algoexpert.io!A:A = B513),FILTER('Leetcode List'!B:J,'Leetcode List'!A:A = B513))))"),"")</f>
        <v/>
      </c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>
      <c r="A514" s="22"/>
      <c r="B514" s="20"/>
      <c r="C514" s="20" t="str">
        <f>IFERROR(__xludf.DUMMYFUNCTION("IF(ISBLANK(B514),,IFERROR(array_constrain(FILTER('Leetcode分类顺序表'!B:J,'Leetcode分类顺序表'!A:A = B514), 1, 10000000),IFERROR(FILTER(Algoexpert.io!B:D,Algoexpert.io!A:A = B514),FILTER('Leetcode List'!B:J,'Leetcode List'!A:A = B514))))"),"")</f>
        <v/>
      </c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>
      <c r="A515" s="22"/>
      <c r="B515" s="20"/>
      <c r="C515" s="20" t="str">
        <f>IFERROR(__xludf.DUMMYFUNCTION("IF(ISBLANK(B515),,IFERROR(array_constrain(FILTER('Leetcode分类顺序表'!B:J,'Leetcode分类顺序表'!A:A = B515), 1, 10000000),IFERROR(FILTER(Algoexpert.io!B:D,Algoexpert.io!A:A = B515),FILTER('Leetcode List'!B:J,'Leetcode List'!A:A = B515))))"),"")</f>
        <v/>
      </c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>
      <c r="A516" s="22"/>
      <c r="B516" s="20"/>
      <c r="C516" s="20" t="str">
        <f>IFERROR(__xludf.DUMMYFUNCTION("IF(ISBLANK(B516),,IFERROR(array_constrain(FILTER('Leetcode分类顺序表'!B:J,'Leetcode分类顺序表'!A:A = B516), 1, 10000000),IFERROR(FILTER(Algoexpert.io!B:D,Algoexpert.io!A:A = B516),FILTER('Leetcode List'!B:J,'Leetcode List'!A:A = B516))))"),"")</f>
        <v/>
      </c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>
      <c r="A517" s="22"/>
      <c r="B517" s="20"/>
      <c r="C517" s="20" t="str">
        <f>IFERROR(__xludf.DUMMYFUNCTION("IF(ISBLANK(B517),,IFERROR(array_constrain(FILTER('Leetcode分类顺序表'!B:J,'Leetcode分类顺序表'!A:A = B517), 1, 10000000),IFERROR(FILTER(Algoexpert.io!B:D,Algoexpert.io!A:A = B517),FILTER('Leetcode List'!B:J,'Leetcode List'!A:A = B517))))"),"")</f>
        <v/>
      </c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>
      <c r="A518" s="22"/>
      <c r="B518" s="20"/>
      <c r="C518" s="20" t="str">
        <f>IFERROR(__xludf.DUMMYFUNCTION("IF(ISBLANK(B518),,IFERROR(array_constrain(FILTER('Leetcode分类顺序表'!B:J,'Leetcode分类顺序表'!A:A = B518), 1, 10000000),IFERROR(FILTER(Algoexpert.io!B:D,Algoexpert.io!A:A = B518),FILTER('Leetcode List'!B:J,'Leetcode List'!A:A = B518))))"),"")</f>
        <v/>
      </c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>
      <c r="A519" s="22"/>
      <c r="B519" s="20"/>
      <c r="C519" s="20" t="str">
        <f>IFERROR(__xludf.DUMMYFUNCTION("IF(ISBLANK(B519),,IFERROR(array_constrain(FILTER('Leetcode分类顺序表'!B:J,'Leetcode分类顺序表'!A:A = B519), 1, 10000000),IFERROR(FILTER(Algoexpert.io!B:D,Algoexpert.io!A:A = B519),FILTER('Leetcode List'!B:J,'Leetcode List'!A:A = B519))))"),"")</f>
        <v/>
      </c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>
      <c r="A520" s="22"/>
      <c r="B520" s="20"/>
      <c r="C520" s="20" t="str">
        <f>IFERROR(__xludf.DUMMYFUNCTION("IF(ISBLANK(B520),,IFERROR(array_constrain(FILTER('Leetcode分类顺序表'!B:J,'Leetcode分类顺序表'!A:A = B520), 1, 10000000),IFERROR(FILTER(Algoexpert.io!B:D,Algoexpert.io!A:A = B520),FILTER('Leetcode List'!B:J,'Leetcode List'!A:A = B520))))"),"")</f>
        <v/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>
      <c r="A521" s="22"/>
      <c r="B521" s="20"/>
      <c r="C521" s="20" t="str">
        <f>IFERROR(__xludf.DUMMYFUNCTION("IF(ISBLANK(B521),,IFERROR(array_constrain(FILTER('Leetcode分类顺序表'!B:J,'Leetcode分类顺序表'!A:A = B521), 1, 10000000),IFERROR(FILTER(Algoexpert.io!B:D,Algoexpert.io!A:A = B521),FILTER('Leetcode List'!B:J,'Leetcode List'!A:A = B521))))"),"")</f>
        <v/>
      </c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>
      <c r="A522" s="22"/>
      <c r="B522" s="20"/>
      <c r="C522" s="20" t="str">
        <f>IFERROR(__xludf.DUMMYFUNCTION("IF(ISBLANK(B522),,IFERROR(array_constrain(FILTER('Leetcode分类顺序表'!B:J,'Leetcode分类顺序表'!A:A = B522), 1, 10000000),IFERROR(FILTER(Algoexpert.io!B:D,Algoexpert.io!A:A = B522),FILTER('Leetcode List'!B:J,'Leetcode List'!A:A = B522))))"),"")</f>
        <v/>
      </c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>
      <c r="A523" s="22"/>
      <c r="B523" s="20"/>
      <c r="C523" s="20" t="str">
        <f>IFERROR(__xludf.DUMMYFUNCTION("IF(ISBLANK(B523),,IFERROR(array_constrain(FILTER('Leetcode分类顺序表'!B:J,'Leetcode分类顺序表'!A:A = B523), 1, 10000000),IFERROR(FILTER(Algoexpert.io!B:D,Algoexpert.io!A:A = B523),FILTER('Leetcode List'!B:J,'Leetcode List'!A:A = B523))))"),"")</f>
        <v/>
      </c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>
      <c r="A524" s="22"/>
      <c r="B524" s="20"/>
      <c r="C524" s="20" t="str">
        <f>IFERROR(__xludf.DUMMYFUNCTION("IF(ISBLANK(B524),,IFERROR(array_constrain(FILTER('Leetcode分类顺序表'!B:J,'Leetcode分类顺序表'!A:A = B524), 1, 10000000),IFERROR(FILTER(Algoexpert.io!B:D,Algoexpert.io!A:A = B524),FILTER('Leetcode List'!B:J,'Leetcode List'!A:A = B524))))"),"")</f>
        <v/>
      </c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>
      <c r="A525" s="22"/>
      <c r="B525" s="20"/>
      <c r="C525" s="20" t="str">
        <f>IFERROR(__xludf.DUMMYFUNCTION("IF(ISBLANK(B525),,IFERROR(array_constrain(FILTER('Leetcode分类顺序表'!B:J,'Leetcode分类顺序表'!A:A = B525), 1, 10000000),IFERROR(FILTER(Algoexpert.io!B:D,Algoexpert.io!A:A = B525),FILTER('Leetcode List'!B:J,'Leetcode List'!A:A = B525))))"),"")</f>
        <v/>
      </c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>
      <c r="A526" s="22"/>
      <c r="B526" s="20"/>
      <c r="C526" s="20" t="str">
        <f>IFERROR(__xludf.DUMMYFUNCTION("IF(ISBLANK(B526),,IFERROR(array_constrain(FILTER('Leetcode分类顺序表'!B:J,'Leetcode分类顺序表'!A:A = B526), 1, 10000000),IFERROR(FILTER(Algoexpert.io!B:D,Algoexpert.io!A:A = B526),FILTER('Leetcode List'!B:J,'Leetcode List'!A:A = B526))))"),"")</f>
        <v/>
      </c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>
      <c r="A527" s="22"/>
      <c r="B527" s="20"/>
      <c r="C527" s="20" t="str">
        <f>IFERROR(__xludf.DUMMYFUNCTION("IF(ISBLANK(B527),,IFERROR(array_constrain(FILTER('Leetcode分类顺序表'!B:J,'Leetcode分类顺序表'!A:A = B527), 1, 10000000),IFERROR(FILTER(Algoexpert.io!B:D,Algoexpert.io!A:A = B527),FILTER('Leetcode List'!B:J,'Leetcode List'!A:A = B527))))"),"")</f>
        <v/>
      </c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>
      <c r="A528" s="22"/>
      <c r="B528" s="20"/>
      <c r="C528" s="20" t="str">
        <f>IFERROR(__xludf.DUMMYFUNCTION("IF(ISBLANK(B528),,IFERROR(array_constrain(FILTER('Leetcode分类顺序表'!B:J,'Leetcode分类顺序表'!A:A = B528), 1, 10000000),IFERROR(FILTER(Algoexpert.io!B:D,Algoexpert.io!A:A = B528),FILTER('Leetcode List'!B:J,'Leetcode List'!A:A = B528))))"),"")</f>
        <v/>
      </c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>
      <c r="A529" s="22"/>
      <c r="B529" s="20"/>
      <c r="C529" s="20" t="str">
        <f>IFERROR(__xludf.DUMMYFUNCTION("IF(ISBLANK(B529),,IFERROR(array_constrain(FILTER('Leetcode分类顺序表'!B:J,'Leetcode分类顺序表'!A:A = B529), 1, 10000000),IFERROR(FILTER(Algoexpert.io!B:D,Algoexpert.io!A:A = B529),FILTER('Leetcode List'!B:J,'Leetcode List'!A:A = B529))))"),"")</f>
        <v/>
      </c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>
      <c r="A530" s="22"/>
      <c r="B530" s="20"/>
      <c r="C530" s="20" t="str">
        <f>IFERROR(__xludf.DUMMYFUNCTION("IF(ISBLANK(B530),,IFERROR(array_constrain(FILTER('Leetcode分类顺序表'!B:J,'Leetcode分类顺序表'!A:A = B530), 1, 10000000),IFERROR(FILTER(Algoexpert.io!B:D,Algoexpert.io!A:A = B530),FILTER('Leetcode List'!B:J,'Leetcode List'!A:A = B530))))"),"")</f>
        <v/>
      </c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>
      <c r="A531" s="22"/>
      <c r="B531" s="20"/>
      <c r="C531" s="20" t="str">
        <f>IFERROR(__xludf.DUMMYFUNCTION("IF(ISBLANK(B531),,IFERROR(array_constrain(FILTER('Leetcode分类顺序表'!B:J,'Leetcode分类顺序表'!A:A = B531), 1, 10000000),IFERROR(FILTER(Algoexpert.io!B:D,Algoexpert.io!A:A = B531),FILTER('Leetcode List'!B:J,'Leetcode List'!A:A = B531))))"),"")</f>
        <v/>
      </c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>
      <c r="A532" s="22"/>
      <c r="B532" s="20"/>
      <c r="C532" s="20" t="str">
        <f>IFERROR(__xludf.DUMMYFUNCTION("IF(ISBLANK(B532),,IFERROR(array_constrain(FILTER('Leetcode分类顺序表'!B:J,'Leetcode分类顺序表'!A:A = B532), 1, 10000000),IFERROR(FILTER(Algoexpert.io!B:D,Algoexpert.io!A:A = B532),FILTER('Leetcode List'!B:J,'Leetcode List'!A:A = B532))))"),"")</f>
        <v/>
      </c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>
      <c r="A533" s="22"/>
      <c r="B533" s="20"/>
      <c r="C533" s="20" t="str">
        <f>IFERROR(__xludf.DUMMYFUNCTION("IF(ISBLANK(B533),,IFERROR(array_constrain(FILTER('Leetcode分类顺序表'!B:J,'Leetcode分类顺序表'!A:A = B533), 1, 10000000),IFERROR(FILTER(Algoexpert.io!B:D,Algoexpert.io!A:A = B533),FILTER('Leetcode List'!B:J,'Leetcode List'!A:A = B533))))"),"")</f>
        <v/>
      </c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>
      <c r="A534" s="22"/>
      <c r="B534" s="20"/>
      <c r="C534" s="20" t="str">
        <f>IFERROR(__xludf.DUMMYFUNCTION("IF(ISBLANK(B534),,IFERROR(array_constrain(FILTER('Leetcode分类顺序表'!B:J,'Leetcode分类顺序表'!A:A = B534), 1, 10000000),IFERROR(FILTER(Algoexpert.io!B:D,Algoexpert.io!A:A = B534),FILTER('Leetcode List'!B:J,'Leetcode List'!A:A = B534))))"),"")</f>
        <v/>
      </c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>
      <c r="A535" s="22"/>
      <c r="B535" s="20"/>
      <c r="C535" s="20" t="str">
        <f>IFERROR(__xludf.DUMMYFUNCTION("IF(ISBLANK(B535),,IFERROR(array_constrain(FILTER('Leetcode分类顺序表'!B:J,'Leetcode分类顺序表'!A:A = B535), 1, 10000000),IFERROR(FILTER(Algoexpert.io!B:D,Algoexpert.io!A:A = B535),FILTER('Leetcode List'!B:J,'Leetcode List'!A:A = B535))))"),"")</f>
        <v/>
      </c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>
      <c r="A536" s="22"/>
      <c r="B536" s="20"/>
      <c r="C536" s="20" t="str">
        <f>IFERROR(__xludf.DUMMYFUNCTION("IF(ISBLANK(B536),,IFERROR(array_constrain(FILTER('Leetcode分类顺序表'!B:J,'Leetcode分类顺序表'!A:A = B536), 1, 10000000),IFERROR(FILTER(Algoexpert.io!B:D,Algoexpert.io!A:A = B536),FILTER('Leetcode List'!B:J,'Leetcode List'!A:A = B536))))"),"")</f>
        <v/>
      </c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>
      <c r="A537" s="22"/>
      <c r="B537" s="20"/>
      <c r="C537" s="20" t="str">
        <f>IFERROR(__xludf.DUMMYFUNCTION("IF(ISBLANK(B537),,IFERROR(array_constrain(FILTER('Leetcode分类顺序表'!B:J,'Leetcode分类顺序表'!A:A = B537), 1, 10000000),IFERROR(FILTER(Algoexpert.io!B:D,Algoexpert.io!A:A = B537),FILTER('Leetcode List'!B:J,'Leetcode List'!A:A = B537))))"),"")</f>
        <v/>
      </c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>
      <c r="A538" s="22"/>
      <c r="B538" s="20"/>
      <c r="C538" s="20" t="str">
        <f>IFERROR(__xludf.DUMMYFUNCTION("IF(ISBLANK(B538),,IFERROR(array_constrain(FILTER('Leetcode分类顺序表'!B:J,'Leetcode分类顺序表'!A:A = B538), 1, 10000000),IFERROR(FILTER(Algoexpert.io!B:D,Algoexpert.io!A:A = B538),FILTER('Leetcode List'!B:J,'Leetcode List'!A:A = B538))))"),"")</f>
        <v/>
      </c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>
      <c r="A539" s="22"/>
      <c r="B539" s="20"/>
      <c r="C539" s="20" t="str">
        <f>IFERROR(__xludf.DUMMYFUNCTION("IF(ISBLANK(B539),,IFERROR(array_constrain(FILTER('Leetcode分类顺序表'!B:J,'Leetcode分类顺序表'!A:A = B539), 1, 10000000),IFERROR(FILTER(Algoexpert.io!B:D,Algoexpert.io!A:A = B539),FILTER('Leetcode List'!B:J,'Leetcode List'!A:A = B539))))"),"")</f>
        <v/>
      </c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>
      <c r="A540" s="22"/>
      <c r="B540" s="20"/>
      <c r="C540" s="20" t="str">
        <f>IFERROR(__xludf.DUMMYFUNCTION("IF(ISBLANK(B540),,IFERROR(array_constrain(FILTER('Leetcode分类顺序表'!B:J,'Leetcode分类顺序表'!A:A = B540), 1, 10000000),IFERROR(FILTER(Algoexpert.io!B:D,Algoexpert.io!A:A = B540),FILTER('Leetcode List'!B:J,'Leetcode List'!A:A = B540))))"),"")</f>
        <v/>
      </c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>
      <c r="A541" s="22"/>
      <c r="B541" s="20"/>
      <c r="C541" s="20" t="str">
        <f>IFERROR(__xludf.DUMMYFUNCTION("IF(ISBLANK(B541),,IFERROR(array_constrain(FILTER('Leetcode分类顺序表'!B:J,'Leetcode分类顺序表'!A:A = B541), 1, 10000000),IFERROR(FILTER(Algoexpert.io!B:D,Algoexpert.io!A:A = B541),FILTER('Leetcode List'!B:J,'Leetcode List'!A:A = B541))))"),"")</f>
        <v/>
      </c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>
      <c r="A542" s="22"/>
      <c r="B542" s="20"/>
      <c r="C542" s="20" t="str">
        <f>IFERROR(__xludf.DUMMYFUNCTION("IF(ISBLANK(B542),,IFERROR(array_constrain(FILTER('Leetcode分类顺序表'!B:J,'Leetcode分类顺序表'!A:A = B542), 1, 10000000),IFERROR(FILTER(Algoexpert.io!B:D,Algoexpert.io!A:A = B542),FILTER('Leetcode List'!B:J,'Leetcode List'!A:A = B542))))"),"")</f>
        <v/>
      </c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>
      <c r="A543" s="22"/>
      <c r="B543" s="20"/>
      <c r="C543" s="20" t="str">
        <f>IFERROR(__xludf.DUMMYFUNCTION("IF(ISBLANK(B543),,IFERROR(array_constrain(FILTER('Leetcode分类顺序表'!B:J,'Leetcode分类顺序表'!A:A = B543), 1, 10000000),IFERROR(FILTER(Algoexpert.io!B:D,Algoexpert.io!A:A = B543),FILTER('Leetcode List'!B:J,'Leetcode List'!A:A = B543))))"),"")</f>
        <v/>
      </c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>
      <c r="A544" s="22"/>
      <c r="B544" s="20"/>
      <c r="C544" s="20" t="str">
        <f>IFERROR(__xludf.DUMMYFUNCTION("IF(ISBLANK(B544),,IFERROR(array_constrain(FILTER('Leetcode分类顺序表'!B:J,'Leetcode分类顺序表'!A:A = B544), 1, 10000000),IFERROR(FILTER(Algoexpert.io!B:D,Algoexpert.io!A:A = B544),FILTER('Leetcode List'!B:J,'Leetcode List'!A:A = B544))))"),"")</f>
        <v/>
      </c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>
      <c r="A545" s="22"/>
      <c r="B545" s="20"/>
      <c r="C545" s="20" t="str">
        <f>IFERROR(__xludf.DUMMYFUNCTION("IF(ISBLANK(B545),,IFERROR(array_constrain(FILTER('Leetcode分类顺序表'!B:J,'Leetcode分类顺序表'!A:A = B545), 1, 10000000),IFERROR(FILTER(Algoexpert.io!B:D,Algoexpert.io!A:A = B545),FILTER('Leetcode List'!B:J,'Leetcode List'!A:A = B545))))"),"")</f>
        <v/>
      </c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>
      <c r="A546" s="22"/>
      <c r="B546" s="20"/>
      <c r="C546" s="20" t="str">
        <f>IFERROR(__xludf.DUMMYFUNCTION("IF(ISBLANK(B546),,IFERROR(array_constrain(FILTER('Leetcode分类顺序表'!B:J,'Leetcode分类顺序表'!A:A = B546), 1, 10000000),IFERROR(FILTER(Algoexpert.io!B:D,Algoexpert.io!A:A = B546),FILTER('Leetcode List'!B:J,'Leetcode List'!A:A = B546))))"),"")</f>
        <v/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>
      <c r="A547" s="22"/>
      <c r="B547" s="20"/>
      <c r="C547" s="20" t="str">
        <f>IFERROR(__xludf.DUMMYFUNCTION("IF(ISBLANK(B547),,IFERROR(array_constrain(FILTER('Leetcode分类顺序表'!B:J,'Leetcode分类顺序表'!A:A = B547), 1, 10000000),IFERROR(FILTER(Algoexpert.io!B:D,Algoexpert.io!A:A = B547),FILTER('Leetcode List'!B:J,'Leetcode List'!A:A = B547))))"),"")</f>
        <v/>
      </c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>
      <c r="A548" s="22"/>
      <c r="B548" s="20"/>
      <c r="C548" s="20" t="str">
        <f>IFERROR(__xludf.DUMMYFUNCTION("IF(ISBLANK(B548),,IFERROR(array_constrain(FILTER('Leetcode分类顺序表'!B:J,'Leetcode分类顺序表'!A:A = B548), 1, 10000000),IFERROR(FILTER(Algoexpert.io!B:D,Algoexpert.io!A:A = B548),FILTER('Leetcode List'!B:J,'Leetcode List'!A:A = B548))))"),"")</f>
        <v/>
      </c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>
      <c r="A549" s="22"/>
      <c r="B549" s="20"/>
      <c r="C549" s="20" t="str">
        <f>IFERROR(__xludf.DUMMYFUNCTION("IF(ISBLANK(B549),,IFERROR(array_constrain(FILTER('Leetcode分类顺序表'!B:J,'Leetcode分类顺序表'!A:A = B549), 1, 10000000),IFERROR(FILTER(Algoexpert.io!B:D,Algoexpert.io!A:A = B549),FILTER('Leetcode List'!B:J,'Leetcode List'!A:A = B549))))"),"")</f>
        <v/>
      </c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>
      <c r="A550" s="22"/>
      <c r="B550" s="20"/>
      <c r="C550" s="20" t="str">
        <f>IFERROR(__xludf.DUMMYFUNCTION("IF(ISBLANK(B550),,IFERROR(array_constrain(FILTER('Leetcode分类顺序表'!B:J,'Leetcode分类顺序表'!A:A = B550), 1, 10000000),IFERROR(FILTER(Algoexpert.io!B:D,Algoexpert.io!A:A = B550),FILTER('Leetcode List'!B:J,'Leetcode List'!A:A = B550))))"),"")</f>
        <v/>
      </c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>
      <c r="A551" s="22"/>
      <c r="B551" s="20"/>
      <c r="C551" s="20" t="str">
        <f>IFERROR(__xludf.DUMMYFUNCTION("IF(ISBLANK(B551),,IFERROR(array_constrain(FILTER('Leetcode分类顺序表'!B:J,'Leetcode分类顺序表'!A:A = B551), 1, 10000000),IFERROR(FILTER(Algoexpert.io!B:D,Algoexpert.io!A:A = B551),FILTER('Leetcode List'!B:J,'Leetcode List'!A:A = B551))))"),"")</f>
        <v/>
      </c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>
      <c r="A552" s="22"/>
      <c r="B552" s="20"/>
      <c r="C552" s="20" t="str">
        <f>IFERROR(__xludf.DUMMYFUNCTION("IF(ISBLANK(B552),,IFERROR(array_constrain(FILTER('Leetcode分类顺序表'!B:J,'Leetcode分类顺序表'!A:A = B552), 1, 10000000),IFERROR(FILTER(Algoexpert.io!B:D,Algoexpert.io!A:A = B552),FILTER('Leetcode List'!B:J,'Leetcode List'!A:A = B552))))"),"")</f>
        <v/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>
      <c r="A553" s="22"/>
      <c r="B553" s="20"/>
      <c r="C553" s="20" t="str">
        <f>IFERROR(__xludf.DUMMYFUNCTION("IF(ISBLANK(B553),,IFERROR(array_constrain(FILTER('Leetcode分类顺序表'!B:J,'Leetcode分类顺序表'!A:A = B553), 1, 10000000),IFERROR(FILTER(Algoexpert.io!B:D,Algoexpert.io!A:A = B553),FILTER('Leetcode List'!B:J,'Leetcode List'!A:A = B553))))"),"")</f>
        <v/>
      </c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>
      <c r="A554" s="22"/>
      <c r="B554" s="20"/>
      <c r="C554" s="20" t="str">
        <f>IFERROR(__xludf.DUMMYFUNCTION("IF(ISBLANK(B554),,IFERROR(array_constrain(FILTER('Leetcode分类顺序表'!B:J,'Leetcode分类顺序表'!A:A = B554), 1, 10000000),IFERROR(FILTER(Algoexpert.io!B:D,Algoexpert.io!A:A = B554),FILTER('Leetcode List'!B:J,'Leetcode List'!A:A = B554))))"),"")</f>
        <v/>
      </c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>
      <c r="A555" s="22"/>
      <c r="B555" s="20"/>
      <c r="C555" s="20" t="str">
        <f>IFERROR(__xludf.DUMMYFUNCTION("IF(ISBLANK(B555),,IFERROR(array_constrain(FILTER('Leetcode分类顺序表'!B:J,'Leetcode分类顺序表'!A:A = B555), 1, 10000000),IFERROR(FILTER(Algoexpert.io!B:D,Algoexpert.io!A:A = B555),FILTER('Leetcode List'!B:J,'Leetcode List'!A:A = B555))))"),"")</f>
        <v/>
      </c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>
      <c r="A556" s="22"/>
      <c r="B556" s="20"/>
      <c r="C556" s="20" t="str">
        <f>IFERROR(__xludf.DUMMYFUNCTION("IF(ISBLANK(B556),,IFERROR(array_constrain(FILTER('Leetcode分类顺序表'!B:J,'Leetcode分类顺序表'!A:A = B556), 1, 10000000),IFERROR(FILTER(Algoexpert.io!B:D,Algoexpert.io!A:A = B556),FILTER('Leetcode List'!B:J,'Leetcode List'!A:A = B556))))"),"")</f>
        <v/>
      </c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>
      <c r="A557" s="22"/>
      <c r="B557" s="20"/>
      <c r="C557" s="20" t="str">
        <f>IFERROR(__xludf.DUMMYFUNCTION("IF(ISBLANK(B557),,IFERROR(array_constrain(FILTER('Leetcode分类顺序表'!B:J,'Leetcode分类顺序表'!A:A = B557), 1, 10000000),IFERROR(FILTER(Algoexpert.io!B:D,Algoexpert.io!A:A = B557),FILTER('Leetcode List'!B:J,'Leetcode List'!A:A = B557))))"),"")</f>
        <v/>
      </c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>
      <c r="A558" s="22"/>
      <c r="B558" s="20"/>
      <c r="C558" s="20" t="str">
        <f>IFERROR(__xludf.DUMMYFUNCTION("IF(ISBLANK(B558),,IFERROR(array_constrain(FILTER('Leetcode分类顺序表'!B:J,'Leetcode分类顺序表'!A:A = B558), 1, 10000000),IFERROR(FILTER(Algoexpert.io!B:D,Algoexpert.io!A:A = B558),FILTER('Leetcode List'!B:J,'Leetcode List'!A:A = B558))))"),"")</f>
        <v/>
      </c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>
      <c r="A559" s="22"/>
      <c r="B559" s="20"/>
      <c r="C559" s="20" t="str">
        <f>IFERROR(__xludf.DUMMYFUNCTION("IF(ISBLANK(B559),,IFERROR(array_constrain(FILTER('Leetcode分类顺序表'!B:J,'Leetcode分类顺序表'!A:A = B559), 1, 10000000),IFERROR(FILTER(Algoexpert.io!B:D,Algoexpert.io!A:A = B559),FILTER('Leetcode List'!B:J,'Leetcode List'!A:A = B559))))"),"")</f>
        <v/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>
      <c r="A560" s="22"/>
      <c r="B560" s="20"/>
      <c r="C560" s="20" t="str">
        <f>IFERROR(__xludf.DUMMYFUNCTION("IF(ISBLANK(B560),,IFERROR(array_constrain(FILTER('Leetcode分类顺序表'!B:J,'Leetcode分类顺序表'!A:A = B560), 1, 10000000),IFERROR(FILTER(Algoexpert.io!B:D,Algoexpert.io!A:A = B560),FILTER('Leetcode List'!B:J,'Leetcode List'!A:A = B560))))"),"")</f>
        <v/>
      </c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>
      <c r="A561" s="22"/>
      <c r="B561" s="20"/>
      <c r="C561" s="20" t="str">
        <f>IFERROR(__xludf.DUMMYFUNCTION("IF(ISBLANK(B561),,IFERROR(array_constrain(FILTER('Leetcode分类顺序表'!B:J,'Leetcode分类顺序表'!A:A = B561), 1, 10000000),IFERROR(FILTER(Algoexpert.io!B:D,Algoexpert.io!A:A = B561),FILTER('Leetcode List'!B:J,'Leetcode List'!A:A = B561))))"),"")</f>
        <v/>
      </c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>
      <c r="A562" s="22"/>
      <c r="B562" s="20"/>
      <c r="C562" s="20" t="str">
        <f>IFERROR(__xludf.DUMMYFUNCTION("IF(ISBLANK(B562),,IFERROR(array_constrain(FILTER('Leetcode分类顺序表'!B:J,'Leetcode分类顺序表'!A:A = B562), 1, 10000000),IFERROR(FILTER(Algoexpert.io!B:D,Algoexpert.io!A:A = B562),FILTER('Leetcode List'!B:J,'Leetcode List'!A:A = B562))))"),"")</f>
        <v/>
      </c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>
      <c r="A563" s="22"/>
      <c r="B563" s="20"/>
      <c r="C563" s="20" t="str">
        <f>IFERROR(__xludf.DUMMYFUNCTION("IF(ISBLANK(B563),,IFERROR(array_constrain(FILTER('Leetcode分类顺序表'!B:J,'Leetcode分类顺序表'!A:A = B563), 1, 10000000),IFERROR(FILTER(Algoexpert.io!B:D,Algoexpert.io!A:A = B563),FILTER('Leetcode List'!B:J,'Leetcode List'!A:A = B563))))"),"")</f>
        <v/>
      </c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>
      <c r="A564" s="22"/>
      <c r="B564" s="20"/>
      <c r="C564" s="20" t="str">
        <f>IFERROR(__xludf.DUMMYFUNCTION("IF(ISBLANK(B564),,IFERROR(array_constrain(FILTER('Leetcode分类顺序表'!B:J,'Leetcode分类顺序表'!A:A = B564), 1, 10000000),IFERROR(FILTER(Algoexpert.io!B:D,Algoexpert.io!A:A = B564),FILTER('Leetcode List'!B:J,'Leetcode List'!A:A = B564))))"),"")</f>
        <v/>
      </c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>
      <c r="A565" s="22"/>
      <c r="B565" s="20"/>
      <c r="C565" s="20" t="str">
        <f>IFERROR(__xludf.DUMMYFUNCTION("IF(ISBLANK(B565),,IFERROR(array_constrain(FILTER('Leetcode分类顺序表'!B:J,'Leetcode分类顺序表'!A:A = B565), 1, 10000000),IFERROR(FILTER(Algoexpert.io!B:D,Algoexpert.io!A:A = B565),FILTER('Leetcode List'!B:J,'Leetcode List'!A:A = B565))))"),"")</f>
        <v/>
      </c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>
      <c r="A566" s="22"/>
      <c r="B566" s="20"/>
      <c r="C566" s="20" t="str">
        <f>IFERROR(__xludf.DUMMYFUNCTION("IF(ISBLANK(B566),,IFERROR(array_constrain(FILTER('Leetcode分类顺序表'!B:J,'Leetcode分类顺序表'!A:A = B566), 1, 10000000),IFERROR(FILTER(Algoexpert.io!B:D,Algoexpert.io!A:A = B566),FILTER('Leetcode List'!B:J,'Leetcode List'!A:A = B566))))"),"")</f>
        <v/>
      </c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>
      <c r="A567" s="22"/>
      <c r="B567" s="20"/>
      <c r="C567" s="20" t="str">
        <f>IFERROR(__xludf.DUMMYFUNCTION("IF(ISBLANK(B567),,IFERROR(array_constrain(FILTER('Leetcode分类顺序表'!B:J,'Leetcode分类顺序表'!A:A = B567), 1, 10000000),IFERROR(FILTER(Algoexpert.io!B:D,Algoexpert.io!A:A = B567),FILTER('Leetcode List'!B:J,'Leetcode List'!A:A = B567))))"),"")</f>
        <v/>
      </c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>
      <c r="A568" s="22"/>
      <c r="B568" s="20"/>
      <c r="C568" s="20" t="str">
        <f>IFERROR(__xludf.DUMMYFUNCTION("IF(ISBLANK(B568),,IFERROR(array_constrain(FILTER('Leetcode分类顺序表'!B:J,'Leetcode分类顺序表'!A:A = B568), 1, 10000000),IFERROR(FILTER(Algoexpert.io!B:D,Algoexpert.io!A:A = B568),FILTER('Leetcode List'!B:J,'Leetcode List'!A:A = B568))))"),"")</f>
        <v/>
      </c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>
      <c r="A569" s="22"/>
      <c r="B569" s="20"/>
      <c r="C569" s="20" t="str">
        <f>IFERROR(__xludf.DUMMYFUNCTION("IF(ISBLANK(B569),,IFERROR(array_constrain(FILTER('Leetcode分类顺序表'!B:J,'Leetcode分类顺序表'!A:A = B569), 1, 10000000),IFERROR(FILTER(Algoexpert.io!B:D,Algoexpert.io!A:A = B569),FILTER('Leetcode List'!B:J,'Leetcode List'!A:A = B569))))"),"")</f>
        <v/>
      </c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>
      <c r="A570" s="22"/>
      <c r="B570" s="20"/>
      <c r="C570" s="20" t="str">
        <f>IFERROR(__xludf.DUMMYFUNCTION("IF(ISBLANK(B570),,IFERROR(array_constrain(FILTER('Leetcode分类顺序表'!B:J,'Leetcode分类顺序表'!A:A = B570), 1, 10000000),IFERROR(FILTER(Algoexpert.io!B:D,Algoexpert.io!A:A = B570),FILTER('Leetcode List'!B:J,'Leetcode List'!A:A = B570))))"),"")</f>
        <v/>
      </c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>
      <c r="A571" s="22"/>
      <c r="B571" s="20"/>
      <c r="C571" s="20" t="str">
        <f>IFERROR(__xludf.DUMMYFUNCTION("IF(ISBLANK(B571),,IFERROR(array_constrain(FILTER('Leetcode分类顺序表'!B:J,'Leetcode分类顺序表'!A:A = B571), 1, 10000000),IFERROR(FILTER(Algoexpert.io!B:D,Algoexpert.io!A:A = B571),FILTER('Leetcode List'!B:J,'Leetcode List'!A:A = B571))))"),"")</f>
        <v/>
      </c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>
      <c r="A572" s="22"/>
      <c r="B572" s="20"/>
      <c r="C572" s="20" t="str">
        <f>IFERROR(__xludf.DUMMYFUNCTION("IF(ISBLANK(B572),,IFERROR(array_constrain(FILTER('Leetcode分类顺序表'!B:J,'Leetcode分类顺序表'!A:A = B572), 1, 10000000),IFERROR(FILTER(Algoexpert.io!B:D,Algoexpert.io!A:A = B572),FILTER('Leetcode List'!B:J,'Leetcode List'!A:A = B572))))"),"")</f>
        <v/>
      </c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>
      <c r="A573" s="22"/>
      <c r="B573" s="20"/>
      <c r="C573" s="20" t="str">
        <f>IFERROR(__xludf.DUMMYFUNCTION("IF(ISBLANK(B573),,IFERROR(array_constrain(FILTER('Leetcode分类顺序表'!B:J,'Leetcode分类顺序表'!A:A = B573), 1, 10000000),IFERROR(FILTER(Algoexpert.io!B:D,Algoexpert.io!A:A = B573),FILTER('Leetcode List'!B:J,'Leetcode List'!A:A = B573))))"),"")</f>
        <v/>
      </c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>
      <c r="A574" s="22"/>
      <c r="B574" s="20"/>
      <c r="C574" s="20" t="str">
        <f>IFERROR(__xludf.DUMMYFUNCTION("IF(ISBLANK(B574),,IFERROR(array_constrain(FILTER('Leetcode分类顺序表'!B:J,'Leetcode分类顺序表'!A:A = B574), 1, 10000000),IFERROR(FILTER(Algoexpert.io!B:D,Algoexpert.io!A:A = B574),FILTER('Leetcode List'!B:J,'Leetcode List'!A:A = B574))))"),"")</f>
        <v/>
      </c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>
      <c r="A575" s="22"/>
      <c r="B575" s="20"/>
      <c r="C575" s="20" t="str">
        <f>IFERROR(__xludf.DUMMYFUNCTION("IF(ISBLANK(B575),,IFERROR(array_constrain(FILTER('Leetcode分类顺序表'!B:J,'Leetcode分类顺序表'!A:A = B575), 1, 10000000),IFERROR(FILTER(Algoexpert.io!B:D,Algoexpert.io!A:A = B575),FILTER('Leetcode List'!B:J,'Leetcode List'!A:A = B575))))"),"")</f>
        <v/>
      </c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>
      <c r="A576" s="22"/>
      <c r="B576" s="20"/>
      <c r="C576" s="20" t="str">
        <f>IFERROR(__xludf.DUMMYFUNCTION("IF(ISBLANK(B576),,IFERROR(array_constrain(FILTER('Leetcode分类顺序表'!B:J,'Leetcode分类顺序表'!A:A = B576), 1, 10000000),IFERROR(FILTER(Algoexpert.io!B:D,Algoexpert.io!A:A = B576),FILTER('Leetcode List'!B:J,'Leetcode List'!A:A = B576))))"),"")</f>
        <v/>
      </c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>
      <c r="A577" s="22"/>
      <c r="B577" s="20"/>
      <c r="C577" s="20" t="str">
        <f>IFERROR(__xludf.DUMMYFUNCTION("IF(ISBLANK(B577),,IFERROR(array_constrain(FILTER('Leetcode分类顺序表'!B:J,'Leetcode分类顺序表'!A:A = B577), 1, 10000000),IFERROR(FILTER(Algoexpert.io!B:D,Algoexpert.io!A:A = B577),FILTER('Leetcode List'!B:J,'Leetcode List'!A:A = B577))))"),"")</f>
        <v/>
      </c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>
      <c r="A578" s="22"/>
      <c r="B578" s="20"/>
      <c r="C578" s="20" t="str">
        <f>IFERROR(__xludf.DUMMYFUNCTION("IF(ISBLANK(B578),,IFERROR(array_constrain(FILTER('Leetcode分类顺序表'!B:J,'Leetcode分类顺序表'!A:A = B578), 1, 10000000),IFERROR(FILTER(Algoexpert.io!B:D,Algoexpert.io!A:A = B578),FILTER('Leetcode List'!B:J,'Leetcode List'!A:A = B578))))"),"")</f>
        <v/>
      </c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>
      <c r="A579" s="22"/>
      <c r="B579" s="20"/>
      <c r="C579" s="20" t="str">
        <f>IFERROR(__xludf.DUMMYFUNCTION("IF(ISBLANK(B579),,IFERROR(array_constrain(FILTER('Leetcode分类顺序表'!B:J,'Leetcode分类顺序表'!A:A = B579), 1, 10000000),IFERROR(FILTER(Algoexpert.io!B:D,Algoexpert.io!A:A = B579),FILTER('Leetcode List'!B:J,'Leetcode List'!A:A = B579))))"),"")</f>
        <v/>
      </c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>
      <c r="A580" s="22"/>
      <c r="B580" s="20"/>
      <c r="C580" s="20" t="str">
        <f>IFERROR(__xludf.DUMMYFUNCTION("IF(ISBLANK(B580),,IFERROR(array_constrain(FILTER('Leetcode分类顺序表'!B:J,'Leetcode分类顺序表'!A:A = B580), 1, 10000000),IFERROR(FILTER(Algoexpert.io!B:D,Algoexpert.io!A:A = B580),FILTER('Leetcode List'!B:J,'Leetcode List'!A:A = B580))))"),"")</f>
        <v/>
      </c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>
      <c r="A581" s="22"/>
      <c r="B581" s="20"/>
      <c r="C581" s="20" t="str">
        <f>IFERROR(__xludf.DUMMYFUNCTION("IF(ISBLANK(B581),,IFERROR(array_constrain(FILTER('Leetcode分类顺序表'!B:J,'Leetcode分类顺序表'!A:A = B581), 1, 10000000),IFERROR(FILTER(Algoexpert.io!B:D,Algoexpert.io!A:A = B581),FILTER('Leetcode List'!B:J,'Leetcode List'!A:A = B581))))"),"")</f>
        <v/>
      </c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>
      <c r="A582" s="22"/>
      <c r="B582" s="20"/>
      <c r="C582" s="20" t="str">
        <f>IFERROR(__xludf.DUMMYFUNCTION("IF(ISBLANK(B582),,IFERROR(array_constrain(FILTER('Leetcode分类顺序表'!B:J,'Leetcode分类顺序表'!A:A = B582), 1, 10000000),IFERROR(FILTER(Algoexpert.io!B:D,Algoexpert.io!A:A = B582),FILTER('Leetcode List'!B:J,'Leetcode List'!A:A = B582))))"),"")</f>
        <v/>
      </c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>
      <c r="A583" s="22"/>
      <c r="B583" s="20"/>
      <c r="C583" s="20" t="str">
        <f>IFERROR(__xludf.DUMMYFUNCTION("IF(ISBLANK(B583),,IFERROR(array_constrain(FILTER('Leetcode分类顺序表'!B:J,'Leetcode分类顺序表'!A:A = B583), 1, 10000000),IFERROR(FILTER(Algoexpert.io!B:D,Algoexpert.io!A:A = B583),FILTER('Leetcode List'!B:J,'Leetcode List'!A:A = B583))))"),"")</f>
        <v/>
      </c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>
      <c r="A584" s="22"/>
      <c r="B584" s="20"/>
      <c r="C584" s="20" t="str">
        <f>IFERROR(__xludf.DUMMYFUNCTION("IF(ISBLANK(B584),,IFERROR(array_constrain(FILTER('Leetcode分类顺序表'!B:J,'Leetcode分类顺序表'!A:A = B584), 1, 10000000),IFERROR(FILTER(Algoexpert.io!B:D,Algoexpert.io!A:A = B584),FILTER('Leetcode List'!B:J,'Leetcode List'!A:A = B584))))"),"")</f>
        <v/>
      </c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>
      <c r="A585" s="22"/>
      <c r="B585" s="20"/>
      <c r="C585" s="20" t="str">
        <f>IFERROR(__xludf.DUMMYFUNCTION("IF(ISBLANK(B585),,IFERROR(array_constrain(FILTER('Leetcode分类顺序表'!B:J,'Leetcode分类顺序表'!A:A = B585), 1, 10000000),IFERROR(FILTER(Algoexpert.io!B:D,Algoexpert.io!A:A = B585),FILTER('Leetcode List'!B:J,'Leetcode List'!A:A = B585))))"),"")</f>
        <v/>
      </c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>
      <c r="A586" s="22"/>
      <c r="B586" s="20"/>
      <c r="C586" s="20" t="str">
        <f>IFERROR(__xludf.DUMMYFUNCTION("IF(ISBLANK(B586),,IFERROR(array_constrain(FILTER('Leetcode分类顺序表'!B:J,'Leetcode分类顺序表'!A:A = B586), 1, 10000000),IFERROR(FILTER(Algoexpert.io!B:D,Algoexpert.io!A:A = B586),FILTER('Leetcode List'!B:J,'Leetcode List'!A:A = B586))))"),"")</f>
        <v/>
      </c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>
      <c r="A587" s="22"/>
      <c r="B587" s="20"/>
      <c r="C587" s="20" t="str">
        <f>IFERROR(__xludf.DUMMYFUNCTION("IF(ISBLANK(B587),,IFERROR(array_constrain(FILTER('Leetcode分类顺序表'!B:J,'Leetcode分类顺序表'!A:A = B587), 1, 10000000),IFERROR(FILTER(Algoexpert.io!B:D,Algoexpert.io!A:A = B587),FILTER('Leetcode List'!B:J,'Leetcode List'!A:A = B587))))"),"")</f>
        <v/>
      </c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>
      <c r="A588" s="22"/>
      <c r="B588" s="20"/>
      <c r="C588" s="20" t="str">
        <f>IFERROR(__xludf.DUMMYFUNCTION("IF(ISBLANK(B588),,IFERROR(array_constrain(FILTER('Leetcode分类顺序表'!B:J,'Leetcode分类顺序表'!A:A = B588), 1, 10000000),IFERROR(FILTER(Algoexpert.io!B:D,Algoexpert.io!A:A = B588),FILTER('Leetcode List'!B:J,'Leetcode List'!A:A = B588))))"),"")</f>
        <v/>
      </c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>
      <c r="A589" s="22"/>
      <c r="B589" s="20"/>
      <c r="C589" s="20" t="str">
        <f>IFERROR(__xludf.DUMMYFUNCTION("IF(ISBLANK(B589),,IFERROR(array_constrain(FILTER('Leetcode分类顺序表'!B:J,'Leetcode分类顺序表'!A:A = B589), 1, 10000000),IFERROR(FILTER(Algoexpert.io!B:D,Algoexpert.io!A:A = B589),FILTER('Leetcode List'!B:J,'Leetcode List'!A:A = B589))))"),"")</f>
        <v/>
      </c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>
      <c r="A590" s="22"/>
      <c r="B590" s="20"/>
      <c r="C590" s="20" t="str">
        <f>IFERROR(__xludf.DUMMYFUNCTION("IF(ISBLANK(B590),,IFERROR(array_constrain(FILTER('Leetcode分类顺序表'!B:J,'Leetcode分类顺序表'!A:A = B590), 1, 10000000),IFERROR(FILTER(Algoexpert.io!B:D,Algoexpert.io!A:A = B590),FILTER('Leetcode List'!B:J,'Leetcode List'!A:A = B590))))"),"")</f>
        <v/>
      </c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>
      <c r="A591" s="22"/>
      <c r="B591" s="20"/>
      <c r="C591" s="20" t="str">
        <f>IFERROR(__xludf.DUMMYFUNCTION("IF(ISBLANK(B591),,IFERROR(array_constrain(FILTER('Leetcode分类顺序表'!B:J,'Leetcode分类顺序表'!A:A = B591), 1, 10000000),IFERROR(FILTER(Algoexpert.io!B:D,Algoexpert.io!A:A = B591),FILTER('Leetcode List'!B:J,'Leetcode List'!A:A = B591))))"),"")</f>
        <v/>
      </c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>
      <c r="A592" s="22"/>
      <c r="B592" s="20"/>
      <c r="C592" s="20" t="str">
        <f>IFERROR(__xludf.DUMMYFUNCTION("IF(ISBLANK(B592),,IFERROR(array_constrain(FILTER('Leetcode分类顺序表'!B:J,'Leetcode分类顺序表'!A:A = B592), 1, 10000000),IFERROR(FILTER(Algoexpert.io!B:D,Algoexpert.io!A:A = B592),FILTER('Leetcode List'!B:J,'Leetcode List'!A:A = B592))))"),"")</f>
        <v/>
      </c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>
      <c r="A593" s="22"/>
      <c r="B593" s="20"/>
      <c r="C593" s="20" t="str">
        <f>IFERROR(__xludf.DUMMYFUNCTION("IF(ISBLANK(B593),,IFERROR(array_constrain(FILTER('Leetcode分类顺序表'!B:J,'Leetcode分类顺序表'!A:A = B593), 1, 10000000),IFERROR(FILTER(Algoexpert.io!B:D,Algoexpert.io!A:A = B593),FILTER('Leetcode List'!B:J,'Leetcode List'!A:A = B593))))"),"")</f>
        <v/>
      </c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>
      <c r="A594" s="22"/>
      <c r="B594" s="20"/>
      <c r="C594" s="20" t="str">
        <f>IFERROR(__xludf.DUMMYFUNCTION("IF(ISBLANK(B594),,IFERROR(array_constrain(FILTER('Leetcode分类顺序表'!B:J,'Leetcode分类顺序表'!A:A = B594), 1, 10000000),IFERROR(FILTER(Algoexpert.io!B:D,Algoexpert.io!A:A = B594),FILTER('Leetcode List'!B:J,'Leetcode List'!A:A = B594))))"),"")</f>
        <v/>
      </c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>
      <c r="A595" s="22"/>
      <c r="B595" s="20"/>
      <c r="C595" s="20" t="str">
        <f>IFERROR(__xludf.DUMMYFUNCTION("IF(ISBLANK(B595),,IFERROR(array_constrain(FILTER('Leetcode分类顺序表'!B:J,'Leetcode分类顺序表'!A:A = B595), 1, 10000000),IFERROR(FILTER(Algoexpert.io!B:D,Algoexpert.io!A:A = B595),FILTER('Leetcode List'!B:J,'Leetcode List'!A:A = B595))))"),"")</f>
        <v/>
      </c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>
      <c r="A596" s="22"/>
      <c r="B596" s="20"/>
      <c r="C596" s="20" t="str">
        <f>IFERROR(__xludf.DUMMYFUNCTION("IF(ISBLANK(B596),,IFERROR(array_constrain(FILTER('Leetcode分类顺序表'!B:J,'Leetcode分类顺序表'!A:A = B596), 1, 10000000),IFERROR(FILTER(Algoexpert.io!B:D,Algoexpert.io!A:A = B596),FILTER('Leetcode List'!B:J,'Leetcode List'!A:A = B596))))"),"")</f>
        <v/>
      </c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>
      <c r="A597" s="22"/>
      <c r="B597" s="20"/>
      <c r="C597" s="20" t="str">
        <f>IFERROR(__xludf.DUMMYFUNCTION("IF(ISBLANK(B597),,IFERROR(array_constrain(FILTER('Leetcode分类顺序表'!B:J,'Leetcode分类顺序表'!A:A = B597), 1, 10000000),IFERROR(FILTER(Algoexpert.io!B:D,Algoexpert.io!A:A = B597),FILTER('Leetcode List'!B:J,'Leetcode List'!A:A = B597))))"),"")</f>
        <v/>
      </c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>
      <c r="A598" s="22"/>
      <c r="B598" s="20"/>
      <c r="C598" s="20" t="str">
        <f>IFERROR(__xludf.DUMMYFUNCTION("IF(ISBLANK(B598),,IFERROR(array_constrain(FILTER('Leetcode分类顺序表'!B:J,'Leetcode分类顺序表'!A:A = B598), 1, 10000000),IFERROR(FILTER(Algoexpert.io!B:D,Algoexpert.io!A:A = B598),FILTER('Leetcode List'!B:J,'Leetcode List'!A:A = B598))))"),"")</f>
        <v/>
      </c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>
      <c r="A599" s="22"/>
      <c r="B599" s="20"/>
      <c r="C599" s="20" t="str">
        <f>IFERROR(__xludf.DUMMYFUNCTION("IF(ISBLANK(B599),,IFERROR(array_constrain(FILTER('Leetcode分类顺序表'!B:J,'Leetcode分类顺序表'!A:A = B599), 1, 10000000),IFERROR(FILTER(Algoexpert.io!B:D,Algoexpert.io!A:A = B599),FILTER('Leetcode List'!B:J,'Leetcode List'!A:A = B599))))"),"")</f>
        <v/>
      </c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>
      <c r="A600" s="22"/>
      <c r="B600" s="20"/>
      <c r="C600" s="20" t="str">
        <f>IFERROR(__xludf.DUMMYFUNCTION("IF(ISBLANK(B600),,IFERROR(array_constrain(FILTER('Leetcode分类顺序表'!B:J,'Leetcode分类顺序表'!A:A = B600), 1, 10000000),IFERROR(FILTER(Algoexpert.io!B:D,Algoexpert.io!A:A = B600),FILTER('Leetcode List'!B:J,'Leetcode List'!A:A = B600))))"),"")</f>
        <v/>
      </c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>
      <c r="A601" s="22"/>
      <c r="B601" s="20"/>
      <c r="C601" s="20" t="str">
        <f>IFERROR(__xludf.DUMMYFUNCTION("IF(ISBLANK(B601),,IFERROR(array_constrain(FILTER('Leetcode分类顺序表'!B:J,'Leetcode分类顺序表'!A:A = B601), 1, 10000000),IFERROR(FILTER(Algoexpert.io!B:D,Algoexpert.io!A:A = B601),FILTER('Leetcode List'!B:J,'Leetcode List'!A:A = B601))))"),"")</f>
        <v/>
      </c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>
      <c r="A602" s="22"/>
      <c r="B602" s="20"/>
      <c r="C602" s="20" t="str">
        <f>IFERROR(__xludf.DUMMYFUNCTION("IF(ISBLANK(B602),,IFERROR(array_constrain(FILTER('Leetcode分类顺序表'!B:J,'Leetcode分类顺序表'!A:A = B602), 1, 10000000),IFERROR(FILTER(Algoexpert.io!B:D,Algoexpert.io!A:A = B602),FILTER('Leetcode List'!B:J,'Leetcode List'!A:A = B602))))"),"")</f>
        <v/>
      </c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>
      <c r="A603" s="22"/>
      <c r="B603" s="20"/>
      <c r="C603" s="20" t="str">
        <f>IFERROR(__xludf.DUMMYFUNCTION("IF(ISBLANK(B603),,IFERROR(array_constrain(FILTER('Leetcode分类顺序表'!B:J,'Leetcode分类顺序表'!A:A = B603), 1, 10000000),IFERROR(FILTER(Algoexpert.io!B:D,Algoexpert.io!A:A = B603),FILTER('Leetcode List'!B:J,'Leetcode List'!A:A = B603))))"),"")</f>
        <v/>
      </c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>
      <c r="A604" s="22"/>
      <c r="B604" s="20"/>
      <c r="C604" s="20" t="str">
        <f>IFERROR(__xludf.DUMMYFUNCTION("IF(ISBLANK(B604),,IFERROR(array_constrain(FILTER('Leetcode分类顺序表'!B:J,'Leetcode分类顺序表'!A:A = B604), 1, 10000000),IFERROR(FILTER(Algoexpert.io!B:D,Algoexpert.io!A:A = B604),FILTER('Leetcode List'!B:J,'Leetcode List'!A:A = B604))))"),"")</f>
        <v/>
      </c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>
      <c r="A605" s="22"/>
      <c r="B605" s="20"/>
      <c r="C605" s="20" t="str">
        <f>IFERROR(__xludf.DUMMYFUNCTION("IF(ISBLANK(B605),,IFERROR(array_constrain(FILTER('Leetcode分类顺序表'!B:J,'Leetcode分类顺序表'!A:A = B605), 1, 10000000),IFERROR(FILTER(Algoexpert.io!B:D,Algoexpert.io!A:A = B605),FILTER('Leetcode List'!B:J,'Leetcode List'!A:A = B605))))"),"")</f>
        <v/>
      </c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>
      <c r="A606" s="22"/>
      <c r="B606" s="20"/>
      <c r="C606" s="20" t="str">
        <f>IFERROR(__xludf.DUMMYFUNCTION("IF(ISBLANK(B606),,IFERROR(array_constrain(FILTER('Leetcode分类顺序表'!B:J,'Leetcode分类顺序表'!A:A = B606), 1, 10000000),IFERROR(FILTER(Algoexpert.io!B:D,Algoexpert.io!A:A = B606),FILTER('Leetcode List'!B:J,'Leetcode List'!A:A = B606))))"),"")</f>
        <v/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>
      <c r="A607" s="22"/>
      <c r="B607" s="20"/>
      <c r="C607" s="20" t="str">
        <f>IFERROR(__xludf.DUMMYFUNCTION("IF(ISBLANK(B607),,IFERROR(array_constrain(FILTER('Leetcode分类顺序表'!B:J,'Leetcode分类顺序表'!A:A = B607), 1, 10000000),IFERROR(FILTER(Algoexpert.io!B:D,Algoexpert.io!A:A = B607),FILTER('Leetcode List'!B:J,'Leetcode List'!A:A = B607))))"),"")</f>
        <v/>
      </c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>
      <c r="A608" s="22"/>
      <c r="B608" s="20"/>
      <c r="C608" s="20" t="str">
        <f>IFERROR(__xludf.DUMMYFUNCTION("IF(ISBLANK(B608),,IFERROR(array_constrain(FILTER('Leetcode分类顺序表'!B:J,'Leetcode分类顺序表'!A:A = B608), 1, 10000000),IFERROR(FILTER(Algoexpert.io!B:D,Algoexpert.io!A:A = B608),FILTER('Leetcode List'!B:J,'Leetcode List'!A:A = B608))))"),"")</f>
        <v/>
      </c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>
      <c r="A609" s="22"/>
      <c r="B609" s="20"/>
      <c r="C609" s="20" t="str">
        <f>IFERROR(__xludf.DUMMYFUNCTION("IF(ISBLANK(B609),,IFERROR(array_constrain(FILTER('Leetcode分类顺序表'!B:J,'Leetcode分类顺序表'!A:A = B609), 1, 10000000),IFERROR(FILTER(Algoexpert.io!B:D,Algoexpert.io!A:A = B609),FILTER('Leetcode List'!B:J,'Leetcode List'!A:A = B609))))"),"")</f>
        <v/>
      </c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>
      <c r="A610" s="22"/>
      <c r="B610" s="20"/>
      <c r="C610" s="20" t="str">
        <f>IFERROR(__xludf.DUMMYFUNCTION("IF(ISBLANK(B610),,IFERROR(array_constrain(FILTER('Leetcode分类顺序表'!B:J,'Leetcode分类顺序表'!A:A = B610), 1, 10000000),IFERROR(FILTER(Algoexpert.io!B:D,Algoexpert.io!A:A = B610),FILTER('Leetcode List'!B:J,'Leetcode List'!A:A = B610))))"),"")</f>
        <v/>
      </c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>
      <c r="A611" s="22"/>
      <c r="B611" s="20"/>
      <c r="C611" s="20" t="str">
        <f>IFERROR(__xludf.DUMMYFUNCTION("IF(ISBLANK(B611),,IFERROR(array_constrain(FILTER('Leetcode分类顺序表'!B:J,'Leetcode分类顺序表'!A:A = B611), 1, 10000000),IFERROR(FILTER(Algoexpert.io!B:D,Algoexpert.io!A:A = B611),FILTER('Leetcode List'!B:J,'Leetcode List'!A:A = B611))))"),"")</f>
        <v/>
      </c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>
      <c r="A612" s="22"/>
      <c r="B612" s="20"/>
      <c r="C612" s="20" t="str">
        <f>IFERROR(__xludf.DUMMYFUNCTION("IF(ISBLANK(B612),,IFERROR(array_constrain(FILTER('Leetcode分类顺序表'!B:J,'Leetcode分类顺序表'!A:A = B612), 1, 10000000),IFERROR(FILTER(Algoexpert.io!B:D,Algoexpert.io!A:A = B612),FILTER('Leetcode List'!B:J,'Leetcode List'!A:A = B612))))"),"")</f>
        <v/>
      </c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>
      <c r="A613" s="22"/>
      <c r="B613" s="20"/>
      <c r="C613" s="20" t="str">
        <f>IFERROR(__xludf.DUMMYFUNCTION("IF(ISBLANK(B613),,IFERROR(array_constrain(FILTER('Leetcode分类顺序表'!B:J,'Leetcode分类顺序表'!A:A = B613), 1, 10000000),IFERROR(FILTER(Algoexpert.io!B:D,Algoexpert.io!A:A = B613),FILTER('Leetcode List'!B:J,'Leetcode List'!A:A = B613))))"),"")</f>
        <v/>
      </c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>
      <c r="A614" s="22"/>
      <c r="B614" s="20"/>
      <c r="C614" s="20" t="str">
        <f>IFERROR(__xludf.DUMMYFUNCTION("IF(ISBLANK(B614),,IFERROR(array_constrain(FILTER('Leetcode分类顺序表'!B:J,'Leetcode分类顺序表'!A:A = B614), 1, 10000000),IFERROR(FILTER(Algoexpert.io!B:D,Algoexpert.io!A:A = B614),FILTER('Leetcode List'!B:J,'Leetcode List'!A:A = B614))))"),"")</f>
        <v/>
      </c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>
      <c r="A615" s="22"/>
      <c r="B615" s="20"/>
      <c r="C615" s="20" t="str">
        <f>IFERROR(__xludf.DUMMYFUNCTION("IF(ISBLANK(B615),,IFERROR(array_constrain(FILTER('Leetcode分类顺序表'!B:J,'Leetcode分类顺序表'!A:A = B615), 1, 10000000),IFERROR(FILTER(Algoexpert.io!B:D,Algoexpert.io!A:A = B615),FILTER('Leetcode List'!B:J,'Leetcode List'!A:A = B615))))"),"")</f>
        <v/>
      </c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>
      <c r="A616" s="22"/>
      <c r="B616" s="20"/>
      <c r="C616" s="20" t="str">
        <f>IFERROR(__xludf.DUMMYFUNCTION("IF(ISBLANK(B616),,IFERROR(array_constrain(FILTER('Leetcode分类顺序表'!B:J,'Leetcode分类顺序表'!A:A = B616), 1, 10000000),IFERROR(FILTER(Algoexpert.io!B:D,Algoexpert.io!A:A = B616),FILTER('Leetcode List'!B:J,'Leetcode List'!A:A = B616))))"),"")</f>
        <v/>
      </c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>
      <c r="A617" s="22"/>
      <c r="B617" s="20"/>
      <c r="C617" s="20" t="str">
        <f>IFERROR(__xludf.DUMMYFUNCTION("IF(ISBLANK(B617),,IFERROR(array_constrain(FILTER('Leetcode分类顺序表'!B:J,'Leetcode分类顺序表'!A:A = B617), 1, 10000000),IFERROR(FILTER(Algoexpert.io!B:D,Algoexpert.io!A:A = B617),FILTER('Leetcode List'!B:J,'Leetcode List'!A:A = B617))))"),"")</f>
        <v/>
      </c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>
      <c r="A618" s="22"/>
      <c r="B618" s="20"/>
      <c r="C618" s="20" t="str">
        <f>IFERROR(__xludf.DUMMYFUNCTION("IF(ISBLANK(B618),,IFERROR(array_constrain(FILTER('Leetcode分类顺序表'!B:J,'Leetcode分类顺序表'!A:A = B618), 1, 10000000),IFERROR(FILTER(Algoexpert.io!B:D,Algoexpert.io!A:A = B618),FILTER('Leetcode List'!B:J,'Leetcode List'!A:A = B618))))"),"")</f>
        <v/>
      </c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>
      <c r="A619" s="22"/>
      <c r="B619" s="20"/>
      <c r="C619" s="20" t="str">
        <f>IFERROR(__xludf.DUMMYFUNCTION("IF(ISBLANK(B619),,IFERROR(array_constrain(FILTER('Leetcode分类顺序表'!B:J,'Leetcode分类顺序表'!A:A = B619), 1, 10000000),IFERROR(FILTER(Algoexpert.io!B:D,Algoexpert.io!A:A = B619),FILTER('Leetcode List'!B:J,'Leetcode List'!A:A = B619))))"),"")</f>
        <v/>
      </c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>
      <c r="A620" s="22"/>
      <c r="B620" s="20"/>
      <c r="C620" s="20" t="str">
        <f>IFERROR(__xludf.DUMMYFUNCTION("IF(ISBLANK(B620),,IFERROR(array_constrain(FILTER('Leetcode分类顺序表'!B:J,'Leetcode分类顺序表'!A:A = B620), 1, 10000000),IFERROR(FILTER(Algoexpert.io!B:D,Algoexpert.io!A:A = B620),FILTER('Leetcode List'!B:J,'Leetcode List'!A:A = B620))))"),"")</f>
        <v/>
      </c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>
      <c r="A621" s="22"/>
      <c r="B621" s="20"/>
      <c r="C621" s="20" t="str">
        <f>IFERROR(__xludf.DUMMYFUNCTION("IF(ISBLANK(B621),,IFERROR(array_constrain(FILTER('Leetcode分类顺序表'!B:J,'Leetcode分类顺序表'!A:A = B621), 1, 10000000),IFERROR(FILTER(Algoexpert.io!B:D,Algoexpert.io!A:A = B621),FILTER('Leetcode List'!B:J,'Leetcode List'!A:A = B621))))"),"")</f>
        <v/>
      </c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>
      <c r="A622" s="22"/>
      <c r="B622" s="20"/>
      <c r="C622" s="20" t="str">
        <f>IFERROR(__xludf.DUMMYFUNCTION("IF(ISBLANK(B622),,IFERROR(array_constrain(FILTER('Leetcode分类顺序表'!B:J,'Leetcode分类顺序表'!A:A = B622), 1, 10000000),IFERROR(FILTER(Algoexpert.io!B:D,Algoexpert.io!A:A = B622),FILTER('Leetcode List'!B:J,'Leetcode List'!A:A = B622))))"),"")</f>
        <v/>
      </c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>
      <c r="A623" s="22"/>
      <c r="B623" s="20"/>
      <c r="C623" s="20" t="str">
        <f>IFERROR(__xludf.DUMMYFUNCTION("IF(ISBLANK(B623),,IFERROR(array_constrain(FILTER('Leetcode分类顺序表'!B:J,'Leetcode分类顺序表'!A:A = B623), 1, 10000000),IFERROR(FILTER(Algoexpert.io!B:D,Algoexpert.io!A:A = B623),FILTER('Leetcode List'!B:J,'Leetcode List'!A:A = B623))))"),"")</f>
        <v/>
      </c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>
      <c r="A624" s="22"/>
      <c r="B624" s="20"/>
      <c r="C624" s="20" t="str">
        <f>IFERROR(__xludf.DUMMYFUNCTION("IF(ISBLANK(B624),,IFERROR(array_constrain(FILTER('Leetcode分类顺序表'!B:J,'Leetcode分类顺序表'!A:A = B624), 1, 10000000),IFERROR(FILTER(Algoexpert.io!B:D,Algoexpert.io!A:A = B624),FILTER('Leetcode List'!B:J,'Leetcode List'!A:A = B624))))"),"")</f>
        <v/>
      </c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>
      <c r="A625" s="22"/>
      <c r="B625" s="20"/>
      <c r="C625" s="20" t="str">
        <f>IFERROR(__xludf.DUMMYFUNCTION("IF(ISBLANK(B625),,IFERROR(array_constrain(FILTER('Leetcode分类顺序表'!B:J,'Leetcode分类顺序表'!A:A = B625), 1, 10000000),IFERROR(FILTER(Algoexpert.io!B:D,Algoexpert.io!A:A = B625),FILTER('Leetcode List'!B:J,'Leetcode List'!A:A = B625))))"),"")</f>
        <v/>
      </c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>
      <c r="A626" s="22"/>
      <c r="B626" s="20"/>
      <c r="C626" s="20" t="str">
        <f>IFERROR(__xludf.DUMMYFUNCTION("IF(ISBLANK(B626),,IFERROR(array_constrain(FILTER('Leetcode分类顺序表'!B:J,'Leetcode分类顺序表'!A:A = B626), 1, 10000000),IFERROR(FILTER(Algoexpert.io!B:D,Algoexpert.io!A:A = B626),FILTER('Leetcode List'!B:J,'Leetcode List'!A:A = B626))))"),"")</f>
        <v/>
      </c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>
      <c r="A627" s="22"/>
      <c r="B627" s="20"/>
      <c r="C627" s="20" t="str">
        <f>IFERROR(__xludf.DUMMYFUNCTION("IF(ISBLANK(B627),,IFERROR(array_constrain(FILTER('Leetcode分类顺序表'!B:J,'Leetcode分类顺序表'!A:A = B627), 1, 10000000),IFERROR(FILTER(Algoexpert.io!B:D,Algoexpert.io!A:A = B627),FILTER('Leetcode List'!B:J,'Leetcode List'!A:A = B627))))"),"")</f>
        <v/>
      </c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>
      <c r="A628" s="22"/>
      <c r="B628" s="20"/>
      <c r="C628" s="20" t="str">
        <f>IFERROR(__xludf.DUMMYFUNCTION("IF(ISBLANK(B628),,IFERROR(array_constrain(FILTER('Leetcode分类顺序表'!B:J,'Leetcode分类顺序表'!A:A = B628), 1, 10000000),IFERROR(FILTER(Algoexpert.io!B:D,Algoexpert.io!A:A = B628),FILTER('Leetcode List'!B:J,'Leetcode List'!A:A = B628))))"),"")</f>
        <v/>
      </c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>
      <c r="A629" s="22"/>
      <c r="B629" s="20"/>
      <c r="C629" s="20" t="str">
        <f>IFERROR(__xludf.DUMMYFUNCTION("IF(ISBLANK(B629),,IFERROR(array_constrain(FILTER('Leetcode分类顺序表'!B:J,'Leetcode分类顺序表'!A:A = B629), 1, 10000000),IFERROR(FILTER(Algoexpert.io!B:D,Algoexpert.io!A:A = B629),FILTER('Leetcode List'!B:J,'Leetcode List'!A:A = B629))))"),"")</f>
        <v/>
      </c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>
      <c r="A630" s="22"/>
      <c r="B630" s="20"/>
      <c r="C630" s="20" t="str">
        <f>IFERROR(__xludf.DUMMYFUNCTION("IF(ISBLANK(B630),,IFERROR(array_constrain(FILTER('Leetcode分类顺序表'!B:J,'Leetcode分类顺序表'!A:A = B630), 1, 10000000),IFERROR(FILTER(Algoexpert.io!B:D,Algoexpert.io!A:A = B630),FILTER('Leetcode List'!B:J,'Leetcode List'!A:A = B630))))"),"")</f>
        <v/>
      </c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>
      <c r="A631" s="22"/>
      <c r="B631" s="20"/>
      <c r="C631" s="20" t="str">
        <f>IFERROR(__xludf.DUMMYFUNCTION("IF(ISBLANK(B631),,IFERROR(array_constrain(FILTER('Leetcode分类顺序表'!B:J,'Leetcode分类顺序表'!A:A = B631), 1, 10000000),IFERROR(FILTER(Algoexpert.io!B:D,Algoexpert.io!A:A = B631),FILTER('Leetcode List'!B:J,'Leetcode List'!A:A = B631))))"),"")</f>
        <v/>
      </c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>
      <c r="A632" s="22"/>
      <c r="B632" s="20"/>
      <c r="C632" s="20" t="str">
        <f>IFERROR(__xludf.DUMMYFUNCTION("IF(ISBLANK(B632),,IFERROR(array_constrain(FILTER('Leetcode分类顺序表'!B:J,'Leetcode分类顺序表'!A:A = B632), 1, 10000000),IFERROR(FILTER(Algoexpert.io!B:D,Algoexpert.io!A:A = B632),FILTER('Leetcode List'!B:J,'Leetcode List'!A:A = B632))))"),"")</f>
        <v/>
      </c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>
      <c r="A633" s="22"/>
      <c r="B633" s="20"/>
      <c r="C633" s="20" t="str">
        <f>IFERROR(__xludf.DUMMYFUNCTION("IF(ISBLANK(B633),,IFERROR(array_constrain(FILTER('Leetcode分类顺序表'!B:J,'Leetcode分类顺序表'!A:A = B633), 1, 10000000),IFERROR(FILTER(Algoexpert.io!B:D,Algoexpert.io!A:A = B633),FILTER('Leetcode List'!B:J,'Leetcode List'!A:A = B633))))"),"")</f>
        <v/>
      </c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>
      <c r="A634" s="22"/>
      <c r="B634" s="20"/>
      <c r="C634" s="20" t="str">
        <f>IFERROR(__xludf.DUMMYFUNCTION("IF(ISBLANK(B634),,IFERROR(array_constrain(FILTER('Leetcode分类顺序表'!B:J,'Leetcode分类顺序表'!A:A = B634), 1, 10000000),IFERROR(FILTER(Algoexpert.io!B:D,Algoexpert.io!A:A = B634),FILTER('Leetcode List'!B:J,'Leetcode List'!A:A = B634))))"),"")</f>
        <v/>
      </c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>
      <c r="A635" s="22"/>
      <c r="B635" s="20"/>
      <c r="C635" s="20" t="str">
        <f>IFERROR(__xludf.DUMMYFUNCTION("IF(ISBLANK(B635),,IFERROR(array_constrain(FILTER('Leetcode分类顺序表'!B:J,'Leetcode分类顺序表'!A:A = B635), 1, 10000000),IFERROR(FILTER(Algoexpert.io!B:D,Algoexpert.io!A:A = B635),FILTER('Leetcode List'!B:J,'Leetcode List'!A:A = B635))))"),"")</f>
        <v/>
      </c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>
      <c r="A636" s="22"/>
      <c r="B636" s="20"/>
      <c r="C636" s="20" t="str">
        <f>IFERROR(__xludf.DUMMYFUNCTION("IF(ISBLANK(B636),,IFERROR(array_constrain(FILTER('Leetcode分类顺序表'!B:J,'Leetcode分类顺序表'!A:A = B636), 1, 10000000),IFERROR(FILTER(Algoexpert.io!B:D,Algoexpert.io!A:A = B636),FILTER('Leetcode List'!B:J,'Leetcode List'!A:A = B636))))"),"")</f>
        <v/>
      </c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>
      <c r="A637" s="22"/>
      <c r="B637" s="20"/>
      <c r="C637" s="20" t="str">
        <f>IFERROR(__xludf.DUMMYFUNCTION("IF(ISBLANK(B637),,IFERROR(array_constrain(FILTER('Leetcode分类顺序表'!B:J,'Leetcode分类顺序表'!A:A = B637), 1, 10000000),IFERROR(FILTER(Algoexpert.io!B:D,Algoexpert.io!A:A = B637),FILTER('Leetcode List'!B:J,'Leetcode List'!A:A = B637))))"),"")</f>
        <v/>
      </c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>
      <c r="A638" s="22"/>
      <c r="B638" s="20"/>
      <c r="C638" s="20" t="str">
        <f>IFERROR(__xludf.DUMMYFUNCTION("IF(ISBLANK(B638),,IFERROR(array_constrain(FILTER('Leetcode分类顺序表'!B:J,'Leetcode分类顺序表'!A:A = B638), 1, 10000000),IFERROR(FILTER(Algoexpert.io!B:D,Algoexpert.io!A:A = B638),FILTER('Leetcode List'!B:J,'Leetcode List'!A:A = B638))))"),"")</f>
        <v/>
      </c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>
      <c r="A639" s="22"/>
      <c r="B639" s="20"/>
      <c r="C639" s="20" t="str">
        <f>IFERROR(__xludf.DUMMYFUNCTION("IF(ISBLANK(B639),,IFERROR(array_constrain(FILTER('Leetcode分类顺序表'!B:J,'Leetcode分类顺序表'!A:A = B639), 1, 10000000),IFERROR(FILTER(Algoexpert.io!B:D,Algoexpert.io!A:A = B639),FILTER('Leetcode List'!B:J,'Leetcode List'!A:A = B639))))"),"")</f>
        <v/>
      </c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>
      <c r="A640" s="22"/>
      <c r="B640" s="20"/>
      <c r="C640" s="20" t="str">
        <f>IFERROR(__xludf.DUMMYFUNCTION("IF(ISBLANK(B640),,IFERROR(array_constrain(FILTER('Leetcode分类顺序表'!B:J,'Leetcode分类顺序表'!A:A = B640), 1, 10000000),IFERROR(FILTER(Algoexpert.io!B:D,Algoexpert.io!A:A = B640),FILTER('Leetcode List'!B:J,'Leetcode List'!A:A = B640))))"),"")</f>
        <v/>
      </c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>
      <c r="A641" s="22"/>
      <c r="B641" s="20"/>
      <c r="C641" s="20" t="str">
        <f>IFERROR(__xludf.DUMMYFUNCTION("IF(ISBLANK(B641),,IFERROR(array_constrain(FILTER('Leetcode分类顺序表'!B:J,'Leetcode分类顺序表'!A:A = B641), 1, 10000000),IFERROR(FILTER(Algoexpert.io!B:D,Algoexpert.io!A:A = B641),FILTER('Leetcode List'!B:J,'Leetcode List'!A:A = B641))))"),"")</f>
        <v/>
      </c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>
      <c r="A642" s="22"/>
      <c r="B642" s="20"/>
      <c r="C642" s="20" t="str">
        <f>IFERROR(__xludf.DUMMYFUNCTION("IF(ISBLANK(B642),,IFERROR(array_constrain(FILTER('Leetcode分类顺序表'!B:J,'Leetcode分类顺序表'!A:A = B642), 1, 10000000),IFERROR(FILTER(Algoexpert.io!B:D,Algoexpert.io!A:A = B642),FILTER('Leetcode List'!B:J,'Leetcode List'!A:A = B642))))"),"")</f>
        <v/>
      </c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>
      <c r="A643" s="22"/>
      <c r="B643" s="20"/>
      <c r="C643" s="20" t="str">
        <f>IFERROR(__xludf.DUMMYFUNCTION("IF(ISBLANK(B643),,IFERROR(array_constrain(FILTER('Leetcode分类顺序表'!B:J,'Leetcode分类顺序表'!A:A = B643), 1, 10000000),IFERROR(FILTER(Algoexpert.io!B:D,Algoexpert.io!A:A = B643),FILTER('Leetcode List'!B:J,'Leetcode List'!A:A = B643))))"),"")</f>
        <v/>
      </c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>
      <c r="A644" s="22"/>
      <c r="B644" s="20"/>
      <c r="C644" s="20" t="str">
        <f>IFERROR(__xludf.DUMMYFUNCTION("IF(ISBLANK(B644),,IFERROR(array_constrain(FILTER('Leetcode分类顺序表'!B:J,'Leetcode分类顺序表'!A:A = B644), 1, 10000000),IFERROR(FILTER(Algoexpert.io!B:D,Algoexpert.io!A:A = B644),FILTER('Leetcode List'!B:J,'Leetcode List'!A:A = B644))))"),"")</f>
        <v/>
      </c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>
      <c r="A645" s="22"/>
      <c r="B645" s="20"/>
      <c r="C645" s="20" t="str">
        <f>IFERROR(__xludf.DUMMYFUNCTION("IF(ISBLANK(B645),,IFERROR(array_constrain(FILTER('Leetcode分类顺序表'!B:J,'Leetcode分类顺序表'!A:A = B645), 1, 10000000),IFERROR(FILTER(Algoexpert.io!B:D,Algoexpert.io!A:A = B645),FILTER('Leetcode List'!B:J,'Leetcode List'!A:A = B645))))"),"")</f>
        <v/>
      </c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>
      <c r="A646" s="22"/>
      <c r="B646" s="20"/>
      <c r="C646" s="20" t="str">
        <f>IFERROR(__xludf.DUMMYFUNCTION("IF(ISBLANK(B646),,IFERROR(array_constrain(FILTER('Leetcode分类顺序表'!B:J,'Leetcode分类顺序表'!A:A = B646), 1, 10000000),IFERROR(FILTER(Algoexpert.io!B:D,Algoexpert.io!A:A = B646),FILTER('Leetcode List'!B:J,'Leetcode List'!A:A = B646))))"),"")</f>
        <v/>
      </c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>
      <c r="A647" s="22"/>
      <c r="B647" s="20"/>
      <c r="C647" s="20" t="str">
        <f>IFERROR(__xludf.DUMMYFUNCTION("IF(ISBLANK(B647),,IFERROR(array_constrain(FILTER('Leetcode分类顺序表'!B:J,'Leetcode分类顺序表'!A:A = B647), 1, 10000000),IFERROR(FILTER(Algoexpert.io!B:D,Algoexpert.io!A:A = B647),FILTER('Leetcode List'!B:J,'Leetcode List'!A:A = B647))))"),"")</f>
        <v/>
      </c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>
      <c r="A648" s="22"/>
      <c r="B648" s="20"/>
      <c r="C648" s="20" t="str">
        <f>IFERROR(__xludf.DUMMYFUNCTION("IF(ISBLANK(B648),,IFERROR(array_constrain(FILTER('Leetcode分类顺序表'!B:J,'Leetcode分类顺序表'!A:A = B648), 1, 10000000),IFERROR(FILTER(Algoexpert.io!B:D,Algoexpert.io!A:A = B648),FILTER('Leetcode List'!B:J,'Leetcode List'!A:A = B648))))"),"")</f>
        <v/>
      </c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>
      <c r="A649" s="22"/>
      <c r="B649" s="20"/>
      <c r="C649" s="20" t="str">
        <f>IFERROR(__xludf.DUMMYFUNCTION("IF(ISBLANK(B649),,IFERROR(array_constrain(FILTER('Leetcode分类顺序表'!B:J,'Leetcode分类顺序表'!A:A = B649), 1, 10000000),IFERROR(FILTER(Algoexpert.io!B:D,Algoexpert.io!A:A = B649),FILTER('Leetcode List'!B:J,'Leetcode List'!A:A = B649))))"),"")</f>
        <v/>
      </c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>
      <c r="A650" s="22"/>
      <c r="B650" s="20"/>
      <c r="C650" s="20" t="str">
        <f>IFERROR(__xludf.DUMMYFUNCTION("IF(ISBLANK(B650),,IFERROR(array_constrain(FILTER('Leetcode分类顺序表'!B:J,'Leetcode分类顺序表'!A:A = B650), 1, 10000000),IFERROR(FILTER(Algoexpert.io!B:D,Algoexpert.io!A:A = B650),FILTER('Leetcode List'!B:J,'Leetcode List'!A:A = B650))))"),"")</f>
        <v/>
      </c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>
      <c r="A651" s="22"/>
      <c r="B651" s="20"/>
      <c r="C651" s="20" t="str">
        <f>IFERROR(__xludf.DUMMYFUNCTION("IF(ISBLANK(B651),,IFERROR(array_constrain(FILTER('Leetcode分类顺序表'!B:J,'Leetcode分类顺序表'!A:A = B651), 1, 10000000),IFERROR(FILTER(Algoexpert.io!B:D,Algoexpert.io!A:A = B651),FILTER('Leetcode List'!B:J,'Leetcode List'!A:A = B651))))"),"")</f>
        <v/>
      </c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>
      <c r="A652" s="22"/>
      <c r="B652" s="20"/>
      <c r="C652" s="20" t="str">
        <f>IFERROR(__xludf.DUMMYFUNCTION("IF(ISBLANK(B652),,IFERROR(array_constrain(FILTER('Leetcode分类顺序表'!B:J,'Leetcode分类顺序表'!A:A = B652), 1, 10000000),IFERROR(FILTER(Algoexpert.io!B:D,Algoexpert.io!A:A = B652),FILTER('Leetcode List'!B:J,'Leetcode List'!A:A = B652))))"),"")</f>
        <v/>
      </c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>
      <c r="A653" s="22"/>
      <c r="B653" s="20"/>
      <c r="C653" s="20" t="str">
        <f>IFERROR(__xludf.DUMMYFUNCTION("IF(ISBLANK(B653),,IFERROR(array_constrain(FILTER('Leetcode分类顺序表'!B:J,'Leetcode分类顺序表'!A:A = B653), 1, 10000000),IFERROR(FILTER(Algoexpert.io!B:D,Algoexpert.io!A:A = B653),FILTER('Leetcode List'!B:J,'Leetcode List'!A:A = B653))))"),"")</f>
        <v/>
      </c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>
      <c r="A654" s="22"/>
      <c r="B654" s="20"/>
      <c r="C654" s="20" t="str">
        <f>IFERROR(__xludf.DUMMYFUNCTION("IF(ISBLANK(B654),,IFERROR(array_constrain(FILTER('Leetcode分类顺序表'!B:J,'Leetcode分类顺序表'!A:A = B654), 1, 10000000),IFERROR(FILTER(Algoexpert.io!B:D,Algoexpert.io!A:A = B654),FILTER('Leetcode List'!B:J,'Leetcode List'!A:A = B654))))"),"")</f>
        <v/>
      </c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>
      <c r="A655" s="22"/>
      <c r="B655" s="20"/>
      <c r="C655" s="20" t="str">
        <f>IFERROR(__xludf.DUMMYFUNCTION("IF(ISBLANK(B655),,IFERROR(array_constrain(FILTER('Leetcode分类顺序表'!B:J,'Leetcode分类顺序表'!A:A = B655), 1, 10000000),IFERROR(FILTER(Algoexpert.io!B:D,Algoexpert.io!A:A = B655),FILTER('Leetcode List'!B:J,'Leetcode List'!A:A = B655))))"),"")</f>
        <v/>
      </c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>
      <c r="A656" s="22"/>
      <c r="B656" s="20"/>
      <c r="C656" s="20" t="str">
        <f>IFERROR(__xludf.DUMMYFUNCTION("IF(ISBLANK(B656),,IFERROR(array_constrain(FILTER('Leetcode分类顺序表'!B:J,'Leetcode分类顺序表'!A:A = B656), 1, 10000000),IFERROR(FILTER(Algoexpert.io!B:D,Algoexpert.io!A:A = B656),FILTER('Leetcode List'!B:J,'Leetcode List'!A:A = B656))))"),"")</f>
        <v/>
      </c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>
      <c r="A657" s="22"/>
      <c r="B657" s="20"/>
      <c r="C657" s="20" t="str">
        <f>IFERROR(__xludf.DUMMYFUNCTION("IF(ISBLANK(B657),,IFERROR(array_constrain(FILTER('Leetcode分类顺序表'!B:J,'Leetcode分类顺序表'!A:A = B657), 1, 10000000),IFERROR(FILTER(Algoexpert.io!B:D,Algoexpert.io!A:A = B657),FILTER('Leetcode List'!B:J,'Leetcode List'!A:A = B657))))"),"")</f>
        <v/>
      </c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>
      <c r="A658" s="22"/>
      <c r="B658" s="20"/>
      <c r="C658" s="20" t="str">
        <f>IFERROR(__xludf.DUMMYFUNCTION("IF(ISBLANK(B658),,IFERROR(array_constrain(FILTER('Leetcode分类顺序表'!B:J,'Leetcode分类顺序表'!A:A = B658), 1, 10000000),IFERROR(FILTER(Algoexpert.io!B:D,Algoexpert.io!A:A = B658),FILTER('Leetcode List'!B:J,'Leetcode List'!A:A = B658))))"),"")</f>
        <v/>
      </c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>
      <c r="A659" s="22"/>
      <c r="B659" s="20"/>
      <c r="C659" s="20" t="str">
        <f>IFERROR(__xludf.DUMMYFUNCTION("IF(ISBLANK(B659),,IFERROR(array_constrain(FILTER('Leetcode分类顺序表'!B:J,'Leetcode分类顺序表'!A:A = B659), 1, 10000000),IFERROR(FILTER(Algoexpert.io!B:D,Algoexpert.io!A:A = B659),FILTER('Leetcode List'!B:J,'Leetcode List'!A:A = B659))))"),"")</f>
        <v/>
      </c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>
      <c r="A660" s="22"/>
      <c r="B660" s="20"/>
      <c r="C660" s="20" t="str">
        <f>IFERROR(__xludf.DUMMYFUNCTION("IF(ISBLANK(B660),,IFERROR(array_constrain(FILTER('Leetcode分类顺序表'!B:J,'Leetcode分类顺序表'!A:A = B660), 1, 10000000),IFERROR(FILTER(Algoexpert.io!B:D,Algoexpert.io!A:A = B660),FILTER('Leetcode List'!B:J,'Leetcode List'!A:A = B660))))"),"")</f>
        <v/>
      </c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>
      <c r="A661" s="22"/>
      <c r="B661" s="20"/>
      <c r="C661" s="20" t="str">
        <f>IFERROR(__xludf.DUMMYFUNCTION("IF(ISBLANK(B661),,IFERROR(array_constrain(FILTER('Leetcode分类顺序表'!B:J,'Leetcode分类顺序表'!A:A = B661), 1, 10000000),IFERROR(FILTER(Algoexpert.io!B:D,Algoexpert.io!A:A = B661),FILTER('Leetcode List'!B:J,'Leetcode List'!A:A = B661))))"),"")</f>
        <v/>
      </c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>
      <c r="A662" s="22"/>
      <c r="B662" s="20"/>
      <c r="C662" s="20" t="str">
        <f>IFERROR(__xludf.DUMMYFUNCTION("IF(ISBLANK(B662),,IFERROR(array_constrain(FILTER('Leetcode分类顺序表'!B:J,'Leetcode分类顺序表'!A:A = B662), 1, 10000000),IFERROR(FILTER(Algoexpert.io!B:D,Algoexpert.io!A:A = B662),FILTER('Leetcode List'!B:J,'Leetcode List'!A:A = B662))))"),"")</f>
        <v/>
      </c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>
      <c r="A663" s="22"/>
      <c r="B663" s="20"/>
      <c r="C663" s="20" t="str">
        <f>IFERROR(__xludf.DUMMYFUNCTION("IF(ISBLANK(B663),,IFERROR(array_constrain(FILTER('Leetcode分类顺序表'!B:J,'Leetcode分类顺序表'!A:A = B663), 1, 10000000),IFERROR(FILTER(Algoexpert.io!B:D,Algoexpert.io!A:A = B663),FILTER('Leetcode List'!B:J,'Leetcode List'!A:A = B663))))"),"")</f>
        <v/>
      </c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>
      <c r="A664" s="22"/>
      <c r="B664" s="20"/>
      <c r="C664" s="20" t="str">
        <f>IFERROR(__xludf.DUMMYFUNCTION("IF(ISBLANK(B664),,IFERROR(array_constrain(FILTER('Leetcode分类顺序表'!B:J,'Leetcode分类顺序表'!A:A = B664), 1, 10000000),IFERROR(FILTER(Algoexpert.io!B:D,Algoexpert.io!A:A = B664),FILTER('Leetcode List'!B:J,'Leetcode List'!A:A = B664))))"),"")</f>
        <v/>
      </c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>
      <c r="A665" s="22"/>
      <c r="B665" s="20"/>
      <c r="C665" s="20" t="str">
        <f>IFERROR(__xludf.DUMMYFUNCTION("IF(ISBLANK(B665),,IFERROR(array_constrain(FILTER('Leetcode分类顺序表'!B:J,'Leetcode分类顺序表'!A:A = B665), 1, 10000000),IFERROR(FILTER(Algoexpert.io!B:D,Algoexpert.io!A:A = B665),FILTER('Leetcode List'!B:J,'Leetcode List'!A:A = B665))))"),"")</f>
        <v/>
      </c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>
      <c r="A666" s="22"/>
      <c r="B666" s="20"/>
      <c r="C666" s="20" t="str">
        <f>IFERROR(__xludf.DUMMYFUNCTION("IF(ISBLANK(B666),,IFERROR(array_constrain(FILTER('Leetcode分类顺序表'!B:J,'Leetcode分类顺序表'!A:A = B666), 1, 10000000),IFERROR(FILTER(Algoexpert.io!B:D,Algoexpert.io!A:A = B666),FILTER('Leetcode List'!B:J,'Leetcode List'!A:A = B666))))"),"")</f>
        <v/>
      </c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>
      <c r="A667" s="22"/>
      <c r="B667" s="20"/>
      <c r="C667" s="20" t="str">
        <f>IFERROR(__xludf.DUMMYFUNCTION("IF(ISBLANK(B667),,IFERROR(array_constrain(FILTER('Leetcode分类顺序表'!B:J,'Leetcode分类顺序表'!A:A = B667), 1, 10000000),IFERROR(FILTER(Algoexpert.io!B:D,Algoexpert.io!A:A = B667),FILTER('Leetcode List'!B:J,'Leetcode List'!A:A = B667))))"),"")</f>
        <v/>
      </c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>
      <c r="A668" s="22"/>
      <c r="B668" s="20"/>
      <c r="C668" s="20" t="str">
        <f>IFERROR(__xludf.DUMMYFUNCTION("IF(ISBLANK(B668),,IFERROR(array_constrain(FILTER('Leetcode分类顺序表'!B:J,'Leetcode分类顺序表'!A:A = B668), 1, 10000000),IFERROR(FILTER(Algoexpert.io!B:D,Algoexpert.io!A:A = B668),FILTER('Leetcode List'!B:J,'Leetcode List'!A:A = B668))))"),"")</f>
        <v/>
      </c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>
      <c r="A669" s="22"/>
      <c r="B669" s="20"/>
      <c r="C669" s="20" t="str">
        <f>IFERROR(__xludf.DUMMYFUNCTION("IF(ISBLANK(B669),,IFERROR(array_constrain(FILTER('Leetcode分类顺序表'!B:J,'Leetcode分类顺序表'!A:A = B669), 1, 10000000),IFERROR(FILTER(Algoexpert.io!B:D,Algoexpert.io!A:A = B669),FILTER('Leetcode List'!B:J,'Leetcode List'!A:A = B669))))"),"")</f>
        <v/>
      </c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>
      <c r="A670" s="22"/>
      <c r="B670" s="20"/>
      <c r="C670" s="20" t="str">
        <f>IFERROR(__xludf.DUMMYFUNCTION("IF(ISBLANK(B670),,IFERROR(array_constrain(FILTER('Leetcode分类顺序表'!B:J,'Leetcode分类顺序表'!A:A = B670), 1, 10000000),IFERROR(FILTER(Algoexpert.io!B:D,Algoexpert.io!A:A = B670),FILTER('Leetcode List'!B:J,'Leetcode List'!A:A = B670))))"),"")</f>
        <v/>
      </c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>
      <c r="A671" s="22"/>
      <c r="B671" s="20"/>
      <c r="C671" s="20" t="str">
        <f>IFERROR(__xludf.DUMMYFUNCTION("IF(ISBLANK(B671),,IFERROR(array_constrain(FILTER('Leetcode分类顺序表'!B:J,'Leetcode分类顺序表'!A:A = B671), 1, 10000000),IFERROR(FILTER(Algoexpert.io!B:D,Algoexpert.io!A:A = B671),FILTER('Leetcode List'!B:J,'Leetcode List'!A:A = B671))))"),"")</f>
        <v/>
      </c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>
      <c r="A672" s="22"/>
      <c r="B672" s="20"/>
      <c r="C672" s="20" t="str">
        <f>IFERROR(__xludf.DUMMYFUNCTION("IF(ISBLANK(B672),,IFERROR(array_constrain(FILTER('Leetcode分类顺序表'!B:J,'Leetcode分类顺序表'!A:A = B672), 1, 10000000),IFERROR(FILTER(Algoexpert.io!B:D,Algoexpert.io!A:A = B672),FILTER('Leetcode List'!B:J,'Leetcode List'!A:A = B672))))"),"")</f>
        <v/>
      </c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>
      <c r="A673" s="22"/>
      <c r="B673" s="20"/>
      <c r="C673" s="20" t="str">
        <f>IFERROR(__xludf.DUMMYFUNCTION("IF(ISBLANK(B673),,IFERROR(array_constrain(FILTER('Leetcode分类顺序表'!B:J,'Leetcode分类顺序表'!A:A = B673), 1, 10000000),IFERROR(FILTER(Algoexpert.io!B:D,Algoexpert.io!A:A = B673),FILTER('Leetcode List'!B:J,'Leetcode List'!A:A = B673))))"),"")</f>
        <v/>
      </c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>
      <c r="A674" s="22"/>
      <c r="B674" s="20"/>
      <c r="C674" s="20" t="str">
        <f>IFERROR(__xludf.DUMMYFUNCTION("IF(ISBLANK(B674),,IFERROR(array_constrain(FILTER('Leetcode分类顺序表'!B:J,'Leetcode分类顺序表'!A:A = B674), 1, 10000000),IFERROR(FILTER(Algoexpert.io!B:D,Algoexpert.io!A:A = B674),FILTER('Leetcode List'!B:J,'Leetcode List'!A:A = B674))))"),"")</f>
        <v/>
      </c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>
      <c r="A675" s="22"/>
      <c r="B675" s="20"/>
      <c r="C675" s="20" t="str">
        <f>IFERROR(__xludf.DUMMYFUNCTION("IF(ISBLANK(B675),,IFERROR(array_constrain(FILTER('Leetcode分类顺序表'!B:J,'Leetcode分类顺序表'!A:A = B675), 1, 10000000),IFERROR(FILTER(Algoexpert.io!B:D,Algoexpert.io!A:A = B675),FILTER('Leetcode List'!B:J,'Leetcode List'!A:A = B675))))"),"")</f>
        <v/>
      </c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>
      <c r="A676" s="22"/>
      <c r="B676" s="20"/>
      <c r="C676" s="20" t="str">
        <f>IFERROR(__xludf.DUMMYFUNCTION("IF(ISBLANK(B676),,IFERROR(array_constrain(FILTER('Leetcode分类顺序表'!B:J,'Leetcode分类顺序表'!A:A = B676), 1, 10000000),IFERROR(FILTER(Algoexpert.io!B:D,Algoexpert.io!A:A = B676),FILTER('Leetcode List'!B:J,'Leetcode List'!A:A = B676))))"),"")</f>
        <v/>
      </c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>
      <c r="A677" s="22"/>
      <c r="B677" s="20"/>
      <c r="C677" s="20" t="str">
        <f>IFERROR(__xludf.DUMMYFUNCTION("IF(ISBLANK(B677),,IFERROR(array_constrain(FILTER('Leetcode分类顺序表'!B:J,'Leetcode分类顺序表'!A:A = B677), 1, 10000000),IFERROR(FILTER(Algoexpert.io!B:D,Algoexpert.io!A:A = B677),FILTER('Leetcode List'!B:J,'Leetcode List'!A:A = B677))))"),"")</f>
        <v/>
      </c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>
      <c r="A678" s="22"/>
      <c r="B678" s="20"/>
      <c r="C678" s="20" t="str">
        <f>IFERROR(__xludf.DUMMYFUNCTION("IF(ISBLANK(B678),,IFERROR(array_constrain(FILTER('Leetcode分类顺序表'!B:J,'Leetcode分类顺序表'!A:A = B678), 1, 10000000),IFERROR(FILTER(Algoexpert.io!B:D,Algoexpert.io!A:A = B678),FILTER('Leetcode List'!B:J,'Leetcode List'!A:A = B678))))"),"")</f>
        <v/>
      </c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>
      <c r="A679" s="22"/>
      <c r="B679" s="20"/>
      <c r="C679" s="20" t="str">
        <f>IFERROR(__xludf.DUMMYFUNCTION("IF(ISBLANK(B679),,IFERROR(array_constrain(FILTER('Leetcode分类顺序表'!B:J,'Leetcode分类顺序表'!A:A = B679), 1, 10000000),IFERROR(FILTER(Algoexpert.io!B:D,Algoexpert.io!A:A = B679),FILTER('Leetcode List'!B:J,'Leetcode List'!A:A = B679))))"),"")</f>
        <v/>
      </c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>
      <c r="A680" s="22"/>
      <c r="B680" s="20"/>
      <c r="C680" s="20" t="str">
        <f>IFERROR(__xludf.DUMMYFUNCTION("IF(ISBLANK(B680),,IFERROR(array_constrain(FILTER('Leetcode分类顺序表'!B:J,'Leetcode分类顺序表'!A:A = B680), 1, 10000000),IFERROR(FILTER(Algoexpert.io!B:D,Algoexpert.io!A:A = B680),FILTER('Leetcode List'!B:J,'Leetcode List'!A:A = B680))))"),"")</f>
        <v/>
      </c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>
      <c r="A681" s="22"/>
      <c r="B681" s="20"/>
      <c r="C681" s="20" t="str">
        <f>IFERROR(__xludf.DUMMYFUNCTION("IF(ISBLANK(B681),,IFERROR(array_constrain(FILTER('Leetcode分类顺序表'!B:J,'Leetcode分类顺序表'!A:A = B681), 1, 10000000),IFERROR(FILTER(Algoexpert.io!B:D,Algoexpert.io!A:A = B681),FILTER('Leetcode List'!B:J,'Leetcode List'!A:A = B681))))"),"")</f>
        <v/>
      </c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>
      <c r="A682" s="22"/>
      <c r="B682" s="20"/>
      <c r="C682" s="20" t="str">
        <f>IFERROR(__xludf.DUMMYFUNCTION("IF(ISBLANK(B682),,IFERROR(array_constrain(FILTER('Leetcode分类顺序表'!B:J,'Leetcode分类顺序表'!A:A = B682), 1, 10000000),IFERROR(FILTER(Algoexpert.io!B:D,Algoexpert.io!A:A = B682),FILTER('Leetcode List'!B:J,'Leetcode List'!A:A = B682))))"),"")</f>
        <v/>
      </c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>
      <c r="A683" s="22"/>
      <c r="B683" s="20"/>
      <c r="C683" s="20" t="str">
        <f>IFERROR(__xludf.DUMMYFUNCTION("IF(ISBLANK(B683),,IFERROR(array_constrain(FILTER('Leetcode分类顺序表'!B:J,'Leetcode分类顺序表'!A:A = B683), 1, 10000000),IFERROR(FILTER(Algoexpert.io!B:D,Algoexpert.io!A:A = B683),FILTER('Leetcode List'!B:J,'Leetcode List'!A:A = B683))))"),"")</f>
        <v/>
      </c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>
      <c r="A684" s="22"/>
      <c r="B684" s="20"/>
      <c r="C684" s="20" t="str">
        <f>IFERROR(__xludf.DUMMYFUNCTION("IF(ISBLANK(B684),,IFERROR(array_constrain(FILTER('Leetcode分类顺序表'!B:J,'Leetcode分类顺序表'!A:A = B684), 1, 10000000),IFERROR(FILTER(Algoexpert.io!B:D,Algoexpert.io!A:A = B684),FILTER('Leetcode List'!B:J,'Leetcode List'!A:A = B684))))"),"")</f>
        <v/>
      </c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>
      <c r="A685" s="22"/>
      <c r="B685" s="20"/>
      <c r="C685" s="20" t="str">
        <f>IFERROR(__xludf.DUMMYFUNCTION("IF(ISBLANK(B685),,IFERROR(array_constrain(FILTER('Leetcode分类顺序表'!B:J,'Leetcode分类顺序表'!A:A = B685), 1, 10000000),IFERROR(FILTER(Algoexpert.io!B:D,Algoexpert.io!A:A = B685),FILTER('Leetcode List'!B:J,'Leetcode List'!A:A = B685))))"),"")</f>
        <v/>
      </c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>
      <c r="A686" s="22"/>
      <c r="B686" s="20"/>
      <c r="C686" s="20" t="str">
        <f>IFERROR(__xludf.DUMMYFUNCTION("IF(ISBLANK(B686),,IFERROR(array_constrain(FILTER('Leetcode分类顺序表'!B:J,'Leetcode分类顺序表'!A:A = B686), 1, 10000000),IFERROR(FILTER(Algoexpert.io!B:D,Algoexpert.io!A:A = B686),FILTER('Leetcode List'!B:J,'Leetcode List'!A:A = B686))))"),"")</f>
        <v/>
      </c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>
      <c r="A687" s="22"/>
      <c r="B687" s="20"/>
      <c r="C687" s="20" t="str">
        <f>IFERROR(__xludf.DUMMYFUNCTION("IF(ISBLANK(B687),,IFERROR(array_constrain(FILTER('Leetcode分类顺序表'!B:J,'Leetcode分类顺序表'!A:A = B687), 1, 10000000),IFERROR(FILTER(Algoexpert.io!B:D,Algoexpert.io!A:A = B687),FILTER('Leetcode List'!B:J,'Leetcode List'!A:A = B687))))"),"")</f>
        <v/>
      </c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>
      <c r="A688" s="22"/>
      <c r="B688" s="20"/>
      <c r="C688" s="20" t="str">
        <f>IFERROR(__xludf.DUMMYFUNCTION("IF(ISBLANK(B688),,IFERROR(array_constrain(FILTER('Leetcode分类顺序表'!B:J,'Leetcode分类顺序表'!A:A = B688), 1, 10000000),IFERROR(FILTER(Algoexpert.io!B:D,Algoexpert.io!A:A = B688),FILTER('Leetcode List'!B:J,'Leetcode List'!A:A = B688))))"),"")</f>
        <v/>
      </c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>
      <c r="A689" s="22"/>
      <c r="B689" s="20"/>
      <c r="C689" s="20" t="str">
        <f>IFERROR(__xludf.DUMMYFUNCTION("IF(ISBLANK(B689),,IFERROR(array_constrain(FILTER('Leetcode分类顺序表'!B:J,'Leetcode分类顺序表'!A:A = B689), 1, 10000000),IFERROR(FILTER(Algoexpert.io!B:D,Algoexpert.io!A:A = B689),FILTER('Leetcode List'!B:J,'Leetcode List'!A:A = B689))))"),"")</f>
        <v/>
      </c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>
      <c r="A690" s="22"/>
      <c r="B690" s="20"/>
      <c r="C690" s="20" t="str">
        <f>IFERROR(__xludf.DUMMYFUNCTION("IF(ISBLANK(B690),,IFERROR(array_constrain(FILTER('Leetcode分类顺序表'!B:J,'Leetcode分类顺序表'!A:A = B690), 1, 10000000),IFERROR(FILTER(Algoexpert.io!B:D,Algoexpert.io!A:A = B690),FILTER('Leetcode List'!B:J,'Leetcode List'!A:A = B690))))"),"")</f>
        <v/>
      </c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>
      <c r="A691" s="22"/>
      <c r="B691" s="20"/>
      <c r="C691" s="20" t="str">
        <f>IFERROR(__xludf.DUMMYFUNCTION("IF(ISBLANK(B691),,IFERROR(array_constrain(FILTER('Leetcode分类顺序表'!B:J,'Leetcode分类顺序表'!A:A = B691), 1, 10000000),IFERROR(FILTER(Algoexpert.io!B:D,Algoexpert.io!A:A = B691),FILTER('Leetcode List'!B:J,'Leetcode List'!A:A = B691))))"),"")</f>
        <v/>
      </c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>
      <c r="A692" s="22"/>
      <c r="B692" s="20"/>
      <c r="C692" s="20" t="str">
        <f>IFERROR(__xludf.DUMMYFUNCTION("IF(ISBLANK(B692),,IFERROR(array_constrain(FILTER('Leetcode分类顺序表'!B:J,'Leetcode分类顺序表'!A:A = B692), 1, 10000000),IFERROR(FILTER(Algoexpert.io!B:D,Algoexpert.io!A:A = B692),FILTER('Leetcode List'!B:J,'Leetcode List'!A:A = B692))))"),"")</f>
        <v/>
      </c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>
      <c r="A693" s="22"/>
      <c r="B693" s="20"/>
      <c r="C693" s="20" t="str">
        <f>IFERROR(__xludf.DUMMYFUNCTION("IF(ISBLANK(B693),,IFERROR(array_constrain(FILTER('Leetcode分类顺序表'!B:J,'Leetcode分类顺序表'!A:A = B693), 1, 10000000),IFERROR(FILTER(Algoexpert.io!B:D,Algoexpert.io!A:A = B693),FILTER('Leetcode List'!B:J,'Leetcode List'!A:A = B693))))"),"")</f>
        <v/>
      </c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>
      <c r="A694" s="22"/>
      <c r="B694" s="20"/>
      <c r="C694" s="20" t="str">
        <f>IFERROR(__xludf.DUMMYFUNCTION("IF(ISBLANK(B694),,IFERROR(array_constrain(FILTER('Leetcode分类顺序表'!B:J,'Leetcode分类顺序表'!A:A = B694), 1, 10000000),IFERROR(FILTER(Algoexpert.io!B:D,Algoexpert.io!A:A = B694),FILTER('Leetcode List'!B:J,'Leetcode List'!A:A = B694))))"),"")</f>
        <v/>
      </c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>
      <c r="A695" s="22"/>
      <c r="B695" s="20"/>
      <c r="C695" s="20" t="str">
        <f>IFERROR(__xludf.DUMMYFUNCTION("IF(ISBLANK(B695),,IFERROR(array_constrain(FILTER('Leetcode分类顺序表'!B:J,'Leetcode分类顺序表'!A:A = B695), 1, 10000000),IFERROR(FILTER(Algoexpert.io!B:D,Algoexpert.io!A:A = B695),FILTER('Leetcode List'!B:J,'Leetcode List'!A:A = B695))))"),"")</f>
        <v/>
      </c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>
      <c r="A696" s="22"/>
      <c r="B696" s="20"/>
      <c r="C696" s="20" t="str">
        <f>IFERROR(__xludf.DUMMYFUNCTION("IF(ISBLANK(B696),,IFERROR(array_constrain(FILTER('Leetcode分类顺序表'!B:J,'Leetcode分类顺序表'!A:A = B696), 1, 10000000),IFERROR(FILTER(Algoexpert.io!B:D,Algoexpert.io!A:A = B696),FILTER('Leetcode List'!B:J,'Leetcode List'!A:A = B696))))"),"")</f>
        <v/>
      </c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>
      <c r="A697" s="22"/>
      <c r="B697" s="20"/>
      <c r="C697" s="20" t="str">
        <f>IFERROR(__xludf.DUMMYFUNCTION("IF(ISBLANK(B697),,IFERROR(array_constrain(FILTER('Leetcode分类顺序表'!B:J,'Leetcode分类顺序表'!A:A = B697), 1, 10000000),IFERROR(FILTER(Algoexpert.io!B:D,Algoexpert.io!A:A = B697),FILTER('Leetcode List'!B:J,'Leetcode List'!A:A = B697))))"),"")</f>
        <v/>
      </c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>
      <c r="A698" s="22"/>
      <c r="B698" s="20"/>
      <c r="C698" s="20" t="str">
        <f>IFERROR(__xludf.DUMMYFUNCTION("IF(ISBLANK(B698),,IFERROR(array_constrain(FILTER('Leetcode分类顺序表'!B:J,'Leetcode分类顺序表'!A:A = B698), 1, 10000000),IFERROR(FILTER(Algoexpert.io!B:D,Algoexpert.io!A:A = B698),FILTER('Leetcode List'!B:J,'Leetcode List'!A:A = B698))))"),"")</f>
        <v/>
      </c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>
      <c r="A699" s="22"/>
      <c r="B699" s="20"/>
      <c r="C699" s="20" t="str">
        <f>IFERROR(__xludf.DUMMYFUNCTION("IF(ISBLANK(B699),,IFERROR(array_constrain(FILTER('Leetcode分类顺序表'!B:J,'Leetcode分类顺序表'!A:A = B699), 1, 10000000),IFERROR(FILTER(Algoexpert.io!B:D,Algoexpert.io!A:A = B699),FILTER('Leetcode List'!B:J,'Leetcode List'!A:A = B699))))"),"")</f>
        <v/>
      </c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>
      <c r="A700" s="22"/>
      <c r="B700" s="20"/>
      <c r="C700" s="20" t="str">
        <f>IFERROR(__xludf.DUMMYFUNCTION("IF(ISBLANK(B700),,IFERROR(array_constrain(FILTER('Leetcode分类顺序表'!B:J,'Leetcode分类顺序表'!A:A = B700), 1, 10000000),IFERROR(FILTER(Algoexpert.io!B:D,Algoexpert.io!A:A = B700),FILTER('Leetcode List'!B:J,'Leetcode List'!A:A = B700))))"),"")</f>
        <v/>
      </c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>
      <c r="A701" s="22"/>
      <c r="B701" s="20"/>
      <c r="C701" s="20" t="str">
        <f>IFERROR(__xludf.DUMMYFUNCTION("IF(ISBLANK(B701),,IFERROR(array_constrain(FILTER('Leetcode分类顺序表'!B:J,'Leetcode分类顺序表'!A:A = B701), 1, 10000000),IFERROR(FILTER(Algoexpert.io!B:D,Algoexpert.io!A:A = B701),FILTER('Leetcode List'!B:J,'Leetcode List'!A:A = B701))))"),"")</f>
        <v/>
      </c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>
      <c r="A702" s="22"/>
      <c r="B702" s="20"/>
      <c r="C702" s="20" t="str">
        <f>IFERROR(__xludf.DUMMYFUNCTION("IF(ISBLANK(B702),,IFERROR(array_constrain(FILTER('Leetcode分类顺序表'!B:J,'Leetcode分类顺序表'!A:A = B702), 1, 10000000),IFERROR(FILTER(Algoexpert.io!B:D,Algoexpert.io!A:A = B702),FILTER('Leetcode List'!B:J,'Leetcode List'!A:A = B702))))"),"")</f>
        <v/>
      </c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>
      <c r="A703" s="22"/>
      <c r="B703" s="20"/>
      <c r="C703" s="20" t="str">
        <f>IFERROR(__xludf.DUMMYFUNCTION("IF(ISBLANK(B703),,IFERROR(array_constrain(FILTER('Leetcode分类顺序表'!B:J,'Leetcode分类顺序表'!A:A = B703), 1, 10000000),IFERROR(FILTER(Algoexpert.io!B:D,Algoexpert.io!A:A = B703),FILTER('Leetcode List'!B:J,'Leetcode List'!A:A = B703))))"),"")</f>
        <v/>
      </c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>
      <c r="A704" s="22"/>
      <c r="B704" s="20"/>
      <c r="C704" s="20" t="str">
        <f>IFERROR(__xludf.DUMMYFUNCTION("IF(ISBLANK(B704),,IFERROR(array_constrain(FILTER('Leetcode分类顺序表'!B:J,'Leetcode分类顺序表'!A:A = B704), 1, 10000000),IFERROR(FILTER(Algoexpert.io!B:D,Algoexpert.io!A:A = B704),FILTER('Leetcode List'!B:J,'Leetcode List'!A:A = B704))))"),"")</f>
        <v/>
      </c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>
      <c r="A705" s="22"/>
      <c r="B705" s="20"/>
      <c r="C705" s="20" t="str">
        <f>IFERROR(__xludf.DUMMYFUNCTION("IF(ISBLANK(B705),,IFERROR(array_constrain(FILTER('Leetcode分类顺序表'!B:J,'Leetcode分类顺序表'!A:A = B705), 1, 10000000),IFERROR(FILTER(Algoexpert.io!B:D,Algoexpert.io!A:A = B705),FILTER('Leetcode List'!B:J,'Leetcode List'!A:A = B705))))"),"")</f>
        <v/>
      </c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>
      <c r="A706" s="22"/>
      <c r="B706" s="20"/>
      <c r="C706" s="20" t="str">
        <f>IFERROR(__xludf.DUMMYFUNCTION("IF(ISBLANK(B706),,IFERROR(array_constrain(FILTER('Leetcode分类顺序表'!B:J,'Leetcode分类顺序表'!A:A = B706), 1, 10000000),IFERROR(FILTER(Algoexpert.io!B:D,Algoexpert.io!A:A = B706),FILTER('Leetcode List'!B:J,'Leetcode List'!A:A = B706))))"),"")</f>
        <v/>
      </c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>
      <c r="A707" s="22"/>
      <c r="B707" s="20"/>
      <c r="C707" s="20" t="str">
        <f>IFERROR(__xludf.DUMMYFUNCTION("IF(ISBLANK(B707),,IFERROR(array_constrain(FILTER('Leetcode分类顺序表'!B:J,'Leetcode分类顺序表'!A:A = B707), 1, 10000000),IFERROR(FILTER(Algoexpert.io!B:D,Algoexpert.io!A:A = B707),FILTER('Leetcode List'!B:J,'Leetcode List'!A:A = B707))))"),"")</f>
        <v/>
      </c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>
      <c r="A708" s="22"/>
      <c r="B708" s="20"/>
      <c r="C708" s="20" t="str">
        <f>IFERROR(__xludf.DUMMYFUNCTION("IF(ISBLANK(B708),,IFERROR(array_constrain(FILTER('Leetcode分类顺序表'!B:J,'Leetcode分类顺序表'!A:A = B708), 1, 10000000),IFERROR(FILTER(Algoexpert.io!B:D,Algoexpert.io!A:A = B708),FILTER('Leetcode List'!B:J,'Leetcode List'!A:A = B708))))"),"")</f>
        <v/>
      </c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>
      <c r="A709" s="22"/>
      <c r="B709" s="20"/>
      <c r="C709" s="20" t="str">
        <f>IFERROR(__xludf.DUMMYFUNCTION("IF(ISBLANK(B709),,IFERROR(array_constrain(FILTER('Leetcode分类顺序表'!B:J,'Leetcode分类顺序表'!A:A = B709), 1, 10000000),IFERROR(FILTER(Algoexpert.io!B:D,Algoexpert.io!A:A = B709),FILTER('Leetcode List'!B:J,'Leetcode List'!A:A = B709))))"),"")</f>
        <v/>
      </c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>
      <c r="A710" s="22"/>
      <c r="B710" s="20"/>
      <c r="C710" s="20" t="str">
        <f>IFERROR(__xludf.DUMMYFUNCTION("IF(ISBLANK(B710),,IFERROR(array_constrain(FILTER('Leetcode分类顺序表'!B:J,'Leetcode分类顺序表'!A:A = B710), 1, 10000000),IFERROR(FILTER(Algoexpert.io!B:D,Algoexpert.io!A:A = B710),FILTER('Leetcode List'!B:J,'Leetcode List'!A:A = B710))))"),"")</f>
        <v/>
      </c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>
      <c r="A711" s="22"/>
      <c r="B711" s="20"/>
      <c r="C711" s="20" t="str">
        <f>IFERROR(__xludf.DUMMYFUNCTION("IF(ISBLANK(B711),,IFERROR(array_constrain(FILTER('Leetcode分类顺序表'!B:J,'Leetcode分类顺序表'!A:A = B711), 1, 10000000),IFERROR(FILTER(Algoexpert.io!B:D,Algoexpert.io!A:A = B711),FILTER('Leetcode List'!B:J,'Leetcode List'!A:A = B711))))"),"")</f>
        <v/>
      </c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>
      <c r="A712" s="22"/>
      <c r="B712" s="20"/>
      <c r="C712" s="20" t="str">
        <f>IFERROR(__xludf.DUMMYFUNCTION("IF(ISBLANK(B712),,IFERROR(array_constrain(FILTER('Leetcode分类顺序表'!B:J,'Leetcode分类顺序表'!A:A = B712), 1, 10000000),IFERROR(FILTER(Algoexpert.io!B:D,Algoexpert.io!A:A = B712),FILTER('Leetcode List'!B:J,'Leetcode List'!A:A = B712))))"),"")</f>
        <v/>
      </c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>
      <c r="A713" s="22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>
      <c r="A714" s="22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>
      <c r="A715" s="22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>
      <c r="A716" s="22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>
      <c r="A717" s="22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>
      <c r="A718" s="22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>
      <c r="A719" s="22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>
      <c r="A720" s="22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>
      <c r="A721" s="22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>
      <c r="A722" s="22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>
      <c r="A723" s="22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>
      <c r="A724" s="22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>
      <c r="A725" s="22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>
      <c r="A726" s="22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>
      <c r="A727" s="22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>
      <c r="A728" s="22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>
      <c r="A729" s="22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>
      <c r="A730" s="22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>
      <c r="A731" s="22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>
      <c r="A732" s="22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>
      <c r="A733" s="22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>
      <c r="A734" s="22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>
      <c r="A735" s="22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>
      <c r="A736" s="22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>
      <c r="A737" s="22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>
      <c r="A738" s="22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>
      <c r="A739" s="22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>
      <c r="A740" s="22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>
      <c r="A741" s="22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>
      <c r="A742" s="22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>
      <c r="A743" s="22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>
      <c r="A744" s="22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>
      <c r="A745" s="22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>
      <c r="A746" s="22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>
      <c r="A747" s="22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>
      <c r="A748" s="22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>
      <c r="A749" s="22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>
      <c r="A750" s="22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>
      <c r="A751" s="22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>
      <c r="A752" s="22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>
      <c r="A753" s="22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>
      <c r="A754" s="22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>
      <c r="A755" s="22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>
      <c r="A756" s="22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>
      <c r="A757" s="22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>
      <c r="A758" s="22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>
      <c r="A759" s="22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>
      <c r="A760" s="22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>
      <c r="A761" s="22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>
      <c r="A762" s="22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>
      <c r="A763" s="22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>
      <c r="A764" s="22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>
      <c r="A765" s="22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>
      <c r="A766" s="22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>
      <c r="A767" s="22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>
      <c r="A768" s="22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>
      <c r="A769" s="22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>
      <c r="A770" s="22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>
      <c r="A771" s="22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>
      <c r="A772" s="22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>
      <c r="A773" s="22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>
      <c r="A774" s="22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>
      <c r="A775" s="22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>
      <c r="A776" s="22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>
      <c r="A777" s="22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>
      <c r="A778" s="22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>
      <c r="A779" s="22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>
      <c r="A780" s="22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>
      <c r="A781" s="22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>
      <c r="A782" s="22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>
      <c r="A783" s="22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>
      <c r="A784" s="22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>
      <c r="A785" s="22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>
      <c r="A786" s="22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>
      <c r="A787" s="22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>
      <c r="A788" s="22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>
      <c r="A789" s="22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>
      <c r="A790" s="22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>
      <c r="A791" s="22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>
      <c r="A792" s="22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>
      <c r="A793" s="22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>
      <c r="A794" s="22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>
      <c r="A795" s="22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>
      <c r="A796" s="22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>
      <c r="A797" s="22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>
      <c r="A798" s="22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>
      <c r="A799" s="22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>
      <c r="A800" s="22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>
      <c r="A801" s="22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>
      <c r="A802" s="22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>
      <c r="A803" s="22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>
      <c r="A804" s="22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>
      <c r="A805" s="22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>
      <c r="A806" s="22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>
      <c r="A807" s="22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>
      <c r="A808" s="22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>
      <c r="A809" s="22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>
      <c r="A810" s="22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>
      <c r="A811" s="22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>
      <c r="A812" s="22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>
      <c r="A813" s="22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>
      <c r="A814" s="22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>
      <c r="A815" s="22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>
      <c r="A816" s="22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>
      <c r="A817" s="22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>
      <c r="A818" s="22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>
      <c r="A819" s="22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>
      <c r="A820" s="22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>
      <c r="A821" s="22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>
      <c r="A822" s="22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>
      <c r="A823" s="22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>
      <c r="A824" s="22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>
      <c r="A825" s="22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>
      <c r="A826" s="22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>
      <c r="A827" s="22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>
      <c r="A828" s="22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>
      <c r="A829" s="22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>
      <c r="A830" s="22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>
      <c r="A831" s="22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>
      <c r="A832" s="22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>
      <c r="A833" s="22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>
      <c r="A834" s="22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>
      <c r="A835" s="22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>
      <c r="A836" s="22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>
      <c r="A837" s="22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>
      <c r="A838" s="22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>
      <c r="A839" s="22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>
      <c r="A840" s="22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>
      <c r="A841" s="22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>
      <c r="A842" s="22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>
      <c r="A843" s="22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>
      <c r="A844" s="22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>
      <c r="A845" s="22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>
      <c r="A846" s="22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>
      <c r="A847" s="22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>
      <c r="A848" s="22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>
      <c r="A849" s="22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>
      <c r="A850" s="22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>
      <c r="A851" s="22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>
      <c r="A852" s="22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>
      <c r="A853" s="22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>
      <c r="A854" s="22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>
      <c r="A855" s="22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>
      <c r="A856" s="22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>
      <c r="A857" s="22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>
      <c r="A858" s="22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>
      <c r="A859" s="22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>
      <c r="A860" s="22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>
      <c r="A861" s="22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>
      <c r="A862" s="22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>
      <c r="A863" s="22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>
      <c r="A864" s="22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>
      <c r="A865" s="22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>
      <c r="A866" s="22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>
      <c r="A867" s="22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>
      <c r="A868" s="22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>
      <c r="A869" s="22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>
      <c r="A870" s="22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>
      <c r="A871" s="22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>
      <c r="A872" s="22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>
      <c r="A873" s="22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>
      <c r="A874" s="22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>
      <c r="A875" s="22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>
      <c r="A876" s="22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>
      <c r="A877" s="22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>
      <c r="A878" s="22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>
      <c r="A879" s="22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>
      <c r="A880" s="22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>
      <c r="A881" s="22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>
      <c r="A882" s="22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>
      <c r="A883" s="22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>
      <c r="A884" s="22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>
      <c r="A885" s="22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>
      <c r="A886" s="22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>
      <c r="A887" s="22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>
      <c r="A888" s="22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>
      <c r="A889" s="22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>
      <c r="A890" s="22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>
      <c r="A891" s="22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>
      <c r="A892" s="22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>
      <c r="A893" s="22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>
      <c r="A894" s="22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>
      <c r="A895" s="22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>
      <c r="A896" s="22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>
      <c r="A897" s="22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>
      <c r="A898" s="22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>
      <c r="A899" s="22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>
      <c r="A900" s="22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>
      <c r="A901" s="22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>
      <c r="A902" s="22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>
      <c r="A903" s="22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>
      <c r="A904" s="22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>
      <c r="A905" s="22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>
      <c r="A906" s="22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>
      <c r="A907" s="22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>
      <c r="A908" s="22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>
      <c r="A909" s="22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>
      <c r="A910" s="22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>
      <c r="A911" s="22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>
      <c r="A912" s="22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>
      <c r="A913" s="22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>
      <c r="A914" s="22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>
      <c r="A915" s="22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>
      <c r="A916" s="22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>
      <c r="A917" s="22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>
      <c r="A918" s="22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>
      <c r="A919" s="22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>
      <c r="A920" s="22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>
      <c r="A921" s="22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>
      <c r="A922" s="22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>
      <c r="A923" s="22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>
      <c r="A924" s="22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>
      <c r="A925" s="22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>
      <c r="A926" s="22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>
      <c r="A927" s="22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>
      <c r="A928" s="22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>
      <c r="A929" s="22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>
      <c r="A930" s="22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>
      <c r="A931" s="22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>
      <c r="A932" s="22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>
      <c r="A933" s="22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>
      <c r="A934" s="22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>
      <c r="A935" s="22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>
      <c r="A936" s="22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>
      <c r="A937" s="22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>
      <c r="A938" s="22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>
      <c r="A939" s="22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>
      <c r="A940" s="22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>
      <c r="A941" s="22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>
      <c r="A942" s="22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>
      <c r="A943" s="22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>
      <c r="A944" s="22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>
      <c r="A945" s="22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>
      <c r="A946" s="22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>
      <c r="A947" s="22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>
      <c r="A948" s="22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>
      <c r="A949" s="22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>
      <c r="A950" s="22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>
      <c r="A951" s="22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>
      <c r="A952" s="22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>
      <c r="A953" s="22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>
      <c r="A954" s="22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>
      <c r="A955" s="22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>
      <c r="A956" s="22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>
      <c r="A957" s="22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>
      <c r="A958" s="22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>
      <c r="A959" s="22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>
      <c r="A960" s="22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>
      <c r="A961" s="22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>
      <c r="A962" s="22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>
      <c r="A963" s="22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>
      <c r="A964" s="22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>
      <c r="A965" s="22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>
      <c r="A966" s="22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>
      <c r="A967" s="22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>
      <c r="A968" s="22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>
      <c r="A969" s="22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>
      <c r="A970" s="22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>
      <c r="A971" s="22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>
      <c r="A972" s="22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>
      <c r="A973" s="22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>
      <c r="A974" s="22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>
      <c r="A975" s="22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>
      <c r="A976" s="22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>
      <c r="A977" s="22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>
      <c r="A978" s="22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>
      <c r="A979" s="22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>
      <c r="A980" s="22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>
      <c r="A981" s="22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>
      <c r="A982" s="22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>
      <c r="A983" s="22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>
      <c r="A984" s="22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>
      <c r="A985" s="22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>
      <c r="A986" s="22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>
      <c r="A987" s="22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>
      <c r="A988" s="22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>
      <c r="A989" s="22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>
      <c r="A990" s="22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>
      <c r="A991" s="22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>
      <c r="A992" s="22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>
      <c r="A993" s="22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>
      <c r="A994" s="22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>
      <c r="A995" s="22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>
      <c r="A996" s="22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>
      <c r="A997" s="22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>
      <c r="A998" s="22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>
      <c r="A999" s="22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>
      <c r="A1000" s="22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conditionalFormatting sqref="C1:D1">
    <cfRule type="expression" dxfId="1" priority="1">
      <formula>AND(ISNUMBER($L2),$L2=0)</formula>
    </cfRule>
  </conditionalFormatting>
  <conditionalFormatting sqref="C1:D1">
    <cfRule type="expression" dxfId="3" priority="2">
      <formula>AND(ISNUMBER($L2),$L2&gt;0)</formula>
    </cfRule>
  </conditionalFormatting>
  <conditionalFormatting sqref="C1:D1">
    <cfRule type="expression" dxfId="2" priority="3">
      <formula>AND(ISNUMBER($L2),$L2&gt;3)</formula>
    </cfRule>
  </conditionalFormatting>
  <conditionalFormatting sqref="C31">
    <cfRule type="expression" dxfId="2" priority="4">
      <formula>AND(ISNUMBER($L29),$L29&gt;3)</formula>
    </cfRule>
  </conditionalFormatting>
  <conditionalFormatting sqref="C31">
    <cfRule type="expression" dxfId="3" priority="5">
      <formula>AND(ISNUMBER($L29),$L29&gt;0)</formula>
    </cfRule>
  </conditionalFormatting>
  <conditionalFormatting sqref="C31">
    <cfRule type="expression" dxfId="1" priority="6">
      <formula>AND(ISNUMBER($L29),$L29=0)</formula>
    </cfRule>
  </conditionalFormatting>
  <conditionalFormatting sqref="A1:C1000 E1:M1000 N1:O1 P1:AH1000 D3:D1000 N3:O1000">
    <cfRule type="expression" dxfId="2" priority="7">
      <formula>AND(ISNUMBER($L1),$L1&gt;3)</formula>
    </cfRule>
  </conditionalFormatting>
  <conditionalFormatting sqref="A1:C1000 E1:M1000 N1:O1 P1:AH1000 D3:D1000 N3:O1000">
    <cfRule type="expression" dxfId="3" priority="8">
      <formula>AND(ISNUMBER($L1),$L1&gt;0)</formula>
    </cfRule>
  </conditionalFormatting>
  <conditionalFormatting sqref="A1:C1000 E1:M1000 N1:O1 P1:AH1000 D3:D1000 N3:O1000">
    <cfRule type="expression" dxfId="1" priority="9">
      <formula>AND(ISNUMBER($L1),$L1=0)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9.88"/>
    <col hidden="1" min="6" max="9" width="12.63"/>
  </cols>
  <sheetData>
    <row r="1">
      <c r="A1" s="10" t="s">
        <v>5</v>
      </c>
      <c r="B1" s="11" t="s">
        <v>20</v>
      </c>
      <c r="C1" s="10" t="s">
        <v>7</v>
      </c>
      <c r="D1" s="12" t="str">
        <f>IFERROR(__xludf.DUMMYFUNCTION("IF(COUNTUNIQUE(B3:B1000)&gt;0,COUNTUNIQUE(B3:B1000),)"),"")</f>
        <v/>
      </c>
      <c r="E1" s="13" t="s">
        <v>8</v>
      </c>
      <c r="F1" s="14"/>
      <c r="G1" s="14"/>
      <c r="H1" s="14"/>
      <c r="I1" s="14"/>
      <c r="J1" s="14" t="str">
        <f>IF((COUNTA(B:B)-2)/(DATEDIF(A3,TODAY(),"D")+1)&gt;0,(COUNTA(B:B)-2)/(DATEDIF(A3,TODAY(),"D")+1),)</f>
        <v/>
      </c>
      <c r="K1" s="10"/>
      <c r="L1" s="10" t="s">
        <v>9</v>
      </c>
      <c r="M1" s="12"/>
      <c r="N1" s="15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>
      <c r="A2" s="16" t="s">
        <v>10</v>
      </c>
      <c r="B2" s="10" t="s">
        <v>11</v>
      </c>
      <c r="C2" s="17" t="s">
        <v>12</v>
      </c>
      <c r="D2" s="10" t="s">
        <v>13</v>
      </c>
      <c r="E2" s="10" t="s">
        <v>14</v>
      </c>
      <c r="F2" s="10" t="s">
        <v>15</v>
      </c>
      <c r="G2" s="10" t="s">
        <v>21</v>
      </c>
      <c r="H2" s="10" t="s">
        <v>22</v>
      </c>
      <c r="I2" s="10" t="s">
        <v>23</v>
      </c>
      <c r="J2" s="10" t="s">
        <v>16</v>
      </c>
      <c r="K2" s="10" t="s">
        <v>17</v>
      </c>
      <c r="L2" s="10" t="s">
        <v>18</v>
      </c>
      <c r="M2" s="18"/>
      <c r="N2" s="10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>
      <c r="A3" s="19"/>
      <c r="B3" s="21"/>
      <c r="C3" s="20" t="str">
        <f>IFERROR(__xludf.DUMMYFUNCTION("IF(ISBLANK(B3),,IFERROR(array_constrain(FILTER('Leetcode分类顺序表'!B:J,'Leetcode分类顺序表'!A:A = B3), 1, 10000000),IFERROR(FILTER(Algoexpert.io!B:D,Algoexpert.io!A:A = B3),FILTER('Leetcode List'!B:J,'Leetcode List'!A:A = B3))))"),"")</f>
        <v/>
      </c>
      <c r="D3" s="20"/>
      <c r="E3" s="20"/>
      <c r="F3" s="20"/>
      <c r="G3" s="20"/>
      <c r="H3" s="20"/>
      <c r="I3" s="20"/>
      <c r="J3" s="20"/>
      <c r="K3" s="20"/>
      <c r="L3" s="20" t="str">
        <f t="shared" ref="L3:L211" si="1">IF(ISBLANK(B3),,COUNTIF(B:B,"="&amp;B3)-1)</f>
        <v/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>
      <c r="A4" s="19"/>
      <c r="B4" s="21"/>
      <c r="C4" s="20" t="str">
        <f>IFERROR(__xludf.DUMMYFUNCTION("IF(ISBLANK(B4),,IFERROR(array_constrain(FILTER('Leetcode分类顺序表'!B:J,'Leetcode分类顺序表'!A:A = B4), 1, 10000000),IFERROR(FILTER(Algoexpert.io!B:D,Algoexpert.io!A:A = B4),FILTER('Leetcode List'!B:J,'Leetcode List'!A:A = B4))))"),"")</f>
        <v/>
      </c>
      <c r="D4" s="20"/>
      <c r="E4" s="20"/>
      <c r="F4" s="20"/>
      <c r="G4" s="20"/>
      <c r="H4" s="20"/>
      <c r="I4" s="20"/>
      <c r="J4" s="20"/>
      <c r="K4" s="20"/>
      <c r="L4" s="20" t="str">
        <f t="shared" si="1"/>
        <v/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>
      <c r="A5" s="19"/>
      <c r="B5" s="21"/>
      <c r="C5" s="20" t="str">
        <f>IFERROR(__xludf.DUMMYFUNCTION("IF(ISBLANK(B5),,IFERROR(array_constrain(FILTER('Leetcode分类顺序表'!B:J,'Leetcode分类顺序表'!A:A = B5), 1, 10000000),IFERROR(FILTER(Algoexpert.io!B:D,Algoexpert.io!A:A = B5),FILTER('Leetcode List'!B:J,'Leetcode List'!A:A = B5))))"),"")</f>
        <v/>
      </c>
      <c r="D5" s="20"/>
      <c r="E5" s="20"/>
      <c r="F5" s="20"/>
      <c r="G5" s="20"/>
      <c r="H5" s="20"/>
      <c r="I5" s="20"/>
      <c r="J5" s="20"/>
      <c r="K5" s="20"/>
      <c r="L5" s="20" t="str">
        <f t="shared" si="1"/>
        <v/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>
      <c r="A6" s="19"/>
      <c r="B6" s="21"/>
      <c r="C6" s="20" t="str">
        <f>IFERROR(__xludf.DUMMYFUNCTION("IF(ISBLANK(B6),,IFERROR(array_constrain(FILTER('Leetcode分类顺序表'!B:J,'Leetcode分类顺序表'!A:A = B6), 1, 10000000),IFERROR(FILTER(Algoexpert.io!B:D,Algoexpert.io!A:A = B6),FILTER('Leetcode List'!B:J,'Leetcode List'!A:A = B6))))"),"")</f>
        <v/>
      </c>
      <c r="D6" s="20"/>
      <c r="E6" s="20"/>
      <c r="F6" s="20"/>
      <c r="G6" s="20"/>
      <c r="H6" s="20"/>
      <c r="I6" s="20"/>
      <c r="J6" s="20"/>
      <c r="K6" s="20"/>
      <c r="L6" s="20" t="str">
        <f t="shared" si="1"/>
        <v/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>
      <c r="A7" s="19"/>
      <c r="B7" s="21"/>
      <c r="C7" s="20" t="str">
        <f>IFERROR(__xludf.DUMMYFUNCTION("IF(ISBLANK(B7),,IFERROR(array_constrain(FILTER('Leetcode分类顺序表'!B:J,'Leetcode分类顺序表'!A:A = B7), 1, 10000000),IFERROR(FILTER(Algoexpert.io!B:D,Algoexpert.io!A:A = B7),FILTER('Leetcode List'!B:J,'Leetcode List'!A:A = B7))))"),"")</f>
        <v/>
      </c>
      <c r="D7" s="20"/>
      <c r="E7" s="20"/>
      <c r="F7" s="20"/>
      <c r="G7" s="20"/>
      <c r="H7" s="20"/>
      <c r="I7" s="20"/>
      <c r="J7" s="20"/>
      <c r="K7" s="20"/>
      <c r="L7" s="20" t="str">
        <f t="shared" si="1"/>
        <v/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>
      <c r="A8" s="19"/>
      <c r="B8" s="21"/>
      <c r="C8" s="20" t="str">
        <f>IFERROR(__xludf.DUMMYFUNCTION("IF(ISBLANK(B8),,IFERROR(array_constrain(FILTER('Leetcode分类顺序表'!B:J,'Leetcode分类顺序表'!A:A = B8), 1, 10000000),IFERROR(FILTER(Algoexpert.io!B:D,Algoexpert.io!A:A = B8),FILTER('Leetcode List'!B:J,'Leetcode List'!A:A = B8))))"),"")</f>
        <v/>
      </c>
      <c r="D8" s="20"/>
      <c r="E8" s="20"/>
      <c r="F8" s="20"/>
      <c r="G8" s="20"/>
      <c r="H8" s="20"/>
      <c r="I8" s="20"/>
      <c r="J8" s="20"/>
      <c r="K8" s="20"/>
      <c r="L8" s="20" t="str">
        <f t="shared" si="1"/>
        <v/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>
      <c r="A9" s="19"/>
      <c r="B9" s="21"/>
      <c r="C9" s="20" t="str">
        <f>IFERROR(__xludf.DUMMYFUNCTION("IF(ISBLANK(B9),,IFERROR(array_constrain(FILTER('Leetcode分类顺序表'!B:J,'Leetcode分类顺序表'!A:A = B9), 1, 10000000),IFERROR(FILTER(Algoexpert.io!B:D,Algoexpert.io!A:A = B9),FILTER('Leetcode List'!B:J,'Leetcode List'!A:A = B9))))"),"")</f>
        <v/>
      </c>
      <c r="D9" s="20"/>
      <c r="E9" s="20"/>
      <c r="F9" s="20"/>
      <c r="G9" s="20"/>
      <c r="H9" s="20"/>
      <c r="I9" s="20"/>
      <c r="J9" s="20"/>
      <c r="K9" s="20"/>
      <c r="L9" s="20" t="str">
        <f t="shared" si="1"/>
        <v/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>
      <c r="A10" s="19"/>
      <c r="B10" s="21"/>
      <c r="C10" s="20" t="str">
        <f>IFERROR(__xludf.DUMMYFUNCTION("IF(ISBLANK(B10),,IFERROR(array_constrain(FILTER('Leetcode分类顺序表'!B:J,'Leetcode分类顺序表'!A:A = B10), 1, 10000000),IFERROR(FILTER(Algoexpert.io!B:D,Algoexpert.io!A:A = B10),FILTER('Leetcode List'!B:J,'Leetcode List'!A:A = B10))))"),"")</f>
        <v/>
      </c>
      <c r="D10" s="20"/>
      <c r="E10" s="20"/>
      <c r="F10" s="20"/>
      <c r="G10" s="20"/>
      <c r="H10" s="20"/>
      <c r="I10" s="20"/>
      <c r="J10" s="20"/>
      <c r="K10" s="20"/>
      <c r="L10" s="20" t="str">
        <f t="shared" si="1"/>
        <v/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>
      <c r="A11" s="19"/>
      <c r="B11" s="21"/>
      <c r="C11" s="20" t="str">
        <f>IFERROR(__xludf.DUMMYFUNCTION("IF(ISBLANK(B11),,IFERROR(array_constrain(FILTER('Leetcode分类顺序表'!B:J,'Leetcode分类顺序表'!A:A = B11), 1, 10000000),IFERROR(FILTER(Algoexpert.io!B:D,Algoexpert.io!A:A = B11),FILTER('Leetcode List'!B:J,'Leetcode List'!A:A = B11))))"),"")</f>
        <v/>
      </c>
      <c r="D11" s="20"/>
      <c r="E11" s="20"/>
      <c r="F11" s="20"/>
      <c r="G11" s="20"/>
      <c r="H11" s="20"/>
      <c r="I11" s="20"/>
      <c r="J11" s="20"/>
      <c r="K11" s="20"/>
      <c r="L11" s="20" t="str">
        <f t="shared" si="1"/>
        <v/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>
      <c r="A12" s="19"/>
      <c r="B12" s="21"/>
      <c r="C12" s="20" t="str">
        <f>IFERROR(__xludf.DUMMYFUNCTION("IF(ISBLANK(B12),,IFERROR(array_constrain(FILTER('Leetcode分类顺序表'!B:J,'Leetcode分类顺序表'!A:A = B12), 1, 10000000),IFERROR(FILTER(Algoexpert.io!B:D,Algoexpert.io!A:A = B12),FILTER('Leetcode List'!B:J,'Leetcode List'!A:A = B12))))"),"")</f>
        <v/>
      </c>
      <c r="D12" s="20"/>
      <c r="E12" s="20"/>
      <c r="F12" s="20"/>
      <c r="G12" s="20"/>
      <c r="H12" s="20"/>
      <c r="I12" s="20"/>
      <c r="J12" s="20"/>
      <c r="K12" s="20"/>
      <c r="L12" s="20" t="str">
        <f t="shared" si="1"/>
        <v/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>
      <c r="A13" s="19"/>
      <c r="B13" s="21"/>
      <c r="C13" s="20" t="str">
        <f>IFERROR(__xludf.DUMMYFUNCTION("IF(ISBLANK(B13),,IFERROR(array_constrain(FILTER('Leetcode分类顺序表'!B:J,'Leetcode分类顺序表'!A:A = B13), 1, 10000000),IFERROR(FILTER(Algoexpert.io!B:D,Algoexpert.io!A:A = B13),FILTER('Leetcode List'!B:J,'Leetcode List'!A:A = B13))))"),"")</f>
        <v/>
      </c>
      <c r="D13" s="20"/>
      <c r="E13" s="20"/>
      <c r="F13" s="20"/>
      <c r="G13" s="20"/>
      <c r="H13" s="20"/>
      <c r="I13" s="20"/>
      <c r="J13" s="20"/>
      <c r="K13" s="20"/>
      <c r="L13" s="20" t="str">
        <f t="shared" si="1"/>
        <v/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>
      <c r="A14" s="19"/>
      <c r="B14" s="21"/>
      <c r="C14" s="20" t="str">
        <f>IFERROR(__xludf.DUMMYFUNCTION("IF(ISBLANK(B14),,IFERROR(array_constrain(FILTER('Leetcode分类顺序表'!B:J,'Leetcode分类顺序表'!A:A = B14), 1, 10000000),IFERROR(FILTER(Algoexpert.io!B:D,Algoexpert.io!A:A = B14),FILTER('Leetcode List'!B:J,'Leetcode List'!A:A = B14))))"),"")</f>
        <v/>
      </c>
      <c r="D14" s="20"/>
      <c r="E14" s="20"/>
      <c r="F14" s="20"/>
      <c r="G14" s="20"/>
      <c r="H14" s="20"/>
      <c r="I14" s="20"/>
      <c r="J14" s="20"/>
      <c r="K14" s="20"/>
      <c r="L14" s="20" t="str">
        <f t="shared" si="1"/>
        <v/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>
      <c r="A15" s="19"/>
      <c r="B15" s="21"/>
      <c r="C15" s="20" t="str">
        <f>IFERROR(__xludf.DUMMYFUNCTION("IF(ISBLANK(B15),,IFERROR(array_constrain(FILTER('Leetcode分类顺序表'!B:J,'Leetcode分类顺序表'!A:A = B15), 1, 10000000),IFERROR(FILTER(Algoexpert.io!B:D,Algoexpert.io!A:A = B15),FILTER('Leetcode List'!B:J,'Leetcode List'!A:A = B15))))"),"")</f>
        <v/>
      </c>
      <c r="D15" s="20"/>
      <c r="E15" s="20"/>
      <c r="F15" s="20"/>
      <c r="G15" s="20"/>
      <c r="H15" s="20"/>
      <c r="I15" s="20"/>
      <c r="J15" s="20"/>
      <c r="K15" s="20"/>
      <c r="L15" s="20" t="str">
        <f t="shared" si="1"/>
        <v/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>
      <c r="A16" s="19"/>
      <c r="B16" s="21"/>
      <c r="C16" s="20" t="str">
        <f>IFERROR(__xludf.DUMMYFUNCTION("IF(ISBLANK(B16),,IFERROR(array_constrain(FILTER('Leetcode分类顺序表'!B:J,'Leetcode分类顺序表'!A:A = B16), 1, 10000000),IFERROR(FILTER(Algoexpert.io!B:D,Algoexpert.io!A:A = B16),FILTER('Leetcode List'!B:J,'Leetcode List'!A:A = B16))))"),"")</f>
        <v/>
      </c>
      <c r="D16" s="20"/>
      <c r="E16" s="20"/>
      <c r="F16" s="20"/>
      <c r="G16" s="20"/>
      <c r="H16" s="20"/>
      <c r="I16" s="20"/>
      <c r="J16" s="20"/>
      <c r="K16" s="20"/>
      <c r="L16" s="20" t="str">
        <f t="shared" si="1"/>
        <v/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>
      <c r="A17" s="19"/>
      <c r="B17" s="21"/>
      <c r="C17" s="20" t="str">
        <f>IFERROR(__xludf.DUMMYFUNCTION("IF(ISBLANK(B17),,IFERROR(array_constrain(FILTER('Leetcode分类顺序表'!B:J,'Leetcode分类顺序表'!A:A = B17), 1, 10000000),IFERROR(FILTER(Algoexpert.io!B:D,Algoexpert.io!A:A = B17),FILTER('Leetcode List'!B:J,'Leetcode List'!A:A = B17))))"),"")</f>
        <v/>
      </c>
      <c r="D17" s="20"/>
      <c r="E17" s="20"/>
      <c r="F17" s="20"/>
      <c r="G17" s="20"/>
      <c r="H17" s="20"/>
      <c r="I17" s="20"/>
      <c r="J17" s="20"/>
      <c r="K17" s="20"/>
      <c r="L17" s="20" t="str">
        <f t="shared" si="1"/>
        <v/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>
      <c r="A18" s="19"/>
      <c r="B18" s="21"/>
      <c r="C18" s="20" t="str">
        <f>IFERROR(__xludf.DUMMYFUNCTION("IF(ISBLANK(B18),,IFERROR(array_constrain(FILTER('Leetcode分类顺序表'!B:J,'Leetcode分类顺序表'!A:A = B18), 1, 10000000),IFERROR(FILTER(Algoexpert.io!B:D,Algoexpert.io!A:A = B18),FILTER('Leetcode List'!B:J,'Leetcode List'!A:A = B18))))"),"")</f>
        <v/>
      </c>
      <c r="D18" s="20"/>
      <c r="E18" s="20"/>
      <c r="F18" s="20"/>
      <c r="G18" s="20"/>
      <c r="H18" s="20"/>
      <c r="I18" s="20"/>
      <c r="J18" s="20"/>
      <c r="K18" s="20"/>
      <c r="L18" s="20" t="str">
        <f t="shared" si="1"/>
        <v/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>
      <c r="A19" s="19"/>
      <c r="B19" s="21"/>
      <c r="C19" s="20" t="str">
        <f>IFERROR(__xludf.DUMMYFUNCTION("IF(ISBLANK(B19),,IFERROR(array_constrain(FILTER('Leetcode分类顺序表'!B:J,'Leetcode分类顺序表'!A:A = B19), 1, 10000000),IFERROR(FILTER(Algoexpert.io!B:D,Algoexpert.io!A:A = B19),FILTER('Leetcode List'!B:J,'Leetcode List'!A:A = B19))))"),"")</f>
        <v/>
      </c>
      <c r="D19" s="20"/>
      <c r="E19" s="20"/>
      <c r="F19" s="20"/>
      <c r="G19" s="20"/>
      <c r="H19" s="20"/>
      <c r="I19" s="20"/>
      <c r="J19" s="20"/>
      <c r="K19" s="20"/>
      <c r="L19" s="20" t="str">
        <f t="shared" si="1"/>
        <v/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>
      <c r="A20" s="19"/>
      <c r="B20" s="21"/>
      <c r="C20" s="20" t="str">
        <f>IFERROR(__xludf.DUMMYFUNCTION("IF(ISBLANK(B20),,IFERROR(array_constrain(FILTER('Leetcode分类顺序表'!B:J,'Leetcode分类顺序表'!A:A = B20), 1, 10000000),IFERROR(FILTER(Algoexpert.io!B:D,Algoexpert.io!A:A = B20),FILTER('Leetcode List'!B:J,'Leetcode List'!A:A = B20))))"),"")</f>
        <v/>
      </c>
      <c r="D20" s="20"/>
      <c r="E20" s="20"/>
      <c r="F20" s="20"/>
      <c r="G20" s="20"/>
      <c r="H20" s="20"/>
      <c r="I20" s="20"/>
      <c r="J20" s="20"/>
      <c r="K20" s="20"/>
      <c r="L20" s="20" t="str">
        <f t="shared" si="1"/>
        <v/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>
      <c r="A21" s="19"/>
      <c r="B21" s="21"/>
      <c r="C21" s="20" t="str">
        <f>IFERROR(__xludf.DUMMYFUNCTION("IF(ISBLANK(B21),,IFERROR(array_constrain(FILTER('Leetcode分类顺序表'!B:J,'Leetcode分类顺序表'!A:A = B21), 1, 10000000),IFERROR(FILTER(Algoexpert.io!B:D,Algoexpert.io!A:A = B21),FILTER('Leetcode List'!B:J,'Leetcode List'!A:A = B21))))"),"")</f>
        <v/>
      </c>
      <c r="D21" s="20"/>
      <c r="E21" s="20"/>
      <c r="F21" s="20"/>
      <c r="G21" s="20"/>
      <c r="H21" s="20"/>
      <c r="I21" s="20"/>
      <c r="J21" s="20"/>
      <c r="K21" s="20"/>
      <c r="L21" s="20" t="str">
        <f t="shared" si="1"/>
        <v/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>
      <c r="A22" s="19"/>
      <c r="B22" s="21"/>
      <c r="C22" s="20" t="str">
        <f>IFERROR(__xludf.DUMMYFUNCTION("IF(ISBLANK(B22),,IFERROR(array_constrain(FILTER('Leetcode分类顺序表'!B:J,'Leetcode分类顺序表'!A:A = B22), 1, 10000000),IFERROR(FILTER(Algoexpert.io!B:D,Algoexpert.io!A:A = B22),FILTER('Leetcode List'!B:J,'Leetcode List'!A:A = B22))))"),"")</f>
        <v/>
      </c>
      <c r="D22" s="20"/>
      <c r="E22" s="20"/>
      <c r="F22" s="20"/>
      <c r="G22" s="20"/>
      <c r="H22" s="20"/>
      <c r="I22" s="20"/>
      <c r="J22" s="20"/>
      <c r="K22" s="20"/>
      <c r="L22" s="20" t="str">
        <f t="shared" si="1"/>
        <v/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>
      <c r="A23" s="19"/>
      <c r="B23" s="21"/>
      <c r="C23" s="20" t="str">
        <f>IFERROR(__xludf.DUMMYFUNCTION("IF(ISBLANK(B23),,IFERROR(array_constrain(FILTER('Leetcode分类顺序表'!B:J,'Leetcode分类顺序表'!A:A = B23), 1, 10000000),IFERROR(FILTER(Algoexpert.io!B:D,Algoexpert.io!A:A = B23),FILTER('Leetcode List'!B:J,'Leetcode List'!A:A = B23))))"),"")</f>
        <v/>
      </c>
      <c r="D23" s="20"/>
      <c r="E23" s="20"/>
      <c r="F23" s="20"/>
      <c r="G23" s="20"/>
      <c r="H23" s="20"/>
      <c r="I23" s="20"/>
      <c r="J23" s="20"/>
      <c r="K23" s="20"/>
      <c r="L23" s="20" t="str">
        <f t="shared" si="1"/>
        <v/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>
      <c r="A24" s="19"/>
      <c r="B24" s="21"/>
      <c r="C24" s="20" t="str">
        <f>IFERROR(__xludf.DUMMYFUNCTION("IF(ISBLANK(B24),,IFERROR(array_constrain(FILTER('Leetcode分类顺序表'!B:J,'Leetcode分类顺序表'!A:A = B24), 1, 10000000),IFERROR(FILTER(Algoexpert.io!B:D,Algoexpert.io!A:A = B24),FILTER('Leetcode List'!B:J,'Leetcode List'!A:A = B24))))"),"")</f>
        <v/>
      </c>
      <c r="D24" s="20"/>
      <c r="E24" s="20"/>
      <c r="F24" s="20"/>
      <c r="G24" s="20"/>
      <c r="H24" s="20"/>
      <c r="I24" s="20"/>
      <c r="J24" s="20"/>
      <c r="K24" s="20"/>
      <c r="L24" s="20" t="str">
        <f t="shared" si="1"/>
        <v/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>
      <c r="A25" s="19"/>
      <c r="B25" s="21"/>
      <c r="C25" s="20" t="str">
        <f>IFERROR(__xludf.DUMMYFUNCTION("IF(ISBLANK(B25),,IFERROR(array_constrain(FILTER('Leetcode分类顺序表'!B:J,'Leetcode分类顺序表'!A:A = B25), 1, 10000000),IFERROR(FILTER(Algoexpert.io!B:D,Algoexpert.io!A:A = B25),FILTER('Leetcode List'!B:J,'Leetcode List'!A:A = B25))))"),"")</f>
        <v/>
      </c>
      <c r="D25" s="20"/>
      <c r="E25" s="20"/>
      <c r="F25" s="20"/>
      <c r="G25" s="20"/>
      <c r="H25" s="20"/>
      <c r="I25" s="20"/>
      <c r="J25" s="20"/>
      <c r="K25" s="20"/>
      <c r="L25" s="20" t="str">
        <f t="shared" si="1"/>
        <v/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>
      <c r="A26" s="19"/>
      <c r="B26" s="21"/>
      <c r="C26" s="20" t="str">
        <f>IFERROR(__xludf.DUMMYFUNCTION("IF(ISBLANK(B26),,IFERROR(array_constrain(FILTER('Leetcode分类顺序表'!B:J,'Leetcode分类顺序表'!A:A = B26), 1, 10000000),IFERROR(FILTER(Algoexpert.io!B:D,Algoexpert.io!A:A = B26),FILTER('Leetcode List'!B:J,'Leetcode List'!A:A = B26))))"),"")</f>
        <v/>
      </c>
      <c r="D26" s="20"/>
      <c r="E26" s="20"/>
      <c r="F26" s="20"/>
      <c r="G26" s="20"/>
      <c r="H26" s="20"/>
      <c r="I26" s="20"/>
      <c r="J26" s="20"/>
      <c r="K26" s="20"/>
      <c r="L26" s="20" t="str">
        <f t="shared" si="1"/>
        <v/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>
      <c r="A27" s="19"/>
      <c r="B27" s="21"/>
      <c r="C27" s="20" t="str">
        <f>IFERROR(__xludf.DUMMYFUNCTION("IF(ISBLANK(B27),,IFERROR(array_constrain(FILTER('Leetcode分类顺序表'!B:J,'Leetcode分类顺序表'!A:A = B27), 1, 10000000),IFERROR(FILTER(Algoexpert.io!B:D,Algoexpert.io!A:A = B27),FILTER('Leetcode List'!B:J,'Leetcode List'!A:A = B27))))"),"")</f>
        <v/>
      </c>
      <c r="D27" s="20"/>
      <c r="E27" s="20"/>
      <c r="F27" s="20"/>
      <c r="G27" s="20"/>
      <c r="H27" s="20"/>
      <c r="I27" s="20"/>
      <c r="J27" s="20"/>
      <c r="K27" s="20"/>
      <c r="L27" s="20" t="str">
        <f t="shared" si="1"/>
        <v/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>
      <c r="A28" s="19"/>
      <c r="B28" s="21"/>
      <c r="C28" s="20" t="str">
        <f>IFERROR(__xludf.DUMMYFUNCTION("IF(ISBLANK(B28),,IFERROR(array_constrain(FILTER('Leetcode分类顺序表'!B:J,'Leetcode分类顺序表'!A:A = B28), 1, 10000000),IFERROR(FILTER(Algoexpert.io!B:D,Algoexpert.io!A:A = B28),FILTER('Leetcode List'!B:J,'Leetcode List'!A:A = B28))))"),"")</f>
        <v/>
      </c>
      <c r="D28" s="20"/>
      <c r="E28" s="20"/>
      <c r="F28" s="20"/>
      <c r="G28" s="20"/>
      <c r="H28" s="20"/>
      <c r="I28" s="20"/>
      <c r="J28" s="20"/>
      <c r="K28" s="20"/>
      <c r="L28" s="20" t="str">
        <f t="shared" si="1"/>
        <v/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>
      <c r="A29" s="19"/>
      <c r="B29" s="21"/>
      <c r="C29" s="20" t="str">
        <f>IFERROR(__xludf.DUMMYFUNCTION("IF(ISBLANK(B29),,IFERROR(array_constrain(FILTER('Leetcode分类顺序表'!B:J,'Leetcode分类顺序表'!A:A = B29), 1, 10000000),IFERROR(FILTER(Algoexpert.io!B:D,Algoexpert.io!A:A = B29),FILTER('Leetcode List'!B:J,'Leetcode List'!A:A = B29))))"),"")</f>
        <v/>
      </c>
      <c r="D29" s="20"/>
      <c r="E29" s="20"/>
      <c r="F29" s="20"/>
      <c r="G29" s="20"/>
      <c r="H29" s="20"/>
      <c r="I29" s="20"/>
      <c r="J29" s="20"/>
      <c r="K29" s="20"/>
      <c r="L29" s="20" t="str">
        <f t="shared" si="1"/>
        <v/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>
      <c r="A30" s="19"/>
      <c r="B30" s="21"/>
      <c r="C30" s="20" t="str">
        <f>IFERROR(__xludf.DUMMYFUNCTION("IF(ISBLANK(B30),,IFERROR(array_constrain(FILTER('Leetcode分类顺序表'!B:J,'Leetcode分类顺序表'!A:A = B30), 1, 10000000),IFERROR(FILTER(Algoexpert.io!B:D,Algoexpert.io!A:A = B30),FILTER('Leetcode List'!B:J,'Leetcode List'!A:A = B30))))"),"")</f>
        <v/>
      </c>
      <c r="D30" s="20"/>
      <c r="E30" s="20"/>
      <c r="F30" s="20"/>
      <c r="G30" s="20"/>
      <c r="H30" s="20"/>
      <c r="I30" s="20"/>
      <c r="J30" s="20"/>
      <c r="K30" s="20"/>
      <c r="L30" s="20" t="str">
        <f t="shared" si="1"/>
        <v/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>
      <c r="A31" s="19"/>
      <c r="B31" s="21"/>
      <c r="C31" s="20" t="str">
        <f>IFERROR(__xludf.DUMMYFUNCTION("IF(ISBLANK(B31),,IFERROR(array_constrain(FILTER('Leetcode分类顺序表'!B:J,'Leetcode分类顺序表'!A:A = B31), 1, 10000000),IFERROR(FILTER(Algoexpert.io!B:D,Algoexpert.io!A:A = B31),FILTER('Leetcode List'!B:J,'Leetcode List'!A:A = B31))))"),"")</f>
        <v/>
      </c>
      <c r="D31" s="20"/>
      <c r="E31" s="20"/>
      <c r="F31" s="20"/>
      <c r="G31" s="20"/>
      <c r="H31" s="20"/>
      <c r="I31" s="20"/>
      <c r="J31" s="20"/>
      <c r="K31" s="20"/>
      <c r="L31" s="20" t="str">
        <f t="shared" si="1"/>
        <v/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>
      <c r="A32" s="19"/>
      <c r="B32" s="21"/>
      <c r="C32" s="20" t="str">
        <f>IFERROR(__xludf.DUMMYFUNCTION("IF(ISBLANK(B32),,IFERROR(array_constrain(FILTER('Leetcode分类顺序表'!B:J,'Leetcode分类顺序表'!A:A = B32), 1, 10000000),IFERROR(FILTER(Algoexpert.io!B:D,Algoexpert.io!A:A = B32),FILTER('Leetcode List'!B:J,'Leetcode List'!A:A = B32))))"),"")</f>
        <v/>
      </c>
      <c r="D32" s="20"/>
      <c r="E32" s="20"/>
      <c r="F32" s="20"/>
      <c r="G32" s="20"/>
      <c r="H32" s="20"/>
      <c r="I32" s="20"/>
      <c r="J32" s="20"/>
      <c r="K32" s="20"/>
      <c r="L32" s="20" t="str">
        <f t="shared" si="1"/>
        <v/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>
      <c r="A33" s="19"/>
      <c r="B33" s="21"/>
      <c r="C33" s="20" t="str">
        <f>IFERROR(__xludf.DUMMYFUNCTION("IF(ISBLANK(B33),,IFERROR(array_constrain(FILTER('Leetcode分类顺序表'!B:J,'Leetcode分类顺序表'!A:A = B33), 1, 10000000),IFERROR(FILTER(Algoexpert.io!B:D,Algoexpert.io!A:A = B33),FILTER('Leetcode List'!B:J,'Leetcode List'!A:A = B33))))"),"")</f>
        <v/>
      </c>
      <c r="D33" s="20"/>
      <c r="E33" s="20"/>
      <c r="F33" s="20"/>
      <c r="G33" s="20"/>
      <c r="H33" s="20"/>
      <c r="I33" s="20"/>
      <c r="J33" s="20"/>
      <c r="K33" s="20"/>
      <c r="L33" s="20" t="str">
        <f t="shared" si="1"/>
        <v/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>
      <c r="A34" s="19"/>
      <c r="B34" s="21"/>
      <c r="C34" s="20" t="str">
        <f>IFERROR(__xludf.DUMMYFUNCTION("IF(ISBLANK(B34),,IFERROR(array_constrain(FILTER('Leetcode分类顺序表'!B:J,'Leetcode分类顺序表'!A:A = B34), 1, 10000000),IFERROR(FILTER(Algoexpert.io!B:D,Algoexpert.io!A:A = B34),FILTER('Leetcode List'!B:J,'Leetcode List'!A:A = B34))))"),"")</f>
        <v/>
      </c>
      <c r="D34" s="20"/>
      <c r="E34" s="20"/>
      <c r="F34" s="20"/>
      <c r="G34" s="20"/>
      <c r="H34" s="20"/>
      <c r="I34" s="20"/>
      <c r="J34" s="20"/>
      <c r="K34" s="20"/>
      <c r="L34" s="20" t="str">
        <f t="shared" si="1"/>
        <v/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>
      <c r="A35" s="19"/>
      <c r="B35" s="21"/>
      <c r="C35" s="20" t="str">
        <f>IFERROR(__xludf.DUMMYFUNCTION("IF(ISBLANK(B35),,IFERROR(array_constrain(FILTER('Leetcode分类顺序表'!B:J,'Leetcode分类顺序表'!A:A = B35), 1, 10000000),IFERROR(FILTER(Algoexpert.io!B:D,Algoexpert.io!A:A = B35),FILTER('Leetcode List'!B:J,'Leetcode List'!A:A = B35))))"),"")</f>
        <v/>
      </c>
      <c r="D35" s="20"/>
      <c r="E35" s="20"/>
      <c r="F35" s="20"/>
      <c r="G35" s="20"/>
      <c r="H35" s="20"/>
      <c r="I35" s="20"/>
      <c r="J35" s="20"/>
      <c r="K35" s="20"/>
      <c r="L35" s="20" t="str">
        <f t="shared" si="1"/>
        <v/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>
      <c r="A36" s="19"/>
      <c r="B36" s="21"/>
      <c r="C36" s="20" t="str">
        <f>IFERROR(__xludf.DUMMYFUNCTION("IF(ISBLANK(B36),,IFERROR(array_constrain(FILTER('Leetcode分类顺序表'!B:J,'Leetcode分类顺序表'!A:A = B36), 1, 10000000),IFERROR(FILTER(Algoexpert.io!B:D,Algoexpert.io!A:A = B36),FILTER('Leetcode List'!B:J,'Leetcode List'!A:A = B36))))"),"")</f>
        <v/>
      </c>
      <c r="D36" s="20"/>
      <c r="E36" s="20"/>
      <c r="F36" s="20"/>
      <c r="G36" s="20"/>
      <c r="H36" s="20"/>
      <c r="I36" s="20"/>
      <c r="J36" s="20"/>
      <c r="K36" s="20"/>
      <c r="L36" s="20" t="str">
        <f t="shared" si="1"/>
        <v/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>
      <c r="A37" s="19"/>
      <c r="B37" s="21"/>
      <c r="C37" s="20" t="str">
        <f>IFERROR(__xludf.DUMMYFUNCTION("IF(ISBLANK(B37),,IFERROR(array_constrain(FILTER('Leetcode分类顺序表'!B:J,'Leetcode分类顺序表'!A:A = B37), 1, 10000000),IFERROR(FILTER(Algoexpert.io!B:D,Algoexpert.io!A:A = B37),FILTER('Leetcode List'!B:J,'Leetcode List'!A:A = B37))))"),"")</f>
        <v/>
      </c>
      <c r="D37" s="20"/>
      <c r="E37" s="20"/>
      <c r="F37" s="20"/>
      <c r="G37" s="20"/>
      <c r="H37" s="20"/>
      <c r="I37" s="20"/>
      <c r="J37" s="20"/>
      <c r="K37" s="20"/>
      <c r="L37" s="20" t="str">
        <f t="shared" si="1"/>
        <v/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>
      <c r="A38" s="19"/>
      <c r="B38" s="21"/>
      <c r="C38" s="20" t="str">
        <f>IFERROR(__xludf.DUMMYFUNCTION("IF(ISBLANK(B38),,IFERROR(array_constrain(FILTER('Leetcode分类顺序表'!B:J,'Leetcode分类顺序表'!A:A = B38), 1, 10000000),IFERROR(FILTER(Algoexpert.io!B:D,Algoexpert.io!A:A = B38),FILTER('Leetcode List'!B:J,'Leetcode List'!A:A = B38))))"),"")</f>
        <v/>
      </c>
      <c r="D38" s="20"/>
      <c r="E38" s="20"/>
      <c r="F38" s="20"/>
      <c r="G38" s="20"/>
      <c r="H38" s="20"/>
      <c r="I38" s="20"/>
      <c r="J38" s="20"/>
      <c r="K38" s="20"/>
      <c r="L38" s="20" t="str">
        <f t="shared" si="1"/>
        <v/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>
      <c r="A39" s="19"/>
      <c r="B39" s="21"/>
      <c r="C39" s="20" t="str">
        <f>IFERROR(__xludf.DUMMYFUNCTION("IF(ISBLANK(B39),,IFERROR(array_constrain(FILTER('Leetcode分类顺序表'!B:J,'Leetcode分类顺序表'!A:A = B39), 1, 10000000),IFERROR(FILTER(Algoexpert.io!B:D,Algoexpert.io!A:A = B39),FILTER('Leetcode List'!B:J,'Leetcode List'!A:A = B39))))"),"")</f>
        <v/>
      </c>
      <c r="D39" s="20"/>
      <c r="E39" s="20"/>
      <c r="F39" s="20"/>
      <c r="G39" s="20"/>
      <c r="H39" s="20"/>
      <c r="I39" s="20"/>
      <c r="J39" s="20"/>
      <c r="K39" s="20"/>
      <c r="L39" s="20" t="str">
        <f t="shared" si="1"/>
        <v/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>
      <c r="A40" s="19"/>
      <c r="B40" s="21"/>
      <c r="C40" s="20" t="str">
        <f>IFERROR(__xludf.DUMMYFUNCTION("IF(ISBLANK(B40),,IFERROR(array_constrain(FILTER('Leetcode分类顺序表'!B:J,'Leetcode分类顺序表'!A:A = B40), 1, 10000000),IFERROR(FILTER(Algoexpert.io!B:D,Algoexpert.io!A:A = B40),FILTER('Leetcode List'!B:J,'Leetcode List'!A:A = B40))))"),"")</f>
        <v/>
      </c>
      <c r="D40" s="20"/>
      <c r="E40" s="20"/>
      <c r="F40" s="20"/>
      <c r="G40" s="20"/>
      <c r="H40" s="20"/>
      <c r="I40" s="20"/>
      <c r="J40" s="20"/>
      <c r="K40" s="20"/>
      <c r="L40" s="20" t="str">
        <f t="shared" si="1"/>
        <v/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>
      <c r="A41" s="19"/>
      <c r="B41" s="21"/>
      <c r="C41" s="20" t="str">
        <f>IFERROR(__xludf.DUMMYFUNCTION("IF(ISBLANK(B41),,IFERROR(array_constrain(FILTER('Leetcode分类顺序表'!B:J,'Leetcode分类顺序表'!A:A = B41), 1, 10000000),IFERROR(FILTER(Algoexpert.io!B:D,Algoexpert.io!A:A = B41),FILTER('Leetcode List'!B:J,'Leetcode List'!A:A = B41))))"),"")</f>
        <v/>
      </c>
      <c r="D41" s="20"/>
      <c r="E41" s="20"/>
      <c r="F41" s="20"/>
      <c r="G41" s="20"/>
      <c r="H41" s="20"/>
      <c r="I41" s="20"/>
      <c r="J41" s="20"/>
      <c r="K41" s="20"/>
      <c r="L41" s="20" t="str">
        <f t="shared" si="1"/>
        <v/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>
      <c r="A42" s="19"/>
      <c r="B42" s="21"/>
      <c r="C42" s="20" t="str">
        <f>IFERROR(__xludf.DUMMYFUNCTION("IF(ISBLANK(B42),,IFERROR(array_constrain(FILTER('Leetcode分类顺序表'!B:J,'Leetcode分类顺序表'!A:A = B42), 1, 10000000),IFERROR(FILTER(Algoexpert.io!B:D,Algoexpert.io!A:A = B42),FILTER('Leetcode List'!B:J,'Leetcode List'!A:A = B42))))"),"")</f>
        <v/>
      </c>
      <c r="D42" s="20"/>
      <c r="E42" s="20"/>
      <c r="F42" s="20"/>
      <c r="G42" s="20"/>
      <c r="H42" s="20"/>
      <c r="I42" s="20"/>
      <c r="J42" s="20"/>
      <c r="K42" s="20"/>
      <c r="L42" s="20" t="str">
        <f t="shared" si="1"/>
        <v/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>
      <c r="A43" s="19"/>
      <c r="B43" s="21"/>
      <c r="C43" s="20" t="str">
        <f>IFERROR(__xludf.DUMMYFUNCTION("IF(ISBLANK(B43),,IFERROR(array_constrain(FILTER('Leetcode分类顺序表'!B:J,'Leetcode分类顺序表'!A:A = B43), 1, 10000000),IFERROR(FILTER(Algoexpert.io!B:D,Algoexpert.io!A:A = B43),FILTER('Leetcode List'!B:J,'Leetcode List'!A:A = B43))))"),"")</f>
        <v/>
      </c>
      <c r="D43" s="20"/>
      <c r="E43" s="20"/>
      <c r="F43" s="20"/>
      <c r="G43" s="20"/>
      <c r="H43" s="20"/>
      <c r="I43" s="20"/>
      <c r="J43" s="20"/>
      <c r="K43" s="20"/>
      <c r="L43" s="20" t="str">
        <f t="shared" si="1"/>
        <v/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>
      <c r="A44" s="19"/>
      <c r="B44" s="21"/>
      <c r="C44" s="20" t="str">
        <f>IFERROR(__xludf.DUMMYFUNCTION("IF(ISBLANK(B44),,IFERROR(array_constrain(FILTER('Leetcode分类顺序表'!B:J,'Leetcode分类顺序表'!A:A = B44), 1, 10000000),IFERROR(FILTER(Algoexpert.io!B:D,Algoexpert.io!A:A = B44),FILTER('Leetcode List'!B:J,'Leetcode List'!A:A = B44))))"),"")</f>
        <v/>
      </c>
      <c r="D44" s="20"/>
      <c r="E44" s="20"/>
      <c r="F44" s="20"/>
      <c r="G44" s="20"/>
      <c r="H44" s="20"/>
      <c r="I44" s="20"/>
      <c r="J44" s="20"/>
      <c r="K44" s="20"/>
      <c r="L44" s="20" t="str">
        <f t="shared" si="1"/>
        <v/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>
      <c r="A45" s="19"/>
      <c r="B45" s="21"/>
      <c r="C45" s="20" t="str">
        <f>IFERROR(__xludf.DUMMYFUNCTION("IF(ISBLANK(B45),,IFERROR(array_constrain(FILTER('Leetcode分类顺序表'!B:J,'Leetcode分类顺序表'!A:A = B45), 1, 10000000),IFERROR(FILTER(Algoexpert.io!B:D,Algoexpert.io!A:A = B45),FILTER('Leetcode List'!B:J,'Leetcode List'!A:A = B45))))"),"")</f>
        <v/>
      </c>
      <c r="D45" s="20"/>
      <c r="E45" s="20"/>
      <c r="F45" s="20"/>
      <c r="G45" s="20"/>
      <c r="H45" s="20"/>
      <c r="I45" s="20"/>
      <c r="J45" s="20"/>
      <c r="K45" s="20"/>
      <c r="L45" s="20" t="str">
        <f t="shared" si="1"/>
        <v/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>
      <c r="A46" s="19"/>
      <c r="B46" s="21"/>
      <c r="C46" s="20" t="str">
        <f>IFERROR(__xludf.DUMMYFUNCTION("IF(ISBLANK(B46),,IFERROR(array_constrain(FILTER('Leetcode分类顺序表'!B:J,'Leetcode分类顺序表'!A:A = B46), 1, 10000000),IFERROR(FILTER(Algoexpert.io!B:D,Algoexpert.io!A:A = B46),FILTER('Leetcode List'!B:J,'Leetcode List'!A:A = B46))))"),"")</f>
        <v/>
      </c>
      <c r="D46" s="20"/>
      <c r="E46" s="20"/>
      <c r="F46" s="20"/>
      <c r="G46" s="20"/>
      <c r="H46" s="20"/>
      <c r="I46" s="20"/>
      <c r="J46" s="20"/>
      <c r="K46" s="20"/>
      <c r="L46" s="20" t="str">
        <f t="shared" si="1"/>
        <v/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>
      <c r="A47" s="19"/>
      <c r="B47" s="21"/>
      <c r="C47" s="20" t="str">
        <f>IFERROR(__xludf.DUMMYFUNCTION("IF(ISBLANK(B47),,IFERROR(array_constrain(FILTER('Leetcode分类顺序表'!B:J,'Leetcode分类顺序表'!A:A = B47), 1, 10000000),IFERROR(FILTER(Algoexpert.io!B:D,Algoexpert.io!A:A = B47),FILTER('Leetcode List'!B:J,'Leetcode List'!A:A = B47))))"),"")</f>
        <v/>
      </c>
      <c r="D47" s="20"/>
      <c r="E47" s="20"/>
      <c r="F47" s="20"/>
      <c r="G47" s="20"/>
      <c r="H47" s="20"/>
      <c r="I47" s="20"/>
      <c r="J47" s="20"/>
      <c r="K47" s="20"/>
      <c r="L47" s="20" t="str">
        <f t="shared" si="1"/>
        <v/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>
      <c r="A48" s="19"/>
      <c r="B48" s="21"/>
      <c r="C48" s="20" t="str">
        <f>IFERROR(__xludf.DUMMYFUNCTION("IF(ISBLANK(B48),,IFERROR(array_constrain(FILTER('Leetcode分类顺序表'!B:J,'Leetcode分类顺序表'!A:A = B48), 1, 10000000),IFERROR(FILTER(Algoexpert.io!B:D,Algoexpert.io!A:A = B48),FILTER('Leetcode List'!B:J,'Leetcode List'!A:A = B48))))"),"")</f>
        <v/>
      </c>
      <c r="D48" s="20"/>
      <c r="E48" s="20"/>
      <c r="F48" s="20"/>
      <c r="G48" s="20"/>
      <c r="H48" s="20"/>
      <c r="I48" s="20"/>
      <c r="J48" s="20"/>
      <c r="K48" s="20"/>
      <c r="L48" s="20" t="str">
        <f t="shared" si="1"/>
        <v/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>
      <c r="A49" s="19"/>
      <c r="B49" s="21"/>
      <c r="C49" s="20" t="str">
        <f>IFERROR(__xludf.DUMMYFUNCTION("IF(ISBLANK(B49),,IFERROR(array_constrain(FILTER('Leetcode分类顺序表'!B:J,'Leetcode分类顺序表'!A:A = B49), 1, 10000000),IFERROR(FILTER(Algoexpert.io!B:D,Algoexpert.io!A:A = B49),FILTER('Leetcode List'!B:J,'Leetcode List'!A:A = B49))))"),"")</f>
        <v/>
      </c>
      <c r="D49" s="20"/>
      <c r="E49" s="20"/>
      <c r="F49" s="20"/>
      <c r="G49" s="20"/>
      <c r="H49" s="20"/>
      <c r="I49" s="20"/>
      <c r="J49" s="20"/>
      <c r="K49" s="20"/>
      <c r="L49" s="20" t="str">
        <f t="shared" si="1"/>
        <v/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>
      <c r="A50" s="19"/>
      <c r="B50" s="21"/>
      <c r="C50" s="20" t="str">
        <f>IFERROR(__xludf.DUMMYFUNCTION("IF(ISBLANK(B50),,IFERROR(array_constrain(FILTER('Leetcode分类顺序表'!B:J,'Leetcode分类顺序表'!A:A = B50), 1, 10000000),IFERROR(FILTER(Algoexpert.io!B:D,Algoexpert.io!A:A = B50),FILTER('Leetcode List'!B:J,'Leetcode List'!A:A = B50))))"),"")</f>
        <v/>
      </c>
      <c r="D50" s="20"/>
      <c r="E50" s="20"/>
      <c r="F50" s="20"/>
      <c r="G50" s="20"/>
      <c r="H50" s="20"/>
      <c r="I50" s="20"/>
      <c r="J50" s="20"/>
      <c r="K50" s="20"/>
      <c r="L50" s="20" t="str">
        <f t="shared" si="1"/>
        <v/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>
      <c r="A51" s="19"/>
      <c r="B51" s="21"/>
      <c r="C51" s="20" t="str">
        <f>IFERROR(__xludf.DUMMYFUNCTION("IF(ISBLANK(B51),,IFERROR(array_constrain(FILTER('Leetcode分类顺序表'!B:J,'Leetcode分类顺序表'!A:A = B51), 1, 10000000),IFERROR(FILTER(Algoexpert.io!B:D,Algoexpert.io!A:A = B51),FILTER('Leetcode List'!B:J,'Leetcode List'!A:A = B51))))"),"")</f>
        <v/>
      </c>
      <c r="D51" s="20"/>
      <c r="E51" s="20"/>
      <c r="F51" s="20"/>
      <c r="G51" s="20"/>
      <c r="H51" s="20"/>
      <c r="I51" s="20"/>
      <c r="J51" s="20"/>
      <c r="K51" s="20"/>
      <c r="L51" s="20" t="str">
        <f t="shared" si="1"/>
        <v/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>
      <c r="A52" s="19"/>
      <c r="B52" s="21"/>
      <c r="C52" s="20" t="str">
        <f>IFERROR(__xludf.DUMMYFUNCTION("IF(ISBLANK(B52),,IFERROR(array_constrain(FILTER('Leetcode分类顺序表'!B:J,'Leetcode分类顺序表'!A:A = B52), 1, 10000000),IFERROR(FILTER(Algoexpert.io!B:D,Algoexpert.io!A:A = B52),FILTER('Leetcode List'!B:J,'Leetcode List'!A:A = B52))))"),"")</f>
        <v/>
      </c>
      <c r="D52" s="20"/>
      <c r="E52" s="20"/>
      <c r="F52" s="20"/>
      <c r="G52" s="20"/>
      <c r="H52" s="20"/>
      <c r="I52" s="20"/>
      <c r="J52" s="20"/>
      <c r="K52" s="20"/>
      <c r="L52" s="20" t="str">
        <f t="shared" si="1"/>
        <v/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>
      <c r="A53" s="19"/>
      <c r="B53" s="21"/>
      <c r="C53" s="20" t="str">
        <f>IFERROR(__xludf.DUMMYFUNCTION("IF(ISBLANK(B53),,IFERROR(array_constrain(FILTER('Leetcode分类顺序表'!B:J,'Leetcode分类顺序表'!A:A = B53), 1, 10000000),IFERROR(FILTER(Algoexpert.io!B:D,Algoexpert.io!A:A = B53),FILTER('Leetcode List'!B:J,'Leetcode List'!A:A = B53))))"),"")</f>
        <v/>
      </c>
      <c r="D53" s="20"/>
      <c r="E53" s="20"/>
      <c r="F53" s="20"/>
      <c r="G53" s="20"/>
      <c r="H53" s="20"/>
      <c r="I53" s="20"/>
      <c r="J53" s="20"/>
      <c r="K53" s="20"/>
      <c r="L53" s="20" t="str">
        <f t="shared" si="1"/>
        <v/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>
      <c r="A54" s="19"/>
      <c r="B54" s="21"/>
      <c r="C54" s="20" t="str">
        <f>IFERROR(__xludf.DUMMYFUNCTION("IF(ISBLANK(B54),,IFERROR(array_constrain(FILTER('Leetcode分类顺序表'!B:J,'Leetcode分类顺序表'!A:A = B54), 1, 10000000),IFERROR(FILTER(Algoexpert.io!B:D,Algoexpert.io!A:A = B54),FILTER('Leetcode List'!B:J,'Leetcode List'!A:A = B54))))"),"")</f>
        <v/>
      </c>
      <c r="D54" s="20"/>
      <c r="E54" s="20"/>
      <c r="F54" s="20"/>
      <c r="G54" s="20"/>
      <c r="H54" s="20"/>
      <c r="I54" s="20"/>
      <c r="J54" s="20"/>
      <c r="K54" s="20"/>
      <c r="L54" s="20" t="str">
        <f t="shared" si="1"/>
        <v/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>
      <c r="A55" s="19"/>
      <c r="B55" s="21"/>
      <c r="C55" s="20" t="str">
        <f>IFERROR(__xludf.DUMMYFUNCTION("IF(ISBLANK(B55),,IFERROR(array_constrain(FILTER('Leetcode分类顺序表'!B:J,'Leetcode分类顺序表'!A:A = B55), 1, 10000000),IFERROR(FILTER(Algoexpert.io!B:D,Algoexpert.io!A:A = B55),FILTER('Leetcode List'!B:J,'Leetcode List'!A:A = B55))))"),"")</f>
        <v/>
      </c>
      <c r="D55" s="20"/>
      <c r="E55" s="20"/>
      <c r="F55" s="20"/>
      <c r="G55" s="20"/>
      <c r="H55" s="20"/>
      <c r="I55" s="20"/>
      <c r="J55" s="20"/>
      <c r="K55" s="20"/>
      <c r="L55" s="20" t="str">
        <f t="shared" si="1"/>
        <v/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>
      <c r="A56" s="19"/>
      <c r="B56" s="21"/>
      <c r="C56" s="20" t="str">
        <f>IFERROR(__xludf.DUMMYFUNCTION("IF(ISBLANK(B56),,IFERROR(array_constrain(FILTER('Leetcode分类顺序表'!B:J,'Leetcode分类顺序表'!A:A = B56), 1, 10000000),IFERROR(FILTER(Algoexpert.io!B:D,Algoexpert.io!A:A = B56),FILTER('Leetcode List'!B:J,'Leetcode List'!A:A = B56))))"),"")</f>
        <v/>
      </c>
      <c r="D56" s="20"/>
      <c r="E56" s="20"/>
      <c r="F56" s="20"/>
      <c r="G56" s="20"/>
      <c r="H56" s="20"/>
      <c r="I56" s="20"/>
      <c r="J56" s="20"/>
      <c r="K56" s="20"/>
      <c r="L56" s="20" t="str">
        <f t="shared" si="1"/>
        <v/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>
      <c r="A57" s="19"/>
      <c r="B57" s="21"/>
      <c r="C57" s="20" t="str">
        <f>IFERROR(__xludf.DUMMYFUNCTION("IF(ISBLANK(B57),,IFERROR(array_constrain(FILTER('Leetcode分类顺序表'!B:J,'Leetcode分类顺序表'!A:A = B57), 1, 10000000),IFERROR(FILTER(Algoexpert.io!B:D,Algoexpert.io!A:A = B57),FILTER('Leetcode List'!B:J,'Leetcode List'!A:A = B57))))"),"")</f>
        <v/>
      </c>
      <c r="D57" s="20"/>
      <c r="E57" s="20"/>
      <c r="F57" s="20"/>
      <c r="G57" s="20"/>
      <c r="H57" s="20"/>
      <c r="I57" s="20"/>
      <c r="J57" s="20"/>
      <c r="K57" s="20"/>
      <c r="L57" s="20" t="str">
        <f t="shared" si="1"/>
        <v/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>
      <c r="A58" s="19"/>
      <c r="B58" s="21"/>
      <c r="C58" s="20" t="str">
        <f>IFERROR(__xludf.DUMMYFUNCTION("IF(ISBLANK(B58),,IFERROR(array_constrain(FILTER('Leetcode分类顺序表'!B:J,'Leetcode分类顺序表'!A:A = B58), 1, 10000000),IFERROR(FILTER(Algoexpert.io!B:D,Algoexpert.io!A:A = B58),FILTER('Leetcode List'!B:J,'Leetcode List'!A:A = B58))))"),"")</f>
        <v/>
      </c>
      <c r="D58" s="20"/>
      <c r="E58" s="20"/>
      <c r="F58" s="20"/>
      <c r="G58" s="20"/>
      <c r="H58" s="20"/>
      <c r="I58" s="20"/>
      <c r="J58" s="20"/>
      <c r="K58" s="20"/>
      <c r="L58" s="20" t="str">
        <f t="shared" si="1"/>
        <v/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>
      <c r="A59" s="22"/>
      <c r="B59" s="21"/>
      <c r="C59" s="20" t="str">
        <f>IFERROR(__xludf.DUMMYFUNCTION("IF(ISBLANK(B59),,IFERROR(array_constrain(FILTER('Leetcode分类顺序表'!B:J,'Leetcode分类顺序表'!A:A = B59), 1, 10000000),IFERROR(FILTER(Algoexpert.io!B:D,Algoexpert.io!A:A = B59),FILTER('Leetcode List'!B:J,'Leetcode List'!A:A = B59))))"),"")</f>
        <v/>
      </c>
      <c r="D59" s="20"/>
      <c r="E59" s="20"/>
      <c r="F59" s="20"/>
      <c r="G59" s="20"/>
      <c r="H59" s="20"/>
      <c r="I59" s="20"/>
      <c r="J59" s="20"/>
      <c r="K59" s="20"/>
      <c r="L59" s="20" t="str">
        <f t="shared" si="1"/>
        <v/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>
      <c r="A60" s="22"/>
      <c r="B60" s="20"/>
      <c r="C60" s="20" t="str">
        <f>IFERROR(__xludf.DUMMYFUNCTION("IF(ISBLANK(B60),,IFERROR(array_constrain(FILTER('Leetcode分类顺序表'!B:J,'Leetcode分类顺序表'!A:A = B60), 1, 10000000),IFERROR(FILTER(Algoexpert.io!B:D,Algoexpert.io!A:A = B60),FILTER('Leetcode List'!B:J,'Leetcode List'!A:A = B60))))"),"")</f>
        <v/>
      </c>
      <c r="D60" s="20"/>
      <c r="E60" s="20"/>
      <c r="F60" s="20"/>
      <c r="G60" s="20"/>
      <c r="H60" s="20"/>
      <c r="I60" s="20"/>
      <c r="J60" s="20"/>
      <c r="K60" s="20"/>
      <c r="L60" s="20" t="str">
        <f t="shared" si="1"/>
        <v/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>
      <c r="A61" s="22"/>
      <c r="B61" s="20"/>
      <c r="C61" s="20" t="str">
        <f>IFERROR(__xludf.DUMMYFUNCTION("IF(ISBLANK(B61),,IFERROR(array_constrain(FILTER('Leetcode分类顺序表'!B:J,'Leetcode分类顺序表'!A:A = B61), 1, 10000000),IFERROR(FILTER(Algoexpert.io!B:D,Algoexpert.io!A:A = B61),FILTER('Leetcode List'!B:J,'Leetcode List'!A:A = B61))))"),"")</f>
        <v/>
      </c>
      <c r="D61" s="20"/>
      <c r="E61" s="20"/>
      <c r="F61" s="20"/>
      <c r="G61" s="20"/>
      <c r="H61" s="20"/>
      <c r="I61" s="20"/>
      <c r="J61" s="20"/>
      <c r="K61" s="20"/>
      <c r="L61" s="20" t="str">
        <f t="shared" si="1"/>
        <v/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>
      <c r="A62" s="22"/>
      <c r="B62" s="20"/>
      <c r="C62" s="20" t="str">
        <f>IFERROR(__xludf.DUMMYFUNCTION("IF(ISBLANK(B62),,IFERROR(array_constrain(FILTER('Leetcode分类顺序表'!B:J,'Leetcode分类顺序表'!A:A = B62), 1, 10000000),IFERROR(FILTER(Algoexpert.io!B:D,Algoexpert.io!A:A = B62),FILTER('Leetcode List'!B:J,'Leetcode List'!A:A = B62))))"),"")</f>
        <v/>
      </c>
      <c r="D62" s="20"/>
      <c r="E62" s="20"/>
      <c r="F62" s="20"/>
      <c r="G62" s="20"/>
      <c r="H62" s="20"/>
      <c r="I62" s="20"/>
      <c r="J62" s="20"/>
      <c r="K62" s="20"/>
      <c r="L62" s="20" t="str">
        <f t="shared" si="1"/>
        <v/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>
      <c r="A63" s="22"/>
      <c r="B63" s="20"/>
      <c r="C63" s="20" t="str">
        <f>IFERROR(__xludf.DUMMYFUNCTION("IF(ISBLANK(B63),,IFERROR(array_constrain(FILTER('Leetcode分类顺序表'!B:J,'Leetcode分类顺序表'!A:A = B63), 1, 10000000),IFERROR(FILTER(Algoexpert.io!B:D,Algoexpert.io!A:A = B63),FILTER('Leetcode List'!B:J,'Leetcode List'!A:A = B63))))"),"")</f>
        <v/>
      </c>
      <c r="D63" s="20"/>
      <c r="E63" s="20"/>
      <c r="F63" s="20"/>
      <c r="G63" s="20"/>
      <c r="H63" s="20"/>
      <c r="I63" s="20"/>
      <c r="J63" s="20"/>
      <c r="K63" s="20"/>
      <c r="L63" s="20" t="str">
        <f t="shared" si="1"/>
        <v/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>
      <c r="A64" s="22"/>
      <c r="B64" s="20"/>
      <c r="C64" s="20" t="str">
        <f>IFERROR(__xludf.DUMMYFUNCTION("IF(ISBLANK(B64),,IFERROR(array_constrain(FILTER('Leetcode分类顺序表'!B:J,'Leetcode分类顺序表'!A:A = B64), 1, 10000000),IFERROR(FILTER(Algoexpert.io!B:D,Algoexpert.io!A:A = B64),FILTER('Leetcode List'!B:J,'Leetcode List'!A:A = B64))))"),"")</f>
        <v/>
      </c>
      <c r="D64" s="20"/>
      <c r="E64" s="20"/>
      <c r="F64" s="20"/>
      <c r="G64" s="20"/>
      <c r="H64" s="20"/>
      <c r="I64" s="20"/>
      <c r="J64" s="20"/>
      <c r="K64" s="20"/>
      <c r="L64" s="20" t="str">
        <f t="shared" si="1"/>
        <v/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>
      <c r="A65" s="22"/>
      <c r="B65" s="20"/>
      <c r="C65" s="20" t="str">
        <f>IFERROR(__xludf.DUMMYFUNCTION("IF(ISBLANK(B65),,IFERROR(array_constrain(FILTER('Leetcode分类顺序表'!B:J,'Leetcode分类顺序表'!A:A = B65), 1, 10000000),IFERROR(FILTER(Algoexpert.io!B:D,Algoexpert.io!A:A = B65),FILTER('Leetcode List'!B:J,'Leetcode List'!A:A = B65))))"),"")</f>
        <v/>
      </c>
      <c r="D65" s="20"/>
      <c r="E65" s="20"/>
      <c r="F65" s="20"/>
      <c r="G65" s="20"/>
      <c r="H65" s="20"/>
      <c r="I65" s="20"/>
      <c r="J65" s="20"/>
      <c r="K65" s="20"/>
      <c r="L65" s="20" t="str">
        <f t="shared" si="1"/>
        <v/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>
      <c r="A66" s="22"/>
      <c r="B66" s="20"/>
      <c r="C66" s="20" t="str">
        <f>IFERROR(__xludf.DUMMYFUNCTION("IF(ISBLANK(B66),,IFERROR(array_constrain(FILTER('Leetcode分类顺序表'!B:J,'Leetcode分类顺序表'!A:A = B66), 1, 10000000),IFERROR(FILTER(Algoexpert.io!B:D,Algoexpert.io!A:A = B66),FILTER('Leetcode List'!B:J,'Leetcode List'!A:A = B66))))"),"")</f>
        <v/>
      </c>
      <c r="D66" s="20"/>
      <c r="E66" s="20"/>
      <c r="F66" s="20"/>
      <c r="G66" s="20"/>
      <c r="H66" s="20"/>
      <c r="I66" s="20"/>
      <c r="J66" s="20"/>
      <c r="K66" s="20"/>
      <c r="L66" s="20" t="str">
        <f t="shared" si="1"/>
        <v/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>
      <c r="A67" s="22"/>
      <c r="B67" s="20"/>
      <c r="C67" s="20" t="str">
        <f>IFERROR(__xludf.DUMMYFUNCTION("IF(ISBLANK(B67),,IFERROR(array_constrain(FILTER('Leetcode分类顺序表'!B:J,'Leetcode分类顺序表'!A:A = B67), 1, 10000000),IFERROR(FILTER(Algoexpert.io!B:D,Algoexpert.io!A:A = B67),FILTER('Leetcode List'!B:J,'Leetcode List'!A:A = B67))))"),"")</f>
        <v/>
      </c>
      <c r="D67" s="20"/>
      <c r="E67" s="20"/>
      <c r="F67" s="20"/>
      <c r="G67" s="20"/>
      <c r="H67" s="20"/>
      <c r="I67" s="20"/>
      <c r="J67" s="20"/>
      <c r="K67" s="20"/>
      <c r="L67" s="20" t="str">
        <f t="shared" si="1"/>
        <v/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>
      <c r="A68" s="22"/>
      <c r="B68" s="20"/>
      <c r="C68" s="20" t="str">
        <f>IFERROR(__xludf.DUMMYFUNCTION("IF(ISBLANK(B68),,IFERROR(array_constrain(FILTER('Leetcode分类顺序表'!B:J,'Leetcode分类顺序表'!A:A = B68), 1, 10000000),IFERROR(FILTER(Algoexpert.io!B:D,Algoexpert.io!A:A = B68),FILTER('Leetcode List'!B:J,'Leetcode List'!A:A = B68))))"),"")</f>
        <v/>
      </c>
      <c r="D68" s="20"/>
      <c r="E68" s="20"/>
      <c r="F68" s="20"/>
      <c r="G68" s="20"/>
      <c r="H68" s="20"/>
      <c r="I68" s="20"/>
      <c r="J68" s="20"/>
      <c r="K68" s="20"/>
      <c r="L68" s="20" t="str">
        <f t="shared" si="1"/>
        <v/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>
      <c r="A69" s="22"/>
      <c r="B69" s="20"/>
      <c r="C69" s="20" t="str">
        <f>IFERROR(__xludf.DUMMYFUNCTION("IF(ISBLANK(B69),,IFERROR(array_constrain(FILTER('Leetcode分类顺序表'!B:J,'Leetcode分类顺序表'!A:A = B69), 1, 10000000),IFERROR(FILTER(Algoexpert.io!B:D,Algoexpert.io!A:A = B69),FILTER('Leetcode List'!B:J,'Leetcode List'!A:A = B69))))"),"")</f>
        <v/>
      </c>
      <c r="D69" s="20"/>
      <c r="E69" s="20"/>
      <c r="F69" s="20"/>
      <c r="G69" s="20"/>
      <c r="H69" s="20"/>
      <c r="I69" s="20"/>
      <c r="J69" s="20"/>
      <c r="K69" s="20"/>
      <c r="L69" s="20" t="str">
        <f t="shared" si="1"/>
        <v/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>
      <c r="A70" s="22"/>
      <c r="B70" s="20"/>
      <c r="C70" s="20" t="str">
        <f>IFERROR(__xludf.DUMMYFUNCTION("IF(ISBLANK(B70),,IFERROR(array_constrain(FILTER('Leetcode分类顺序表'!B:J,'Leetcode分类顺序表'!A:A = B70), 1, 10000000),IFERROR(FILTER(Algoexpert.io!B:D,Algoexpert.io!A:A = B70),FILTER('Leetcode List'!B:J,'Leetcode List'!A:A = B70))))"),"")</f>
        <v/>
      </c>
      <c r="D70" s="20"/>
      <c r="E70" s="20"/>
      <c r="F70" s="20"/>
      <c r="G70" s="20"/>
      <c r="H70" s="20"/>
      <c r="I70" s="20"/>
      <c r="J70" s="20"/>
      <c r="K70" s="20"/>
      <c r="L70" s="20" t="str">
        <f t="shared" si="1"/>
        <v/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>
      <c r="A71" s="22"/>
      <c r="B71" s="20"/>
      <c r="C71" s="20" t="str">
        <f>IFERROR(__xludf.DUMMYFUNCTION("IF(ISBLANK(B71),,IFERROR(array_constrain(FILTER('Leetcode分类顺序表'!B:J,'Leetcode分类顺序表'!A:A = B71), 1, 10000000),IFERROR(FILTER(Algoexpert.io!B:D,Algoexpert.io!A:A = B71),FILTER('Leetcode List'!B:J,'Leetcode List'!A:A = B71))))"),"")</f>
        <v/>
      </c>
      <c r="D71" s="20"/>
      <c r="E71" s="20"/>
      <c r="F71" s="20"/>
      <c r="G71" s="20"/>
      <c r="H71" s="20"/>
      <c r="I71" s="20"/>
      <c r="J71" s="20"/>
      <c r="K71" s="20"/>
      <c r="L71" s="20" t="str">
        <f t="shared" si="1"/>
        <v/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>
      <c r="A72" s="22"/>
      <c r="B72" s="20"/>
      <c r="C72" s="20" t="str">
        <f>IFERROR(__xludf.DUMMYFUNCTION("IF(ISBLANK(B72),,IFERROR(array_constrain(FILTER('Leetcode分类顺序表'!B:J,'Leetcode分类顺序表'!A:A = B72), 1, 10000000),IFERROR(FILTER(Algoexpert.io!B:D,Algoexpert.io!A:A = B72),FILTER('Leetcode List'!B:J,'Leetcode List'!A:A = B72))))"),"")</f>
        <v/>
      </c>
      <c r="D72" s="20"/>
      <c r="E72" s="20"/>
      <c r="F72" s="20"/>
      <c r="G72" s="20"/>
      <c r="H72" s="20"/>
      <c r="I72" s="20"/>
      <c r="J72" s="20"/>
      <c r="K72" s="20"/>
      <c r="L72" s="20" t="str">
        <f t="shared" si="1"/>
        <v/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>
      <c r="A73" s="22"/>
      <c r="B73" s="20"/>
      <c r="C73" s="20" t="str">
        <f>IFERROR(__xludf.DUMMYFUNCTION("IF(ISBLANK(B73),,IFERROR(array_constrain(FILTER('Leetcode分类顺序表'!B:J,'Leetcode分类顺序表'!A:A = B73), 1, 10000000),IFERROR(FILTER(Algoexpert.io!B:D,Algoexpert.io!A:A = B73),FILTER('Leetcode List'!B:J,'Leetcode List'!A:A = B73))))"),"")</f>
        <v/>
      </c>
      <c r="D73" s="20"/>
      <c r="E73" s="20"/>
      <c r="F73" s="20"/>
      <c r="G73" s="20"/>
      <c r="H73" s="20"/>
      <c r="I73" s="20"/>
      <c r="J73" s="20"/>
      <c r="K73" s="20"/>
      <c r="L73" s="20" t="str">
        <f t="shared" si="1"/>
        <v/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>
      <c r="A74" s="22"/>
      <c r="B74" s="20"/>
      <c r="C74" s="20" t="str">
        <f>IFERROR(__xludf.DUMMYFUNCTION("IF(ISBLANK(B74),,IFERROR(array_constrain(FILTER('Leetcode分类顺序表'!B:J,'Leetcode分类顺序表'!A:A = B74), 1, 10000000),IFERROR(FILTER(Algoexpert.io!B:D,Algoexpert.io!A:A = B74),FILTER('Leetcode List'!B:J,'Leetcode List'!A:A = B74))))"),"")</f>
        <v/>
      </c>
      <c r="D74" s="20"/>
      <c r="E74" s="20"/>
      <c r="F74" s="20"/>
      <c r="G74" s="20"/>
      <c r="H74" s="20"/>
      <c r="I74" s="20"/>
      <c r="J74" s="20"/>
      <c r="K74" s="20"/>
      <c r="L74" s="20" t="str">
        <f t="shared" si="1"/>
        <v/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>
      <c r="A75" s="22"/>
      <c r="B75" s="20"/>
      <c r="C75" s="20" t="str">
        <f>IFERROR(__xludf.DUMMYFUNCTION("IF(ISBLANK(B75),,IFERROR(array_constrain(FILTER('Leetcode分类顺序表'!B:J,'Leetcode分类顺序表'!A:A = B75), 1, 10000000),IFERROR(FILTER(Algoexpert.io!B:D,Algoexpert.io!A:A = B75),FILTER('Leetcode List'!B:J,'Leetcode List'!A:A = B75))))"),"")</f>
        <v/>
      </c>
      <c r="D75" s="20"/>
      <c r="E75" s="20"/>
      <c r="F75" s="20"/>
      <c r="G75" s="20"/>
      <c r="H75" s="20"/>
      <c r="I75" s="20"/>
      <c r="J75" s="20"/>
      <c r="K75" s="20"/>
      <c r="L75" s="20" t="str">
        <f t="shared" si="1"/>
        <v/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>
      <c r="A76" s="22"/>
      <c r="B76" s="20"/>
      <c r="C76" s="20" t="str">
        <f>IFERROR(__xludf.DUMMYFUNCTION("IF(ISBLANK(B76),,IFERROR(array_constrain(FILTER('Leetcode分类顺序表'!B:J,'Leetcode分类顺序表'!A:A = B76), 1, 10000000),IFERROR(FILTER(Algoexpert.io!B:D,Algoexpert.io!A:A = B76),FILTER('Leetcode List'!B:J,'Leetcode List'!A:A = B76))))"),"")</f>
        <v/>
      </c>
      <c r="D76" s="20"/>
      <c r="E76" s="20"/>
      <c r="F76" s="20"/>
      <c r="G76" s="20"/>
      <c r="H76" s="20"/>
      <c r="I76" s="20"/>
      <c r="J76" s="20"/>
      <c r="K76" s="20"/>
      <c r="L76" s="20" t="str">
        <f t="shared" si="1"/>
        <v/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>
      <c r="A77" s="22"/>
      <c r="B77" s="20"/>
      <c r="C77" s="20" t="str">
        <f>IFERROR(__xludf.DUMMYFUNCTION("IF(ISBLANK(B77),,IFERROR(array_constrain(FILTER('Leetcode分类顺序表'!B:J,'Leetcode分类顺序表'!A:A = B77), 1, 10000000),IFERROR(FILTER(Algoexpert.io!B:D,Algoexpert.io!A:A = B77),FILTER('Leetcode List'!B:J,'Leetcode List'!A:A = B77))))"),"")</f>
        <v/>
      </c>
      <c r="D77" s="20"/>
      <c r="E77" s="20"/>
      <c r="F77" s="20"/>
      <c r="G77" s="20"/>
      <c r="H77" s="20"/>
      <c r="I77" s="20"/>
      <c r="J77" s="20"/>
      <c r="K77" s="20"/>
      <c r="L77" s="20" t="str">
        <f t="shared" si="1"/>
        <v/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>
      <c r="A78" s="22"/>
      <c r="B78" s="20"/>
      <c r="C78" s="20" t="str">
        <f>IFERROR(__xludf.DUMMYFUNCTION("IF(ISBLANK(B78),,IFERROR(array_constrain(FILTER('Leetcode分类顺序表'!B:J,'Leetcode分类顺序表'!A:A = B78), 1, 10000000),IFERROR(FILTER(Algoexpert.io!B:D,Algoexpert.io!A:A = B78),FILTER('Leetcode List'!B:J,'Leetcode List'!A:A = B78))))"),"")</f>
        <v/>
      </c>
      <c r="D78" s="20"/>
      <c r="E78" s="20"/>
      <c r="F78" s="20"/>
      <c r="G78" s="20"/>
      <c r="H78" s="20"/>
      <c r="I78" s="20"/>
      <c r="J78" s="20"/>
      <c r="K78" s="20"/>
      <c r="L78" s="20" t="str">
        <f t="shared" si="1"/>
        <v/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>
      <c r="A79" s="22"/>
      <c r="B79" s="20"/>
      <c r="C79" s="20" t="str">
        <f>IFERROR(__xludf.DUMMYFUNCTION("IF(ISBLANK(B79),,IFERROR(array_constrain(FILTER('Leetcode分类顺序表'!B:J,'Leetcode分类顺序表'!A:A = B79), 1, 10000000),IFERROR(FILTER(Algoexpert.io!B:D,Algoexpert.io!A:A = B79),FILTER('Leetcode List'!B:J,'Leetcode List'!A:A = B79))))"),"")</f>
        <v/>
      </c>
      <c r="D79" s="20"/>
      <c r="E79" s="20"/>
      <c r="F79" s="20"/>
      <c r="G79" s="20"/>
      <c r="H79" s="20"/>
      <c r="I79" s="20"/>
      <c r="J79" s="20"/>
      <c r="K79" s="20"/>
      <c r="L79" s="20" t="str">
        <f t="shared" si="1"/>
        <v/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>
      <c r="A80" s="22"/>
      <c r="B80" s="20"/>
      <c r="C80" s="20" t="str">
        <f>IFERROR(__xludf.DUMMYFUNCTION("IF(ISBLANK(B80),,IFERROR(array_constrain(FILTER('Leetcode分类顺序表'!B:J,'Leetcode分类顺序表'!A:A = B80), 1, 10000000),IFERROR(FILTER(Algoexpert.io!B:D,Algoexpert.io!A:A = B80),FILTER('Leetcode List'!B:J,'Leetcode List'!A:A = B80))))"),"")</f>
        <v/>
      </c>
      <c r="D80" s="20"/>
      <c r="E80" s="20"/>
      <c r="F80" s="20"/>
      <c r="G80" s="20"/>
      <c r="H80" s="20"/>
      <c r="I80" s="20"/>
      <c r="J80" s="20"/>
      <c r="K80" s="20"/>
      <c r="L80" s="20" t="str">
        <f t="shared" si="1"/>
        <v/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>
      <c r="A81" s="22"/>
      <c r="B81" s="20"/>
      <c r="C81" s="20" t="str">
        <f>IFERROR(__xludf.DUMMYFUNCTION("IF(ISBLANK(B81),,IFERROR(array_constrain(FILTER('Leetcode分类顺序表'!B:J,'Leetcode分类顺序表'!A:A = B81), 1, 10000000),IFERROR(FILTER(Algoexpert.io!B:D,Algoexpert.io!A:A = B81),FILTER('Leetcode List'!B:J,'Leetcode List'!A:A = B81))))"),"")</f>
        <v/>
      </c>
      <c r="D81" s="20"/>
      <c r="E81" s="20"/>
      <c r="F81" s="20"/>
      <c r="G81" s="20"/>
      <c r="H81" s="20"/>
      <c r="I81" s="20"/>
      <c r="J81" s="20"/>
      <c r="K81" s="20"/>
      <c r="L81" s="20" t="str">
        <f t="shared" si="1"/>
        <v/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>
      <c r="A82" s="22"/>
      <c r="B82" s="20"/>
      <c r="C82" s="20" t="str">
        <f>IFERROR(__xludf.DUMMYFUNCTION("IF(ISBLANK(B82),,IFERROR(array_constrain(FILTER('Leetcode分类顺序表'!B:J,'Leetcode分类顺序表'!A:A = B82), 1, 10000000),IFERROR(FILTER(Algoexpert.io!B:D,Algoexpert.io!A:A = B82),FILTER('Leetcode List'!B:J,'Leetcode List'!A:A = B82))))"),"")</f>
        <v/>
      </c>
      <c r="D82" s="20"/>
      <c r="E82" s="20"/>
      <c r="F82" s="20"/>
      <c r="G82" s="20"/>
      <c r="H82" s="20"/>
      <c r="I82" s="20"/>
      <c r="J82" s="20"/>
      <c r="K82" s="20"/>
      <c r="L82" s="20" t="str">
        <f t="shared" si="1"/>
        <v/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>
      <c r="A83" s="22"/>
      <c r="B83" s="20"/>
      <c r="C83" s="20" t="str">
        <f>IFERROR(__xludf.DUMMYFUNCTION("IF(ISBLANK(B83),,IFERROR(array_constrain(FILTER('Leetcode分类顺序表'!B:J,'Leetcode分类顺序表'!A:A = B83), 1, 10000000),IFERROR(FILTER(Algoexpert.io!B:D,Algoexpert.io!A:A = B83),FILTER('Leetcode List'!B:J,'Leetcode List'!A:A = B83))))"),"")</f>
        <v/>
      </c>
      <c r="D83" s="20"/>
      <c r="E83" s="20"/>
      <c r="F83" s="20"/>
      <c r="G83" s="20"/>
      <c r="H83" s="20"/>
      <c r="I83" s="20"/>
      <c r="J83" s="20"/>
      <c r="K83" s="20"/>
      <c r="L83" s="20" t="str">
        <f t="shared" si="1"/>
        <v/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>
      <c r="A84" s="22"/>
      <c r="B84" s="20"/>
      <c r="C84" s="20" t="str">
        <f>IFERROR(__xludf.DUMMYFUNCTION("IF(ISBLANK(B84),,IFERROR(array_constrain(FILTER('Leetcode分类顺序表'!B:J,'Leetcode分类顺序表'!A:A = B84), 1, 10000000),IFERROR(FILTER(Algoexpert.io!B:D,Algoexpert.io!A:A = B84),FILTER('Leetcode List'!B:J,'Leetcode List'!A:A = B84))))"),"")</f>
        <v/>
      </c>
      <c r="D84" s="20"/>
      <c r="E84" s="20"/>
      <c r="F84" s="20"/>
      <c r="G84" s="20"/>
      <c r="H84" s="20"/>
      <c r="I84" s="20"/>
      <c r="J84" s="20"/>
      <c r="K84" s="20"/>
      <c r="L84" s="20" t="str">
        <f t="shared" si="1"/>
        <v/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>
      <c r="A85" s="22"/>
      <c r="B85" s="20"/>
      <c r="C85" s="20" t="str">
        <f>IFERROR(__xludf.DUMMYFUNCTION("IF(ISBLANK(B85),,IFERROR(array_constrain(FILTER('Leetcode分类顺序表'!B:J,'Leetcode分类顺序表'!A:A = B85), 1, 10000000),IFERROR(FILTER(Algoexpert.io!B:D,Algoexpert.io!A:A = B85),FILTER('Leetcode List'!B:J,'Leetcode List'!A:A = B85))))"),"")</f>
        <v/>
      </c>
      <c r="D85" s="20"/>
      <c r="E85" s="20"/>
      <c r="F85" s="20"/>
      <c r="G85" s="20"/>
      <c r="H85" s="20"/>
      <c r="I85" s="20"/>
      <c r="J85" s="20"/>
      <c r="K85" s="20"/>
      <c r="L85" s="20" t="str">
        <f t="shared" si="1"/>
        <v/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>
      <c r="A86" s="22"/>
      <c r="B86" s="20"/>
      <c r="C86" s="20" t="str">
        <f>IFERROR(__xludf.DUMMYFUNCTION("IF(ISBLANK(B86),,IFERROR(array_constrain(FILTER('Leetcode分类顺序表'!B:J,'Leetcode分类顺序表'!A:A = B86), 1, 10000000),IFERROR(FILTER(Algoexpert.io!B:D,Algoexpert.io!A:A = B86),FILTER('Leetcode List'!B:J,'Leetcode List'!A:A = B86))))"),"")</f>
        <v/>
      </c>
      <c r="D86" s="20"/>
      <c r="E86" s="20"/>
      <c r="F86" s="20"/>
      <c r="G86" s="20"/>
      <c r="H86" s="20"/>
      <c r="I86" s="20"/>
      <c r="J86" s="20"/>
      <c r="K86" s="20"/>
      <c r="L86" s="20" t="str">
        <f t="shared" si="1"/>
        <v/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>
      <c r="A87" s="22"/>
      <c r="B87" s="20"/>
      <c r="C87" s="20" t="str">
        <f>IFERROR(__xludf.DUMMYFUNCTION("IF(ISBLANK(B87),,IFERROR(array_constrain(FILTER('Leetcode分类顺序表'!B:J,'Leetcode分类顺序表'!A:A = B87), 1, 10000000),IFERROR(FILTER(Algoexpert.io!B:D,Algoexpert.io!A:A = B87),FILTER('Leetcode List'!B:J,'Leetcode List'!A:A = B87))))"),"")</f>
        <v/>
      </c>
      <c r="D87" s="20"/>
      <c r="E87" s="20"/>
      <c r="F87" s="20"/>
      <c r="G87" s="20"/>
      <c r="H87" s="20"/>
      <c r="I87" s="20"/>
      <c r="J87" s="20"/>
      <c r="K87" s="20"/>
      <c r="L87" s="20" t="str">
        <f t="shared" si="1"/>
        <v/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>
      <c r="A88" s="22"/>
      <c r="B88" s="20"/>
      <c r="C88" s="20" t="str">
        <f>IFERROR(__xludf.DUMMYFUNCTION("IF(ISBLANK(B88),,IFERROR(array_constrain(FILTER('Leetcode分类顺序表'!B:J,'Leetcode分类顺序表'!A:A = B88), 1, 10000000),IFERROR(FILTER(Algoexpert.io!B:D,Algoexpert.io!A:A = B88),FILTER('Leetcode List'!B:J,'Leetcode List'!A:A = B88))))"),"")</f>
        <v/>
      </c>
      <c r="D88" s="20"/>
      <c r="E88" s="20"/>
      <c r="F88" s="20"/>
      <c r="G88" s="20"/>
      <c r="H88" s="20"/>
      <c r="I88" s="20"/>
      <c r="J88" s="20"/>
      <c r="K88" s="20"/>
      <c r="L88" s="20" t="str">
        <f t="shared" si="1"/>
        <v/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>
      <c r="A89" s="22"/>
      <c r="B89" s="20"/>
      <c r="C89" s="20" t="str">
        <f>IFERROR(__xludf.DUMMYFUNCTION("IF(ISBLANK(B89),,IFERROR(array_constrain(FILTER('Leetcode分类顺序表'!B:J,'Leetcode分类顺序表'!A:A = B89), 1, 10000000),IFERROR(FILTER(Algoexpert.io!B:D,Algoexpert.io!A:A = B89),FILTER('Leetcode List'!B:J,'Leetcode List'!A:A = B89))))"),"")</f>
        <v/>
      </c>
      <c r="D89" s="20"/>
      <c r="E89" s="20"/>
      <c r="F89" s="20"/>
      <c r="G89" s="20"/>
      <c r="H89" s="20"/>
      <c r="I89" s="20"/>
      <c r="J89" s="20"/>
      <c r="K89" s="20"/>
      <c r="L89" s="20" t="str">
        <f t="shared" si="1"/>
        <v/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>
      <c r="A90" s="22"/>
      <c r="B90" s="20"/>
      <c r="C90" s="20" t="str">
        <f>IFERROR(__xludf.DUMMYFUNCTION("IF(ISBLANK(B90),,IFERROR(array_constrain(FILTER('Leetcode分类顺序表'!B:J,'Leetcode分类顺序表'!A:A = B90), 1, 10000000),IFERROR(FILTER(Algoexpert.io!B:D,Algoexpert.io!A:A = B90),FILTER('Leetcode List'!B:J,'Leetcode List'!A:A = B90))))"),"")</f>
        <v/>
      </c>
      <c r="D90" s="20"/>
      <c r="E90" s="20"/>
      <c r="F90" s="20"/>
      <c r="G90" s="20"/>
      <c r="H90" s="20"/>
      <c r="I90" s="20"/>
      <c r="J90" s="20"/>
      <c r="K90" s="20"/>
      <c r="L90" s="20" t="str">
        <f t="shared" si="1"/>
        <v/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>
      <c r="A91" s="22"/>
      <c r="B91" s="20"/>
      <c r="C91" s="20" t="str">
        <f>IFERROR(__xludf.DUMMYFUNCTION("IF(ISBLANK(B91),,IFERROR(array_constrain(FILTER('Leetcode分类顺序表'!B:J,'Leetcode分类顺序表'!A:A = B91), 1, 10000000),IFERROR(FILTER(Algoexpert.io!B:D,Algoexpert.io!A:A = B91),FILTER('Leetcode List'!B:J,'Leetcode List'!A:A = B91))))"),"")</f>
        <v/>
      </c>
      <c r="D91" s="20"/>
      <c r="E91" s="20"/>
      <c r="F91" s="20"/>
      <c r="G91" s="20"/>
      <c r="H91" s="20"/>
      <c r="I91" s="20"/>
      <c r="J91" s="20"/>
      <c r="K91" s="20"/>
      <c r="L91" s="20" t="str">
        <f t="shared" si="1"/>
        <v/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>
      <c r="A92" s="22"/>
      <c r="B92" s="20"/>
      <c r="C92" s="20" t="str">
        <f>IFERROR(__xludf.DUMMYFUNCTION("IF(ISBLANK(B92),,IFERROR(array_constrain(FILTER('Leetcode分类顺序表'!B:J,'Leetcode分类顺序表'!A:A = B92), 1, 10000000),IFERROR(FILTER(Algoexpert.io!B:D,Algoexpert.io!A:A = B92),FILTER('Leetcode List'!B:J,'Leetcode List'!A:A = B92))))"),"")</f>
        <v/>
      </c>
      <c r="D92" s="20"/>
      <c r="E92" s="20"/>
      <c r="F92" s="20"/>
      <c r="G92" s="20"/>
      <c r="H92" s="20"/>
      <c r="I92" s="20"/>
      <c r="J92" s="20"/>
      <c r="K92" s="20"/>
      <c r="L92" s="20" t="str">
        <f t="shared" si="1"/>
        <v/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>
      <c r="A93" s="22"/>
      <c r="B93" s="20"/>
      <c r="C93" s="20" t="str">
        <f>IFERROR(__xludf.DUMMYFUNCTION("IF(ISBLANK(B93),,IFERROR(array_constrain(FILTER('Leetcode分类顺序表'!B:J,'Leetcode分类顺序表'!A:A = B93), 1, 10000000),IFERROR(FILTER(Algoexpert.io!B:D,Algoexpert.io!A:A = B93),FILTER('Leetcode List'!B:J,'Leetcode List'!A:A = B93))))"),"")</f>
        <v/>
      </c>
      <c r="D93" s="20"/>
      <c r="E93" s="20"/>
      <c r="F93" s="20"/>
      <c r="G93" s="20"/>
      <c r="H93" s="20"/>
      <c r="I93" s="20"/>
      <c r="J93" s="20"/>
      <c r="K93" s="20"/>
      <c r="L93" s="20" t="str">
        <f t="shared" si="1"/>
        <v/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>
      <c r="A94" s="22"/>
      <c r="B94" s="20"/>
      <c r="C94" s="20" t="str">
        <f>IFERROR(__xludf.DUMMYFUNCTION("IF(ISBLANK(B94),,IFERROR(array_constrain(FILTER('Leetcode分类顺序表'!B:J,'Leetcode分类顺序表'!A:A = B94), 1, 10000000),IFERROR(FILTER(Algoexpert.io!B:D,Algoexpert.io!A:A = B94),FILTER('Leetcode List'!B:J,'Leetcode List'!A:A = B94))))"),"")</f>
        <v/>
      </c>
      <c r="D94" s="20"/>
      <c r="E94" s="20"/>
      <c r="F94" s="20"/>
      <c r="G94" s="20"/>
      <c r="H94" s="20"/>
      <c r="I94" s="20"/>
      <c r="J94" s="20"/>
      <c r="K94" s="20"/>
      <c r="L94" s="20" t="str">
        <f t="shared" si="1"/>
        <v/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>
      <c r="A95" s="22"/>
      <c r="B95" s="20"/>
      <c r="C95" s="20" t="str">
        <f>IFERROR(__xludf.DUMMYFUNCTION("IF(ISBLANK(B95),,IFERROR(array_constrain(FILTER('Leetcode分类顺序表'!B:J,'Leetcode分类顺序表'!A:A = B95), 1, 10000000),IFERROR(FILTER(Algoexpert.io!B:D,Algoexpert.io!A:A = B95),FILTER('Leetcode List'!B:J,'Leetcode List'!A:A = B95))))"),"")</f>
        <v/>
      </c>
      <c r="D95" s="20"/>
      <c r="E95" s="20"/>
      <c r="F95" s="20"/>
      <c r="G95" s="20"/>
      <c r="H95" s="20"/>
      <c r="I95" s="20"/>
      <c r="J95" s="20"/>
      <c r="K95" s="20"/>
      <c r="L95" s="20" t="str">
        <f t="shared" si="1"/>
        <v/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>
      <c r="A96" s="22"/>
      <c r="B96" s="20"/>
      <c r="C96" s="20" t="str">
        <f>IFERROR(__xludf.DUMMYFUNCTION("IF(ISBLANK(B96),,IFERROR(array_constrain(FILTER('Leetcode分类顺序表'!B:J,'Leetcode分类顺序表'!A:A = B96), 1, 10000000),IFERROR(FILTER(Algoexpert.io!B:D,Algoexpert.io!A:A = B96),FILTER('Leetcode List'!B:J,'Leetcode List'!A:A = B96))))"),"")</f>
        <v/>
      </c>
      <c r="D96" s="20"/>
      <c r="E96" s="20"/>
      <c r="F96" s="20"/>
      <c r="G96" s="20"/>
      <c r="H96" s="20"/>
      <c r="I96" s="20"/>
      <c r="J96" s="20"/>
      <c r="K96" s="20"/>
      <c r="L96" s="20" t="str">
        <f t="shared" si="1"/>
        <v/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>
      <c r="A97" s="22"/>
      <c r="B97" s="20"/>
      <c r="C97" s="20" t="str">
        <f>IFERROR(__xludf.DUMMYFUNCTION("IF(ISBLANK(B97),,IFERROR(array_constrain(FILTER('Leetcode分类顺序表'!B:J,'Leetcode分类顺序表'!A:A = B97), 1, 10000000),IFERROR(FILTER(Algoexpert.io!B:D,Algoexpert.io!A:A = B97),FILTER('Leetcode List'!B:J,'Leetcode List'!A:A = B97))))"),"")</f>
        <v/>
      </c>
      <c r="D97" s="20"/>
      <c r="E97" s="20"/>
      <c r="F97" s="20"/>
      <c r="G97" s="20"/>
      <c r="H97" s="20"/>
      <c r="I97" s="20"/>
      <c r="J97" s="20"/>
      <c r="K97" s="20"/>
      <c r="L97" s="20" t="str">
        <f t="shared" si="1"/>
        <v/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>
      <c r="A98" s="22"/>
      <c r="B98" s="20"/>
      <c r="C98" s="20" t="str">
        <f>IFERROR(__xludf.DUMMYFUNCTION("IF(ISBLANK(B98),,IFERROR(array_constrain(FILTER('Leetcode分类顺序表'!B:J,'Leetcode分类顺序表'!A:A = B98), 1, 10000000),IFERROR(FILTER(Algoexpert.io!B:D,Algoexpert.io!A:A = B98),FILTER('Leetcode List'!B:J,'Leetcode List'!A:A = B98))))"),"")</f>
        <v/>
      </c>
      <c r="D98" s="20"/>
      <c r="E98" s="20"/>
      <c r="F98" s="20"/>
      <c r="G98" s="20"/>
      <c r="H98" s="20"/>
      <c r="I98" s="20"/>
      <c r="J98" s="20"/>
      <c r="K98" s="20"/>
      <c r="L98" s="20" t="str">
        <f t="shared" si="1"/>
        <v/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>
      <c r="A99" s="22"/>
      <c r="B99" s="20"/>
      <c r="C99" s="20" t="str">
        <f>IFERROR(__xludf.DUMMYFUNCTION("IF(ISBLANK(B99),,IFERROR(array_constrain(FILTER('Leetcode分类顺序表'!B:J,'Leetcode分类顺序表'!A:A = B99), 1, 10000000),IFERROR(FILTER(Algoexpert.io!B:D,Algoexpert.io!A:A = B99),FILTER('Leetcode List'!B:J,'Leetcode List'!A:A = B99))))"),"")</f>
        <v/>
      </c>
      <c r="D99" s="20"/>
      <c r="E99" s="20"/>
      <c r="F99" s="20"/>
      <c r="G99" s="20"/>
      <c r="H99" s="20"/>
      <c r="I99" s="20"/>
      <c r="J99" s="20"/>
      <c r="K99" s="20"/>
      <c r="L99" s="20" t="str">
        <f t="shared" si="1"/>
        <v/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>
      <c r="A100" s="22"/>
      <c r="B100" s="20"/>
      <c r="C100" s="20" t="str">
        <f>IFERROR(__xludf.DUMMYFUNCTION("IF(ISBLANK(B100),,IFERROR(array_constrain(FILTER('Leetcode分类顺序表'!B:J,'Leetcode分类顺序表'!A:A = B100), 1, 10000000),IFERROR(FILTER(Algoexpert.io!B:D,Algoexpert.io!A:A = B100),FILTER('Leetcode List'!B:J,'Leetcode List'!A:A = B100))))"),"")</f>
        <v/>
      </c>
      <c r="D100" s="20"/>
      <c r="E100" s="20"/>
      <c r="F100" s="20"/>
      <c r="G100" s="20"/>
      <c r="H100" s="20"/>
      <c r="I100" s="20"/>
      <c r="J100" s="20"/>
      <c r="K100" s="20"/>
      <c r="L100" s="20" t="str">
        <f t="shared" si="1"/>
        <v/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>
      <c r="A101" s="22"/>
      <c r="B101" s="20"/>
      <c r="C101" s="20" t="str">
        <f>IFERROR(__xludf.DUMMYFUNCTION("IF(ISBLANK(B101),,IFERROR(array_constrain(FILTER('Leetcode分类顺序表'!B:J,'Leetcode分类顺序表'!A:A = B101), 1, 10000000),IFERROR(FILTER(Algoexpert.io!B:D,Algoexpert.io!A:A = B101),FILTER('Leetcode List'!B:J,'Leetcode List'!A:A = B101))))"),"")</f>
        <v/>
      </c>
      <c r="D101" s="20"/>
      <c r="E101" s="20"/>
      <c r="F101" s="20"/>
      <c r="G101" s="20"/>
      <c r="H101" s="20"/>
      <c r="I101" s="20"/>
      <c r="J101" s="20"/>
      <c r="K101" s="20"/>
      <c r="L101" s="20" t="str">
        <f t="shared" si="1"/>
        <v/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>
      <c r="A102" s="22"/>
      <c r="B102" s="20"/>
      <c r="C102" s="20" t="str">
        <f>IFERROR(__xludf.DUMMYFUNCTION("IF(ISBLANK(B102),,IFERROR(array_constrain(FILTER('Leetcode分类顺序表'!B:J,'Leetcode分类顺序表'!A:A = B102), 1, 10000000),IFERROR(FILTER(Algoexpert.io!B:D,Algoexpert.io!A:A = B102),FILTER('Leetcode List'!B:J,'Leetcode List'!A:A = B102))))"),"")</f>
        <v/>
      </c>
      <c r="D102" s="20"/>
      <c r="E102" s="20"/>
      <c r="F102" s="20"/>
      <c r="G102" s="20"/>
      <c r="H102" s="20"/>
      <c r="I102" s="20"/>
      <c r="J102" s="20"/>
      <c r="K102" s="20"/>
      <c r="L102" s="20" t="str">
        <f t="shared" si="1"/>
        <v/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>
      <c r="A103" s="22"/>
      <c r="B103" s="20"/>
      <c r="C103" s="20" t="str">
        <f>IFERROR(__xludf.DUMMYFUNCTION("IF(ISBLANK(B103),,IFERROR(array_constrain(FILTER('Leetcode分类顺序表'!B:J,'Leetcode分类顺序表'!A:A = B103), 1, 10000000),IFERROR(FILTER(Algoexpert.io!B:D,Algoexpert.io!A:A = B103),FILTER('Leetcode List'!B:J,'Leetcode List'!A:A = B103))))"),"")</f>
        <v/>
      </c>
      <c r="D103" s="20"/>
      <c r="E103" s="20"/>
      <c r="F103" s="20"/>
      <c r="G103" s="20"/>
      <c r="H103" s="20"/>
      <c r="I103" s="20"/>
      <c r="J103" s="20"/>
      <c r="K103" s="20"/>
      <c r="L103" s="20" t="str">
        <f t="shared" si="1"/>
        <v/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>
      <c r="A104" s="22"/>
      <c r="B104" s="20"/>
      <c r="C104" s="20" t="str">
        <f>IFERROR(__xludf.DUMMYFUNCTION("IF(ISBLANK(B104),,IFERROR(array_constrain(FILTER('Leetcode分类顺序表'!B:J,'Leetcode分类顺序表'!A:A = B104), 1, 10000000),IFERROR(FILTER(Algoexpert.io!B:D,Algoexpert.io!A:A = B104),FILTER('Leetcode List'!B:J,'Leetcode List'!A:A = B104))))"),"")</f>
        <v/>
      </c>
      <c r="D104" s="20"/>
      <c r="E104" s="20"/>
      <c r="F104" s="20"/>
      <c r="G104" s="20"/>
      <c r="H104" s="20"/>
      <c r="I104" s="20"/>
      <c r="J104" s="20"/>
      <c r="K104" s="20"/>
      <c r="L104" s="20" t="str">
        <f t="shared" si="1"/>
        <v/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>
      <c r="A105" s="22"/>
      <c r="B105" s="20"/>
      <c r="C105" s="20" t="str">
        <f>IFERROR(__xludf.DUMMYFUNCTION("IF(ISBLANK(B105),,IFERROR(array_constrain(FILTER('Leetcode分类顺序表'!B:J,'Leetcode分类顺序表'!A:A = B105), 1, 10000000),IFERROR(FILTER(Algoexpert.io!B:D,Algoexpert.io!A:A = B105),FILTER('Leetcode List'!B:J,'Leetcode List'!A:A = B105))))"),"")</f>
        <v/>
      </c>
      <c r="D105" s="20"/>
      <c r="E105" s="20"/>
      <c r="F105" s="20"/>
      <c r="G105" s="20"/>
      <c r="H105" s="20"/>
      <c r="I105" s="20"/>
      <c r="J105" s="20"/>
      <c r="K105" s="20"/>
      <c r="L105" s="20" t="str">
        <f t="shared" si="1"/>
        <v/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>
      <c r="A106" s="22"/>
      <c r="B106" s="20"/>
      <c r="C106" s="20" t="str">
        <f>IFERROR(__xludf.DUMMYFUNCTION("IF(ISBLANK(B106),,IFERROR(array_constrain(FILTER('Leetcode分类顺序表'!B:J,'Leetcode分类顺序表'!A:A = B106), 1, 10000000),IFERROR(FILTER(Algoexpert.io!B:D,Algoexpert.io!A:A = B106),FILTER('Leetcode List'!B:J,'Leetcode List'!A:A = B106))))"),"")</f>
        <v/>
      </c>
      <c r="D106" s="20"/>
      <c r="E106" s="20"/>
      <c r="F106" s="20"/>
      <c r="G106" s="20"/>
      <c r="H106" s="20"/>
      <c r="I106" s="20"/>
      <c r="J106" s="20"/>
      <c r="K106" s="20"/>
      <c r="L106" s="20" t="str">
        <f t="shared" si="1"/>
        <v/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>
      <c r="A107" s="22"/>
      <c r="B107" s="20"/>
      <c r="C107" s="20" t="str">
        <f>IFERROR(__xludf.DUMMYFUNCTION("IF(ISBLANK(B107),,IFERROR(array_constrain(FILTER('Leetcode分类顺序表'!B:J,'Leetcode分类顺序表'!A:A = B107), 1, 10000000),IFERROR(FILTER(Algoexpert.io!B:D,Algoexpert.io!A:A = B107),FILTER('Leetcode List'!B:J,'Leetcode List'!A:A = B107))))"),"")</f>
        <v/>
      </c>
      <c r="D107" s="20"/>
      <c r="E107" s="20"/>
      <c r="F107" s="20"/>
      <c r="G107" s="20"/>
      <c r="H107" s="20"/>
      <c r="I107" s="20"/>
      <c r="J107" s="20"/>
      <c r="K107" s="20"/>
      <c r="L107" s="20" t="str">
        <f t="shared" si="1"/>
        <v/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>
      <c r="A108" s="22"/>
      <c r="B108" s="20"/>
      <c r="C108" s="20" t="str">
        <f>IFERROR(__xludf.DUMMYFUNCTION("IF(ISBLANK(B108),,IFERROR(array_constrain(FILTER('Leetcode分类顺序表'!B:J,'Leetcode分类顺序表'!A:A = B108), 1, 10000000),IFERROR(FILTER(Algoexpert.io!B:D,Algoexpert.io!A:A = B108),FILTER('Leetcode List'!B:J,'Leetcode List'!A:A = B108))))"),"")</f>
        <v/>
      </c>
      <c r="D108" s="20"/>
      <c r="E108" s="20"/>
      <c r="F108" s="20"/>
      <c r="G108" s="20"/>
      <c r="H108" s="20"/>
      <c r="I108" s="20"/>
      <c r="J108" s="20"/>
      <c r="K108" s="20"/>
      <c r="L108" s="20" t="str">
        <f t="shared" si="1"/>
        <v/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>
      <c r="A109" s="22"/>
      <c r="B109" s="20"/>
      <c r="C109" s="20" t="str">
        <f>IFERROR(__xludf.DUMMYFUNCTION("IF(ISBLANK(B109),,IFERROR(array_constrain(FILTER('Leetcode分类顺序表'!B:J,'Leetcode分类顺序表'!A:A = B109), 1, 10000000),IFERROR(FILTER(Algoexpert.io!B:D,Algoexpert.io!A:A = B109),FILTER('Leetcode List'!B:J,'Leetcode List'!A:A = B109))))"),"")</f>
        <v/>
      </c>
      <c r="D109" s="20"/>
      <c r="E109" s="20"/>
      <c r="F109" s="20"/>
      <c r="G109" s="20"/>
      <c r="H109" s="20"/>
      <c r="I109" s="20"/>
      <c r="J109" s="20"/>
      <c r="K109" s="20"/>
      <c r="L109" s="20" t="str">
        <f t="shared" si="1"/>
        <v/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>
      <c r="A110" s="22"/>
      <c r="B110" s="20"/>
      <c r="C110" s="20" t="str">
        <f>IFERROR(__xludf.DUMMYFUNCTION("IF(ISBLANK(B110),,IFERROR(array_constrain(FILTER('Leetcode分类顺序表'!B:J,'Leetcode分类顺序表'!A:A = B110), 1, 10000000),IFERROR(FILTER(Algoexpert.io!B:D,Algoexpert.io!A:A = B110),FILTER('Leetcode List'!B:J,'Leetcode List'!A:A = B110))))"),"")</f>
        <v/>
      </c>
      <c r="D110" s="20"/>
      <c r="E110" s="20"/>
      <c r="F110" s="20"/>
      <c r="G110" s="20"/>
      <c r="H110" s="20"/>
      <c r="I110" s="20"/>
      <c r="J110" s="20"/>
      <c r="K110" s="20"/>
      <c r="L110" s="20" t="str">
        <f t="shared" si="1"/>
        <v/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>
      <c r="A111" s="22"/>
      <c r="B111" s="20"/>
      <c r="C111" s="20" t="str">
        <f>IFERROR(__xludf.DUMMYFUNCTION("IF(ISBLANK(B111),,IFERROR(array_constrain(FILTER('Leetcode分类顺序表'!B:J,'Leetcode分类顺序表'!A:A = B111), 1, 10000000),IFERROR(FILTER(Algoexpert.io!B:D,Algoexpert.io!A:A = B111),FILTER('Leetcode List'!B:J,'Leetcode List'!A:A = B111))))"),"")</f>
        <v/>
      </c>
      <c r="D111" s="20"/>
      <c r="E111" s="20"/>
      <c r="F111" s="20"/>
      <c r="G111" s="20"/>
      <c r="H111" s="20"/>
      <c r="I111" s="20"/>
      <c r="J111" s="20"/>
      <c r="K111" s="20"/>
      <c r="L111" s="20" t="str">
        <f t="shared" si="1"/>
        <v/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>
      <c r="A112" s="22"/>
      <c r="B112" s="20"/>
      <c r="C112" s="20" t="str">
        <f>IFERROR(__xludf.DUMMYFUNCTION("IF(ISBLANK(B112),,IFERROR(array_constrain(FILTER('Leetcode分类顺序表'!B:J,'Leetcode分类顺序表'!A:A = B112), 1, 10000000),IFERROR(FILTER(Algoexpert.io!B:D,Algoexpert.io!A:A = B112),FILTER('Leetcode List'!B:J,'Leetcode List'!A:A = B112))))"),"")</f>
        <v/>
      </c>
      <c r="D112" s="20"/>
      <c r="E112" s="20"/>
      <c r="F112" s="20"/>
      <c r="G112" s="20"/>
      <c r="H112" s="20"/>
      <c r="I112" s="20"/>
      <c r="J112" s="20"/>
      <c r="K112" s="20"/>
      <c r="L112" s="20" t="str">
        <f t="shared" si="1"/>
        <v/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>
      <c r="A113" s="22"/>
      <c r="B113" s="20"/>
      <c r="C113" s="20" t="str">
        <f>IFERROR(__xludf.DUMMYFUNCTION("IF(ISBLANK(B113),,IFERROR(array_constrain(FILTER('Leetcode分类顺序表'!B:J,'Leetcode分类顺序表'!A:A = B113), 1, 10000000),IFERROR(FILTER(Algoexpert.io!B:D,Algoexpert.io!A:A = B113),FILTER('Leetcode List'!B:J,'Leetcode List'!A:A = B113))))"),"")</f>
        <v/>
      </c>
      <c r="D113" s="20"/>
      <c r="E113" s="20"/>
      <c r="F113" s="20"/>
      <c r="G113" s="20"/>
      <c r="H113" s="20"/>
      <c r="I113" s="20"/>
      <c r="J113" s="20"/>
      <c r="K113" s="20"/>
      <c r="L113" s="20" t="str">
        <f t="shared" si="1"/>
        <v/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>
      <c r="A114" s="22"/>
      <c r="B114" s="20"/>
      <c r="C114" s="20" t="str">
        <f>IFERROR(__xludf.DUMMYFUNCTION("IF(ISBLANK(B114),,IFERROR(array_constrain(FILTER('Leetcode分类顺序表'!B:J,'Leetcode分类顺序表'!A:A = B114), 1, 10000000),IFERROR(FILTER(Algoexpert.io!B:D,Algoexpert.io!A:A = B114),FILTER('Leetcode List'!B:J,'Leetcode List'!A:A = B114))))"),"")</f>
        <v/>
      </c>
      <c r="D114" s="20"/>
      <c r="E114" s="20"/>
      <c r="F114" s="20"/>
      <c r="G114" s="20"/>
      <c r="H114" s="20"/>
      <c r="I114" s="20"/>
      <c r="J114" s="20"/>
      <c r="K114" s="20"/>
      <c r="L114" s="20" t="str">
        <f t="shared" si="1"/>
        <v/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>
      <c r="A115" s="22"/>
      <c r="B115" s="20"/>
      <c r="C115" s="20" t="str">
        <f>IFERROR(__xludf.DUMMYFUNCTION("IF(ISBLANK(B115),,IFERROR(array_constrain(FILTER('Leetcode分类顺序表'!B:J,'Leetcode分类顺序表'!A:A = B115), 1, 10000000),IFERROR(FILTER(Algoexpert.io!B:D,Algoexpert.io!A:A = B115),FILTER('Leetcode List'!B:J,'Leetcode List'!A:A = B115))))"),"")</f>
        <v/>
      </c>
      <c r="D115" s="20"/>
      <c r="E115" s="20"/>
      <c r="F115" s="20"/>
      <c r="G115" s="20"/>
      <c r="H115" s="20"/>
      <c r="I115" s="20"/>
      <c r="J115" s="20"/>
      <c r="K115" s="20"/>
      <c r="L115" s="20" t="str">
        <f t="shared" si="1"/>
        <v/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>
      <c r="A116" s="22"/>
      <c r="B116" s="20"/>
      <c r="C116" s="20" t="str">
        <f>IFERROR(__xludf.DUMMYFUNCTION("IF(ISBLANK(B116),,IFERROR(array_constrain(FILTER('Leetcode分类顺序表'!B:J,'Leetcode分类顺序表'!A:A = B116), 1, 10000000),IFERROR(FILTER(Algoexpert.io!B:D,Algoexpert.io!A:A = B116),FILTER('Leetcode List'!B:J,'Leetcode List'!A:A = B116))))"),"")</f>
        <v/>
      </c>
      <c r="D116" s="20"/>
      <c r="E116" s="20"/>
      <c r="F116" s="20"/>
      <c r="G116" s="20"/>
      <c r="H116" s="20"/>
      <c r="I116" s="20"/>
      <c r="J116" s="20"/>
      <c r="K116" s="20"/>
      <c r="L116" s="20" t="str">
        <f t="shared" si="1"/>
        <v/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>
      <c r="A117" s="22"/>
      <c r="B117" s="20"/>
      <c r="C117" s="20" t="str">
        <f>IFERROR(__xludf.DUMMYFUNCTION("IF(ISBLANK(B117),,IFERROR(array_constrain(FILTER('Leetcode分类顺序表'!B:J,'Leetcode分类顺序表'!A:A = B117), 1, 10000000),IFERROR(FILTER(Algoexpert.io!B:D,Algoexpert.io!A:A = B117),FILTER('Leetcode List'!B:J,'Leetcode List'!A:A = B117))))"),"")</f>
        <v/>
      </c>
      <c r="D117" s="20"/>
      <c r="E117" s="20"/>
      <c r="F117" s="20"/>
      <c r="G117" s="20"/>
      <c r="H117" s="20"/>
      <c r="I117" s="20"/>
      <c r="J117" s="20"/>
      <c r="K117" s="20"/>
      <c r="L117" s="20" t="str">
        <f t="shared" si="1"/>
        <v/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>
      <c r="A118" s="22"/>
      <c r="B118" s="20"/>
      <c r="C118" s="20" t="str">
        <f>IFERROR(__xludf.DUMMYFUNCTION("IF(ISBLANK(B118),,IFERROR(array_constrain(FILTER('Leetcode分类顺序表'!B:J,'Leetcode分类顺序表'!A:A = B118), 1, 10000000),IFERROR(FILTER(Algoexpert.io!B:D,Algoexpert.io!A:A = B118),FILTER('Leetcode List'!B:J,'Leetcode List'!A:A = B118))))"),"")</f>
        <v/>
      </c>
      <c r="D118" s="20"/>
      <c r="E118" s="20"/>
      <c r="F118" s="20"/>
      <c r="G118" s="20"/>
      <c r="H118" s="20"/>
      <c r="I118" s="20"/>
      <c r="J118" s="20"/>
      <c r="K118" s="20"/>
      <c r="L118" s="20" t="str">
        <f t="shared" si="1"/>
        <v/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>
      <c r="A119" s="22"/>
      <c r="B119" s="20"/>
      <c r="C119" s="20" t="str">
        <f>IFERROR(__xludf.DUMMYFUNCTION("IF(ISBLANK(B119),,IFERROR(array_constrain(FILTER('Leetcode分类顺序表'!B:J,'Leetcode分类顺序表'!A:A = B119), 1, 10000000),IFERROR(FILTER(Algoexpert.io!B:D,Algoexpert.io!A:A = B119),FILTER('Leetcode List'!B:J,'Leetcode List'!A:A = B119))))"),"")</f>
        <v/>
      </c>
      <c r="D119" s="20"/>
      <c r="E119" s="20"/>
      <c r="F119" s="20"/>
      <c r="G119" s="20"/>
      <c r="H119" s="20"/>
      <c r="I119" s="20"/>
      <c r="J119" s="20"/>
      <c r="K119" s="20"/>
      <c r="L119" s="20" t="str">
        <f t="shared" si="1"/>
        <v/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>
      <c r="A120" s="22"/>
      <c r="B120" s="20"/>
      <c r="C120" s="20" t="str">
        <f>IFERROR(__xludf.DUMMYFUNCTION("IF(ISBLANK(B120),,IFERROR(array_constrain(FILTER('Leetcode分类顺序表'!B:J,'Leetcode分类顺序表'!A:A = B120), 1, 10000000),IFERROR(FILTER(Algoexpert.io!B:D,Algoexpert.io!A:A = B120),FILTER('Leetcode List'!B:J,'Leetcode List'!A:A = B120))))"),"")</f>
        <v/>
      </c>
      <c r="D120" s="20"/>
      <c r="E120" s="20"/>
      <c r="F120" s="20"/>
      <c r="G120" s="20"/>
      <c r="H120" s="20"/>
      <c r="I120" s="20"/>
      <c r="J120" s="20"/>
      <c r="K120" s="20"/>
      <c r="L120" s="20" t="str">
        <f t="shared" si="1"/>
        <v/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>
      <c r="A121" s="22"/>
      <c r="B121" s="20"/>
      <c r="C121" s="20" t="str">
        <f>IFERROR(__xludf.DUMMYFUNCTION("IF(ISBLANK(B121),,IFERROR(array_constrain(FILTER('Leetcode分类顺序表'!B:J,'Leetcode分类顺序表'!A:A = B121), 1, 10000000),IFERROR(FILTER(Algoexpert.io!B:D,Algoexpert.io!A:A = B121),FILTER('Leetcode List'!B:J,'Leetcode List'!A:A = B121))))"),"")</f>
        <v/>
      </c>
      <c r="D121" s="20"/>
      <c r="E121" s="20"/>
      <c r="F121" s="20"/>
      <c r="G121" s="20"/>
      <c r="H121" s="20"/>
      <c r="I121" s="20"/>
      <c r="J121" s="20"/>
      <c r="K121" s="20"/>
      <c r="L121" s="20" t="str">
        <f t="shared" si="1"/>
        <v/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>
      <c r="A122" s="22"/>
      <c r="B122" s="20"/>
      <c r="C122" s="20" t="str">
        <f>IFERROR(__xludf.DUMMYFUNCTION("IF(ISBLANK(B122),,IFERROR(array_constrain(FILTER('Leetcode分类顺序表'!B:J,'Leetcode分类顺序表'!A:A = B122), 1, 10000000),IFERROR(FILTER(Algoexpert.io!B:D,Algoexpert.io!A:A = B122),FILTER('Leetcode List'!B:J,'Leetcode List'!A:A = B122))))"),"")</f>
        <v/>
      </c>
      <c r="D122" s="20"/>
      <c r="E122" s="20"/>
      <c r="F122" s="20"/>
      <c r="G122" s="20"/>
      <c r="H122" s="20"/>
      <c r="I122" s="20"/>
      <c r="J122" s="20"/>
      <c r="K122" s="20"/>
      <c r="L122" s="20" t="str">
        <f t="shared" si="1"/>
        <v/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>
      <c r="A123" s="22"/>
      <c r="B123" s="20"/>
      <c r="C123" s="20" t="str">
        <f>IFERROR(__xludf.DUMMYFUNCTION("IF(ISBLANK(B123),,IFERROR(array_constrain(FILTER('Leetcode分类顺序表'!B:J,'Leetcode分类顺序表'!A:A = B123), 1, 10000000),IFERROR(FILTER(Algoexpert.io!B:D,Algoexpert.io!A:A = B123),FILTER('Leetcode List'!B:J,'Leetcode List'!A:A = B123))))"),"")</f>
        <v/>
      </c>
      <c r="D123" s="20"/>
      <c r="E123" s="20"/>
      <c r="F123" s="20"/>
      <c r="G123" s="20"/>
      <c r="H123" s="20"/>
      <c r="I123" s="20"/>
      <c r="J123" s="20"/>
      <c r="K123" s="20"/>
      <c r="L123" s="20" t="str">
        <f t="shared" si="1"/>
        <v/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>
      <c r="A124" s="22"/>
      <c r="B124" s="20"/>
      <c r="C124" s="20" t="str">
        <f>IFERROR(__xludf.DUMMYFUNCTION("IF(ISBLANK(B124),,IFERROR(array_constrain(FILTER('Leetcode分类顺序表'!B:J,'Leetcode分类顺序表'!A:A = B124), 1, 10000000),IFERROR(FILTER(Algoexpert.io!B:D,Algoexpert.io!A:A = B124),FILTER('Leetcode List'!B:J,'Leetcode List'!A:A = B124))))"),"")</f>
        <v/>
      </c>
      <c r="D124" s="20"/>
      <c r="E124" s="20"/>
      <c r="F124" s="20"/>
      <c r="G124" s="20"/>
      <c r="H124" s="20"/>
      <c r="I124" s="20"/>
      <c r="J124" s="20"/>
      <c r="K124" s="20"/>
      <c r="L124" s="20" t="str">
        <f t="shared" si="1"/>
        <v/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>
      <c r="A125" s="22"/>
      <c r="B125" s="20"/>
      <c r="C125" s="20" t="str">
        <f>IFERROR(__xludf.DUMMYFUNCTION("IF(ISBLANK(B125),,IFERROR(array_constrain(FILTER('Leetcode分类顺序表'!B:J,'Leetcode分类顺序表'!A:A = B125), 1, 10000000),IFERROR(FILTER(Algoexpert.io!B:D,Algoexpert.io!A:A = B125),FILTER('Leetcode List'!B:J,'Leetcode List'!A:A = B125))))"),"")</f>
        <v/>
      </c>
      <c r="D125" s="20"/>
      <c r="E125" s="20"/>
      <c r="F125" s="20"/>
      <c r="G125" s="20"/>
      <c r="H125" s="20"/>
      <c r="I125" s="20"/>
      <c r="J125" s="20"/>
      <c r="K125" s="20"/>
      <c r="L125" s="20" t="str">
        <f t="shared" si="1"/>
        <v/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>
      <c r="A126" s="22"/>
      <c r="B126" s="20"/>
      <c r="C126" s="20" t="str">
        <f>IFERROR(__xludf.DUMMYFUNCTION("IF(ISBLANK(B126),,IFERROR(array_constrain(FILTER('Leetcode分类顺序表'!B:J,'Leetcode分类顺序表'!A:A = B126), 1, 10000000),IFERROR(FILTER(Algoexpert.io!B:D,Algoexpert.io!A:A = B126),FILTER('Leetcode List'!B:J,'Leetcode List'!A:A = B126))))"),"")</f>
        <v/>
      </c>
      <c r="D126" s="20"/>
      <c r="E126" s="20"/>
      <c r="F126" s="20"/>
      <c r="G126" s="20"/>
      <c r="H126" s="20"/>
      <c r="I126" s="20"/>
      <c r="J126" s="20"/>
      <c r="K126" s="20"/>
      <c r="L126" s="20" t="str">
        <f t="shared" si="1"/>
        <v/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>
      <c r="A127" s="22"/>
      <c r="B127" s="20"/>
      <c r="C127" s="20" t="str">
        <f>IFERROR(__xludf.DUMMYFUNCTION("IF(ISBLANK(B127),,IFERROR(array_constrain(FILTER('Leetcode分类顺序表'!B:J,'Leetcode分类顺序表'!A:A = B127), 1, 10000000),IFERROR(FILTER(Algoexpert.io!B:D,Algoexpert.io!A:A = B127),FILTER('Leetcode List'!B:J,'Leetcode List'!A:A = B127))))"),"")</f>
        <v/>
      </c>
      <c r="D127" s="20"/>
      <c r="E127" s="20"/>
      <c r="F127" s="20"/>
      <c r="G127" s="20"/>
      <c r="H127" s="20"/>
      <c r="I127" s="20"/>
      <c r="J127" s="20"/>
      <c r="K127" s="20"/>
      <c r="L127" s="20" t="str">
        <f t="shared" si="1"/>
        <v/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>
      <c r="A128" s="22"/>
      <c r="B128" s="20"/>
      <c r="C128" s="20" t="str">
        <f>IFERROR(__xludf.DUMMYFUNCTION("IF(ISBLANK(B128),,IFERROR(array_constrain(FILTER('Leetcode分类顺序表'!B:J,'Leetcode分类顺序表'!A:A = B128), 1, 10000000),IFERROR(FILTER(Algoexpert.io!B:D,Algoexpert.io!A:A = B128),FILTER('Leetcode List'!B:J,'Leetcode List'!A:A = B128))))"),"")</f>
        <v/>
      </c>
      <c r="D128" s="20"/>
      <c r="E128" s="20"/>
      <c r="F128" s="20"/>
      <c r="G128" s="20"/>
      <c r="H128" s="20"/>
      <c r="I128" s="20"/>
      <c r="J128" s="20"/>
      <c r="K128" s="20"/>
      <c r="L128" s="20" t="str">
        <f t="shared" si="1"/>
        <v/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>
      <c r="A129" s="22"/>
      <c r="B129" s="20"/>
      <c r="C129" s="20" t="str">
        <f>IFERROR(__xludf.DUMMYFUNCTION("IF(ISBLANK(B129),,IFERROR(array_constrain(FILTER('Leetcode分类顺序表'!B:J,'Leetcode分类顺序表'!A:A = B129), 1, 10000000),IFERROR(FILTER(Algoexpert.io!B:D,Algoexpert.io!A:A = B129),FILTER('Leetcode List'!B:J,'Leetcode List'!A:A = B129))))"),"")</f>
        <v/>
      </c>
      <c r="D129" s="20"/>
      <c r="E129" s="20"/>
      <c r="F129" s="20"/>
      <c r="G129" s="20"/>
      <c r="H129" s="20"/>
      <c r="I129" s="20"/>
      <c r="J129" s="20"/>
      <c r="K129" s="20"/>
      <c r="L129" s="20" t="str">
        <f t="shared" si="1"/>
        <v/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>
      <c r="A130" s="22"/>
      <c r="B130" s="20"/>
      <c r="C130" s="20" t="str">
        <f>IFERROR(__xludf.DUMMYFUNCTION("IF(ISBLANK(B130),,IFERROR(array_constrain(FILTER('Leetcode分类顺序表'!B:J,'Leetcode分类顺序表'!A:A = B130), 1, 10000000),IFERROR(FILTER(Algoexpert.io!B:D,Algoexpert.io!A:A = B130),FILTER('Leetcode List'!B:J,'Leetcode List'!A:A = B130))))"),"")</f>
        <v/>
      </c>
      <c r="D130" s="20"/>
      <c r="E130" s="20"/>
      <c r="F130" s="20"/>
      <c r="G130" s="20"/>
      <c r="H130" s="20"/>
      <c r="I130" s="20"/>
      <c r="J130" s="20"/>
      <c r="K130" s="20"/>
      <c r="L130" s="20" t="str">
        <f t="shared" si="1"/>
        <v/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>
      <c r="A131" s="22"/>
      <c r="B131" s="20"/>
      <c r="C131" s="20" t="str">
        <f>IFERROR(__xludf.DUMMYFUNCTION("IF(ISBLANK(B131),,IFERROR(array_constrain(FILTER('Leetcode分类顺序表'!B:J,'Leetcode分类顺序表'!A:A = B131), 1, 10000000),IFERROR(FILTER(Algoexpert.io!B:D,Algoexpert.io!A:A = B131),FILTER('Leetcode List'!B:J,'Leetcode List'!A:A = B131))))"),"")</f>
        <v/>
      </c>
      <c r="D131" s="20"/>
      <c r="E131" s="20"/>
      <c r="F131" s="20"/>
      <c r="G131" s="20"/>
      <c r="H131" s="20"/>
      <c r="I131" s="20"/>
      <c r="J131" s="20"/>
      <c r="K131" s="20"/>
      <c r="L131" s="20" t="str">
        <f t="shared" si="1"/>
        <v/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>
      <c r="A132" s="22"/>
      <c r="B132" s="20"/>
      <c r="C132" s="20" t="str">
        <f>IFERROR(__xludf.DUMMYFUNCTION("IF(ISBLANK(B132),,IFERROR(array_constrain(FILTER('Leetcode分类顺序表'!B:J,'Leetcode分类顺序表'!A:A = B132), 1, 10000000),IFERROR(FILTER(Algoexpert.io!B:D,Algoexpert.io!A:A = B132),FILTER('Leetcode List'!B:J,'Leetcode List'!A:A = B132))))"),"")</f>
        <v/>
      </c>
      <c r="D132" s="20"/>
      <c r="E132" s="20"/>
      <c r="F132" s="20"/>
      <c r="G132" s="20"/>
      <c r="H132" s="20"/>
      <c r="I132" s="20"/>
      <c r="J132" s="20"/>
      <c r="K132" s="20"/>
      <c r="L132" s="20" t="str">
        <f t="shared" si="1"/>
        <v/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>
      <c r="A133" s="22"/>
      <c r="B133" s="20"/>
      <c r="C133" s="20" t="str">
        <f>IFERROR(__xludf.DUMMYFUNCTION("IF(ISBLANK(B133),,IFERROR(array_constrain(FILTER('Leetcode分类顺序表'!B:J,'Leetcode分类顺序表'!A:A = B133), 1, 10000000),IFERROR(FILTER(Algoexpert.io!B:D,Algoexpert.io!A:A = B133),FILTER('Leetcode List'!B:J,'Leetcode List'!A:A = B133))))"),"")</f>
        <v/>
      </c>
      <c r="D133" s="20"/>
      <c r="E133" s="20"/>
      <c r="F133" s="20"/>
      <c r="G133" s="20"/>
      <c r="H133" s="20"/>
      <c r="I133" s="20"/>
      <c r="J133" s="20"/>
      <c r="K133" s="20"/>
      <c r="L133" s="20" t="str">
        <f t="shared" si="1"/>
        <v/>
      </c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>
      <c r="A134" s="22"/>
      <c r="B134" s="20"/>
      <c r="C134" s="20" t="str">
        <f>IFERROR(__xludf.DUMMYFUNCTION("IF(ISBLANK(B134),,IFERROR(array_constrain(FILTER('Leetcode分类顺序表'!B:J,'Leetcode分类顺序表'!A:A = B134), 1, 10000000),IFERROR(FILTER(Algoexpert.io!B:D,Algoexpert.io!A:A = B134),FILTER('Leetcode List'!B:J,'Leetcode List'!A:A = B134))))"),"")</f>
        <v/>
      </c>
      <c r="D134" s="20"/>
      <c r="E134" s="20"/>
      <c r="F134" s="20"/>
      <c r="G134" s="20"/>
      <c r="H134" s="20"/>
      <c r="I134" s="20"/>
      <c r="J134" s="20"/>
      <c r="K134" s="20"/>
      <c r="L134" s="20" t="str">
        <f t="shared" si="1"/>
        <v/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>
      <c r="A135" s="22"/>
      <c r="B135" s="20"/>
      <c r="C135" s="20" t="str">
        <f>IFERROR(__xludf.DUMMYFUNCTION("IF(ISBLANK(B135),,IFERROR(array_constrain(FILTER('Leetcode分类顺序表'!B:J,'Leetcode分类顺序表'!A:A = B135), 1, 10000000),IFERROR(FILTER(Algoexpert.io!B:D,Algoexpert.io!A:A = B135),FILTER('Leetcode List'!B:J,'Leetcode List'!A:A = B135))))"),"")</f>
        <v/>
      </c>
      <c r="D135" s="20"/>
      <c r="E135" s="20"/>
      <c r="F135" s="20"/>
      <c r="G135" s="20"/>
      <c r="H135" s="20"/>
      <c r="I135" s="20"/>
      <c r="J135" s="20"/>
      <c r="K135" s="20"/>
      <c r="L135" s="20" t="str">
        <f t="shared" si="1"/>
        <v/>
      </c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>
      <c r="A136" s="22"/>
      <c r="B136" s="20"/>
      <c r="C136" s="20" t="str">
        <f>IFERROR(__xludf.DUMMYFUNCTION("IF(ISBLANK(B136),,IFERROR(array_constrain(FILTER('Leetcode分类顺序表'!B:J,'Leetcode分类顺序表'!A:A = B136), 1, 10000000),IFERROR(FILTER(Algoexpert.io!B:D,Algoexpert.io!A:A = B136),FILTER('Leetcode List'!B:J,'Leetcode List'!A:A = B136))))"),"")</f>
        <v/>
      </c>
      <c r="D136" s="20"/>
      <c r="E136" s="20"/>
      <c r="F136" s="20"/>
      <c r="G136" s="20"/>
      <c r="H136" s="20"/>
      <c r="I136" s="20"/>
      <c r="J136" s="20"/>
      <c r="K136" s="20"/>
      <c r="L136" s="20" t="str">
        <f t="shared" si="1"/>
        <v/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>
      <c r="A137" s="22"/>
      <c r="B137" s="20"/>
      <c r="C137" s="20" t="str">
        <f>IFERROR(__xludf.DUMMYFUNCTION("IF(ISBLANK(B137),,IFERROR(array_constrain(FILTER('Leetcode分类顺序表'!B:J,'Leetcode分类顺序表'!A:A = B137), 1, 10000000),IFERROR(FILTER(Algoexpert.io!B:D,Algoexpert.io!A:A = B137),FILTER('Leetcode List'!B:J,'Leetcode List'!A:A = B137))))"),"")</f>
        <v/>
      </c>
      <c r="D137" s="20"/>
      <c r="E137" s="20"/>
      <c r="F137" s="20"/>
      <c r="G137" s="20"/>
      <c r="H137" s="20"/>
      <c r="I137" s="20"/>
      <c r="J137" s="20"/>
      <c r="K137" s="20"/>
      <c r="L137" s="20" t="str">
        <f t="shared" si="1"/>
        <v/>
      </c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>
      <c r="A138" s="22"/>
      <c r="B138" s="20"/>
      <c r="C138" s="20" t="str">
        <f>IFERROR(__xludf.DUMMYFUNCTION("IF(ISBLANK(B138),,IFERROR(array_constrain(FILTER('Leetcode分类顺序表'!B:J,'Leetcode分类顺序表'!A:A = B138), 1, 10000000),IFERROR(FILTER(Algoexpert.io!B:D,Algoexpert.io!A:A = B138),FILTER('Leetcode List'!B:J,'Leetcode List'!A:A = B138))))"),"")</f>
        <v/>
      </c>
      <c r="D138" s="20"/>
      <c r="E138" s="20"/>
      <c r="F138" s="20"/>
      <c r="G138" s="20"/>
      <c r="H138" s="20"/>
      <c r="I138" s="20"/>
      <c r="J138" s="20"/>
      <c r="K138" s="20"/>
      <c r="L138" s="20" t="str">
        <f t="shared" si="1"/>
        <v/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>
      <c r="A139" s="22"/>
      <c r="B139" s="20"/>
      <c r="C139" s="20" t="str">
        <f>IFERROR(__xludf.DUMMYFUNCTION("IF(ISBLANK(B139),,IFERROR(array_constrain(FILTER('Leetcode分类顺序表'!B:J,'Leetcode分类顺序表'!A:A = B139), 1, 10000000),IFERROR(FILTER(Algoexpert.io!B:D,Algoexpert.io!A:A = B139),FILTER('Leetcode List'!B:J,'Leetcode List'!A:A = B139))))"),"")</f>
        <v/>
      </c>
      <c r="D139" s="20"/>
      <c r="E139" s="20"/>
      <c r="F139" s="20"/>
      <c r="G139" s="20"/>
      <c r="H139" s="20"/>
      <c r="I139" s="20"/>
      <c r="J139" s="20"/>
      <c r="K139" s="20"/>
      <c r="L139" s="20" t="str">
        <f t="shared" si="1"/>
        <v/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>
      <c r="A140" s="22"/>
      <c r="B140" s="20"/>
      <c r="C140" s="20" t="str">
        <f>IFERROR(__xludf.DUMMYFUNCTION("IF(ISBLANK(B140),,IFERROR(array_constrain(FILTER('Leetcode分类顺序表'!B:J,'Leetcode分类顺序表'!A:A = B140), 1, 10000000),IFERROR(FILTER(Algoexpert.io!B:D,Algoexpert.io!A:A = B140),FILTER('Leetcode List'!B:J,'Leetcode List'!A:A = B140))))"),"")</f>
        <v/>
      </c>
      <c r="D140" s="20"/>
      <c r="E140" s="20"/>
      <c r="F140" s="20"/>
      <c r="G140" s="20"/>
      <c r="H140" s="20"/>
      <c r="I140" s="20"/>
      <c r="J140" s="20"/>
      <c r="K140" s="20"/>
      <c r="L140" s="20" t="str">
        <f t="shared" si="1"/>
        <v/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>
      <c r="A141" s="22"/>
      <c r="B141" s="20"/>
      <c r="C141" s="20" t="str">
        <f>IFERROR(__xludf.DUMMYFUNCTION("IF(ISBLANK(B141),,IFERROR(array_constrain(FILTER('Leetcode分类顺序表'!B:J,'Leetcode分类顺序表'!A:A = B141), 1, 10000000),IFERROR(FILTER(Algoexpert.io!B:D,Algoexpert.io!A:A = B141),FILTER('Leetcode List'!B:J,'Leetcode List'!A:A = B141))))"),"")</f>
        <v/>
      </c>
      <c r="D141" s="20"/>
      <c r="E141" s="20"/>
      <c r="F141" s="20"/>
      <c r="G141" s="20"/>
      <c r="H141" s="20"/>
      <c r="I141" s="20"/>
      <c r="J141" s="20"/>
      <c r="K141" s="20"/>
      <c r="L141" s="20" t="str">
        <f t="shared" si="1"/>
        <v/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>
      <c r="A142" s="22"/>
      <c r="B142" s="20"/>
      <c r="C142" s="20" t="str">
        <f>IFERROR(__xludf.DUMMYFUNCTION("IF(ISBLANK(B142),,IFERROR(array_constrain(FILTER('Leetcode分类顺序表'!B:J,'Leetcode分类顺序表'!A:A = B142), 1, 10000000),IFERROR(FILTER(Algoexpert.io!B:D,Algoexpert.io!A:A = B142),FILTER('Leetcode List'!B:J,'Leetcode List'!A:A = B142))))"),"")</f>
        <v/>
      </c>
      <c r="D142" s="20"/>
      <c r="E142" s="20"/>
      <c r="F142" s="20"/>
      <c r="G142" s="20"/>
      <c r="H142" s="20"/>
      <c r="I142" s="20"/>
      <c r="J142" s="20"/>
      <c r="K142" s="20"/>
      <c r="L142" s="20" t="str">
        <f t="shared" si="1"/>
        <v/>
      </c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>
      <c r="A143" s="22"/>
      <c r="B143" s="20"/>
      <c r="C143" s="20" t="str">
        <f>IFERROR(__xludf.DUMMYFUNCTION("IF(ISBLANK(B143),,IFERROR(array_constrain(FILTER('Leetcode分类顺序表'!B:J,'Leetcode分类顺序表'!A:A = B143), 1, 10000000),IFERROR(FILTER(Algoexpert.io!B:D,Algoexpert.io!A:A = B143),FILTER('Leetcode List'!B:J,'Leetcode List'!A:A = B143))))"),"")</f>
        <v/>
      </c>
      <c r="D143" s="20"/>
      <c r="E143" s="20"/>
      <c r="F143" s="20"/>
      <c r="G143" s="20"/>
      <c r="H143" s="20"/>
      <c r="I143" s="20"/>
      <c r="J143" s="20"/>
      <c r="K143" s="20"/>
      <c r="L143" s="20" t="str">
        <f t="shared" si="1"/>
        <v/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>
      <c r="A144" s="22"/>
      <c r="B144" s="20"/>
      <c r="C144" s="20" t="str">
        <f>IFERROR(__xludf.DUMMYFUNCTION("IF(ISBLANK(B144),,IFERROR(array_constrain(FILTER('Leetcode分类顺序表'!B:J,'Leetcode分类顺序表'!A:A = B144), 1, 10000000),IFERROR(FILTER(Algoexpert.io!B:D,Algoexpert.io!A:A = B144),FILTER('Leetcode List'!B:J,'Leetcode List'!A:A = B144))))"),"")</f>
        <v/>
      </c>
      <c r="D144" s="20"/>
      <c r="E144" s="20"/>
      <c r="F144" s="20"/>
      <c r="G144" s="20"/>
      <c r="H144" s="20"/>
      <c r="I144" s="20"/>
      <c r="J144" s="20"/>
      <c r="K144" s="20"/>
      <c r="L144" s="20" t="str">
        <f t="shared" si="1"/>
        <v/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>
      <c r="A145" s="22"/>
      <c r="B145" s="20"/>
      <c r="C145" s="20" t="str">
        <f>IFERROR(__xludf.DUMMYFUNCTION("IF(ISBLANK(B145),,IFERROR(array_constrain(FILTER('Leetcode分类顺序表'!B:J,'Leetcode分类顺序表'!A:A = B145), 1, 10000000),IFERROR(FILTER(Algoexpert.io!B:D,Algoexpert.io!A:A = B145),FILTER('Leetcode List'!B:J,'Leetcode List'!A:A = B145))))"),"")</f>
        <v/>
      </c>
      <c r="D145" s="20"/>
      <c r="E145" s="20"/>
      <c r="F145" s="20"/>
      <c r="G145" s="20"/>
      <c r="H145" s="20"/>
      <c r="I145" s="20"/>
      <c r="J145" s="20"/>
      <c r="K145" s="20"/>
      <c r="L145" s="20" t="str">
        <f t="shared" si="1"/>
        <v/>
      </c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>
      <c r="A146" s="22"/>
      <c r="B146" s="20"/>
      <c r="C146" s="20" t="str">
        <f>IFERROR(__xludf.DUMMYFUNCTION("IF(ISBLANK(B146),,IFERROR(array_constrain(FILTER('Leetcode分类顺序表'!B:J,'Leetcode分类顺序表'!A:A = B146), 1, 10000000),IFERROR(FILTER(Algoexpert.io!B:D,Algoexpert.io!A:A = B146),FILTER('Leetcode List'!B:J,'Leetcode List'!A:A = B146))))"),"")</f>
        <v/>
      </c>
      <c r="D146" s="20"/>
      <c r="E146" s="20"/>
      <c r="F146" s="20"/>
      <c r="G146" s="20"/>
      <c r="H146" s="20"/>
      <c r="I146" s="20"/>
      <c r="J146" s="20"/>
      <c r="K146" s="20"/>
      <c r="L146" s="20" t="str">
        <f t="shared" si="1"/>
        <v/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>
      <c r="A147" s="22"/>
      <c r="B147" s="20"/>
      <c r="C147" s="20" t="str">
        <f>IFERROR(__xludf.DUMMYFUNCTION("IF(ISBLANK(B147),,IFERROR(array_constrain(FILTER('Leetcode分类顺序表'!B:J,'Leetcode分类顺序表'!A:A = B147), 1, 10000000),IFERROR(FILTER(Algoexpert.io!B:D,Algoexpert.io!A:A = B147),FILTER('Leetcode List'!B:J,'Leetcode List'!A:A = B147))))"),"")</f>
        <v/>
      </c>
      <c r="D147" s="20"/>
      <c r="E147" s="20"/>
      <c r="F147" s="20"/>
      <c r="G147" s="20"/>
      <c r="H147" s="20"/>
      <c r="I147" s="20"/>
      <c r="J147" s="20"/>
      <c r="K147" s="20"/>
      <c r="L147" s="20" t="str">
        <f t="shared" si="1"/>
        <v/>
      </c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>
      <c r="A148" s="22"/>
      <c r="B148" s="20"/>
      <c r="C148" s="20" t="str">
        <f>IFERROR(__xludf.DUMMYFUNCTION("IF(ISBLANK(B148),,IFERROR(array_constrain(FILTER('Leetcode分类顺序表'!B:J,'Leetcode分类顺序表'!A:A = B148), 1, 10000000),IFERROR(FILTER(Algoexpert.io!B:D,Algoexpert.io!A:A = B148),FILTER('Leetcode List'!B:J,'Leetcode List'!A:A = B148))))"),"")</f>
        <v/>
      </c>
      <c r="D148" s="20"/>
      <c r="E148" s="20"/>
      <c r="F148" s="20"/>
      <c r="G148" s="20"/>
      <c r="H148" s="20"/>
      <c r="I148" s="20"/>
      <c r="J148" s="20"/>
      <c r="K148" s="20"/>
      <c r="L148" s="20" t="str">
        <f t="shared" si="1"/>
        <v/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>
      <c r="A149" s="22"/>
      <c r="B149" s="20"/>
      <c r="C149" s="20" t="str">
        <f>IFERROR(__xludf.DUMMYFUNCTION("IF(ISBLANK(B149),,IFERROR(array_constrain(FILTER('Leetcode分类顺序表'!B:J,'Leetcode分类顺序表'!A:A = B149), 1, 10000000),IFERROR(FILTER(Algoexpert.io!B:D,Algoexpert.io!A:A = B149),FILTER('Leetcode List'!B:J,'Leetcode List'!A:A = B149))))"),"")</f>
        <v/>
      </c>
      <c r="D149" s="20"/>
      <c r="E149" s="20"/>
      <c r="F149" s="20"/>
      <c r="G149" s="20"/>
      <c r="H149" s="20"/>
      <c r="I149" s="20"/>
      <c r="J149" s="20"/>
      <c r="K149" s="20"/>
      <c r="L149" s="20" t="str">
        <f t="shared" si="1"/>
        <v/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>
      <c r="A150" s="22"/>
      <c r="B150" s="20"/>
      <c r="C150" s="20" t="str">
        <f>IFERROR(__xludf.DUMMYFUNCTION("IF(ISBLANK(B150),,IFERROR(array_constrain(FILTER('Leetcode分类顺序表'!B:J,'Leetcode分类顺序表'!A:A = B150), 1, 10000000),IFERROR(FILTER(Algoexpert.io!B:D,Algoexpert.io!A:A = B150),FILTER('Leetcode List'!B:J,'Leetcode List'!A:A = B150))))"),"")</f>
        <v/>
      </c>
      <c r="D150" s="20"/>
      <c r="E150" s="20"/>
      <c r="F150" s="20"/>
      <c r="G150" s="20"/>
      <c r="H150" s="20"/>
      <c r="I150" s="20"/>
      <c r="J150" s="20"/>
      <c r="K150" s="20"/>
      <c r="L150" s="20" t="str">
        <f t="shared" si="1"/>
        <v/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>
      <c r="A151" s="22"/>
      <c r="B151" s="20"/>
      <c r="C151" s="20" t="str">
        <f>IFERROR(__xludf.DUMMYFUNCTION("IF(ISBLANK(B151),,IFERROR(array_constrain(FILTER('Leetcode分类顺序表'!B:J,'Leetcode分类顺序表'!A:A = B151), 1, 10000000),IFERROR(FILTER(Algoexpert.io!B:D,Algoexpert.io!A:A = B151),FILTER('Leetcode List'!B:J,'Leetcode List'!A:A = B151))))"),"")</f>
        <v/>
      </c>
      <c r="D151" s="20"/>
      <c r="E151" s="20"/>
      <c r="F151" s="20"/>
      <c r="G151" s="20"/>
      <c r="H151" s="20"/>
      <c r="I151" s="20"/>
      <c r="J151" s="20"/>
      <c r="K151" s="20"/>
      <c r="L151" s="20" t="str">
        <f t="shared" si="1"/>
        <v/>
      </c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>
      <c r="A152" s="22"/>
      <c r="B152" s="20"/>
      <c r="C152" s="20" t="str">
        <f>IFERROR(__xludf.DUMMYFUNCTION("IF(ISBLANK(B152),,IFERROR(array_constrain(FILTER('Leetcode分类顺序表'!B:J,'Leetcode分类顺序表'!A:A = B152), 1, 10000000),IFERROR(FILTER(Algoexpert.io!B:D,Algoexpert.io!A:A = B152),FILTER('Leetcode List'!B:J,'Leetcode List'!A:A = B152))))"),"")</f>
        <v/>
      </c>
      <c r="D152" s="20"/>
      <c r="E152" s="20"/>
      <c r="F152" s="20"/>
      <c r="G152" s="20"/>
      <c r="H152" s="20"/>
      <c r="I152" s="20"/>
      <c r="J152" s="20"/>
      <c r="K152" s="20"/>
      <c r="L152" s="20" t="str">
        <f t="shared" si="1"/>
        <v/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>
      <c r="A153" s="22"/>
      <c r="B153" s="20"/>
      <c r="C153" s="20" t="str">
        <f>IFERROR(__xludf.DUMMYFUNCTION("IF(ISBLANK(B153),,IFERROR(array_constrain(FILTER('Leetcode分类顺序表'!B:J,'Leetcode分类顺序表'!A:A = B153), 1, 10000000),IFERROR(FILTER(Algoexpert.io!B:D,Algoexpert.io!A:A = B153),FILTER('Leetcode List'!B:J,'Leetcode List'!A:A = B153))))"),"")</f>
        <v/>
      </c>
      <c r="D153" s="20"/>
      <c r="E153" s="20"/>
      <c r="F153" s="20"/>
      <c r="G153" s="20"/>
      <c r="H153" s="20"/>
      <c r="I153" s="20"/>
      <c r="J153" s="20"/>
      <c r="K153" s="20"/>
      <c r="L153" s="20" t="str">
        <f t="shared" si="1"/>
        <v/>
      </c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>
      <c r="A154" s="22"/>
      <c r="B154" s="20"/>
      <c r="C154" s="20" t="str">
        <f>IFERROR(__xludf.DUMMYFUNCTION("IF(ISBLANK(B154),,IFERROR(array_constrain(FILTER('Leetcode分类顺序表'!B:J,'Leetcode分类顺序表'!A:A = B154), 1, 10000000),IFERROR(FILTER(Algoexpert.io!B:D,Algoexpert.io!A:A = B154),FILTER('Leetcode List'!B:J,'Leetcode List'!A:A = B154))))"),"")</f>
        <v/>
      </c>
      <c r="D154" s="20"/>
      <c r="E154" s="20"/>
      <c r="F154" s="20"/>
      <c r="G154" s="20"/>
      <c r="H154" s="20"/>
      <c r="I154" s="20"/>
      <c r="J154" s="20"/>
      <c r="K154" s="20"/>
      <c r="L154" s="20" t="str">
        <f t="shared" si="1"/>
        <v/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>
      <c r="A155" s="22"/>
      <c r="B155" s="20"/>
      <c r="C155" s="20" t="str">
        <f>IFERROR(__xludf.DUMMYFUNCTION("IF(ISBLANK(B155),,IFERROR(array_constrain(FILTER('Leetcode分类顺序表'!B:J,'Leetcode分类顺序表'!A:A = B155), 1, 10000000),IFERROR(FILTER(Algoexpert.io!B:D,Algoexpert.io!A:A = B155),FILTER('Leetcode List'!B:J,'Leetcode List'!A:A = B155))))"),"")</f>
        <v/>
      </c>
      <c r="D155" s="20"/>
      <c r="E155" s="20"/>
      <c r="F155" s="20"/>
      <c r="G155" s="20"/>
      <c r="H155" s="20"/>
      <c r="I155" s="20"/>
      <c r="J155" s="20"/>
      <c r="K155" s="20"/>
      <c r="L155" s="20" t="str">
        <f t="shared" si="1"/>
        <v/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>
      <c r="A156" s="22"/>
      <c r="B156" s="20"/>
      <c r="C156" s="20" t="str">
        <f>IFERROR(__xludf.DUMMYFUNCTION("IF(ISBLANK(B156),,IFERROR(array_constrain(FILTER('Leetcode分类顺序表'!B:J,'Leetcode分类顺序表'!A:A = B156), 1, 10000000),IFERROR(FILTER(Algoexpert.io!B:D,Algoexpert.io!A:A = B156),FILTER('Leetcode List'!B:J,'Leetcode List'!A:A = B156))))"),"")</f>
        <v/>
      </c>
      <c r="D156" s="20"/>
      <c r="E156" s="20"/>
      <c r="F156" s="20"/>
      <c r="G156" s="20"/>
      <c r="H156" s="20"/>
      <c r="I156" s="20"/>
      <c r="J156" s="20"/>
      <c r="K156" s="20"/>
      <c r="L156" s="20" t="str">
        <f t="shared" si="1"/>
        <v/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>
      <c r="A157" s="22"/>
      <c r="B157" s="20"/>
      <c r="C157" s="20" t="str">
        <f>IFERROR(__xludf.DUMMYFUNCTION("IF(ISBLANK(B157),,IFERROR(array_constrain(FILTER('Leetcode分类顺序表'!B:J,'Leetcode分类顺序表'!A:A = B157), 1, 10000000),IFERROR(FILTER(Algoexpert.io!B:D,Algoexpert.io!A:A = B157),FILTER('Leetcode List'!B:J,'Leetcode List'!A:A = B157))))"),"")</f>
        <v/>
      </c>
      <c r="D157" s="20"/>
      <c r="E157" s="20"/>
      <c r="F157" s="20"/>
      <c r="G157" s="20"/>
      <c r="H157" s="20"/>
      <c r="I157" s="20"/>
      <c r="J157" s="20"/>
      <c r="K157" s="20"/>
      <c r="L157" s="20" t="str">
        <f t="shared" si="1"/>
        <v/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>
      <c r="A158" s="22"/>
      <c r="B158" s="20"/>
      <c r="C158" s="20" t="str">
        <f>IFERROR(__xludf.DUMMYFUNCTION("IF(ISBLANK(B158),,IFERROR(array_constrain(FILTER('Leetcode分类顺序表'!B:J,'Leetcode分类顺序表'!A:A = B158), 1, 10000000),IFERROR(FILTER(Algoexpert.io!B:D,Algoexpert.io!A:A = B158),FILTER('Leetcode List'!B:J,'Leetcode List'!A:A = B158))))"),"")</f>
        <v/>
      </c>
      <c r="D158" s="20"/>
      <c r="E158" s="20"/>
      <c r="F158" s="20"/>
      <c r="G158" s="20"/>
      <c r="H158" s="20"/>
      <c r="I158" s="20"/>
      <c r="J158" s="20"/>
      <c r="K158" s="20"/>
      <c r="L158" s="20" t="str">
        <f t="shared" si="1"/>
        <v/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>
      <c r="A159" s="22"/>
      <c r="B159" s="20"/>
      <c r="C159" s="20" t="str">
        <f>IFERROR(__xludf.DUMMYFUNCTION("IF(ISBLANK(B159),,IFERROR(array_constrain(FILTER('Leetcode分类顺序表'!B:J,'Leetcode分类顺序表'!A:A = B159), 1, 10000000),IFERROR(FILTER(Algoexpert.io!B:D,Algoexpert.io!A:A = B159),FILTER('Leetcode List'!B:J,'Leetcode List'!A:A = B159))))"),"")</f>
        <v/>
      </c>
      <c r="D159" s="20"/>
      <c r="E159" s="20"/>
      <c r="F159" s="20"/>
      <c r="G159" s="20"/>
      <c r="H159" s="20"/>
      <c r="I159" s="20"/>
      <c r="J159" s="20"/>
      <c r="K159" s="20"/>
      <c r="L159" s="20" t="str">
        <f t="shared" si="1"/>
        <v/>
      </c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>
      <c r="A160" s="22"/>
      <c r="B160" s="20"/>
      <c r="C160" s="20" t="str">
        <f>IFERROR(__xludf.DUMMYFUNCTION("IF(ISBLANK(B160),,IFERROR(array_constrain(FILTER('Leetcode分类顺序表'!B:J,'Leetcode分类顺序表'!A:A = B160), 1, 10000000),IFERROR(FILTER(Algoexpert.io!B:D,Algoexpert.io!A:A = B160),FILTER('Leetcode List'!B:J,'Leetcode List'!A:A = B160))))"),"")</f>
        <v/>
      </c>
      <c r="D160" s="20"/>
      <c r="E160" s="20"/>
      <c r="F160" s="20"/>
      <c r="G160" s="20"/>
      <c r="H160" s="20"/>
      <c r="I160" s="20"/>
      <c r="J160" s="20"/>
      <c r="K160" s="20"/>
      <c r="L160" s="20" t="str">
        <f t="shared" si="1"/>
        <v/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>
      <c r="A161" s="22"/>
      <c r="B161" s="20"/>
      <c r="C161" s="20" t="str">
        <f>IFERROR(__xludf.DUMMYFUNCTION("IF(ISBLANK(B161),,IFERROR(array_constrain(FILTER('Leetcode分类顺序表'!B:J,'Leetcode分类顺序表'!A:A = B161), 1, 10000000),IFERROR(FILTER(Algoexpert.io!B:D,Algoexpert.io!A:A = B161),FILTER('Leetcode List'!B:J,'Leetcode List'!A:A = B161))))"),"")</f>
        <v/>
      </c>
      <c r="D161" s="20"/>
      <c r="E161" s="20"/>
      <c r="F161" s="20"/>
      <c r="G161" s="20"/>
      <c r="H161" s="20"/>
      <c r="I161" s="20"/>
      <c r="J161" s="20"/>
      <c r="K161" s="20"/>
      <c r="L161" s="20" t="str">
        <f t="shared" si="1"/>
        <v/>
      </c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>
      <c r="A162" s="22"/>
      <c r="B162" s="20"/>
      <c r="C162" s="20" t="str">
        <f>IFERROR(__xludf.DUMMYFUNCTION("IF(ISBLANK(B162),,IFERROR(array_constrain(FILTER('Leetcode分类顺序表'!B:J,'Leetcode分类顺序表'!A:A = B162), 1, 10000000),IFERROR(FILTER(Algoexpert.io!B:D,Algoexpert.io!A:A = B162),FILTER('Leetcode List'!B:J,'Leetcode List'!A:A = B162))))"),"")</f>
        <v/>
      </c>
      <c r="D162" s="20"/>
      <c r="E162" s="20"/>
      <c r="F162" s="20"/>
      <c r="G162" s="20"/>
      <c r="H162" s="20"/>
      <c r="I162" s="20"/>
      <c r="J162" s="20"/>
      <c r="K162" s="20"/>
      <c r="L162" s="20" t="str">
        <f t="shared" si="1"/>
        <v/>
      </c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>
      <c r="A163" s="22"/>
      <c r="B163" s="20"/>
      <c r="C163" s="20" t="str">
        <f>IFERROR(__xludf.DUMMYFUNCTION("IF(ISBLANK(B163),,IFERROR(array_constrain(FILTER('Leetcode分类顺序表'!B:J,'Leetcode分类顺序表'!A:A = B163), 1, 10000000),IFERROR(FILTER(Algoexpert.io!B:D,Algoexpert.io!A:A = B163),FILTER('Leetcode List'!B:J,'Leetcode List'!A:A = B163))))"),"")</f>
        <v/>
      </c>
      <c r="D163" s="20"/>
      <c r="E163" s="20"/>
      <c r="F163" s="20"/>
      <c r="G163" s="20"/>
      <c r="H163" s="20"/>
      <c r="I163" s="20"/>
      <c r="J163" s="20"/>
      <c r="K163" s="20"/>
      <c r="L163" s="20" t="str">
        <f t="shared" si="1"/>
        <v/>
      </c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>
      <c r="A164" s="22"/>
      <c r="B164" s="20"/>
      <c r="C164" s="20" t="str">
        <f>IFERROR(__xludf.DUMMYFUNCTION("IF(ISBLANK(B164),,IFERROR(array_constrain(FILTER('Leetcode分类顺序表'!B:J,'Leetcode分类顺序表'!A:A = B164), 1, 10000000),IFERROR(FILTER(Algoexpert.io!B:D,Algoexpert.io!A:A = B164),FILTER('Leetcode List'!B:J,'Leetcode List'!A:A = B164))))"),"")</f>
        <v/>
      </c>
      <c r="D164" s="20"/>
      <c r="E164" s="20"/>
      <c r="F164" s="20"/>
      <c r="G164" s="20"/>
      <c r="H164" s="20"/>
      <c r="I164" s="20"/>
      <c r="J164" s="20"/>
      <c r="K164" s="20"/>
      <c r="L164" s="20" t="str">
        <f t="shared" si="1"/>
        <v/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>
      <c r="A165" s="22"/>
      <c r="B165" s="20"/>
      <c r="C165" s="20" t="str">
        <f>IFERROR(__xludf.DUMMYFUNCTION("IF(ISBLANK(B165),,IFERROR(array_constrain(FILTER('Leetcode分类顺序表'!B:J,'Leetcode分类顺序表'!A:A = B165), 1, 10000000),IFERROR(FILTER(Algoexpert.io!B:D,Algoexpert.io!A:A = B165),FILTER('Leetcode List'!B:J,'Leetcode List'!A:A = B165))))"),"")</f>
        <v/>
      </c>
      <c r="D165" s="20"/>
      <c r="E165" s="20"/>
      <c r="F165" s="20"/>
      <c r="G165" s="20"/>
      <c r="H165" s="20"/>
      <c r="I165" s="20"/>
      <c r="J165" s="20"/>
      <c r="K165" s="20"/>
      <c r="L165" s="20" t="str">
        <f t="shared" si="1"/>
        <v/>
      </c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>
      <c r="A166" s="22"/>
      <c r="B166" s="20"/>
      <c r="C166" s="20" t="str">
        <f>IFERROR(__xludf.DUMMYFUNCTION("IF(ISBLANK(B166),,IFERROR(array_constrain(FILTER('Leetcode分类顺序表'!B:J,'Leetcode分类顺序表'!A:A = B166), 1, 10000000),IFERROR(FILTER(Algoexpert.io!B:D,Algoexpert.io!A:A = B166),FILTER('Leetcode List'!B:J,'Leetcode List'!A:A = B166))))"),"")</f>
        <v/>
      </c>
      <c r="D166" s="20"/>
      <c r="E166" s="20"/>
      <c r="F166" s="20"/>
      <c r="G166" s="20"/>
      <c r="H166" s="20"/>
      <c r="I166" s="20"/>
      <c r="J166" s="20"/>
      <c r="K166" s="20"/>
      <c r="L166" s="20" t="str">
        <f t="shared" si="1"/>
        <v/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>
      <c r="A167" s="22"/>
      <c r="B167" s="20"/>
      <c r="C167" s="20" t="str">
        <f>IFERROR(__xludf.DUMMYFUNCTION("IF(ISBLANK(B167),,IFERROR(array_constrain(FILTER('Leetcode分类顺序表'!B:J,'Leetcode分类顺序表'!A:A = B167), 1, 10000000),IFERROR(FILTER(Algoexpert.io!B:D,Algoexpert.io!A:A = B167),FILTER('Leetcode List'!B:J,'Leetcode List'!A:A = B167))))"),"")</f>
        <v/>
      </c>
      <c r="D167" s="20"/>
      <c r="E167" s="20"/>
      <c r="F167" s="20"/>
      <c r="G167" s="20"/>
      <c r="H167" s="20"/>
      <c r="I167" s="20"/>
      <c r="J167" s="20"/>
      <c r="K167" s="20"/>
      <c r="L167" s="20" t="str">
        <f t="shared" si="1"/>
        <v/>
      </c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>
      <c r="A168" s="22"/>
      <c r="B168" s="20"/>
      <c r="C168" s="20" t="str">
        <f>IFERROR(__xludf.DUMMYFUNCTION("IF(ISBLANK(B168),,IFERROR(array_constrain(FILTER('Leetcode分类顺序表'!B:J,'Leetcode分类顺序表'!A:A = B168), 1, 10000000),IFERROR(FILTER(Algoexpert.io!B:D,Algoexpert.io!A:A = B168),FILTER('Leetcode List'!B:J,'Leetcode List'!A:A = B168))))"),"")</f>
        <v/>
      </c>
      <c r="D168" s="20"/>
      <c r="E168" s="20"/>
      <c r="F168" s="20"/>
      <c r="G168" s="20"/>
      <c r="H168" s="20"/>
      <c r="I168" s="20"/>
      <c r="J168" s="20"/>
      <c r="K168" s="20"/>
      <c r="L168" s="20" t="str">
        <f t="shared" si="1"/>
        <v/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>
      <c r="A169" s="22"/>
      <c r="B169" s="20"/>
      <c r="C169" s="20" t="str">
        <f>IFERROR(__xludf.DUMMYFUNCTION("IF(ISBLANK(B169),,IFERROR(array_constrain(FILTER('Leetcode分类顺序表'!B:J,'Leetcode分类顺序表'!A:A = B169), 1, 10000000),IFERROR(FILTER(Algoexpert.io!B:D,Algoexpert.io!A:A = B169),FILTER('Leetcode List'!B:J,'Leetcode List'!A:A = B169))))"),"")</f>
        <v/>
      </c>
      <c r="D169" s="20"/>
      <c r="E169" s="20"/>
      <c r="F169" s="20"/>
      <c r="G169" s="20"/>
      <c r="H169" s="20"/>
      <c r="I169" s="20"/>
      <c r="J169" s="20"/>
      <c r="K169" s="20"/>
      <c r="L169" s="20" t="str">
        <f t="shared" si="1"/>
        <v/>
      </c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>
      <c r="A170" s="22"/>
      <c r="B170" s="20"/>
      <c r="C170" s="20" t="str">
        <f>IFERROR(__xludf.DUMMYFUNCTION("IF(ISBLANK(B170),,IFERROR(array_constrain(FILTER('Leetcode分类顺序表'!B:J,'Leetcode分类顺序表'!A:A = B170), 1, 10000000),IFERROR(FILTER(Algoexpert.io!B:D,Algoexpert.io!A:A = B170),FILTER('Leetcode List'!B:J,'Leetcode List'!A:A = B170))))"),"")</f>
        <v/>
      </c>
      <c r="D170" s="20"/>
      <c r="E170" s="20"/>
      <c r="F170" s="20"/>
      <c r="G170" s="20"/>
      <c r="H170" s="20"/>
      <c r="I170" s="20"/>
      <c r="J170" s="20"/>
      <c r="K170" s="20"/>
      <c r="L170" s="20" t="str">
        <f t="shared" si="1"/>
        <v/>
      </c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>
      <c r="A171" s="22"/>
      <c r="B171" s="20"/>
      <c r="C171" s="20" t="str">
        <f>IFERROR(__xludf.DUMMYFUNCTION("IF(ISBLANK(B171),,IFERROR(array_constrain(FILTER('Leetcode分类顺序表'!B:J,'Leetcode分类顺序表'!A:A = B171), 1, 10000000),IFERROR(FILTER(Algoexpert.io!B:D,Algoexpert.io!A:A = B171),FILTER('Leetcode List'!B:J,'Leetcode List'!A:A = B171))))"),"")</f>
        <v/>
      </c>
      <c r="D171" s="20"/>
      <c r="E171" s="20"/>
      <c r="F171" s="20"/>
      <c r="G171" s="20"/>
      <c r="H171" s="20"/>
      <c r="I171" s="20"/>
      <c r="J171" s="20"/>
      <c r="K171" s="20"/>
      <c r="L171" s="20" t="str">
        <f t="shared" si="1"/>
        <v/>
      </c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>
      <c r="A172" s="22"/>
      <c r="B172" s="20"/>
      <c r="C172" s="20" t="str">
        <f>IFERROR(__xludf.DUMMYFUNCTION("IF(ISBLANK(B172),,IFERROR(array_constrain(FILTER('Leetcode分类顺序表'!B:J,'Leetcode分类顺序表'!A:A = B172), 1, 10000000),IFERROR(FILTER(Algoexpert.io!B:D,Algoexpert.io!A:A = B172),FILTER('Leetcode List'!B:J,'Leetcode List'!A:A = B172))))"),"")</f>
        <v/>
      </c>
      <c r="D172" s="20"/>
      <c r="E172" s="20"/>
      <c r="F172" s="20"/>
      <c r="G172" s="20"/>
      <c r="H172" s="20"/>
      <c r="I172" s="20"/>
      <c r="J172" s="20"/>
      <c r="K172" s="20"/>
      <c r="L172" s="20" t="str">
        <f t="shared" si="1"/>
        <v/>
      </c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>
      <c r="A173" s="22"/>
      <c r="B173" s="20"/>
      <c r="C173" s="20" t="str">
        <f>IFERROR(__xludf.DUMMYFUNCTION("IF(ISBLANK(B173),,IFERROR(array_constrain(FILTER('Leetcode分类顺序表'!B:J,'Leetcode分类顺序表'!A:A = B173), 1, 10000000),IFERROR(FILTER(Algoexpert.io!B:D,Algoexpert.io!A:A = B173),FILTER('Leetcode List'!B:J,'Leetcode List'!A:A = B173))))"),"")</f>
        <v/>
      </c>
      <c r="D173" s="20"/>
      <c r="E173" s="20"/>
      <c r="F173" s="20"/>
      <c r="G173" s="20"/>
      <c r="H173" s="20"/>
      <c r="I173" s="20"/>
      <c r="J173" s="20"/>
      <c r="K173" s="20"/>
      <c r="L173" s="20" t="str">
        <f t="shared" si="1"/>
        <v/>
      </c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>
      <c r="A174" s="22"/>
      <c r="B174" s="20"/>
      <c r="C174" s="20" t="str">
        <f>IFERROR(__xludf.DUMMYFUNCTION("IF(ISBLANK(B174),,IFERROR(array_constrain(FILTER('Leetcode分类顺序表'!B:J,'Leetcode分类顺序表'!A:A = B174), 1, 10000000),IFERROR(FILTER(Algoexpert.io!B:D,Algoexpert.io!A:A = B174),FILTER('Leetcode List'!B:J,'Leetcode List'!A:A = B174))))"),"")</f>
        <v/>
      </c>
      <c r="D174" s="20"/>
      <c r="E174" s="20"/>
      <c r="F174" s="20"/>
      <c r="G174" s="20"/>
      <c r="H174" s="20"/>
      <c r="I174" s="20"/>
      <c r="J174" s="20"/>
      <c r="K174" s="20"/>
      <c r="L174" s="20" t="str">
        <f t="shared" si="1"/>
        <v/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>
      <c r="A175" s="22"/>
      <c r="B175" s="20"/>
      <c r="C175" s="20" t="str">
        <f>IFERROR(__xludf.DUMMYFUNCTION("IF(ISBLANK(B175),,IFERROR(array_constrain(FILTER('Leetcode分类顺序表'!B:J,'Leetcode分类顺序表'!A:A = B175), 1, 10000000),IFERROR(FILTER(Algoexpert.io!B:D,Algoexpert.io!A:A = B175),FILTER('Leetcode List'!B:J,'Leetcode List'!A:A = B175))))"),"")</f>
        <v/>
      </c>
      <c r="D175" s="20"/>
      <c r="E175" s="20"/>
      <c r="F175" s="20"/>
      <c r="G175" s="20"/>
      <c r="H175" s="20"/>
      <c r="I175" s="20"/>
      <c r="J175" s="20"/>
      <c r="K175" s="20"/>
      <c r="L175" s="20" t="str">
        <f t="shared" si="1"/>
        <v/>
      </c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>
      <c r="A176" s="22"/>
      <c r="B176" s="20"/>
      <c r="C176" s="20" t="str">
        <f>IFERROR(__xludf.DUMMYFUNCTION("IF(ISBLANK(B176),,IFERROR(array_constrain(FILTER('Leetcode分类顺序表'!B:J,'Leetcode分类顺序表'!A:A = B176), 1, 10000000),IFERROR(FILTER(Algoexpert.io!B:D,Algoexpert.io!A:A = B176),FILTER('Leetcode List'!B:J,'Leetcode List'!A:A = B176))))"),"")</f>
        <v/>
      </c>
      <c r="D176" s="20"/>
      <c r="E176" s="20"/>
      <c r="F176" s="20"/>
      <c r="G176" s="20"/>
      <c r="H176" s="20"/>
      <c r="I176" s="20"/>
      <c r="J176" s="20"/>
      <c r="K176" s="20"/>
      <c r="L176" s="20" t="str">
        <f t="shared" si="1"/>
        <v/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>
      <c r="A177" s="22"/>
      <c r="B177" s="20"/>
      <c r="C177" s="20" t="str">
        <f>IFERROR(__xludf.DUMMYFUNCTION("IF(ISBLANK(B177),,IFERROR(array_constrain(FILTER('Leetcode分类顺序表'!B:J,'Leetcode分类顺序表'!A:A = B177), 1, 10000000),IFERROR(FILTER(Algoexpert.io!B:D,Algoexpert.io!A:A = B177),FILTER('Leetcode List'!B:J,'Leetcode List'!A:A = B177))))"),"")</f>
        <v/>
      </c>
      <c r="D177" s="20"/>
      <c r="E177" s="20"/>
      <c r="F177" s="20"/>
      <c r="G177" s="20"/>
      <c r="H177" s="20"/>
      <c r="I177" s="20"/>
      <c r="J177" s="20"/>
      <c r="K177" s="20"/>
      <c r="L177" s="20" t="str">
        <f t="shared" si="1"/>
        <v/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>
      <c r="A178" s="22"/>
      <c r="B178" s="20"/>
      <c r="C178" s="20" t="str">
        <f>IFERROR(__xludf.DUMMYFUNCTION("IF(ISBLANK(B178),,IFERROR(array_constrain(FILTER('Leetcode分类顺序表'!B:J,'Leetcode分类顺序表'!A:A = B178), 1, 10000000),IFERROR(FILTER(Algoexpert.io!B:D,Algoexpert.io!A:A = B178),FILTER('Leetcode List'!B:J,'Leetcode List'!A:A = B178))))"),"")</f>
        <v/>
      </c>
      <c r="D178" s="20"/>
      <c r="E178" s="20"/>
      <c r="F178" s="20"/>
      <c r="G178" s="20"/>
      <c r="H178" s="20"/>
      <c r="I178" s="20"/>
      <c r="J178" s="20"/>
      <c r="K178" s="20"/>
      <c r="L178" s="20" t="str">
        <f t="shared" si="1"/>
        <v/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>
      <c r="A179" s="22"/>
      <c r="B179" s="20"/>
      <c r="C179" s="20" t="str">
        <f>IFERROR(__xludf.DUMMYFUNCTION("IF(ISBLANK(B179),,IFERROR(array_constrain(FILTER('Leetcode分类顺序表'!B:J,'Leetcode分类顺序表'!A:A = B179), 1, 10000000),IFERROR(FILTER(Algoexpert.io!B:D,Algoexpert.io!A:A = B179),FILTER('Leetcode List'!B:J,'Leetcode List'!A:A = B179))))"),"")</f>
        <v/>
      </c>
      <c r="D179" s="20"/>
      <c r="E179" s="20"/>
      <c r="F179" s="20"/>
      <c r="G179" s="20"/>
      <c r="H179" s="20"/>
      <c r="I179" s="20"/>
      <c r="J179" s="20"/>
      <c r="K179" s="20"/>
      <c r="L179" s="20" t="str">
        <f t="shared" si="1"/>
        <v/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>
      <c r="A180" s="22"/>
      <c r="B180" s="20"/>
      <c r="C180" s="20" t="str">
        <f>IFERROR(__xludf.DUMMYFUNCTION("IF(ISBLANK(B180),,IFERROR(array_constrain(FILTER('Leetcode分类顺序表'!B:J,'Leetcode分类顺序表'!A:A = B180), 1, 10000000),IFERROR(FILTER(Algoexpert.io!B:D,Algoexpert.io!A:A = B180),FILTER('Leetcode List'!B:J,'Leetcode List'!A:A = B180))))"),"")</f>
        <v/>
      </c>
      <c r="D180" s="20"/>
      <c r="E180" s="20"/>
      <c r="F180" s="20"/>
      <c r="G180" s="20"/>
      <c r="H180" s="20"/>
      <c r="I180" s="20"/>
      <c r="J180" s="20"/>
      <c r="K180" s="20"/>
      <c r="L180" s="20" t="str">
        <f t="shared" si="1"/>
        <v/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>
      <c r="A181" s="22"/>
      <c r="B181" s="20"/>
      <c r="C181" s="20" t="str">
        <f>IFERROR(__xludf.DUMMYFUNCTION("IF(ISBLANK(B181),,IFERROR(array_constrain(FILTER('Leetcode分类顺序表'!B:J,'Leetcode分类顺序表'!A:A = B181), 1, 10000000),IFERROR(FILTER(Algoexpert.io!B:D,Algoexpert.io!A:A = B181),FILTER('Leetcode List'!B:J,'Leetcode List'!A:A = B181))))"),"")</f>
        <v/>
      </c>
      <c r="D181" s="20"/>
      <c r="E181" s="20"/>
      <c r="F181" s="20"/>
      <c r="G181" s="20"/>
      <c r="H181" s="20"/>
      <c r="I181" s="20"/>
      <c r="J181" s="20"/>
      <c r="K181" s="20"/>
      <c r="L181" s="20" t="str">
        <f t="shared" si="1"/>
        <v/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>
      <c r="A182" s="22"/>
      <c r="B182" s="20"/>
      <c r="C182" s="20" t="str">
        <f>IFERROR(__xludf.DUMMYFUNCTION("IF(ISBLANK(B182),,IFERROR(array_constrain(FILTER('Leetcode分类顺序表'!B:J,'Leetcode分类顺序表'!A:A = B182), 1, 10000000),IFERROR(FILTER(Algoexpert.io!B:D,Algoexpert.io!A:A = B182),FILTER('Leetcode List'!B:J,'Leetcode List'!A:A = B182))))"),"")</f>
        <v/>
      </c>
      <c r="D182" s="20"/>
      <c r="E182" s="20"/>
      <c r="F182" s="20"/>
      <c r="G182" s="20"/>
      <c r="H182" s="20"/>
      <c r="I182" s="20"/>
      <c r="J182" s="20"/>
      <c r="K182" s="20"/>
      <c r="L182" s="20" t="str">
        <f t="shared" si="1"/>
        <v/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>
      <c r="A183" s="22"/>
      <c r="B183" s="20"/>
      <c r="C183" s="20" t="str">
        <f>IFERROR(__xludf.DUMMYFUNCTION("IF(ISBLANK(B183),,IFERROR(array_constrain(FILTER('Leetcode分类顺序表'!B:J,'Leetcode分类顺序表'!A:A = B183), 1, 10000000),IFERROR(FILTER(Algoexpert.io!B:D,Algoexpert.io!A:A = B183),FILTER('Leetcode List'!B:J,'Leetcode List'!A:A = B183))))"),"")</f>
        <v/>
      </c>
      <c r="D183" s="20"/>
      <c r="E183" s="20"/>
      <c r="F183" s="20"/>
      <c r="G183" s="20"/>
      <c r="H183" s="20"/>
      <c r="I183" s="20"/>
      <c r="J183" s="20"/>
      <c r="K183" s="20"/>
      <c r="L183" s="20" t="str">
        <f t="shared" si="1"/>
        <v/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>
      <c r="A184" s="22"/>
      <c r="B184" s="20"/>
      <c r="C184" s="20" t="str">
        <f>IFERROR(__xludf.DUMMYFUNCTION("IF(ISBLANK(B184),,IFERROR(array_constrain(FILTER('Leetcode分类顺序表'!B:J,'Leetcode分类顺序表'!A:A = B184), 1, 10000000),IFERROR(FILTER(Algoexpert.io!B:D,Algoexpert.io!A:A = B184),FILTER('Leetcode List'!B:J,'Leetcode List'!A:A = B184))))"),"")</f>
        <v/>
      </c>
      <c r="D184" s="20"/>
      <c r="E184" s="20"/>
      <c r="F184" s="20"/>
      <c r="G184" s="20"/>
      <c r="H184" s="20"/>
      <c r="I184" s="20"/>
      <c r="J184" s="20"/>
      <c r="K184" s="20"/>
      <c r="L184" s="20" t="str">
        <f t="shared" si="1"/>
        <v/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>
      <c r="A185" s="22"/>
      <c r="B185" s="20"/>
      <c r="C185" s="20" t="str">
        <f>IFERROR(__xludf.DUMMYFUNCTION("IF(ISBLANK(B185),,IFERROR(array_constrain(FILTER('Leetcode分类顺序表'!B:J,'Leetcode分类顺序表'!A:A = B185), 1, 10000000),IFERROR(FILTER(Algoexpert.io!B:D,Algoexpert.io!A:A = B185),FILTER('Leetcode List'!B:J,'Leetcode List'!A:A = B185))))"),"")</f>
        <v/>
      </c>
      <c r="D185" s="20"/>
      <c r="E185" s="20"/>
      <c r="F185" s="20"/>
      <c r="G185" s="20"/>
      <c r="H185" s="20"/>
      <c r="I185" s="20"/>
      <c r="J185" s="20"/>
      <c r="K185" s="20"/>
      <c r="L185" s="20" t="str">
        <f t="shared" si="1"/>
        <v/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>
      <c r="A186" s="22"/>
      <c r="B186" s="20"/>
      <c r="C186" s="20" t="str">
        <f>IFERROR(__xludf.DUMMYFUNCTION("IF(ISBLANK(B186),,IFERROR(array_constrain(FILTER('Leetcode分类顺序表'!B:J,'Leetcode分类顺序表'!A:A = B186), 1, 10000000),IFERROR(FILTER(Algoexpert.io!B:D,Algoexpert.io!A:A = B186),FILTER('Leetcode List'!B:J,'Leetcode List'!A:A = B186))))"),"")</f>
        <v/>
      </c>
      <c r="D186" s="20"/>
      <c r="E186" s="20"/>
      <c r="F186" s="20"/>
      <c r="G186" s="20"/>
      <c r="H186" s="20"/>
      <c r="I186" s="20"/>
      <c r="J186" s="20"/>
      <c r="K186" s="20"/>
      <c r="L186" s="20" t="str">
        <f t="shared" si="1"/>
        <v/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>
      <c r="A187" s="22"/>
      <c r="B187" s="20"/>
      <c r="C187" s="20" t="str">
        <f>IFERROR(__xludf.DUMMYFUNCTION("IF(ISBLANK(B187),,IFERROR(array_constrain(FILTER('Leetcode分类顺序表'!B:J,'Leetcode分类顺序表'!A:A = B187), 1, 10000000),IFERROR(FILTER(Algoexpert.io!B:D,Algoexpert.io!A:A = B187),FILTER('Leetcode List'!B:J,'Leetcode List'!A:A = B187))))"),"")</f>
        <v/>
      </c>
      <c r="D187" s="20"/>
      <c r="E187" s="20"/>
      <c r="F187" s="20"/>
      <c r="G187" s="20"/>
      <c r="H187" s="20"/>
      <c r="I187" s="20"/>
      <c r="J187" s="20"/>
      <c r="K187" s="20"/>
      <c r="L187" s="20" t="str">
        <f t="shared" si="1"/>
        <v/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>
      <c r="A188" s="22"/>
      <c r="B188" s="20"/>
      <c r="C188" s="20" t="str">
        <f>IFERROR(__xludf.DUMMYFUNCTION("IF(ISBLANK(B188),,IFERROR(array_constrain(FILTER('Leetcode分类顺序表'!B:J,'Leetcode分类顺序表'!A:A = B188), 1, 10000000),IFERROR(FILTER(Algoexpert.io!B:D,Algoexpert.io!A:A = B188),FILTER('Leetcode List'!B:J,'Leetcode List'!A:A = B188))))"),"")</f>
        <v/>
      </c>
      <c r="D188" s="20"/>
      <c r="E188" s="20"/>
      <c r="F188" s="20"/>
      <c r="G188" s="20"/>
      <c r="H188" s="20"/>
      <c r="I188" s="20"/>
      <c r="J188" s="20"/>
      <c r="K188" s="20"/>
      <c r="L188" s="20" t="str">
        <f t="shared" si="1"/>
        <v/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>
      <c r="A189" s="22"/>
      <c r="B189" s="20"/>
      <c r="C189" s="20" t="str">
        <f>IFERROR(__xludf.DUMMYFUNCTION("IF(ISBLANK(B189),,IFERROR(array_constrain(FILTER('Leetcode分类顺序表'!B:J,'Leetcode分类顺序表'!A:A = B189), 1, 10000000),IFERROR(FILTER(Algoexpert.io!B:D,Algoexpert.io!A:A = B189),FILTER('Leetcode List'!B:J,'Leetcode List'!A:A = B189))))"),"")</f>
        <v/>
      </c>
      <c r="D189" s="20"/>
      <c r="E189" s="20"/>
      <c r="F189" s="20"/>
      <c r="G189" s="20"/>
      <c r="H189" s="20"/>
      <c r="I189" s="20"/>
      <c r="J189" s="20"/>
      <c r="K189" s="20"/>
      <c r="L189" s="20" t="str">
        <f t="shared" si="1"/>
        <v/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>
      <c r="A190" s="22"/>
      <c r="B190" s="20"/>
      <c r="C190" s="20" t="str">
        <f>IFERROR(__xludf.DUMMYFUNCTION("IF(ISBLANK(B190),,IFERROR(array_constrain(FILTER('Leetcode分类顺序表'!B:J,'Leetcode分类顺序表'!A:A = B190), 1, 10000000),IFERROR(FILTER(Algoexpert.io!B:D,Algoexpert.io!A:A = B190),FILTER('Leetcode List'!B:J,'Leetcode List'!A:A = B190))))"),"")</f>
        <v/>
      </c>
      <c r="D190" s="20"/>
      <c r="E190" s="20"/>
      <c r="F190" s="20"/>
      <c r="G190" s="20"/>
      <c r="H190" s="20"/>
      <c r="I190" s="20"/>
      <c r="J190" s="20"/>
      <c r="K190" s="20"/>
      <c r="L190" s="20" t="str">
        <f t="shared" si="1"/>
        <v/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>
      <c r="A191" s="22"/>
      <c r="B191" s="20"/>
      <c r="C191" s="20" t="str">
        <f>IFERROR(__xludf.DUMMYFUNCTION("IF(ISBLANK(B191),,IFERROR(array_constrain(FILTER('Leetcode分类顺序表'!B:J,'Leetcode分类顺序表'!A:A = B191), 1, 10000000),IFERROR(FILTER(Algoexpert.io!B:D,Algoexpert.io!A:A = B191),FILTER('Leetcode List'!B:J,'Leetcode List'!A:A = B191))))"),"")</f>
        <v/>
      </c>
      <c r="D191" s="20"/>
      <c r="E191" s="20"/>
      <c r="F191" s="20"/>
      <c r="G191" s="20"/>
      <c r="H191" s="20"/>
      <c r="I191" s="20"/>
      <c r="J191" s="20"/>
      <c r="K191" s="20"/>
      <c r="L191" s="20" t="str">
        <f t="shared" si="1"/>
        <v/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>
      <c r="A192" s="22"/>
      <c r="B192" s="20"/>
      <c r="C192" s="20" t="str">
        <f>IFERROR(__xludf.DUMMYFUNCTION("IF(ISBLANK(B192),,IFERROR(array_constrain(FILTER('Leetcode分类顺序表'!B:J,'Leetcode分类顺序表'!A:A = B192), 1, 10000000),IFERROR(FILTER(Algoexpert.io!B:D,Algoexpert.io!A:A = B192),FILTER('Leetcode List'!B:J,'Leetcode List'!A:A = B192))))"),"")</f>
        <v/>
      </c>
      <c r="D192" s="20"/>
      <c r="E192" s="20"/>
      <c r="F192" s="20"/>
      <c r="G192" s="20"/>
      <c r="H192" s="20"/>
      <c r="I192" s="20"/>
      <c r="J192" s="20"/>
      <c r="K192" s="20"/>
      <c r="L192" s="20" t="str">
        <f t="shared" si="1"/>
        <v/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>
      <c r="A193" s="22"/>
      <c r="B193" s="20"/>
      <c r="C193" s="20" t="str">
        <f>IFERROR(__xludf.DUMMYFUNCTION("IF(ISBLANK(B193),,IFERROR(array_constrain(FILTER('Leetcode分类顺序表'!B:J,'Leetcode分类顺序表'!A:A = B193), 1, 10000000),IFERROR(FILTER(Algoexpert.io!B:D,Algoexpert.io!A:A = B193),FILTER('Leetcode List'!B:J,'Leetcode List'!A:A = B193))))"),"")</f>
        <v/>
      </c>
      <c r="D193" s="20"/>
      <c r="E193" s="20"/>
      <c r="F193" s="20"/>
      <c r="G193" s="20"/>
      <c r="H193" s="20"/>
      <c r="I193" s="20"/>
      <c r="J193" s="20"/>
      <c r="K193" s="20"/>
      <c r="L193" s="20" t="str">
        <f t="shared" si="1"/>
        <v/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>
      <c r="A194" s="22"/>
      <c r="B194" s="20"/>
      <c r="C194" s="20" t="str">
        <f>IFERROR(__xludf.DUMMYFUNCTION("IF(ISBLANK(B194),,IFERROR(array_constrain(FILTER('Leetcode分类顺序表'!B:J,'Leetcode分类顺序表'!A:A = B194), 1, 10000000),IFERROR(FILTER(Algoexpert.io!B:D,Algoexpert.io!A:A = B194),FILTER('Leetcode List'!B:J,'Leetcode List'!A:A = B194))))"),"")</f>
        <v/>
      </c>
      <c r="D194" s="20"/>
      <c r="E194" s="20"/>
      <c r="F194" s="20"/>
      <c r="G194" s="20"/>
      <c r="H194" s="20"/>
      <c r="I194" s="20"/>
      <c r="J194" s="20"/>
      <c r="K194" s="20"/>
      <c r="L194" s="20" t="str">
        <f t="shared" si="1"/>
        <v/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>
      <c r="A195" s="22"/>
      <c r="B195" s="20"/>
      <c r="C195" s="20" t="str">
        <f>IFERROR(__xludf.DUMMYFUNCTION("IF(ISBLANK(B195),,IFERROR(array_constrain(FILTER('Leetcode分类顺序表'!B:J,'Leetcode分类顺序表'!A:A = B195), 1, 10000000),IFERROR(FILTER(Algoexpert.io!B:D,Algoexpert.io!A:A = B195),FILTER('Leetcode List'!B:J,'Leetcode List'!A:A = B195))))"),"")</f>
        <v/>
      </c>
      <c r="D195" s="20"/>
      <c r="E195" s="20"/>
      <c r="F195" s="20"/>
      <c r="G195" s="20"/>
      <c r="H195" s="20"/>
      <c r="I195" s="20"/>
      <c r="J195" s="20"/>
      <c r="K195" s="20"/>
      <c r="L195" s="20" t="str">
        <f t="shared" si="1"/>
        <v/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>
      <c r="A196" s="22"/>
      <c r="B196" s="20"/>
      <c r="C196" s="20" t="str">
        <f>IFERROR(__xludf.DUMMYFUNCTION("IF(ISBLANK(B196),,IFERROR(array_constrain(FILTER('Leetcode分类顺序表'!B:J,'Leetcode分类顺序表'!A:A = B196), 1, 10000000),IFERROR(FILTER(Algoexpert.io!B:D,Algoexpert.io!A:A = B196),FILTER('Leetcode List'!B:J,'Leetcode List'!A:A = B196))))"),"")</f>
        <v/>
      </c>
      <c r="D196" s="20"/>
      <c r="E196" s="20"/>
      <c r="F196" s="20"/>
      <c r="G196" s="20"/>
      <c r="H196" s="20"/>
      <c r="I196" s="20"/>
      <c r="J196" s="20"/>
      <c r="K196" s="20"/>
      <c r="L196" s="20" t="str">
        <f t="shared" si="1"/>
        <v/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>
      <c r="A197" s="22"/>
      <c r="B197" s="20"/>
      <c r="C197" s="20" t="str">
        <f>IFERROR(__xludf.DUMMYFUNCTION("IF(ISBLANK(B197),,IFERROR(array_constrain(FILTER('Leetcode分类顺序表'!B:J,'Leetcode分类顺序表'!A:A = B197), 1, 10000000),IFERROR(FILTER(Algoexpert.io!B:D,Algoexpert.io!A:A = B197),FILTER('Leetcode List'!B:J,'Leetcode List'!A:A = B197))))"),"")</f>
        <v/>
      </c>
      <c r="D197" s="20"/>
      <c r="E197" s="20"/>
      <c r="F197" s="20"/>
      <c r="G197" s="20"/>
      <c r="H197" s="20"/>
      <c r="I197" s="20"/>
      <c r="J197" s="20"/>
      <c r="K197" s="20"/>
      <c r="L197" s="20" t="str">
        <f t="shared" si="1"/>
        <v/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>
      <c r="A198" s="22"/>
      <c r="B198" s="20"/>
      <c r="C198" s="20" t="str">
        <f>IFERROR(__xludf.DUMMYFUNCTION("IF(ISBLANK(B198),,IFERROR(array_constrain(FILTER('Leetcode分类顺序表'!B:J,'Leetcode分类顺序表'!A:A = B198), 1, 10000000),IFERROR(FILTER(Algoexpert.io!B:D,Algoexpert.io!A:A = B198),FILTER('Leetcode List'!B:J,'Leetcode List'!A:A = B198))))"),"")</f>
        <v/>
      </c>
      <c r="D198" s="20"/>
      <c r="E198" s="20"/>
      <c r="F198" s="20"/>
      <c r="G198" s="20"/>
      <c r="H198" s="20"/>
      <c r="I198" s="20"/>
      <c r="J198" s="20"/>
      <c r="K198" s="20"/>
      <c r="L198" s="20" t="str">
        <f t="shared" si="1"/>
        <v/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>
      <c r="A199" s="22"/>
      <c r="B199" s="20"/>
      <c r="C199" s="20" t="str">
        <f>IFERROR(__xludf.DUMMYFUNCTION("IF(ISBLANK(B199),,IFERROR(array_constrain(FILTER('Leetcode分类顺序表'!B:J,'Leetcode分类顺序表'!A:A = B199), 1, 10000000),IFERROR(FILTER(Algoexpert.io!B:D,Algoexpert.io!A:A = B199),FILTER('Leetcode List'!B:J,'Leetcode List'!A:A = B199))))"),"")</f>
        <v/>
      </c>
      <c r="D199" s="20"/>
      <c r="E199" s="20"/>
      <c r="F199" s="20"/>
      <c r="G199" s="20"/>
      <c r="H199" s="20"/>
      <c r="I199" s="20"/>
      <c r="J199" s="20"/>
      <c r="K199" s="20"/>
      <c r="L199" s="20" t="str">
        <f t="shared" si="1"/>
        <v/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>
      <c r="A200" s="22"/>
      <c r="B200" s="20"/>
      <c r="C200" s="20" t="str">
        <f>IFERROR(__xludf.DUMMYFUNCTION("IF(ISBLANK(B200),,IFERROR(array_constrain(FILTER('Leetcode分类顺序表'!B:J,'Leetcode分类顺序表'!A:A = B200), 1, 10000000),IFERROR(FILTER(Algoexpert.io!B:D,Algoexpert.io!A:A = B200),FILTER('Leetcode List'!B:J,'Leetcode List'!A:A = B200))))"),"")</f>
        <v/>
      </c>
      <c r="D200" s="20"/>
      <c r="E200" s="20"/>
      <c r="F200" s="20"/>
      <c r="G200" s="20"/>
      <c r="H200" s="20"/>
      <c r="I200" s="20"/>
      <c r="J200" s="20"/>
      <c r="K200" s="20"/>
      <c r="L200" s="20" t="str">
        <f t="shared" si="1"/>
        <v/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>
      <c r="A201" s="22"/>
      <c r="B201" s="20"/>
      <c r="C201" s="20" t="str">
        <f>IFERROR(__xludf.DUMMYFUNCTION("IF(ISBLANK(B201),,IFERROR(array_constrain(FILTER('Leetcode分类顺序表'!B:J,'Leetcode分类顺序表'!A:A = B201), 1, 10000000),IFERROR(FILTER(Algoexpert.io!B:D,Algoexpert.io!A:A = B201),FILTER('Leetcode List'!B:J,'Leetcode List'!A:A = B201))))"),"")</f>
        <v/>
      </c>
      <c r="D201" s="20"/>
      <c r="E201" s="20"/>
      <c r="F201" s="20"/>
      <c r="G201" s="20"/>
      <c r="H201" s="20"/>
      <c r="I201" s="20"/>
      <c r="J201" s="20"/>
      <c r="K201" s="20"/>
      <c r="L201" s="20" t="str">
        <f t="shared" si="1"/>
        <v/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>
      <c r="A202" s="22"/>
      <c r="B202" s="20"/>
      <c r="C202" s="20" t="str">
        <f>IFERROR(__xludf.DUMMYFUNCTION("IF(ISBLANK(B202),,IFERROR(array_constrain(FILTER('Leetcode分类顺序表'!B:J,'Leetcode分类顺序表'!A:A = B202), 1, 10000000),IFERROR(FILTER(Algoexpert.io!B:D,Algoexpert.io!A:A = B202),FILTER('Leetcode List'!B:J,'Leetcode List'!A:A = B202))))"),"")</f>
        <v/>
      </c>
      <c r="D202" s="20"/>
      <c r="E202" s="20"/>
      <c r="F202" s="20"/>
      <c r="G202" s="20"/>
      <c r="H202" s="20"/>
      <c r="I202" s="20"/>
      <c r="J202" s="20"/>
      <c r="K202" s="20"/>
      <c r="L202" s="20" t="str">
        <f t="shared" si="1"/>
        <v/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>
      <c r="A203" s="22"/>
      <c r="B203" s="20"/>
      <c r="C203" s="20" t="str">
        <f>IFERROR(__xludf.DUMMYFUNCTION("IF(ISBLANK(B203),,IFERROR(array_constrain(FILTER('Leetcode分类顺序表'!B:J,'Leetcode分类顺序表'!A:A = B203), 1, 10000000),IFERROR(FILTER(Algoexpert.io!B:D,Algoexpert.io!A:A = B203),FILTER('Leetcode List'!B:J,'Leetcode List'!A:A = B203))))"),"")</f>
        <v/>
      </c>
      <c r="D203" s="20"/>
      <c r="E203" s="20"/>
      <c r="F203" s="20"/>
      <c r="G203" s="20"/>
      <c r="H203" s="20"/>
      <c r="I203" s="20"/>
      <c r="J203" s="20"/>
      <c r="K203" s="20"/>
      <c r="L203" s="20" t="str">
        <f t="shared" si="1"/>
        <v/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>
      <c r="A204" s="22"/>
      <c r="B204" s="20"/>
      <c r="C204" s="20" t="str">
        <f>IFERROR(__xludf.DUMMYFUNCTION("IF(ISBLANK(B204),,IFERROR(array_constrain(FILTER('Leetcode分类顺序表'!B:J,'Leetcode分类顺序表'!A:A = B204), 1, 10000000),IFERROR(FILTER(Algoexpert.io!B:D,Algoexpert.io!A:A = B204),FILTER('Leetcode List'!B:J,'Leetcode List'!A:A = B204))))"),"")</f>
        <v/>
      </c>
      <c r="D204" s="20"/>
      <c r="E204" s="20"/>
      <c r="F204" s="20"/>
      <c r="G204" s="20"/>
      <c r="H204" s="20"/>
      <c r="I204" s="20"/>
      <c r="J204" s="20"/>
      <c r="K204" s="20"/>
      <c r="L204" s="20" t="str">
        <f t="shared" si="1"/>
        <v/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>
      <c r="A205" s="22"/>
      <c r="B205" s="20"/>
      <c r="C205" s="20" t="str">
        <f>IFERROR(__xludf.DUMMYFUNCTION("IF(ISBLANK(B205),,IFERROR(array_constrain(FILTER('Leetcode分类顺序表'!B:J,'Leetcode分类顺序表'!A:A = B205), 1, 10000000),IFERROR(FILTER(Algoexpert.io!B:D,Algoexpert.io!A:A = B205),FILTER('Leetcode List'!B:J,'Leetcode List'!A:A = B205))))"),"")</f>
        <v/>
      </c>
      <c r="D205" s="20"/>
      <c r="E205" s="20"/>
      <c r="F205" s="20"/>
      <c r="G205" s="20"/>
      <c r="H205" s="20"/>
      <c r="I205" s="20"/>
      <c r="J205" s="20"/>
      <c r="K205" s="20"/>
      <c r="L205" s="20" t="str">
        <f t="shared" si="1"/>
        <v/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>
      <c r="A206" s="22"/>
      <c r="B206" s="20"/>
      <c r="C206" s="20" t="str">
        <f>IFERROR(__xludf.DUMMYFUNCTION("IF(ISBLANK(B206),,IFERROR(array_constrain(FILTER('Leetcode分类顺序表'!B:J,'Leetcode分类顺序表'!A:A = B206), 1, 10000000),IFERROR(FILTER(Algoexpert.io!B:D,Algoexpert.io!A:A = B206),FILTER('Leetcode List'!B:J,'Leetcode List'!A:A = B206))))"),"")</f>
        <v/>
      </c>
      <c r="D206" s="20"/>
      <c r="E206" s="20"/>
      <c r="F206" s="20"/>
      <c r="G206" s="20"/>
      <c r="H206" s="20"/>
      <c r="I206" s="20"/>
      <c r="J206" s="20"/>
      <c r="K206" s="20"/>
      <c r="L206" s="20" t="str">
        <f t="shared" si="1"/>
        <v/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>
      <c r="A207" s="22"/>
      <c r="B207" s="20"/>
      <c r="C207" s="20" t="str">
        <f>IFERROR(__xludf.DUMMYFUNCTION("IF(ISBLANK(B207),,IFERROR(array_constrain(FILTER('Leetcode分类顺序表'!B:J,'Leetcode分类顺序表'!A:A = B207), 1, 10000000),IFERROR(FILTER(Algoexpert.io!B:D,Algoexpert.io!A:A = B207),FILTER('Leetcode List'!B:J,'Leetcode List'!A:A = B207))))"),"")</f>
        <v/>
      </c>
      <c r="D207" s="20"/>
      <c r="E207" s="20"/>
      <c r="F207" s="20"/>
      <c r="G207" s="20"/>
      <c r="H207" s="20"/>
      <c r="I207" s="20"/>
      <c r="J207" s="20"/>
      <c r="K207" s="20"/>
      <c r="L207" s="20" t="str">
        <f t="shared" si="1"/>
        <v/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>
      <c r="A208" s="22"/>
      <c r="B208" s="20"/>
      <c r="C208" s="20" t="str">
        <f>IFERROR(__xludf.DUMMYFUNCTION("IF(ISBLANK(B208),,IFERROR(array_constrain(FILTER('Leetcode分类顺序表'!B:J,'Leetcode分类顺序表'!A:A = B208), 1, 10000000),IFERROR(FILTER(Algoexpert.io!B:D,Algoexpert.io!A:A = B208),FILTER('Leetcode List'!B:J,'Leetcode List'!A:A = B208))))"),"")</f>
        <v/>
      </c>
      <c r="D208" s="20"/>
      <c r="E208" s="20"/>
      <c r="F208" s="20"/>
      <c r="G208" s="20"/>
      <c r="H208" s="20"/>
      <c r="I208" s="20"/>
      <c r="J208" s="20"/>
      <c r="K208" s="20"/>
      <c r="L208" s="20" t="str">
        <f t="shared" si="1"/>
        <v/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>
      <c r="A209" s="22"/>
      <c r="B209" s="20"/>
      <c r="C209" s="20" t="str">
        <f>IFERROR(__xludf.DUMMYFUNCTION("IF(ISBLANK(B209),,IFERROR(array_constrain(FILTER('Leetcode分类顺序表'!B:J,'Leetcode分类顺序表'!A:A = B209), 1, 10000000),IFERROR(FILTER(Algoexpert.io!B:D,Algoexpert.io!A:A = B209),FILTER('Leetcode List'!B:J,'Leetcode List'!A:A = B209))))"),"")</f>
        <v/>
      </c>
      <c r="D209" s="20"/>
      <c r="E209" s="20"/>
      <c r="F209" s="20"/>
      <c r="G209" s="20"/>
      <c r="H209" s="20"/>
      <c r="I209" s="20"/>
      <c r="J209" s="20"/>
      <c r="K209" s="20"/>
      <c r="L209" s="20" t="str">
        <f t="shared" si="1"/>
        <v/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>
      <c r="A210" s="22"/>
      <c r="B210" s="20"/>
      <c r="C210" s="20" t="str">
        <f>IFERROR(__xludf.DUMMYFUNCTION("IF(ISBLANK(B210),,IFERROR(array_constrain(FILTER('Leetcode分类顺序表'!B:J,'Leetcode分类顺序表'!A:A = B210), 1, 10000000),IFERROR(FILTER(Algoexpert.io!B:D,Algoexpert.io!A:A = B210),FILTER('Leetcode List'!B:J,'Leetcode List'!A:A = B210))))"),"")</f>
        <v/>
      </c>
      <c r="D210" s="20"/>
      <c r="E210" s="20"/>
      <c r="F210" s="20"/>
      <c r="G210" s="20"/>
      <c r="H210" s="20"/>
      <c r="I210" s="20"/>
      <c r="J210" s="20"/>
      <c r="K210" s="20"/>
      <c r="L210" s="20" t="str">
        <f t="shared" si="1"/>
        <v/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>
      <c r="A211" s="22"/>
      <c r="B211" s="20"/>
      <c r="C211" s="20" t="str">
        <f>IFERROR(__xludf.DUMMYFUNCTION("IF(ISBLANK(B211),,IFERROR(array_constrain(FILTER('Leetcode分类顺序表'!B:J,'Leetcode分类顺序表'!A:A = B211), 1, 10000000),IFERROR(FILTER(Algoexpert.io!B:D,Algoexpert.io!A:A = B211),FILTER('Leetcode List'!B:J,'Leetcode List'!A:A = B211))))"),"")</f>
        <v/>
      </c>
      <c r="D211" s="20"/>
      <c r="E211" s="20"/>
      <c r="F211" s="20"/>
      <c r="G211" s="20"/>
      <c r="H211" s="20"/>
      <c r="I211" s="20"/>
      <c r="J211" s="20"/>
      <c r="K211" s="20"/>
      <c r="L211" s="20" t="str">
        <f t="shared" si="1"/>
        <v/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>
      <c r="A212" s="22"/>
      <c r="B212" s="20"/>
      <c r="C212" s="20" t="str">
        <f>IFERROR(__xludf.DUMMYFUNCTION("IF(ISBLANK(B212),,IFERROR(array_constrain(FILTER('Leetcode分类顺序表'!B:J,'Leetcode分类顺序表'!A:A = B212), 1, 10000000),IFERROR(FILTER(Algoexpert.io!B:D,Algoexpert.io!A:A = B212),FILTER('Leetcode List'!B:J,'Leetcode List'!A:A = B212))))"),"")</f>
        <v/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>
      <c r="A213" s="22"/>
      <c r="B213" s="20"/>
      <c r="C213" s="20" t="str">
        <f>IFERROR(__xludf.DUMMYFUNCTION("IF(ISBLANK(B213),,IFERROR(array_constrain(FILTER('Leetcode分类顺序表'!B:J,'Leetcode分类顺序表'!A:A = B213), 1, 10000000),IFERROR(FILTER(Algoexpert.io!B:D,Algoexpert.io!A:A = B213),FILTER('Leetcode List'!B:J,'Leetcode List'!A:A = B213))))"),"")</f>
        <v/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>
      <c r="A214" s="22"/>
      <c r="B214" s="20"/>
      <c r="C214" s="20" t="str">
        <f>IFERROR(__xludf.DUMMYFUNCTION("IF(ISBLANK(B214),,IFERROR(array_constrain(FILTER('Leetcode分类顺序表'!B:J,'Leetcode分类顺序表'!A:A = B214), 1, 10000000),IFERROR(FILTER(Algoexpert.io!B:D,Algoexpert.io!A:A = B214),FILTER('Leetcode List'!B:J,'Leetcode List'!A:A = B214))))"),"")</f>
        <v/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>
      <c r="A215" s="22"/>
      <c r="B215" s="20"/>
      <c r="C215" s="20" t="str">
        <f>IFERROR(__xludf.DUMMYFUNCTION("IF(ISBLANK(B215),,IFERROR(array_constrain(FILTER('Leetcode分类顺序表'!B:J,'Leetcode分类顺序表'!A:A = B215), 1, 10000000),IFERROR(FILTER(Algoexpert.io!B:D,Algoexpert.io!A:A = B215),FILTER('Leetcode List'!B:J,'Leetcode List'!A:A = B215))))"),"")</f>
        <v/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>
      <c r="A216" s="22"/>
      <c r="B216" s="20"/>
      <c r="C216" s="20" t="str">
        <f>IFERROR(__xludf.DUMMYFUNCTION("IF(ISBLANK(B216),,IFERROR(array_constrain(FILTER('Leetcode分类顺序表'!B:J,'Leetcode分类顺序表'!A:A = B216), 1, 10000000),IFERROR(FILTER(Algoexpert.io!B:D,Algoexpert.io!A:A = B216),FILTER('Leetcode List'!B:J,'Leetcode List'!A:A = B216))))"),"")</f>
        <v/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>
      <c r="A217" s="22"/>
      <c r="B217" s="20"/>
      <c r="C217" s="20" t="str">
        <f>IFERROR(__xludf.DUMMYFUNCTION("IF(ISBLANK(B217),,IFERROR(array_constrain(FILTER('Leetcode分类顺序表'!B:J,'Leetcode分类顺序表'!A:A = B217), 1, 10000000),IFERROR(FILTER(Algoexpert.io!B:D,Algoexpert.io!A:A = B217),FILTER('Leetcode List'!B:J,'Leetcode List'!A:A = B217))))"),"")</f>
        <v/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>
      <c r="A218" s="22"/>
      <c r="B218" s="20"/>
      <c r="C218" s="20" t="str">
        <f>IFERROR(__xludf.DUMMYFUNCTION("IF(ISBLANK(B218),,IFERROR(array_constrain(FILTER('Leetcode分类顺序表'!B:J,'Leetcode分类顺序表'!A:A = B218), 1, 10000000),IFERROR(FILTER(Algoexpert.io!B:D,Algoexpert.io!A:A = B218),FILTER('Leetcode List'!B:J,'Leetcode List'!A:A = B218))))"),"")</f>
        <v/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>
      <c r="A219" s="22"/>
      <c r="B219" s="20"/>
      <c r="C219" s="20" t="str">
        <f>IFERROR(__xludf.DUMMYFUNCTION("IF(ISBLANK(B219),,IFERROR(array_constrain(FILTER('Leetcode分类顺序表'!B:J,'Leetcode分类顺序表'!A:A = B219), 1, 10000000),IFERROR(FILTER(Algoexpert.io!B:D,Algoexpert.io!A:A = B219),FILTER('Leetcode List'!B:J,'Leetcode List'!A:A = B219))))"),"")</f>
        <v/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>
      <c r="A220" s="22"/>
      <c r="B220" s="20"/>
      <c r="C220" s="20" t="str">
        <f>IFERROR(__xludf.DUMMYFUNCTION("IF(ISBLANK(B220),,IFERROR(array_constrain(FILTER('Leetcode分类顺序表'!B:J,'Leetcode分类顺序表'!A:A = B220), 1, 10000000),IFERROR(FILTER(Algoexpert.io!B:D,Algoexpert.io!A:A = B220),FILTER('Leetcode List'!B:J,'Leetcode List'!A:A = B220))))"),"")</f>
        <v/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>
      <c r="A221" s="22"/>
      <c r="B221" s="20"/>
      <c r="C221" s="20" t="str">
        <f>IFERROR(__xludf.DUMMYFUNCTION("IF(ISBLANK(B221),,IFERROR(array_constrain(FILTER('Leetcode分类顺序表'!B:J,'Leetcode分类顺序表'!A:A = B221), 1, 10000000),IFERROR(FILTER(Algoexpert.io!B:D,Algoexpert.io!A:A = B221),FILTER('Leetcode List'!B:J,'Leetcode List'!A:A = B221))))"),"")</f>
        <v/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>
      <c r="A222" s="22"/>
      <c r="B222" s="20"/>
      <c r="C222" s="20" t="str">
        <f>IFERROR(__xludf.DUMMYFUNCTION("IF(ISBLANK(B222),,IFERROR(array_constrain(FILTER('Leetcode分类顺序表'!B:J,'Leetcode分类顺序表'!A:A = B222), 1, 10000000),IFERROR(FILTER(Algoexpert.io!B:D,Algoexpert.io!A:A = B222),FILTER('Leetcode List'!B:J,'Leetcode List'!A:A = B222))))"),"")</f>
        <v/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>
      <c r="A223" s="22"/>
      <c r="B223" s="20"/>
      <c r="C223" s="20" t="str">
        <f>IFERROR(__xludf.DUMMYFUNCTION("IF(ISBLANK(B223),,IFERROR(array_constrain(FILTER('Leetcode分类顺序表'!B:J,'Leetcode分类顺序表'!A:A = B223), 1, 10000000),IFERROR(FILTER(Algoexpert.io!B:D,Algoexpert.io!A:A = B223),FILTER('Leetcode List'!B:J,'Leetcode List'!A:A = B223))))"),"")</f>
        <v/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>
      <c r="A224" s="22"/>
      <c r="B224" s="20"/>
      <c r="C224" s="20" t="str">
        <f>IFERROR(__xludf.DUMMYFUNCTION("IF(ISBLANK(B224),,IFERROR(array_constrain(FILTER('Leetcode分类顺序表'!B:J,'Leetcode分类顺序表'!A:A = B224), 1, 10000000),IFERROR(FILTER(Algoexpert.io!B:D,Algoexpert.io!A:A = B224),FILTER('Leetcode List'!B:J,'Leetcode List'!A:A = B224))))"),"")</f>
        <v/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>
      <c r="A225" s="22"/>
      <c r="B225" s="20"/>
      <c r="C225" s="20" t="str">
        <f>IFERROR(__xludf.DUMMYFUNCTION("IF(ISBLANK(B225),,IFERROR(array_constrain(FILTER('Leetcode分类顺序表'!B:J,'Leetcode分类顺序表'!A:A = B225), 1, 10000000),IFERROR(FILTER(Algoexpert.io!B:D,Algoexpert.io!A:A = B225),FILTER('Leetcode List'!B:J,'Leetcode List'!A:A = B225))))"),"")</f>
        <v/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>
      <c r="A226" s="22"/>
      <c r="B226" s="20"/>
      <c r="C226" s="20" t="str">
        <f>IFERROR(__xludf.DUMMYFUNCTION("IF(ISBLANK(B226),,IFERROR(array_constrain(FILTER('Leetcode分类顺序表'!B:J,'Leetcode分类顺序表'!A:A = B226), 1, 10000000),IFERROR(FILTER(Algoexpert.io!B:D,Algoexpert.io!A:A = B226),FILTER('Leetcode List'!B:J,'Leetcode List'!A:A = B226))))"),"")</f>
        <v/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>
      <c r="A227" s="22"/>
      <c r="B227" s="20"/>
      <c r="C227" s="20" t="str">
        <f>IFERROR(__xludf.DUMMYFUNCTION("IF(ISBLANK(B227),,IFERROR(array_constrain(FILTER('Leetcode分类顺序表'!B:J,'Leetcode分类顺序表'!A:A = B227), 1, 10000000),IFERROR(FILTER(Algoexpert.io!B:D,Algoexpert.io!A:A = B227),FILTER('Leetcode List'!B:J,'Leetcode List'!A:A = B227))))"),"")</f>
        <v/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>
      <c r="A228" s="22"/>
      <c r="B228" s="20"/>
      <c r="C228" s="20" t="str">
        <f>IFERROR(__xludf.DUMMYFUNCTION("IF(ISBLANK(B228),,IFERROR(array_constrain(FILTER('Leetcode分类顺序表'!B:J,'Leetcode分类顺序表'!A:A = B228), 1, 10000000),IFERROR(FILTER(Algoexpert.io!B:D,Algoexpert.io!A:A = B228),FILTER('Leetcode List'!B:J,'Leetcode List'!A:A = B228))))"),"")</f>
        <v/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>
      <c r="A229" s="22"/>
      <c r="B229" s="20"/>
      <c r="C229" s="20" t="str">
        <f>IFERROR(__xludf.DUMMYFUNCTION("IF(ISBLANK(B229),,IFERROR(array_constrain(FILTER('Leetcode分类顺序表'!B:J,'Leetcode分类顺序表'!A:A = B229), 1, 10000000),IFERROR(FILTER(Algoexpert.io!B:D,Algoexpert.io!A:A = B229),FILTER('Leetcode List'!B:J,'Leetcode List'!A:A = B229))))"),"")</f>
        <v/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>
      <c r="A230" s="22"/>
      <c r="B230" s="20"/>
      <c r="C230" s="20" t="str">
        <f>IFERROR(__xludf.DUMMYFUNCTION("IF(ISBLANK(B230),,IFERROR(array_constrain(FILTER('Leetcode分类顺序表'!B:J,'Leetcode分类顺序表'!A:A = B230), 1, 10000000),IFERROR(FILTER(Algoexpert.io!B:D,Algoexpert.io!A:A = B230),FILTER('Leetcode List'!B:J,'Leetcode List'!A:A = B230))))"),"")</f>
        <v/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>
      <c r="A231" s="22"/>
      <c r="B231" s="20"/>
      <c r="C231" s="20" t="str">
        <f>IFERROR(__xludf.DUMMYFUNCTION("IF(ISBLANK(B231),,IFERROR(array_constrain(FILTER('Leetcode分类顺序表'!B:J,'Leetcode分类顺序表'!A:A = B231), 1, 10000000),IFERROR(FILTER(Algoexpert.io!B:D,Algoexpert.io!A:A = B231),FILTER('Leetcode List'!B:J,'Leetcode List'!A:A = B231))))"),"")</f>
        <v/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>
      <c r="A232" s="22"/>
      <c r="B232" s="20"/>
      <c r="C232" s="20" t="str">
        <f>IFERROR(__xludf.DUMMYFUNCTION("IF(ISBLANK(B232),,IFERROR(array_constrain(FILTER('Leetcode分类顺序表'!B:J,'Leetcode分类顺序表'!A:A = B232), 1, 10000000),IFERROR(FILTER(Algoexpert.io!B:D,Algoexpert.io!A:A = B232),FILTER('Leetcode List'!B:J,'Leetcode List'!A:A = B232))))"),"")</f>
        <v/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>
      <c r="A233" s="22"/>
      <c r="B233" s="20"/>
      <c r="C233" s="20" t="str">
        <f>IFERROR(__xludf.DUMMYFUNCTION("IF(ISBLANK(B233),,IFERROR(array_constrain(FILTER('Leetcode分类顺序表'!B:J,'Leetcode分类顺序表'!A:A = B233), 1, 10000000),IFERROR(FILTER(Algoexpert.io!B:D,Algoexpert.io!A:A = B233),FILTER('Leetcode List'!B:J,'Leetcode List'!A:A = B233))))"),"")</f>
        <v/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>
      <c r="A234" s="22"/>
      <c r="B234" s="20"/>
      <c r="C234" s="20" t="str">
        <f>IFERROR(__xludf.DUMMYFUNCTION("IF(ISBLANK(B234),,IFERROR(array_constrain(FILTER('Leetcode分类顺序表'!B:J,'Leetcode分类顺序表'!A:A = B234), 1, 10000000),IFERROR(FILTER(Algoexpert.io!B:D,Algoexpert.io!A:A = B234),FILTER('Leetcode List'!B:J,'Leetcode List'!A:A = B234))))"),"")</f>
        <v/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>
      <c r="A235" s="22"/>
      <c r="B235" s="20"/>
      <c r="C235" s="20" t="str">
        <f>IFERROR(__xludf.DUMMYFUNCTION("IF(ISBLANK(B235),,IFERROR(array_constrain(FILTER('Leetcode分类顺序表'!B:J,'Leetcode分类顺序表'!A:A = B235), 1, 10000000),IFERROR(FILTER(Algoexpert.io!B:D,Algoexpert.io!A:A = B235),FILTER('Leetcode List'!B:J,'Leetcode List'!A:A = B235))))"),"")</f>
        <v/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>
      <c r="A236" s="22"/>
      <c r="B236" s="20"/>
      <c r="C236" s="20" t="str">
        <f>IFERROR(__xludf.DUMMYFUNCTION("IF(ISBLANK(B236),,IFERROR(array_constrain(FILTER('Leetcode分类顺序表'!B:J,'Leetcode分类顺序表'!A:A = B236), 1, 10000000),IFERROR(FILTER(Algoexpert.io!B:D,Algoexpert.io!A:A = B236),FILTER('Leetcode List'!B:J,'Leetcode List'!A:A = B236))))"),"")</f>
        <v/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>
      <c r="A237" s="22"/>
      <c r="B237" s="20"/>
      <c r="C237" s="20" t="str">
        <f>IFERROR(__xludf.DUMMYFUNCTION("IF(ISBLANK(B237),,IFERROR(array_constrain(FILTER('Leetcode分类顺序表'!B:J,'Leetcode分类顺序表'!A:A = B237), 1, 10000000),IFERROR(FILTER(Algoexpert.io!B:D,Algoexpert.io!A:A = B237),FILTER('Leetcode List'!B:J,'Leetcode List'!A:A = B237))))"),"")</f>
        <v/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>
      <c r="A238" s="22"/>
      <c r="B238" s="20"/>
      <c r="C238" s="20" t="str">
        <f>IFERROR(__xludf.DUMMYFUNCTION("IF(ISBLANK(B238),,IFERROR(array_constrain(FILTER('Leetcode分类顺序表'!B:J,'Leetcode分类顺序表'!A:A = B238), 1, 10000000),IFERROR(FILTER(Algoexpert.io!B:D,Algoexpert.io!A:A = B238),FILTER('Leetcode List'!B:J,'Leetcode List'!A:A = B238))))"),"")</f>
        <v/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>
      <c r="A239" s="22"/>
      <c r="B239" s="20"/>
      <c r="C239" s="20" t="str">
        <f>IFERROR(__xludf.DUMMYFUNCTION("IF(ISBLANK(B239),,IFERROR(array_constrain(FILTER('Leetcode分类顺序表'!B:J,'Leetcode分类顺序表'!A:A = B239), 1, 10000000),IFERROR(FILTER(Algoexpert.io!B:D,Algoexpert.io!A:A = B239),FILTER('Leetcode List'!B:J,'Leetcode List'!A:A = B239))))"),"")</f>
        <v/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>
      <c r="A240" s="22"/>
      <c r="B240" s="20"/>
      <c r="C240" s="20" t="str">
        <f>IFERROR(__xludf.DUMMYFUNCTION("IF(ISBLANK(B240),,IFERROR(array_constrain(FILTER('Leetcode分类顺序表'!B:J,'Leetcode分类顺序表'!A:A = B240), 1, 10000000),IFERROR(FILTER(Algoexpert.io!B:D,Algoexpert.io!A:A = B240),FILTER('Leetcode List'!B:J,'Leetcode List'!A:A = B240))))"),"")</f>
        <v/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>
      <c r="A241" s="22"/>
      <c r="B241" s="20"/>
      <c r="C241" s="20" t="str">
        <f>IFERROR(__xludf.DUMMYFUNCTION("IF(ISBLANK(B241),,IFERROR(array_constrain(FILTER('Leetcode分类顺序表'!B:J,'Leetcode分类顺序表'!A:A = B241), 1, 10000000),IFERROR(FILTER(Algoexpert.io!B:D,Algoexpert.io!A:A = B241),FILTER('Leetcode List'!B:J,'Leetcode List'!A:A = B241))))"),"")</f>
        <v/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>
      <c r="A242" s="22"/>
      <c r="B242" s="20"/>
      <c r="C242" s="20" t="str">
        <f>IFERROR(__xludf.DUMMYFUNCTION("IF(ISBLANK(B242),,IFERROR(array_constrain(FILTER('Leetcode分类顺序表'!B:J,'Leetcode分类顺序表'!A:A = B242), 1, 10000000),IFERROR(FILTER(Algoexpert.io!B:D,Algoexpert.io!A:A = B242),FILTER('Leetcode List'!B:J,'Leetcode List'!A:A = B242))))"),"")</f>
        <v/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>
      <c r="A243" s="22"/>
      <c r="B243" s="20"/>
      <c r="C243" s="20" t="str">
        <f>IFERROR(__xludf.DUMMYFUNCTION("IF(ISBLANK(B243),,IFERROR(array_constrain(FILTER('Leetcode分类顺序表'!B:J,'Leetcode分类顺序表'!A:A = B243), 1, 10000000),IFERROR(FILTER(Algoexpert.io!B:D,Algoexpert.io!A:A = B243),FILTER('Leetcode List'!B:J,'Leetcode List'!A:A = B243))))"),"")</f>
        <v/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>
      <c r="A244" s="22"/>
      <c r="B244" s="20"/>
      <c r="C244" s="20" t="str">
        <f>IFERROR(__xludf.DUMMYFUNCTION("IF(ISBLANK(B244),,IFERROR(array_constrain(FILTER('Leetcode分类顺序表'!B:J,'Leetcode分类顺序表'!A:A = B244), 1, 10000000),IFERROR(FILTER(Algoexpert.io!B:D,Algoexpert.io!A:A = B244),FILTER('Leetcode List'!B:J,'Leetcode List'!A:A = B244))))"),"")</f>
        <v/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>
      <c r="A245" s="22"/>
      <c r="B245" s="20"/>
      <c r="C245" s="20" t="str">
        <f>IFERROR(__xludf.DUMMYFUNCTION("IF(ISBLANK(B245),,IFERROR(array_constrain(FILTER('Leetcode分类顺序表'!B:J,'Leetcode分类顺序表'!A:A = B245), 1, 10000000),IFERROR(FILTER(Algoexpert.io!B:D,Algoexpert.io!A:A = B245),FILTER('Leetcode List'!B:J,'Leetcode List'!A:A = B245))))"),"")</f>
        <v/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>
      <c r="A246" s="22"/>
      <c r="B246" s="20"/>
      <c r="C246" s="20" t="str">
        <f>IFERROR(__xludf.DUMMYFUNCTION("IF(ISBLANK(B246),,IFERROR(array_constrain(FILTER('Leetcode分类顺序表'!B:J,'Leetcode分类顺序表'!A:A = B246), 1, 10000000),IFERROR(FILTER(Algoexpert.io!B:D,Algoexpert.io!A:A = B246),FILTER('Leetcode List'!B:J,'Leetcode List'!A:A = B246))))"),"")</f>
        <v/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>
      <c r="A247" s="22"/>
      <c r="B247" s="20"/>
      <c r="C247" s="20" t="str">
        <f>IFERROR(__xludf.DUMMYFUNCTION("IF(ISBLANK(B247),,IFERROR(array_constrain(FILTER('Leetcode分类顺序表'!B:J,'Leetcode分类顺序表'!A:A = B247), 1, 10000000),IFERROR(FILTER(Algoexpert.io!B:D,Algoexpert.io!A:A = B247),FILTER('Leetcode List'!B:J,'Leetcode List'!A:A = B247))))"),"")</f>
        <v/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>
      <c r="A248" s="22"/>
      <c r="B248" s="20"/>
      <c r="C248" s="20" t="str">
        <f>IFERROR(__xludf.DUMMYFUNCTION("IF(ISBLANK(B248),,IFERROR(array_constrain(FILTER('Leetcode分类顺序表'!B:J,'Leetcode分类顺序表'!A:A = B248), 1, 10000000),IFERROR(FILTER(Algoexpert.io!B:D,Algoexpert.io!A:A = B248),FILTER('Leetcode List'!B:J,'Leetcode List'!A:A = B248))))"),"")</f>
        <v/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>
      <c r="A249" s="22"/>
      <c r="B249" s="20"/>
      <c r="C249" s="20" t="str">
        <f>IFERROR(__xludf.DUMMYFUNCTION("IF(ISBLANK(B249),,IFERROR(array_constrain(FILTER('Leetcode分类顺序表'!B:J,'Leetcode分类顺序表'!A:A = B249), 1, 10000000),IFERROR(FILTER(Algoexpert.io!B:D,Algoexpert.io!A:A = B249),FILTER('Leetcode List'!B:J,'Leetcode List'!A:A = B249))))"),"")</f>
        <v/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>
      <c r="A250" s="22"/>
      <c r="B250" s="20"/>
      <c r="C250" s="20" t="str">
        <f>IFERROR(__xludf.DUMMYFUNCTION("IF(ISBLANK(B250),,IFERROR(array_constrain(FILTER('Leetcode分类顺序表'!B:J,'Leetcode分类顺序表'!A:A = B250), 1, 10000000),IFERROR(FILTER(Algoexpert.io!B:D,Algoexpert.io!A:A = B250),FILTER('Leetcode List'!B:J,'Leetcode List'!A:A = B250))))"),"")</f>
        <v/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>
      <c r="A251" s="22"/>
      <c r="B251" s="20"/>
      <c r="C251" s="20" t="str">
        <f>IFERROR(__xludf.DUMMYFUNCTION("IF(ISBLANK(B251),,IFERROR(array_constrain(FILTER('Leetcode分类顺序表'!B:J,'Leetcode分类顺序表'!A:A = B251), 1, 10000000),IFERROR(FILTER(Algoexpert.io!B:D,Algoexpert.io!A:A = B251),FILTER('Leetcode List'!B:J,'Leetcode List'!A:A = B251))))"),"")</f>
        <v/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>
      <c r="A252" s="22"/>
      <c r="B252" s="20"/>
      <c r="C252" s="20" t="str">
        <f>IFERROR(__xludf.DUMMYFUNCTION("IF(ISBLANK(B252),,IFERROR(array_constrain(FILTER('Leetcode分类顺序表'!B:J,'Leetcode分类顺序表'!A:A = B252), 1, 10000000),IFERROR(FILTER(Algoexpert.io!B:D,Algoexpert.io!A:A = B252),FILTER('Leetcode List'!B:J,'Leetcode List'!A:A = B252))))"),"")</f>
        <v/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>
      <c r="A253" s="22"/>
      <c r="B253" s="20"/>
      <c r="C253" s="20" t="str">
        <f>IFERROR(__xludf.DUMMYFUNCTION("IF(ISBLANK(B253),,IFERROR(array_constrain(FILTER('Leetcode分类顺序表'!B:J,'Leetcode分类顺序表'!A:A = B253), 1, 10000000),IFERROR(FILTER(Algoexpert.io!B:D,Algoexpert.io!A:A = B253),FILTER('Leetcode List'!B:J,'Leetcode List'!A:A = B253))))"),"")</f>
        <v/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>
      <c r="A254" s="22"/>
      <c r="B254" s="20"/>
      <c r="C254" s="20" t="str">
        <f>IFERROR(__xludf.DUMMYFUNCTION("IF(ISBLANK(B254),,IFERROR(array_constrain(FILTER('Leetcode分类顺序表'!B:J,'Leetcode分类顺序表'!A:A = B254), 1, 10000000),IFERROR(FILTER(Algoexpert.io!B:D,Algoexpert.io!A:A = B254),FILTER('Leetcode List'!B:J,'Leetcode List'!A:A = B254))))"),"")</f>
        <v/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>
      <c r="A255" s="22"/>
      <c r="B255" s="20"/>
      <c r="C255" s="20" t="str">
        <f>IFERROR(__xludf.DUMMYFUNCTION("IF(ISBLANK(B255),,IFERROR(array_constrain(FILTER('Leetcode分类顺序表'!B:J,'Leetcode分类顺序表'!A:A = B255), 1, 10000000),IFERROR(FILTER(Algoexpert.io!B:D,Algoexpert.io!A:A = B255),FILTER('Leetcode List'!B:J,'Leetcode List'!A:A = B255))))"),"")</f>
        <v/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>
      <c r="A256" s="22"/>
      <c r="B256" s="20"/>
      <c r="C256" s="20" t="str">
        <f>IFERROR(__xludf.DUMMYFUNCTION("IF(ISBLANK(B256),,IFERROR(array_constrain(FILTER('Leetcode分类顺序表'!B:J,'Leetcode分类顺序表'!A:A = B256), 1, 10000000),IFERROR(FILTER(Algoexpert.io!B:D,Algoexpert.io!A:A = B256),FILTER('Leetcode List'!B:J,'Leetcode List'!A:A = B256))))"),"")</f>
        <v/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>
      <c r="A257" s="22"/>
      <c r="B257" s="20"/>
      <c r="C257" s="20" t="str">
        <f>IFERROR(__xludf.DUMMYFUNCTION("IF(ISBLANK(B257),,IFERROR(array_constrain(FILTER('Leetcode分类顺序表'!B:J,'Leetcode分类顺序表'!A:A = B257), 1, 10000000),IFERROR(FILTER(Algoexpert.io!B:D,Algoexpert.io!A:A = B257),FILTER('Leetcode List'!B:J,'Leetcode List'!A:A = B257))))"),"")</f>
        <v/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>
      <c r="A258" s="22"/>
      <c r="B258" s="20"/>
      <c r="C258" s="20" t="str">
        <f>IFERROR(__xludf.DUMMYFUNCTION("IF(ISBLANK(B258),,IFERROR(array_constrain(FILTER('Leetcode分类顺序表'!B:J,'Leetcode分类顺序表'!A:A = B258), 1, 10000000),IFERROR(FILTER(Algoexpert.io!B:D,Algoexpert.io!A:A = B258),FILTER('Leetcode List'!B:J,'Leetcode List'!A:A = B258))))"),"")</f>
        <v/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>
      <c r="A259" s="22"/>
      <c r="B259" s="20"/>
      <c r="C259" s="20" t="str">
        <f>IFERROR(__xludf.DUMMYFUNCTION("IF(ISBLANK(B259),,IFERROR(array_constrain(FILTER('Leetcode分类顺序表'!B:J,'Leetcode分类顺序表'!A:A = B259), 1, 10000000),IFERROR(FILTER(Algoexpert.io!B:D,Algoexpert.io!A:A = B259),FILTER('Leetcode List'!B:J,'Leetcode List'!A:A = B259))))"),"")</f>
        <v/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>
      <c r="A260" s="22"/>
      <c r="B260" s="20"/>
      <c r="C260" s="20" t="str">
        <f>IFERROR(__xludf.DUMMYFUNCTION("IF(ISBLANK(B260),,IFERROR(array_constrain(FILTER('Leetcode分类顺序表'!B:J,'Leetcode分类顺序表'!A:A = B260), 1, 10000000),IFERROR(FILTER(Algoexpert.io!B:D,Algoexpert.io!A:A = B260),FILTER('Leetcode List'!B:J,'Leetcode List'!A:A = B260))))"),"")</f>
        <v/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>
      <c r="A261" s="22"/>
      <c r="B261" s="20"/>
      <c r="C261" s="20" t="str">
        <f>IFERROR(__xludf.DUMMYFUNCTION("IF(ISBLANK(B261),,IFERROR(array_constrain(FILTER('Leetcode分类顺序表'!B:J,'Leetcode分类顺序表'!A:A = B261), 1, 10000000),IFERROR(FILTER(Algoexpert.io!B:D,Algoexpert.io!A:A = B261),FILTER('Leetcode List'!B:J,'Leetcode List'!A:A = B261))))"),"")</f>
        <v/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>
      <c r="A262" s="22"/>
      <c r="B262" s="20"/>
      <c r="C262" s="20" t="str">
        <f>IFERROR(__xludf.DUMMYFUNCTION("IF(ISBLANK(B262),,IFERROR(array_constrain(FILTER('Leetcode分类顺序表'!B:J,'Leetcode分类顺序表'!A:A = B262), 1, 10000000),IFERROR(FILTER(Algoexpert.io!B:D,Algoexpert.io!A:A = B262),FILTER('Leetcode List'!B:J,'Leetcode List'!A:A = B262))))"),"")</f>
        <v/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>
      <c r="A263" s="22"/>
      <c r="B263" s="20"/>
      <c r="C263" s="20" t="str">
        <f>IFERROR(__xludf.DUMMYFUNCTION("IF(ISBLANK(B263),,IFERROR(array_constrain(FILTER('Leetcode分类顺序表'!B:J,'Leetcode分类顺序表'!A:A = B263), 1, 10000000),IFERROR(FILTER(Algoexpert.io!B:D,Algoexpert.io!A:A = B263),FILTER('Leetcode List'!B:J,'Leetcode List'!A:A = B263))))"),"")</f>
        <v/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>
      <c r="A264" s="22"/>
      <c r="B264" s="20"/>
      <c r="C264" s="20" t="str">
        <f>IFERROR(__xludf.DUMMYFUNCTION("IF(ISBLANK(B264),,IFERROR(array_constrain(FILTER('Leetcode分类顺序表'!B:J,'Leetcode分类顺序表'!A:A = B264), 1, 10000000),IFERROR(FILTER(Algoexpert.io!B:D,Algoexpert.io!A:A = B264),FILTER('Leetcode List'!B:J,'Leetcode List'!A:A = B264))))"),"")</f>
        <v/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>
      <c r="A265" s="22"/>
      <c r="B265" s="20"/>
      <c r="C265" s="20" t="str">
        <f>IFERROR(__xludf.DUMMYFUNCTION("IF(ISBLANK(B265),,IFERROR(array_constrain(FILTER('Leetcode分类顺序表'!B:J,'Leetcode分类顺序表'!A:A = B265), 1, 10000000),IFERROR(FILTER(Algoexpert.io!B:D,Algoexpert.io!A:A = B265),FILTER('Leetcode List'!B:J,'Leetcode List'!A:A = B265))))"),"")</f>
        <v/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>
      <c r="A266" s="22"/>
      <c r="B266" s="20"/>
      <c r="C266" s="20" t="str">
        <f>IFERROR(__xludf.DUMMYFUNCTION("IF(ISBLANK(B266),,IFERROR(array_constrain(FILTER('Leetcode分类顺序表'!B:J,'Leetcode分类顺序表'!A:A = B266), 1, 10000000),IFERROR(FILTER(Algoexpert.io!B:D,Algoexpert.io!A:A = B266),FILTER('Leetcode List'!B:J,'Leetcode List'!A:A = B266))))"),"")</f>
        <v/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>
      <c r="A267" s="22"/>
      <c r="B267" s="20"/>
      <c r="C267" s="20" t="str">
        <f>IFERROR(__xludf.DUMMYFUNCTION("IF(ISBLANK(B267),,IFERROR(array_constrain(FILTER('Leetcode分类顺序表'!B:J,'Leetcode分类顺序表'!A:A = B267), 1, 10000000),IFERROR(FILTER(Algoexpert.io!B:D,Algoexpert.io!A:A = B267),FILTER('Leetcode List'!B:J,'Leetcode List'!A:A = B267))))"),"")</f>
        <v/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>
      <c r="A268" s="22"/>
      <c r="B268" s="20"/>
      <c r="C268" s="20" t="str">
        <f>IFERROR(__xludf.DUMMYFUNCTION("IF(ISBLANK(B268),,IFERROR(array_constrain(FILTER('Leetcode分类顺序表'!B:J,'Leetcode分类顺序表'!A:A = B268), 1, 10000000),IFERROR(FILTER(Algoexpert.io!B:D,Algoexpert.io!A:A = B268),FILTER('Leetcode List'!B:J,'Leetcode List'!A:A = B268))))"),"")</f>
        <v/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>
      <c r="A269" s="22"/>
      <c r="B269" s="20"/>
      <c r="C269" s="20" t="str">
        <f>IFERROR(__xludf.DUMMYFUNCTION("IF(ISBLANK(B269),,IFERROR(array_constrain(FILTER('Leetcode分类顺序表'!B:J,'Leetcode分类顺序表'!A:A = B269), 1, 10000000),IFERROR(FILTER(Algoexpert.io!B:D,Algoexpert.io!A:A = B269),FILTER('Leetcode List'!B:J,'Leetcode List'!A:A = B269))))"),"")</f>
        <v/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>
      <c r="A270" s="22"/>
      <c r="B270" s="20"/>
      <c r="C270" s="20" t="str">
        <f>IFERROR(__xludf.DUMMYFUNCTION("IF(ISBLANK(B270),,IFERROR(array_constrain(FILTER('Leetcode分类顺序表'!B:J,'Leetcode分类顺序表'!A:A = B270), 1, 10000000),IFERROR(FILTER(Algoexpert.io!B:D,Algoexpert.io!A:A = B270),FILTER('Leetcode List'!B:J,'Leetcode List'!A:A = B270))))"),"")</f>
        <v/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>
      <c r="A271" s="22"/>
      <c r="B271" s="20"/>
      <c r="C271" s="20" t="str">
        <f>IFERROR(__xludf.DUMMYFUNCTION("IF(ISBLANK(B271),,IFERROR(array_constrain(FILTER('Leetcode分类顺序表'!B:J,'Leetcode分类顺序表'!A:A = B271), 1, 10000000),IFERROR(FILTER(Algoexpert.io!B:D,Algoexpert.io!A:A = B271),FILTER('Leetcode List'!B:J,'Leetcode List'!A:A = B271))))"),"")</f>
        <v/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>
      <c r="A272" s="22"/>
      <c r="B272" s="20"/>
      <c r="C272" s="20" t="str">
        <f>IFERROR(__xludf.DUMMYFUNCTION("IF(ISBLANK(B272),,IFERROR(array_constrain(FILTER('Leetcode分类顺序表'!B:J,'Leetcode分类顺序表'!A:A = B272), 1, 10000000),IFERROR(FILTER(Algoexpert.io!B:D,Algoexpert.io!A:A = B272),FILTER('Leetcode List'!B:J,'Leetcode List'!A:A = B272))))"),"")</f>
        <v/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>
      <c r="A273" s="22"/>
      <c r="B273" s="20"/>
      <c r="C273" s="20" t="str">
        <f>IFERROR(__xludf.DUMMYFUNCTION("IF(ISBLANK(B273),,IFERROR(array_constrain(FILTER('Leetcode分类顺序表'!B:J,'Leetcode分类顺序表'!A:A = B273), 1, 10000000),IFERROR(FILTER(Algoexpert.io!B:D,Algoexpert.io!A:A = B273),FILTER('Leetcode List'!B:J,'Leetcode List'!A:A = B273))))"),"")</f>
        <v/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>
      <c r="A274" s="22"/>
      <c r="B274" s="20"/>
      <c r="C274" s="20" t="str">
        <f>IFERROR(__xludf.DUMMYFUNCTION("IF(ISBLANK(B274),,IFERROR(array_constrain(FILTER('Leetcode分类顺序表'!B:J,'Leetcode分类顺序表'!A:A = B274), 1, 10000000),IFERROR(FILTER(Algoexpert.io!B:D,Algoexpert.io!A:A = B274),FILTER('Leetcode List'!B:J,'Leetcode List'!A:A = B274))))"),"")</f>
        <v/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>
      <c r="A275" s="22"/>
      <c r="B275" s="20"/>
      <c r="C275" s="20" t="str">
        <f>IFERROR(__xludf.DUMMYFUNCTION("IF(ISBLANK(B275),,IFERROR(array_constrain(FILTER('Leetcode分类顺序表'!B:J,'Leetcode分类顺序表'!A:A = B275), 1, 10000000),IFERROR(FILTER(Algoexpert.io!B:D,Algoexpert.io!A:A = B275),FILTER('Leetcode List'!B:J,'Leetcode List'!A:A = B275))))"),"")</f>
        <v/>
      </c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>
      <c r="A276" s="22"/>
      <c r="B276" s="20"/>
      <c r="C276" s="20" t="str">
        <f>IFERROR(__xludf.DUMMYFUNCTION("IF(ISBLANK(B276),,IFERROR(array_constrain(FILTER('Leetcode分类顺序表'!B:J,'Leetcode分类顺序表'!A:A = B276), 1, 10000000),IFERROR(FILTER(Algoexpert.io!B:D,Algoexpert.io!A:A = B276),FILTER('Leetcode List'!B:J,'Leetcode List'!A:A = B276))))"),"")</f>
        <v/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>
      <c r="A277" s="22"/>
      <c r="B277" s="20"/>
      <c r="C277" s="20" t="str">
        <f>IFERROR(__xludf.DUMMYFUNCTION("IF(ISBLANK(B277),,IFERROR(array_constrain(FILTER('Leetcode分类顺序表'!B:J,'Leetcode分类顺序表'!A:A = B277), 1, 10000000),IFERROR(FILTER(Algoexpert.io!B:D,Algoexpert.io!A:A = B277),FILTER('Leetcode List'!B:J,'Leetcode List'!A:A = B277))))"),"")</f>
        <v/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>
      <c r="A278" s="22"/>
      <c r="B278" s="20"/>
      <c r="C278" s="20" t="str">
        <f>IFERROR(__xludf.DUMMYFUNCTION("IF(ISBLANK(B278),,IFERROR(array_constrain(FILTER('Leetcode分类顺序表'!B:J,'Leetcode分类顺序表'!A:A = B278), 1, 10000000),IFERROR(FILTER(Algoexpert.io!B:D,Algoexpert.io!A:A = B278),FILTER('Leetcode List'!B:J,'Leetcode List'!A:A = B278))))"),"")</f>
        <v/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>
      <c r="A279" s="22"/>
      <c r="B279" s="20"/>
      <c r="C279" s="20" t="str">
        <f>IFERROR(__xludf.DUMMYFUNCTION("IF(ISBLANK(B279),,IFERROR(array_constrain(FILTER('Leetcode分类顺序表'!B:J,'Leetcode分类顺序表'!A:A = B279), 1, 10000000),IFERROR(FILTER(Algoexpert.io!B:D,Algoexpert.io!A:A = B279),FILTER('Leetcode List'!B:J,'Leetcode List'!A:A = B279))))"),"")</f>
        <v/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>
      <c r="A280" s="22"/>
      <c r="B280" s="20"/>
      <c r="C280" s="20" t="str">
        <f>IFERROR(__xludf.DUMMYFUNCTION("IF(ISBLANK(B280),,IFERROR(array_constrain(FILTER('Leetcode分类顺序表'!B:J,'Leetcode分类顺序表'!A:A = B280), 1, 10000000),IFERROR(FILTER(Algoexpert.io!B:D,Algoexpert.io!A:A = B280),FILTER('Leetcode List'!B:J,'Leetcode List'!A:A = B280))))"),"")</f>
        <v/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>
      <c r="A281" s="22"/>
      <c r="B281" s="20"/>
      <c r="C281" s="20" t="str">
        <f>IFERROR(__xludf.DUMMYFUNCTION("IF(ISBLANK(B281),,IFERROR(array_constrain(FILTER('Leetcode分类顺序表'!B:J,'Leetcode分类顺序表'!A:A = B281), 1, 10000000),IFERROR(FILTER(Algoexpert.io!B:D,Algoexpert.io!A:A = B281),FILTER('Leetcode List'!B:J,'Leetcode List'!A:A = B281))))"),"")</f>
        <v/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>
      <c r="A282" s="22"/>
      <c r="B282" s="20"/>
      <c r="C282" s="20" t="str">
        <f>IFERROR(__xludf.DUMMYFUNCTION("IF(ISBLANK(B282),,IFERROR(array_constrain(FILTER('Leetcode分类顺序表'!B:J,'Leetcode分类顺序表'!A:A = B282), 1, 10000000),IFERROR(FILTER(Algoexpert.io!B:D,Algoexpert.io!A:A = B282),FILTER('Leetcode List'!B:J,'Leetcode List'!A:A = B282))))"),"")</f>
        <v/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>
      <c r="A283" s="22"/>
      <c r="B283" s="20"/>
      <c r="C283" s="20" t="str">
        <f>IFERROR(__xludf.DUMMYFUNCTION("IF(ISBLANK(B283),,IFERROR(array_constrain(FILTER('Leetcode分类顺序表'!B:J,'Leetcode分类顺序表'!A:A = B283), 1, 10000000),IFERROR(FILTER(Algoexpert.io!B:D,Algoexpert.io!A:A = B283),FILTER('Leetcode List'!B:J,'Leetcode List'!A:A = B283))))"),"")</f>
        <v/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>
      <c r="A284" s="22"/>
      <c r="B284" s="20"/>
      <c r="C284" s="20" t="str">
        <f>IFERROR(__xludf.DUMMYFUNCTION("IF(ISBLANK(B284),,IFERROR(array_constrain(FILTER('Leetcode分类顺序表'!B:J,'Leetcode分类顺序表'!A:A = B284), 1, 10000000),IFERROR(FILTER(Algoexpert.io!B:D,Algoexpert.io!A:A = B284),FILTER('Leetcode List'!B:J,'Leetcode List'!A:A = B284))))"),"")</f>
        <v/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>
      <c r="A285" s="22"/>
      <c r="B285" s="20"/>
      <c r="C285" s="20" t="str">
        <f>IFERROR(__xludf.DUMMYFUNCTION("IF(ISBLANK(B285),,IFERROR(array_constrain(FILTER('Leetcode分类顺序表'!B:J,'Leetcode分类顺序表'!A:A = B285), 1, 10000000),IFERROR(FILTER(Algoexpert.io!B:D,Algoexpert.io!A:A = B285),FILTER('Leetcode List'!B:J,'Leetcode List'!A:A = B285))))"),"")</f>
        <v/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>
      <c r="A286" s="22"/>
      <c r="B286" s="20"/>
      <c r="C286" s="20" t="str">
        <f>IFERROR(__xludf.DUMMYFUNCTION("IF(ISBLANK(B286),,IFERROR(array_constrain(FILTER('Leetcode分类顺序表'!B:J,'Leetcode分类顺序表'!A:A = B286), 1, 10000000),IFERROR(FILTER(Algoexpert.io!B:D,Algoexpert.io!A:A = B286),FILTER('Leetcode List'!B:J,'Leetcode List'!A:A = B286))))"),"")</f>
        <v/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>
      <c r="A287" s="22"/>
      <c r="B287" s="20"/>
      <c r="C287" s="20" t="str">
        <f>IFERROR(__xludf.DUMMYFUNCTION("IF(ISBLANK(B287),,IFERROR(array_constrain(FILTER('Leetcode分类顺序表'!B:J,'Leetcode分类顺序表'!A:A = B287), 1, 10000000),IFERROR(FILTER(Algoexpert.io!B:D,Algoexpert.io!A:A = B287),FILTER('Leetcode List'!B:J,'Leetcode List'!A:A = B287))))"),"")</f>
        <v/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>
      <c r="A288" s="22"/>
      <c r="B288" s="20"/>
      <c r="C288" s="20" t="str">
        <f>IFERROR(__xludf.DUMMYFUNCTION("IF(ISBLANK(B288),,IFERROR(array_constrain(FILTER('Leetcode分类顺序表'!B:J,'Leetcode分类顺序表'!A:A = B288), 1, 10000000),IFERROR(FILTER(Algoexpert.io!B:D,Algoexpert.io!A:A = B288),FILTER('Leetcode List'!B:J,'Leetcode List'!A:A = B288))))"),"")</f>
        <v/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>
      <c r="A289" s="22"/>
      <c r="B289" s="20"/>
      <c r="C289" s="20" t="str">
        <f>IFERROR(__xludf.DUMMYFUNCTION("IF(ISBLANK(B289),,IFERROR(array_constrain(FILTER('Leetcode分类顺序表'!B:J,'Leetcode分类顺序表'!A:A = B289), 1, 10000000),IFERROR(FILTER(Algoexpert.io!B:D,Algoexpert.io!A:A = B289),FILTER('Leetcode List'!B:J,'Leetcode List'!A:A = B289))))"),"")</f>
        <v/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>
      <c r="A290" s="22"/>
      <c r="B290" s="20"/>
      <c r="C290" s="20" t="str">
        <f>IFERROR(__xludf.DUMMYFUNCTION("IF(ISBLANK(B290),,IFERROR(array_constrain(FILTER('Leetcode分类顺序表'!B:J,'Leetcode分类顺序表'!A:A = B290), 1, 10000000),IFERROR(FILTER(Algoexpert.io!B:D,Algoexpert.io!A:A = B290),FILTER('Leetcode List'!B:J,'Leetcode List'!A:A = B290))))"),"")</f>
        <v/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>
      <c r="A291" s="22"/>
      <c r="B291" s="20"/>
      <c r="C291" s="20" t="str">
        <f>IFERROR(__xludf.DUMMYFUNCTION("IF(ISBLANK(B291),,IFERROR(array_constrain(FILTER('Leetcode分类顺序表'!B:J,'Leetcode分类顺序表'!A:A = B291), 1, 10000000),IFERROR(FILTER(Algoexpert.io!B:D,Algoexpert.io!A:A = B291),FILTER('Leetcode List'!B:J,'Leetcode List'!A:A = B291))))"),"")</f>
        <v/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>
      <c r="A292" s="22"/>
      <c r="B292" s="20"/>
      <c r="C292" s="20" t="str">
        <f>IFERROR(__xludf.DUMMYFUNCTION("IF(ISBLANK(B292),,IFERROR(array_constrain(FILTER('Leetcode分类顺序表'!B:J,'Leetcode分类顺序表'!A:A = B292), 1, 10000000),IFERROR(FILTER(Algoexpert.io!B:D,Algoexpert.io!A:A = B292),FILTER('Leetcode List'!B:J,'Leetcode List'!A:A = B292))))"),"")</f>
        <v/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>
      <c r="A293" s="22"/>
      <c r="B293" s="20"/>
      <c r="C293" s="20" t="str">
        <f>IFERROR(__xludf.DUMMYFUNCTION("IF(ISBLANK(B293),,IFERROR(array_constrain(FILTER('Leetcode分类顺序表'!B:J,'Leetcode分类顺序表'!A:A = B293), 1, 10000000),IFERROR(FILTER(Algoexpert.io!B:D,Algoexpert.io!A:A = B293),FILTER('Leetcode List'!B:J,'Leetcode List'!A:A = B293))))"),"")</f>
        <v/>
      </c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>
      <c r="A294" s="22"/>
      <c r="B294" s="20"/>
      <c r="C294" s="20" t="str">
        <f>IFERROR(__xludf.DUMMYFUNCTION("IF(ISBLANK(B294),,IFERROR(array_constrain(FILTER('Leetcode分类顺序表'!B:J,'Leetcode分类顺序表'!A:A = B294), 1, 10000000),IFERROR(FILTER(Algoexpert.io!B:D,Algoexpert.io!A:A = B294),FILTER('Leetcode List'!B:J,'Leetcode List'!A:A = B294))))"),"")</f>
        <v/>
      </c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>
      <c r="A295" s="22"/>
      <c r="B295" s="20"/>
      <c r="C295" s="20" t="str">
        <f>IFERROR(__xludf.DUMMYFUNCTION("IF(ISBLANK(B295),,IFERROR(array_constrain(FILTER('Leetcode分类顺序表'!B:J,'Leetcode分类顺序表'!A:A = B295), 1, 10000000),IFERROR(FILTER(Algoexpert.io!B:D,Algoexpert.io!A:A = B295),FILTER('Leetcode List'!B:J,'Leetcode List'!A:A = B295))))"),"")</f>
        <v/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>
      <c r="A296" s="22"/>
      <c r="B296" s="20"/>
      <c r="C296" s="20" t="str">
        <f>IFERROR(__xludf.DUMMYFUNCTION("IF(ISBLANK(B296),,IFERROR(array_constrain(FILTER('Leetcode分类顺序表'!B:J,'Leetcode分类顺序表'!A:A = B296), 1, 10000000),IFERROR(FILTER(Algoexpert.io!B:D,Algoexpert.io!A:A = B296),FILTER('Leetcode List'!B:J,'Leetcode List'!A:A = B296))))"),"")</f>
        <v/>
      </c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>
      <c r="A297" s="22"/>
      <c r="B297" s="20"/>
      <c r="C297" s="20" t="str">
        <f>IFERROR(__xludf.DUMMYFUNCTION("IF(ISBLANK(B297),,IFERROR(array_constrain(FILTER('Leetcode分类顺序表'!B:J,'Leetcode分类顺序表'!A:A = B297), 1, 10000000),IFERROR(FILTER(Algoexpert.io!B:D,Algoexpert.io!A:A = B297),FILTER('Leetcode List'!B:J,'Leetcode List'!A:A = B297))))"),"")</f>
        <v/>
      </c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>
      <c r="A298" s="22"/>
      <c r="B298" s="20"/>
      <c r="C298" s="20" t="str">
        <f>IFERROR(__xludf.DUMMYFUNCTION("IF(ISBLANK(B298),,IFERROR(array_constrain(FILTER('Leetcode分类顺序表'!B:J,'Leetcode分类顺序表'!A:A = B298), 1, 10000000),IFERROR(FILTER(Algoexpert.io!B:D,Algoexpert.io!A:A = B298),FILTER('Leetcode List'!B:J,'Leetcode List'!A:A = B298))))"),"")</f>
        <v/>
      </c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>
      <c r="A299" s="22"/>
      <c r="B299" s="20"/>
      <c r="C299" s="20" t="str">
        <f>IFERROR(__xludf.DUMMYFUNCTION("IF(ISBLANK(B299),,IFERROR(array_constrain(FILTER('Leetcode分类顺序表'!B:J,'Leetcode分类顺序表'!A:A = B299), 1, 10000000),IFERROR(FILTER(Algoexpert.io!B:D,Algoexpert.io!A:A = B299),FILTER('Leetcode List'!B:J,'Leetcode List'!A:A = B299))))"),"")</f>
        <v/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>
      <c r="A300" s="22"/>
      <c r="B300" s="20"/>
      <c r="C300" s="20" t="str">
        <f>IFERROR(__xludf.DUMMYFUNCTION("IF(ISBLANK(B300),,IFERROR(array_constrain(FILTER('Leetcode分类顺序表'!B:J,'Leetcode分类顺序表'!A:A = B300), 1, 10000000),IFERROR(FILTER(Algoexpert.io!B:D,Algoexpert.io!A:A = B300),FILTER('Leetcode List'!B:J,'Leetcode List'!A:A = B300))))"),"")</f>
        <v/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>
      <c r="A301" s="22"/>
      <c r="B301" s="20"/>
      <c r="C301" s="20" t="str">
        <f>IFERROR(__xludf.DUMMYFUNCTION("IF(ISBLANK(B301),,IFERROR(array_constrain(FILTER('Leetcode分类顺序表'!B:J,'Leetcode分类顺序表'!A:A = B301), 1, 10000000),IFERROR(FILTER(Algoexpert.io!B:D,Algoexpert.io!A:A = B301),FILTER('Leetcode List'!B:J,'Leetcode List'!A:A = B301))))"),"")</f>
        <v/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>
      <c r="A302" s="22"/>
      <c r="B302" s="20"/>
      <c r="C302" s="20" t="str">
        <f>IFERROR(__xludf.DUMMYFUNCTION("IF(ISBLANK(B302),,IFERROR(array_constrain(FILTER('Leetcode分类顺序表'!B:J,'Leetcode分类顺序表'!A:A = B302), 1, 10000000),IFERROR(FILTER(Algoexpert.io!B:D,Algoexpert.io!A:A = B302),FILTER('Leetcode List'!B:J,'Leetcode List'!A:A = B302))))"),"")</f>
        <v/>
      </c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>
      <c r="A303" s="22"/>
      <c r="B303" s="20"/>
      <c r="C303" s="20" t="str">
        <f>IFERROR(__xludf.DUMMYFUNCTION("IF(ISBLANK(B303),,IFERROR(array_constrain(FILTER('Leetcode分类顺序表'!B:J,'Leetcode分类顺序表'!A:A = B303), 1, 10000000),IFERROR(FILTER(Algoexpert.io!B:D,Algoexpert.io!A:A = B303),FILTER('Leetcode List'!B:J,'Leetcode List'!A:A = B303))))"),"")</f>
        <v/>
      </c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>
      <c r="A304" s="22"/>
      <c r="B304" s="20"/>
      <c r="C304" s="20" t="str">
        <f>IFERROR(__xludf.DUMMYFUNCTION("IF(ISBLANK(B304),,IFERROR(array_constrain(FILTER('Leetcode分类顺序表'!B:J,'Leetcode分类顺序表'!A:A = B304), 1, 10000000),IFERROR(FILTER(Algoexpert.io!B:D,Algoexpert.io!A:A = B304),FILTER('Leetcode List'!B:J,'Leetcode List'!A:A = B304))))"),"")</f>
        <v/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>
      <c r="A305" s="22"/>
      <c r="B305" s="20"/>
      <c r="C305" s="20" t="str">
        <f>IFERROR(__xludf.DUMMYFUNCTION("IF(ISBLANK(B305),,IFERROR(array_constrain(FILTER('Leetcode分类顺序表'!B:J,'Leetcode分类顺序表'!A:A = B305), 1, 10000000),IFERROR(FILTER(Algoexpert.io!B:D,Algoexpert.io!A:A = B305),FILTER('Leetcode List'!B:J,'Leetcode List'!A:A = B305))))"),"")</f>
        <v/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>
      <c r="A306" s="22"/>
      <c r="B306" s="20"/>
      <c r="C306" s="20" t="str">
        <f>IFERROR(__xludf.DUMMYFUNCTION("IF(ISBLANK(B306),,IFERROR(array_constrain(FILTER('Leetcode分类顺序表'!B:J,'Leetcode分类顺序表'!A:A = B306), 1, 10000000),IFERROR(FILTER(Algoexpert.io!B:D,Algoexpert.io!A:A = B306),FILTER('Leetcode List'!B:J,'Leetcode List'!A:A = B306))))"),"")</f>
        <v/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>
      <c r="A307" s="22"/>
      <c r="B307" s="20"/>
      <c r="C307" s="20" t="str">
        <f>IFERROR(__xludf.DUMMYFUNCTION("IF(ISBLANK(B307),,IFERROR(array_constrain(FILTER('Leetcode分类顺序表'!B:J,'Leetcode分类顺序表'!A:A = B307), 1, 10000000),IFERROR(FILTER(Algoexpert.io!B:D,Algoexpert.io!A:A = B307),FILTER('Leetcode List'!B:J,'Leetcode List'!A:A = B307))))"),"")</f>
        <v/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>
      <c r="A308" s="22"/>
      <c r="B308" s="20"/>
      <c r="C308" s="20" t="str">
        <f>IFERROR(__xludf.DUMMYFUNCTION("IF(ISBLANK(B308),,IFERROR(array_constrain(FILTER('Leetcode分类顺序表'!B:J,'Leetcode分类顺序表'!A:A = B308), 1, 10000000),IFERROR(FILTER(Algoexpert.io!B:D,Algoexpert.io!A:A = B308),FILTER('Leetcode List'!B:J,'Leetcode List'!A:A = B308))))"),"")</f>
        <v/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>
      <c r="A309" s="22"/>
      <c r="B309" s="20"/>
      <c r="C309" s="20" t="str">
        <f>IFERROR(__xludf.DUMMYFUNCTION("IF(ISBLANK(B309),,IFERROR(array_constrain(FILTER('Leetcode分类顺序表'!B:J,'Leetcode分类顺序表'!A:A = B309), 1, 10000000),IFERROR(FILTER(Algoexpert.io!B:D,Algoexpert.io!A:A = B309),FILTER('Leetcode List'!B:J,'Leetcode List'!A:A = B309))))"),"")</f>
        <v/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>
      <c r="A310" s="22"/>
      <c r="B310" s="20"/>
      <c r="C310" s="20" t="str">
        <f>IFERROR(__xludf.DUMMYFUNCTION("IF(ISBLANK(B310),,IFERROR(array_constrain(FILTER('Leetcode分类顺序表'!B:J,'Leetcode分类顺序表'!A:A = B310), 1, 10000000),IFERROR(FILTER(Algoexpert.io!B:D,Algoexpert.io!A:A = B310),FILTER('Leetcode List'!B:J,'Leetcode List'!A:A = B310))))"),"")</f>
        <v/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>
      <c r="A311" s="22"/>
      <c r="B311" s="20"/>
      <c r="C311" s="20" t="str">
        <f>IFERROR(__xludf.DUMMYFUNCTION("IF(ISBLANK(B311),,IFERROR(array_constrain(FILTER('Leetcode分类顺序表'!B:J,'Leetcode分类顺序表'!A:A = B311), 1, 10000000),IFERROR(FILTER(Algoexpert.io!B:D,Algoexpert.io!A:A = B311),FILTER('Leetcode List'!B:J,'Leetcode List'!A:A = B311))))"),"")</f>
        <v/>
      </c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>
      <c r="A312" s="22"/>
      <c r="B312" s="20"/>
      <c r="C312" s="20" t="str">
        <f>IFERROR(__xludf.DUMMYFUNCTION("IF(ISBLANK(B312),,IFERROR(array_constrain(FILTER('Leetcode分类顺序表'!B:J,'Leetcode分类顺序表'!A:A = B312), 1, 10000000),IFERROR(FILTER(Algoexpert.io!B:D,Algoexpert.io!A:A = B312),FILTER('Leetcode List'!B:J,'Leetcode List'!A:A = B312))))"),"")</f>
        <v/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>
      <c r="A313" s="22"/>
      <c r="B313" s="20"/>
      <c r="C313" s="20" t="str">
        <f>IFERROR(__xludf.DUMMYFUNCTION("IF(ISBLANK(B313),,IFERROR(array_constrain(FILTER('Leetcode分类顺序表'!B:J,'Leetcode分类顺序表'!A:A = B313), 1, 10000000),IFERROR(FILTER(Algoexpert.io!B:D,Algoexpert.io!A:A = B313),FILTER('Leetcode List'!B:J,'Leetcode List'!A:A = B313))))"),"")</f>
        <v/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>
      <c r="A314" s="22"/>
      <c r="B314" s="20"/>
      <c r="C314" s="20" t="str">
        <f>IFERROR(__xludf.DUMMYFUNCTION("IF(ISBLANK(B314),,IFERROR(array_constrain(FILTER('Leetcode分类顺序表'!B:J,'Leetcode分类顺序表'!A:A = B314), 1, 10000000),IFERROR(FILTER(Algoexpert.io!B:D,Algoexpert.io!A:A = B314),FILTER('Leetcode List'!B:J,'Leetcode List'!A:A = B314))))"),"")</f>
        <v/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>
      <c r="A315" s="22"/>
      <c r="B315" s="20"/>
      <c r="C315" s="20" t="str">
        <f>IFERROR(__xludf.DUMMYFUNCTION("IF(ISBLANK(B315),,IFERROR(array_constrain(FILTER('Leetcode分类顺序表'!B:J,'Leetcode分类顺序表'!A:A = B315), 1, 10000000),IFERROR(FILTER(Algoexpert.io!B:D,Algoexpert.io!A:A = B315),FILTER('Leetcode List'!B:J,'Leetcode List'!A:A = B315))))"),"")</f>
        <v/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>
      <c r="A316" s="22"/>
      <c r="B316" s="20"/>
      <c r="C316" s="20" t="str">
        <f>IFERROR(__xludf.DUMMYFUNCTION("IF(ISBLANK(B316),,IFERROR(array_constrain(FILTER('Leetcode分类顺序表'!B:J,'Leetcode分类顺序表'!A:A = B316), 1, 10000000),IFERROR(FILTER(Algoexpert.io!B:D,Algoexpert.io!A:A = B316),FILTER('Leetcode List'!B:J,'Leetcode List'!A:A = B316))))"),"")</f>
        <v/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>
      <c r="A317" s="22"/>
      <c r="B317" s="20"/>
      <c r="C317" s="20" t="str">
        <f>IFERROR(__xludf.DUMMYFUNCTION("IF(ISBLANK(B317),,IFERROR(array_constrain(FILTER('Leetcode分类顺序表'!B:J,'Leetcode分类顺序表'!A:A = B317), 1, 10000000),IFERROR(FILTER(Algoexpert.io!B:D,Algoexpert.io!A:A = B317),FILTER('Leetcode List'!B:J,'Leetcode List'!A:A = B317))))"),"")</f>
        <v/>
      </c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>
      <c r="A318" s="22"/>
      <c r="B318" s="20"/>
      <c r="C318" s="20" t="str">
        <f>IFERROR(__xludf.DUMMYFUNCTION("IF(ISBLANK(B318),,IFERROR(array_constrain(FILTER('Leetcode分类顺序表'!B:J,'Leetcode分类顺序表'!A:A = B318), 1, 10000000),IFERROR(FILTER(Algoexpert.io!B:D,Algoexpert.io!A:A = B318),FILTER('Leetcode List'!B:J,'Leetcode List'!A:A = B318))))"),"")</f>
        <v/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>
      <c r="A319" s="22"/>
      <c r="B319" s="20"/>
      <c r="C319" s="20" t="str">
        <f>IFERROR(__xludf.DUMMYFUNCTION("IF(ISBLANK(B319),,IFERROR(array_constrain(FILTER('Leetcode分类顺序表'!B:J,'Leetcode分类顺序表'!A:A = B319), 1, 10000000),IFERROR(FILTER(Algoexpert.io!B:D,Algoexpert.io!A:A = B319),FILTER('Leetcode List'!B:J,'Leetcode List'!A:A = B319))))"),"")</f>
        <v/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>
      <c r="A320" s="22"/>
      <c r="B320" s="20"/>
      <c r="C320" s="20" t="str">
        <f>IFERROR(__xludf.DUMMYFUNCTION("IF(ISBLANK(B320),,IFERROR(array_constrain(FILTER('Leetcode分类顺序表'!B:J,'Leetcode分类顺序表'!A:A = B320), 1, 10000000),IFERROR(FILTER(Algoexpert.io!B:D,Algoexpert.io!A:A = B320),FILTER('Leetcode List'!B:J,'Leetcode List'!A:A = B320))))"),"")</f>
        <v/>
      </c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>
      <c r="A321" s="22"/>
      <c r="B321" s="20"/>
      <c r="C321" s="20" t="str">
        <f>IFERROR(__xludf.DUMMYFUNCTION("IF(ISBLANK(B321),,IFERROR(array_constrain(FILTER('Leetcode分类顺序表'!B:J,'Leetcode分类顺序表'!A:A = B321), 1, 10000000),IFERROR(FILTER(Algoexpert.io!B:D,Algoexpert.io!A:A = B321),FILTER('Leetcode List'!B:J,'Leetcode List'!A:A = B321))))"),"")</f>
        <v/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>
      <c r="A322" s="22"/>
      <c r="B322" s="20"/>
      <c r="C322" s="20" t="str">
        <f>IFERROR(__xludf.DUMMYFUNCTION("IF(ISBLANK(B322),,IFERROR(array_constrain(FILTER('Leetcode分类顺序表'!B:J,'Leetcode分类顺序表'!A:A = B322), 1, 10000000),IFERROR(FILTER(Algoexpert.io!B:D,Algoexpert.io!A:A = B322),FILTER('Leetcode List'!B:J,'Leetcode List'!A:A = B322))))"),"")</f>
        <v/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>
      <c r="A323" s="22"/>
      <c r="B323" s="20"/>
      <c r="C323" s="20" t="str">
        <f>IFERROR(__xludf.DUMMYFUNCTION("IF(ISBLANK(B323),,IFERROR(array_constrain(FILTER('Leetcode分类顺序表'!B:J,'Leetcode分类顺序表'!A:A = B323), 1, 10000000),IFERROR(FILTER(Algoexpert.io!B:D,Algoexpert.io!A:A = B323),FILTER('Leetcode List'!B:J,'Leetcode List'!A:A = B323))))"),"")</f>
        <v/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>
      <c r="A324" s="22"/>
      <c r="B324" s="20"/>
      <c r="C324" s="20" t="str">
        <f>IFERROR(__xludf.DUMMYFUNCTION("IF(ISBLANK(B324),,IFERROR(array_constrain(FILTER('Leetcode分类顺序表'!B:J,'Leetcode分类顺序表'!A:A = B324), 1, 10000000),IFERROR(FILTER(Algoexpert.io!B:D,Algoexpert.io!A:A = B324),FILTER('Leetcode List'!B:J,'Leetcode List'!A:A = B324))))"),"")</f>
        <v/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>
      <c r="A325" s="22"/>
      <c r="B325" s="20"/>
      <c r="C325" s="20" t="str">
        <f>IFERROR(__xludf.DUMMYFUNCTION("IF(ISBLANK(B325),,IFERROR(array_constrain(FILTER('Leetcode分类顺序表'!B:J,'Leetcode分类顺序表'!A:A = B325), 1, 10000000),IFERROR(FILTER(Algoexpert.io!B:D,Algoexpert.io!A:A = B325),FILTER('Leetcode List'!B:J,'Leetcode List'!A:A = B325))))"),"")</f>
        <v/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>
      <c r="A326" s="22"/>
      <c r="B326" s="20"/>
      <c r="C326" s="20" t="str">
        <f>IFERROR(__xludf.DUMMYFUNCTION("IF(ISBLANK(B326),,IFERROR(array_constrain(FILTER('Leetcode分类顺序表'!B:J,'Leetcode分类顺序表'!A:A = B326), 1, 10000000),IFERROR(FILTER(Algoexpert.io!B:D,Algoexpert.io!A:A = B326),FILTER('Leetcode List'!B:J,'Leetcode List'!A:A = B326))))"),"")</f>
        <v/>
      </c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>
      <c r="A327" s="22"/>
      <c r="B327" s="20"/>
      <c r="C327" s="20" t="str">
        <f>IFERROR(__xludf.DUMMYFUNCTION("IF(ISBLANK(B327),,IFERROR(array_constrain(FILTER('Leetcode分类顺序表'!B:J,'Leetcode分类顺序表'!A:A = B327), 1, 10000000),IFERROR(FILTER(Algoexpert.io!B:D,Algoexpert.io!A:A = B327),FILTER('Leetcode List'!B:J,'Leetcode List'!A:A = B327))))"),"")</f>
        <v/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>
      <c r="A328" s="22"/>
      <c r="B328" s="20"/>
      <c r="C328" s="20" t="str">
        <f>IFERROR(__xludf.DUMMYFUNCTION("IF(ISBLANK(B328),,IFERROR(array_constrain(FILTER('Leetcode分类顺序表'!B:J,'Leetcode分类顺序表'!A:A = B328), 1, 10000000),IFERROR(FILTER(Algoexpert.io!B:D,Algoexpert.io!A:A = B328),FILTER('Leetcode List'!B:J,'Leetcode List'!A:A = B328))))"),"")</f>
        <v/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>
      <c r="A329" s="22"/>
      <c r="B329" s="20"/>
      <c r="C329" s="20" t="str">
        <f>IFERROR(__xludf.DUMMYFUNCTION("IF(ISBLANK(B329),,IFERROR(array_constrain(FILTER('Leetcode分类顺序表'!B:J,'Leetcode分类顺序表'!A:A = B329), 1, 10000000),IFERROR(FILTER(Algoexpert.io!B:D,Algoexpert.io!A:A = B329),FILTER('Leetcode List'!B:J,'Leetcode List'!A:A = B329))))"),"")</f>
        <v/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>
      <c r="A330" s="22"/>
      <c r="B330" s="20"/>
      <c r="C330" s="20" t="str">
        <f>IFERROR(__xludf.DUMMYFUNCTION("IF(ISBLANK(B330),,IFERROR(array_constrain(FILTER('Leetcode分类顺序表'!B:J,'Leetcode分类顺序表'!A:A = B330), 1, 10000000),IFERROR(FILTER(Algoexpert.io!B:D,Algoexpert.io!A:A = B330),FILTER('Leetcode List'!B:J,'Leetcode List'!A:A = B330))))"),"")</f>
        <v/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>
      <c r="A331" s="22"/>
      <c r="B331" s="20"/>
      <c r="C331" s="20" t="str">
        <f>IFERROR(__xludf.DUMMYFUNCTION("IF(ISBLANK(B331),,IFERROR(array_constrain(FILTER('Leetcode分类顺序表'!B:J,'Leetcode分类顺序表'!A:A = B331), 1, 10000000),IFERROR(FILTER(Algoexpert.io!B:D,Algoexpert.io!A:A = B331),FILTER('Leetcode List'!B:J,'Leetcode List'!A:A = B331))))"),"")</f>
        <v/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>
      <c r="A332" s="22"/>
      <c r="B332" s="20"/>
      <c r="C332" s="20" t="str">
        <f>IFERROR(__xludf.DUMMYFUNCTION("IF(ISBLANK(B332),,IFERROR(array_constrain(FILTER('Leetcode分类顺序表'!B:J,'Leetcode分类顺序表'!A:A = B332), 1, 10000000),IFERROR(FILTER(Algoexpert.io!B:D,Algoexpert.io!A:A = B332),FILTER('Leetcode List'!B:J,'Leetcode List'!A:A = B332))))"),"")</f>
        <v/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>
      <c r="A333" s="22"/>
      <c r="B333" s="20"/>
      <c r="C333" s="20" t="str">
        <f>IFERROR(__xludf.DUMMYFUNCTION("IF(ISBLANK(B333),,IFERROR(array_constrain(FILTER('Leetcode分类顺序表'!B:J,'Leetcode分类顺序表'!A:A = B333), 1, 10000000),IFERROR(FILTER(Algoexpert.io!B:D,Algoexpert.io!A:A = B333),FILTER('Leetcode List'!B:J,'Leetcode List'!A:A = B333))))"),"")</f>
        <v/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>
      <c r="A334" s="22"/>
      <c r="B334" s="20"/>
      <c r="C334" s="20" t="str">
        <f>IFERROR(__xludf.DUMMYFUNCTION("IF(ISBLANK(B334),,IFERROR(array_constrain(FILTER('Leetcode分类顺序表'!B:J,'Leetcode分类顺序表'!A:A = B334), 1, 10000000),IFERROR(FILTER(Algoexpert.io!B:D,Algoexpert.io!A:A = B334),FILTER('Leetcode List'!B:J,'Leetcode List'!A:A = B334))))"),"")</f>
        <v/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>
      <c r="A335" s="22"/>
      <c r="B335" s="20"/>
      <c r="C335" s="20" t="str">
        <f>IFERROR(__xludf.DUMMYFUNCTION("IF(ISBLANK(B335),,IFERROR(array_constrain(FILTER('Leetcode分类顺序表'!B:J,'Leetcode分类顺序表'!A:A = B335), 1, 10000000),IFERROR(FILTER(Algoexpert.io!B:D,Algoexpert.io!A:A = B335),FILTER('Leetcode List'!B:J,'Leetcode List'!A:A = B335))))"),"")</f>
        <v/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>
      <c r="A336" s="22"/>
      <c r="B336" s="20"/>
      <c r="C336" s="20" t="str">
        <f>IFERROR(__xludf.DUMMYFUNCTION("IF(ISBLANK(B336),,IFERROR(array_constrain(FILTER('Leetcode分类顺序表'!B:J,'Leetcode分类顺序表'!A:A = B336), 1, 10000000),IFERROR(FILTER(Algoexpert.io!B:D,Algoexpert.io!A:A = B336),FILTER('Leetcode List'!B:J,'Leetcode List'!A:A = B336))))"),"")</f>
        <v/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>
      <c r="A337" s="22"/>
      <c r="B337" s="20"/>
      <c r="C337" s="20" t="str">
        <f>IFERROR(__xludf.DUMMYFUNCTION("IF(ISBLANK(B337),,IFERROR(array_constrain(FILTER('Leetcode分类顺序表'!B:J,'Leetcode分类顺序表'!A:A = B337), 1, 10000000),IFERROR(FILTER(Algoexpert.io!B:D,Algoexpert.io!A:A = B337),FILTER('Leetcode List'!B:J,'Leetcode List'!A:A = B337))))"),"")</f>
        <v/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>
      <c r="A338" s="22"/>
      <c r="B338" s="20"/>
      <c r="C338" s="20" t="str">
        <f>IFERROR(__xludf.DUMMYFUNCTION("IF(ISBLANK(B338),,IFERROR(array_constrain(FILTER('Leetcode分类顺序表'!B:J,'Leetcode分类顺序表'!A:A = B338), 1, 10000000),IFERROR(FILTER(Algoexpert.io!B:D,Algoexpert.io!A:A = B338),FILTER('Leetcode List'!B:J,'Leetcode List'!A:A = B338))))"),"")</f>
        <v/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>
      <c r="A339" s="22"/>
      <c r="B339" s="20"/>
      <c r="C339" s="20" t="str">
        <f>IFERROR(__xludf.DUMMYFUNCTION("IF(ISBLANK(B339),,IFERROR(array_constrain(FILTER('Leetcode分类顺序表'!B:J,'Leetcode分类顺序表'!A:A = B339), 1, 10000000),IFERROR(FILTER(Algoexpert.io!B:D,Algoexpert.io!A:A = B339),FILTER('Leetcode List'!B:J,'Leetcode List'!A:A = B339))))"),"")</f>
        <v/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>
      <c r="A340" s="22"/>
      <c r="B340" s="20"/>
      <c r="C340" s="20" t="str">
        <f>IFERROR(__xludf.DUMMYFUNCTION("IF(ISBLANK(B340),,IFERROR(array_constrain(FILTER('Leetcode分类顺序表'!B:J,'Leetcode分类顺序表'!A:A = B340), 1, 10000000),IFERROR(FILTER(Algoexpert.io!B:D,Algoexpert.io!A:A = B340),FILTER('Leetcode List'!B:J,'Leetcode List'!A:A = B340))))"),"")</f>
        <v/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>
      <c r="A341" s="22"/>
      <c r="B341" s="20"/>
      <c r="C341" s="20" t="str">
        <f>IFERROR(__xludf.DUMMYFUNCTION("IF(ISBLANK(B341),,IFERROR(array_constrain(FILTER('Leetcode分类顺序表'!B:J,'Leetcode分类顺序表'!A:A = B341), 1, 10000000),IFERROR(FILTER(Algoexpert.io!B:D,Algoexpert.io!A:A = B341),FILTER('Leetcode List'!B:J,'Leetcode List'!A:A = B341))))"),"")</f>
        <v/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>
      <c r="A342" s="22"/>
      <c r="B342" s="20"/>
      <c r="C342" s="20" t="str">
        <f>IFERROR(__xludf.DUMMYFUNCTION("IF(ISBLANK(B342),,IFERROR(array_constrain(FILTER('Leetcode分类顺序表'!B:J,'Leetcode分类顺序表'!A:A = B342), 1, 10000000),IFERROR(FILTER(Algoexpert.io!B:D,Algoexpert.io!A:A = B342),FILTER('Leetcode List'!B:J,'Leetcode List'!A:A = B342))))"),"")</f>
        <v/>
      </c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>
      <c r="A343" s="22"/>
      <c r="B343" s="20"/>
      <c r="C343" s="20" t="str">
        <f>IFERROR(__xludf.DUMMYFUNCTION("IF(ISBLANK(B343),,IFERROR(array_constrain(FILTER('Leetcode分类顺序表'!B:J,'Leetcode分类顺序表'!A:A = B343), 1, 10000000),IFERROR(FILTER(Algoexpert.io!B:D,Algoexpert.io!A:A = B343),FILTER('Leetcode List'!B:J,'Leetcode List'!A:A = B343))))"),"")</f>
        <v/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>
      <c r="A344" s="22"/>
      <c r="B344" s="20"/>
      <c r="C344" s="20" t="str">
        <f>IFERROR(__xludf.DUMMYFUNCTION("IF(ISBLANK(B344),,IFERROR(array_constrain(FILTER('Leetcode分类顺序表'!B:J,'Leetcode分类顺序表'!A:A = B344), 1, 10000000),IFERROR(FILTER(Algoexpert.io!B:D,Algoexpert.io!A:A = B344),FILTER('Leetcode List'!B:J,'Leetcode List'!A:A = B344))))"),"")</f>
        <v/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>
      <c r="A345" s="22"/>
      <c r="B345" s="20"/>
      <c r="C345" s="20" t="str">
        <f>IFERROR(__xludf.DUMMYFUNCTION("IF(ISBLANK(B345),,IFERROR(array_constrain(FILTER('Leetcode分类顺序表'!B:J,'Leetcode分类顺序表'!A:A = B345), 1, 10000000),IFERROR(FILTER(Algoexpert.io!B:D,Algoexpert.io!A:A = B345),FILTER('Leetcode List'!B:J,'Leetcode List'!A:A = B345))))"),"")</f>
        <v/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>
      <c r="A346" s="22"/>
      <c r="B346" s="20"/>
      <c r="C346" s="20" t="str">
        <f>IFERROR(__xludf.DUMMYFUNCTION("IF(ISBLANK(B346),,IFERROR(array_constrain(FILTER('Leetcode分类顺序表'!B:J,'Leetcode分类顺序表'!A:A = B346), 1, 10000000),IFERROR(FILTER(Algoexpert.io!B:D,Algoexpert.io!A:A = B346),FILTER('Leetcode List'!B:J,'Leetcode List'!A:A = B346))))"),"")</f>
        <v/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>
      <c r="A347" s="22"/>
      <c r="B347" s="20"/>
      <c r="C347" s="20" t="str">
        <f>IFERROR(__xludf.DUMMYFUNCTION("IF(ISBLANK(B347),,IFERROR(array_constrain(FILTER('Leetcode分类顺序表'!B:J,'Leetcode分类顺序表'!A:A = B347), 1, 10000000),IFERROR(FILTER(Algoexpert.io!B:D,Algoexpert.io!A:A = B347),FILTER('Leetcode List'!B:J,'Leetcode List'!A:A = B347))))"),"")</f>
        <v/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>
      <c r="A348" s="22"/>
      <c r="B348" s="20"/>
      <c r="C348" s="20" t="str">
        <f>IFERROR(__xludf.DUMMYFUNCTION("IF(ISBLANK(B348),,IFERROR(array_constrain(FILTER('Leetcode分类顺序表'!B:J,'Leetcode分类顺序表'!A:A = B348), 1, 10000000),IFERROR(FILTER(Algoexpert.io!B:D,Algoexpert.io!A:A = B348),FILTER('Leetcode List'!B:J,'Leetcode List'!A:A = B348))))"),"")</f>
        <v/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>
      <c r="A349" s="22"/>
      <c r="B349" s="20"/>
      <c r="C349" s="20" t="str">
        <f>IFERROR(__xludf.DUMMYFUNCTION("IF(ISBLANK(B349),,IFERROR(array_constrain(FILTER('Leetcode分类顺序表'!B:J,'Leetcode分类顺序表'!A:A = B349), 1, 10000000),IFERROR(FILTER(Algoexpert.io!B:D,Algoexpert.io!A:A = B349),FILTER('Leetcode List'!B:J,'Leetcode List'!A:A = B349))))"),"")</f>
        <v/>
      </c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>
      <c r="A350" s="22"/>
      <c r="B350" s="20"/>
      <c r="C350" s="20" t="str">
        <f>IFERROR(__xludf.DUMMYFUNCTION("IF(ISBLANK(B350),,IFERROR(array_constrain(FILTER('Leetcode分类顺序表'!B:J,'Leetcode分类顺序表'!A:A = B350), 1, 10000000),IFERROR(FILTER(Algoexpert.io!B:D,Algoexpert.io!A:A = B350),FILTER('Leetcode List'!B:J,'Leetcode List'!A:A = B350))))"),"")</f>
        <v/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>
      <c r="A351" s="22"/>
      <c r="B351" s="20"/>
      <c r="C351" s="20" t="str">
        <f>IFERROR(__xludf.DUMMYFUNCTION("IF(ISBLANK(B351),,IFERROR(array_constrain(FILTER('Leetcode分类顺序表'!B:J,'Leetcode分类顺序表'!A:A = B351), 1, 10000000),IFERROR(FILTER(Algoexpert.io!B:D,Algoexpert.io!A:A = B351),FILTER('Leetcode List'!B:J,'Leetcode List'!A:A = B351))))"),"")</f>
        <v/>
      </c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>
      <c r="A352" s="22"/>
      <c r="B352" s="20"/>
      <c r="C352" s="20" t="str">
        <f>IFERROR(__xludf.DUMMYFUNCTION("IF(ISBLANK(B352),,IFERROR(array_constrain(FILTER('Leetcode分类顺序表'!B:J,'Leetcode分类顺序表'!A:A = B352), 1, 10000000),IFERROR(FILTER(Algoexpert.io!B:D,Algoexpert.io!A:A = B352),FILTER('Leetcode List'!B:J,'Leetcode List'!A:A = B352))))"),"")</f>
        <v/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>
      <c r="A353" s="22"/>
      <c r="B353" s="20"/>
      <c r="C353" s="20" t="str">
        <f>IFERROR(__xludf.DUMMYFUNCTION("IF(ISBLANK(B353),,IFERROR(array_constrain(FILTER('Leetcode分类顺序表'!B:J,'Leetcode分类顺序表'!A:A = B353), 1, 10000000),IFERROR(FILTER(Algoexpert.io!B:D,Algoexpert.io!A:A = B353),FILTER('Leetcode List'!B:J,'Leetcode List'!A:A = B353))))"),"")</f>
        <v/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>
      <c r="A354" s="22"/>
      <c r="B354" s="20"/>
      <c r="C354" s="20" t="str">
        <f>IFERROR(__xludf.DUMMYFUNCTION("IF(ISBLANK(B354),,IFERROR(array_constrain(FILTER('Leetcode分类顺序表'!B:J,'Leetcode分类顺序表'!A:A = B354), 1, 10000000),IFERROR(FILTER(Algoexpert.io!B:D,Algoexpert.io!A:A = B354),FILTER('Leetcode List'!B:J,'Leetcode List'!A:A = B354))))"),"")</f>
        <v/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>
      <c r="A355" s="22"/>
      <c r="B355" s="20"/>
      <c r="C355" s="20" t="str">
        <f>IFERROR(__xludf.DUMMYFUNCTION("IF(ISBLANK(B355),,IFERROR(array_constrain(FILTER('Leetcode分类顺序表'!B:J,'Leetcode分类顺序表'!A:A = B355), 1, 10000000),IFERROR(FILTER(Algoexpert.io!B:D,Algoexpert.io!A:A = B355),FILTER('Leetcode List'!B:J,'Leetcode List'!A:A = B355))))"),"")</f>
        <v/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>
      <c r="A356" s="22"/>
      <c r="B356" s="20"/>
      <c r="C356" s="20" t="str">
        <f>IFERROR(__xludf.DUMMYFUNCTION("IF(ISBLANK(B356),,IFERROR(array_constrain(FILTER('Leetcode分类顺序表'!B:J,'Leetcode分类顺序表'!A:A = B356), 1, 10000000),IFERROR(FILTER(Algoexpert.io!B:D,Algoexpert.io!A:A = B356),FILTER('Leetcode List'!B:J,'Leetcode List'!A:A = B356))))"),"")</f>
        <v/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>
      <c r="A357" s="22"/>
      <c r="B357" s="20"/>
      <c r="C357" s="20" t="str">
        <f>IFERROR(__xludf.DUMMYFUNCTION("IF(ISBLANK(B357),,IFERROR(array_constrain(FILTER('Leetcode分类顺序表'!B:J,'Leetcode分类顺序表'!A:A = B357), 1, 10000000),IFERROR(FILTER(Algoexpert.io!B:D,Algoexpert.io!A:A = B357),FILTER('Leetcode List'!B:J,'Leetcode List'!A:A = B357))))"),"")</f>
        <v/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>
      <c r="A358" s="22"/>
      <c r="B358" s="20"/>
      <c r="C358" s="20" t="str">
        <f>IFERROR(__xludf.DUMMYFUNCTION("IF(ISBLANK(B358),,IFERROR(array_constrain(FILTER('Leetcode分类顺序表'!B:J,'Leetcode分类顺序表'!A:A = B358), 1, 10000000),IFERROR(FILTER(Algoexpert.io!B:D,Algoexpert.io!A:A = B358),FILTER('Leetcode List'!B:J,'Leetcode List'!A:A = B358))))"),"")</f>
        <v/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>
      <c r="A359" s="22"/>
      <c r="B359" s="20"/>
      <c r="C359" s="20" t="str">
        <f>IFERROR(__xludf.DUMMYFUNCTION("IF(ISBLANK(B359),,IFERROR(array_constrain(FILTER('Leetcode分类顺序表'!B:J,'Leetcode分类顺序表'!A:A = B359), 1, 10000000),IFERROR(FILTER(Algoexpert.io!B:D,Algoexpert.io!A:A = B359),FILTER('Leetcode List'!B:J,'Leetcode List'!A:A = B359))))"),"")</f>
        <v/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>
      <c r="A360" s="22"/>
      <c r="B360" s="20"/>
      <c r="C360" s="20" t="str">
        <f>IFERROR(__xludf.DUMMYFUNCTION("IF(ISBLANK(B360),,IFERROR(array_constrain(FILTER('Leetcode分类顺序表'!B:J,'Leetcode分类顺序表'!A:A = B360), 1, 10000000),IFERROR(FILTER(Algoexpert.io!B:D,Algoexpert.io!A:A = B360),FILTER('Leetcode List'!B:J,'Leetcode List'!A:A = B360))))"),"")</f>
        <v/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>
      <c r="A361" s="22"/>
      <c r="B361" s="20"/>
      <c r="C361" s="20" t="str">
        <f>IFERROR(__xludf.DUMMYFUNCTION("IF(ISBLANK(B361),,IFERROR(array_constrain(FILTER('Leetcode分类顺序表'!B:J,'Leetcode分类顺序表'!A:A = B361), 1, 10000000),IFERROR(FILTER(Algoexpert.io!B:D,Algoexpert.io!A:A = B361),FILTER('Leetcode List'!B:J,'Leetcode List'!A:A = B361))))"),"")</f>
        <v/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>
      <c r="A362" s="22"/>
      <c r="B362" s="20"/>
      <c r="C362" s="20" t="str">
        <f>IFERROR(__xludf.DUMMYFUNCTION("IF(ISBLANK(B362),,IFERROR(array_constrain(FILTER('Leetcode分类顺序表'!B:J,'Leetcode分类顺序表'!A:A = B362), 1, 10000000),IFERROR(FILTER(Algoexpert.io!B:D,Algoexpert.io!A:A = B362),FILTER('Leetcode List'!B:J,'Leetcode List'!A:A = B362))))"),"")</f>
        <v/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>
      <c r="A363" s="22"/>
      <c r="B363" s="20"/>
      <c r="C363" s="20" t="str">
        <f>IFERROR(__xludf.DUMMYFUNCTION("IF(ISBLANK(B363),,IFERROR(array_constrain(FILTER('Leetcode分类顺序表'!B:J,'Leetcode分类顺序表'!A:A = B363), 1, 10000000),IFERROR(FILTER(Algoexpert.io!B:D,Algoexpert.io!A:A = B363),FILTER('Leetcode List'!B:J,'Leetcode List'!A:A = B363))))"),"")</f>
        <v/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>
      <c r="A364" s="22"/>
      <c r="B364" s="20"/>
      <c r="C364" s="20" t="str">
        <f>IFERROR(__xludf.DUMMYFUNCTION("IF(ISBLANK(B364),,IFERROR(array_constrain(FILTER('Leetcode分类顺序表'!B:J,'Leetcode分类顺序表'!A:A = B364), 1, 10000000),IFERROR(FILTER(Algoexpert.io!B:D,Algoexpert.io!A:A = B364),FILTER('Leetcode List'!B:J,'Leetcode List'!A:A = B364))))"),"")</f>
        <v/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>
      <c r="A365" s="22"/>
      <c r="B365" s="20"/>
      <c r="C365" s="20" t="str">
        <f>IFERROR(__xludf.DUMMYFUNCTION("IF(ISBLANK(B365),,IFERROR(array_constrain(FILTER('Leetcode分类顺序表'!B:J,'Leetcode分类顺序表'!A:A = B365), 1, 10000000),IFERROR(FILTER(Algoexpert.io!B:D,Algoexpert.io!A:A = B365),FILTER('Leetcode List'!B:J,'Leetcode List'!A:A = B365))))"),"")</f>
        <v/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>
      <c r="A366" s="22"/>
      <c r="B366" s="20"/>
      <c r="C366" s="20" t="str">
        <f>IFERROR(__xludf.DUMMYFUNCTION("IF(ISBLANK(B366),,IFERROR(array_constrain(FILTER('Leetcode分类顺序表'!B:J,'Leetcode分类顺序表'!A:A = B366), 1, 10000000),IFERROR(FILTER(Algoexpert.io!B:D,Algoexpert.io!A:A = B366),FILTER('Leetcode List'!B:J,'Leetcode List'!A:A = B366))))"),"")</f>
        <v/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>
      <c r="A367" s="22"/>
      <c r="B367" s="20"/>
      <c r="C367" s="20" t="str">
        <f>IFERROR(__xludf.DUMMYFUNCTION("IF(ISBLANK(B367),,IFERROR(array_constrain(FILTER('Leetcode分类顺序表'!B:J,'Leetcode分类顺序表'!A:A = B367), 1, 10000000),IFERROR(FILTER(Algoexpert.io!B:D,Algoexpert.io!A:A = B367),FILTER('Leetcode List'!B:J,'Leetcode List'!A:A = B367))))"),"")</f>
        <v/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>
      <c r="A368" s="22"/>
      <c r="B368" s="20"/>
      <c r="C368" s="20" t="str">
        <f>IFERROR(__xludf.DUMMYFUNCTION("IF(ISBLANK(B368),,IFERROR(array_constrain(FILTER('Leetcode分类顺序表'!B:J,'Leetcode分类顺序表'!A:A = B368), 1, 10000000),IFERROR(FILTER(Algoexpert.io!B:D,Algoexpert.io!A:A = B368),FILTER('Leetcode List'!B:J,'Leetcode List'!A:A = B368))))"),"")</f>
        <v/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>
      <c r="A369" s="22"/>
      <c r="B369" s="20"/>
      <c r="C369" s="20" t="str">
        <f>IFERROR(__xludf.DUMMYFUNCTION("IF(ISBLANK(B369),,IFERROR(array_constrain(FILTER('Leetcode分类顺序表'!B:J,'Leetcode分类顺序表'!A:A = B369), 1, 10000000),IFERROR(FILTER(Algoexpert.io!B:D,Algoexpert.io!A:A = B369),FILTER('Leetcode List'!B:J,'Leetcode List'!A:A = B369))))"),"")</f>
        <v/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>
      <c r="A370" s="22"/>
      <c r="B370" s="20"/>
      <c r="C370" s="20" t="str">
        <f>IFERROR(__xludf.DUMMYFUNCTION("IF(ISBLANK(B370),,IFERROR(array_constrain(FILTER('Leetcode分类顺序表'!B:J,'Leetcode分类顺序表'!A:A = B370), 1, 10000000),IFERROR(FILTER(Algoexpert.io!B:D,Algoexpert.io!A:A = B370),FILTER('Leetcode List'!B:J,'Leetcode List'!A:A = B370))))"),"")</f>
        <v/>
      </c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>
      <c r="A371" s="22"/>
      <c r="B371" s="20"/>
      <c r="C371" s="20" t="str">
        <f>IFERROR(__xludf.DUMMYFUNCTION("IF(ISBLANK(B371),,IFERROR(array_constrain(FILTER('Leetcode分类顺序表'!B:J,'Leetcode分类顺序表'!A:A = B371), 1, 10000000),IFERROR(FILTER(Algoexpert.io!B:D,Algoexpert.io!A:A = B371),FILTER('Leetcode List'!B:J,'Leetcode List'!A:A = B371))))"),"")</f>
        <v/>
      </c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>
      <c r="A372" s="22"/>
      <c r="B372" s="20"/>
      <c r="C372" s="20" t="str">
        <f>IFERROR(__xludf.DUMMYFUNCTION("IF(ISBLANK(B372),,IFERROR(array_constrain(FILTER('Leetcode分类顺序表'!B:J,'Leetcode分类顺序表'!A:A = B372), 1, 10000000),IFERROR(FILTER(Algoexpert.io!B:D,Algoexpert.io!A:A = B372),FILTER('Leetcode List'!B:J,'Leetcode List'!A:A = B372))))"),"")</f>
        <v/>
      </c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>
      <c r="A373" s="22"/>
      <c r="B373" s="20"/>
      <c r="C373" s="20" t="str">
        <f>IFERROR(__xludf.DUMMYFUNCTION("IF(ISBLANK(B373),,IFERROR(array_constrain(FILTER('Leetcode分类顺序表'!B:J,'Leetcode分类顺序表'!A:A = B373), 1, 10000000),IFERROR(FILTER(Algoexpert.io!B:D,Algoexpert.io!A:A = B373),FILTER('Leetcode List'!B:J,'Leetcode List'!A:A = B373))))"),"")</f>
        <v/>
      </c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>
      <c r="A374" s="22"/>
      <c r="B374" s="20"/>
      <c r="C374" s="20" t="str">
        <f>IFERROR(__xludf.DUMMYFUNCTION("IF(ISBLANK(B374),,IFERROR(array_constrain(FILTER('Leetcode分类顺序表'!B:J,'Leetcode分类顺序表'!A:A = B374), 1, 10000000),IFERROR(FILTER(Algoexpert.io!B:D,Algoexpert.io!A:A = B374),FILTER('Leetcode List'!B:J,'Leetcode List'!A:A = B374))))"),"")</f>
        <v/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>
      <c r="A375" s="22"/>
      <c r="B375" s="20"/>
      <c r="C375" s="20" t="str">
        <f>IFERROR(__xludf.DUMMYFUNCTION("IF(ISBLANK(B375),,IFERROR(array_constrain(FILTER('Leetcode分类顺序表'!B:J,'Leetcode分类顺序表'!A:A = B375), 1, 10000000),IFERROR(FILTER(Algoexpert.io!B:D,Algoexpert.io!A:A = B375),FILTER('Leetcode List'!B:J,'Leetcode List'!A:A = B375))))"),"")</f>
        <v/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>
      <c r="A376" s="22"/>
      <c r="B376" s="20"/>
      <c r="C376" s="20" t="str">
        <f>IFERROR(__xludf.DUMMYFUNCTION("IF(ISBLANK(B376),,IFERROR(array_constrain(FILTER('Leetcode分类顺序表'!B:J,'Leetcode分类顺序表'!A:A = B376), 1, 10000000),IFERROR(FILTER(Algoexpert.io!B:D,Algoexpert.io!A:A = B376),FILTER('Leetcode List'!B:J,'Leetcode List'!A:A = B376))))"),"")</f>
        <v/>
      </c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>
      <c r="A377" s="22"/>
      <c r="B377" s="20"/>
      <c r="C377" s="20" t="str">
        <f>IFERROR(__xludf.DUMMYFUNCTION("IF(ISBLANK(B377),,IFERROR(array_constrain(FILTER('Leetcode分类顺序表'!B:J,'Leetcode分类顺序表'!A:A = B377), 1, 10000000),IFERROR(FILTER(Algoexpert.io!B:D,Algoexpert.io!A:A = B377),FILTER('Leetcode List'!B:J,'Leetcode List'!A:A = B377))))"),"")</f>
        <v/>
      </c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>
      <c r="A378" s="22"/>
      <c r="B378" s="20"/>
      <c r="C378" s="20" t="str">
        <f>IFERROR(__xludf.DUMMYFUNCTION("IF(ISBLANK(B378),,IFERROR(array_constrain(FILTER('Leetcode分类顺序表'!B:J,'Leetcode分类顺序表'!A:A = B378), 1, 10000000),IFERROR(FILTER(Algoexpert.io!B:D,Algoexpert.io!A:A = B378),FILTER('Leetcode List'!B:J,'Leetcode List'!A:A = B378))))"),"")</f>
        <v/>
      </c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>
      <c r="A379" s="22"/>
      <c r="B379" s="20"/>
      <c r="C379" s="20" t="str">
        <f>IFERROR(__xludf.DUMMYFUNCTION("IF(ISBLANK(B379),,IFERROR(array_constrain(FILTER('Leetcode分类顺序表'!B:J,'Leetcode分类顺序表'!A:A = B379), 1, 10000000),IFERROR(FILTER(Algoexpert.io!B:D,Algoexpert.io!A:A = B379),FILTER('Leetcode List'!B:J,'Leetcode List'!A:A = B379))))"),"")</f>
        <v/>
      </c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>
      <c r="A380" s="22"/>
      <c r="B380" s="20"/>
      <c r="C380" s="20" t="str">
        <f>IFERROR(__xludf.DUMMYFUNCTION("IF(ISBLANK(B380),,IFERROR(array_constrain(FILTER('Leetcode分类顺序表'!B:J,'Leetcode分类顺序表'!A:A = B380), 1, 10000000),IFERROR(FILTER(Algoexpert.io!B:D,Algoexpert.io!A:A = B380),FILTER('Leetcode List'!B:J,'Leetcode List'!A:A = B380))))"),"")</f>
        <v/>
      </c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>
      <c r="A381" s="22"/>
      <c r="B381" s="20"/>
      <c r="C381" s="20" t="str">
        <f>IFERROR(__xludf.DUMMYFUNCTION("IF(ISBLANK(B381),,IFERROR(array_constrain(FILTER('Leetcode分类顺序表'!B:J,'Leetcode分类顺序表'!A:A = B381), 1, 10000000),IFERROR(FILTER(Algoexpert.io!B:D,Algoexpert.io!A:A = B381),FILTER('Leetcode List'!B:J,'Leetcode List'!A:A = B381))))"),"")</f>
        <v/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>
      <c r="A382" s="22"/>
      <c r="B382" s="20"/>
      <c r="C382" s="20" t="str">
        <f>IFERROR(__xludf.DUMMYFUNCTION("IF(ISBLANK(B382),,IFERROR(array_constrain(FILTER('Leetcode分类顺序表'!B:J,'Leetcode分类顺序表'!A:A = B382), 1, 10000000),IFERROR(FILTER(Algoexpert.io!B:D,Algoexpert.io!A:A = B382),FILTER('Leetcode List'!B:J,'Leetcode List'!A:A = B382))))"),"")</f>
        <v/>
      </c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>
      <c r="A383" s="22"/>
      <c r="B383" s="20"/>
      <c r="C383" s="20" t="str">
        <f>IFERROR(__xludf.DUMMYFUNCTION("IF(ISBLANK(B383),,IFERROR(array_constrain(FILTER('Leetcode分类顺序表'!B:J,'Leetcode分类顺序表'!A:A = B383), 1, 10000000),IFERROR(FILTER(Algoexpert.io!B:D,Algoexpert.io!A:A = B383),FILTER('Leetcode List'!B:J,'Leetcode List'!A:A = B383))))"),"")</f>
        <v/>
      </c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>
      <c r="A384" s="22"/>
      <c r="B384" s="20"/>
      <c r="C384" s="20" t="str">
        <f>IFERROR(__xludf.DUMMYFUNCTION("IF(ISBLANK(B384),,IFERROR(array_constrain(FILTER('Leetcode分类顺序表'!B:J,'Leetcode分类顺序表'!A:A = B384), 1, 10000000),IFERROR(FILTER(Algoexpert.io!B:D,Algoexpert.io!A:A = B384),FILTER('Leetcode List'!B:J,'Leetcode List'!A:A = B384))))"),"")</f>
        <v/>
      </c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>
      <c r="A385" s="22"/>
      <c r="B385" s="20"/>
      <c r="C385" s="20" t="str">
        <f>IFERROR(__xludf.DUMMYFUNCTION("IF(ISBLANK(B385),,IFERROR(array_constrain(FILTER('Leetcode分类顺序表'!B:J,'Leetcode分类顺序表'!A:A = B385), 1, 10000000),IFERROR(FILTER(Algoexpert.io!B:D,Algoexpert.io!A:A = B385),FILTER('Leetcode List'!B:J,'Leetcode List'!A:A = B385))))"),"")</f>
        <v/>
      </c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>
      <c r="A386" s="22"/>
      <c r="B386" s="20"/>
      <c r="C386" s="20" t="str">
        <f>IFERROR(__xludf.DUMMYFUNCTION("IF(ISBLANK(B386),,IFERROR(array_constrain(FILTER('Leetcode分类顺序表'!B:J,'Leetcode分类顺序表'!A:A = B386), 1, 10000000),IFERROR(FILTER(Algoexpert.io!B:D,Algoexpert.io!A:A = B386),FILTER('Leetcode List'!B:J,'Leetcode List'!A:A = B386))))"),"")</f>
        <v/>
      </c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>
      <c r="A387" s="22"/>
      <c r="B387" s="20"/>
      <c r="C387" s="20" t="str">
        <f>IFERROR(__xludf.DUMMYFUNCTION("IF(ISBLANK(B387),,IFERROR(array_constrain(FILTER('Leetcode分类顺序表'!B:J,'Leetcode分类顺序表'!A:A = B387), 1, 10000000),IFERROR(FILTER(Algoexpert.io!B:D,Algoexpert.io!A:A = B387),FILTER('Leetcode List'!B:J,'Leetcode List'!A:A = B387))))"),"")</f>
        <v/>
      </c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>
      <c r="A388" s="22"/>
      <c r="B388" s="20"/>
      <c r="C388" s="20" t="str">
        <f>IFERROR(__xludf.DUMMYFUNCTION("IF(ISBLANK(B388),,IFERROR(array_constrain(FILTER('Leetcode分类顺序表'!B:J,'Leetcode分类顺序表'!A:A = B388), 1, 10000000),IFERROR(FILTER(Algoexpert.io!B:D,Algoexpert.io!A:A = B388),FILTER('Leetcode List'!B:J,'Leetcode List'!A:A = B388))))"),"")</f>
        <v/>
      </c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>
      <c r="A389" s="22"/>
      <c r="B389" s="20"/>
      <c r="C389" s="20" t="str">
        <f>IFERROR(__xludf.DUMMYFUNCTION("IF(ISBLANK(B389),,IFERROR(array_constrain(FILTER('Leetcode分类顺序表'!B:J,'Leetcode分类顺序表'!A:A = B389), 1, 10000000),IFERROR(FILTER(Algoexpert.io!B:D,Algoexpert.io!A:A = B389),FILTER('Leetcode List'!B:J,'Leetcode List'!A:A = B389))))"),"")</f>
        <v/>
      </c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>
      <c r="A390" s="22"/>
      <c r="B390" s="20"/>
      <c r="C390" s="20" t="str">
        <f>IFERROR(__xludf.DUMMYFUNCTION("IF(ISBLANK(B390),,IFERROR(array_constrain(FILTER('Leetcode分类顺序表'!B:J,'Leetcode分类顺序表'!A:A = B390), 1, 10000000),IFERROR(FILTER(Algoexpert.io!B:D,Algoexpert.io!A:A = B390),FILTER('Leetcode List'!B:J,'Leetcode List'!A:A = B390))))"),"")</f>
        <v/>
      </c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>
      <c r="A391" s="22"/>
      <c r="B391" s="20"/>
      <c r="C391" s="20" t="str">
        <f>IFERROR(__xludf.DUMMYFUNCTION("IF(ISBLANK(B391),,IFERROR(array_constrain(FILTER('Leetcode分类顺序表'!B:J,'Leetcode分类顺序表'!A:A = B391), 1, 10000000),IFERROR(FILTER(Algoexpert.io!B:D,Algoexpert.io!A:A = B391),FILTER('Leetcode List'!B:J,'Leetcode List'!A:A = B391))))"),"")</f>
        <v/>
      </c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>
      <c r="A392" s="22"/>
      <c r="B392" s="20"/>
      <c r="C392" s="20" t="str">
        <f>IFERROR(__xludf.DUMMYFUNCTION("IF(ISBLANK(B392),,IFERROR(array_constrain(FILTER('Leetcode分类顺序表'!B:J,'Leetcode分类顺序表'!A:A = B392), 1, 10000000),IFERROR(FILTER(Algoexpert.io!B:D,Algoexpert.io!A:A = B392),FILTER('Leetcode List'!B:J,'Leetcode List'!A:A = B392))))"),"")</f>
        <v/>
      </c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>
      <c r="A393" s="22"/>
      <c r="B393" s="20"/>
      <c r="C393" s="20" t="str">
        <f>IFERROR(__xludf.DUMMYFUNCTION("IF(ISBLANK(B393),,IFERROR(array_constrain(FILTER('Leetcode分类顺序表'!B:J,'Leetcode分类顺序表'!A:A = B393), 1, 10000000),IFERROR(FILTER(Algoexpert.io!B:D,Algoexpert.io!A:A = B393),FILTER('Leetcode List'!B:J,'Leetcode List'!A:A = B393))))"),"")</f>
        <v/>
      </c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>
      <c r="A394" s="22"/>
      <c r="B394" s="20"/>
      <c r="C394" s="20" t="str">
        <f>IFERROR(__xludf.DUMMYFUNCTION("IF(ISBLANK(B394),,IFERROR(array_constrain(FILTER('Leetcode分类顺序表'!B:J,'Leetcode分类顺序表'!A:A = B394), 1, 10000000),IFERROR(FILTER(Algoexpert.io!B:D,Algoexpert.io!A:A = B394),FILTER('Leetcode List'!B:J,'Leetcode List'!A:A = B394))))"),"")</f>
        <v/>
      </c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>
      <c r="A395" s="22"/>
      <c r="B395" s="20"/>
      <c r="C395" s="20" t="str">
        <f>IFERROR(__xludf.DUMMYFUNCTION("IF(ISBLANK(B395),,IFERROR(array_constrain(FILTER('Leetcode分类顺序表'!B:J,'Leetcode分类顺序表'!A:A = B395), 1, 10000000),IFERROR(FILTER(Algoexpert.io!B:D,Algoexpert.io!A:A = B395),FILTER('Leetcode List'!B:J,'Leetcode List'!A:A = B395))))"),"")</f>
        <v/>
      </c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>
      <c r="A396" s="22"/>
      <c r="B396" s="20"/>
      <c r="C396" s="20" t="str">
        <f>IFERROR(__xludf.DUMMYFUNCTION("IF(ISBLANK(B396),,IFERROR(array_constrain(FILTER('Leetcode分类顺序表'!B:J,'Leetcode分类顺序表'!A:A = B396), 1, 10000000),IFERROR(FILTER(Algoexpert.io!B:D,Algoexpert.io!A:A = B396),FILTER('Leetcode List'!B:J,'Leetcode List'!A:A = B396))))"),"")</f>
        <v/>
      </c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>
      <c r="A397" s="22"/>
      <c r="B397" s="20"/>
      <c r="C397" s="20" t="str">
        <f>IFERROR(__xludf.DUMMYFUNCTION("IF(ISBLANK(B397),,IFERROR(array_constrain(FILTER('Leetcode分类顺序表'!B:J,'Leetcode分类顺序表'!A:A = B397), 1, 10000000),IFERROR(FILTER(Algoexpert.io!B:D,Algoexpert.io!A:A = B397),FILTER('Leetcode List'!B:J,'Leetcode List'!A:A = B397))))"),"")</f>
        <v/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>
      <c r="A398" s="22"/>
      <c r="B398" s="20"/>
      <c r="C398" s="20" t="str">
        <f>IFERROR(__xludf.DUMMYFUNCTION("IF(ISBLANK(B398),,IFERROR(array_constrain(FILTER('Leetcode分类顺序表'!B:J,'Leetcode分类顺序表'!A:A = B398), 1, 10000000),IFERROR(FILTER(Algoexpert.io!B:D,Algoexpert.io!A:A = B398),FILTER('Leetcode List'!B:J,'Leetcode List'!A:A = B398))))"),"")</f>
        <v/>
      </c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>
      <c r="A399" s="22"/>
      <c r="B399" s="20"/>
      <c r="C399" s="20" t="str">
        <f>IFERROR(__xludf.DUMMYFUNCTION("IF(ISBLANK(B399),,IFERROR(array_constrain(FILTER('Leetcode分类顺序表'!B:J,'Leetcode分类顺序表'!A:A = B399), 1, 10000000),IFERROR(FILTER(Algoexpert.io!B:D,Algoexpert.io!A:A = B399),FILTER('Leetcode List'!B:J,'Leetcode List'!A:A = B399))))"),"")</f>
        <v/>
      </c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>
      <c r="A400" s="22"/>
      <c r="B400" s="20"/>
      <c r="C400" s="20" t="str">
        <f>IFERROR(__xludf.DUMMYFUNCTION("IF(ISBLANK(B400),,IFERROR(array_constrain(FILTER('Leetcode分类顺序表'!B:J,'Leetcode分类顺序表'!A:A = B400), 1, 10000000),IFERROR(FILTER(Algoexpert.io!B:D,Algoexpert.io!A:A = B400),FILTER('Leetcode List'!B:J,'Leetcode List'!A:A = B400))))"),"")</f>
        <v/>
      </c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>
      <c r="A401" s="22"/>
      <c r="B401" s="20"/>
      <c r="C401" s="20" t="str">
        <f>IFERROR(__xludf.DUMMYFUNCTION("IF(ISBLANK(B401),,IFERROR(array_constrain(FILTER('Leetcode分类顺序表'!B:J,'Leetcode分类顺序表'!A:A = B401), 1, 10000000),IFERROR(FILTER(Algoexpert.io!B:D,Algoexpert.io!A:A = B401),FILTER('Leetcode List'!B:J,'Leetcode List'!A:A = B401))))"),"")</f>
        <v/>
      </c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>
      <c r="A402" s="22"/>
      <c r="B402" s="20"/>
      <c r="C402" s="20" t="str">
        <f>IFERROR(__xludf.DUMMYFUNCTION("IF(ISBLANK(B402),,IFERROR(array_constrain(FILTER('Leetcode分类顺序表'!B:J,'Leetcode分类顺序表'!A:A = B402), 1, 10000000),IFERROR(FILTER(Algoexpert.io!B:D,Algoexpert.io!A:A = B402),FILTER('Leetcode List'!B:J,'Leetcode List'!A:A = B402))))"),"")</f>
        <v/>
      </c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>
      <c r="A403" s="22"/>
      <c r="B403" s="20"/>
      <c r="C403" s="20" t="str">
        <f>IFERROR(__xludf.DUMMYFUNCTION("IF(ISBLANK(B403),,IFERROR(array_constrain(FILTER('Leetcode分类顺序表'!B:J,'Leetcode分类顺序表'!A:A = B403), 1, 10000000),IFERROR(FILTER(Algoexpert.io!B:D,Algoexpert.io!A:A = B403),FILTER('Leetcode List'!B:J,'Leetcode List'!A:A = B403))))"),"")</f>
        <v/>
      </c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>
      <c r="A404" s="22"/>
      <c r="B404" s="20"/>
      <c r="C404" s="20" t="str">
        <f>IFERROR(__xludf.DUMMYFUNCTION("IF(ISBLANK(B404),,IFERROR(array_constrain(FILTER('Leetcode分类顺序表'!B:J,'Leetcode分类顺序表'!A:A = B404), 1, 10000000),IFERROR(FILTER(Algoexpert.io!B:D,Algoexpert.io!A:A = B404),FILTER('Leetcode List'!B:J,'Leetcode List'!A:A = B404))))"),"")</f>
        <v/>
      </c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>
      <c r="A405" s="22"/>
      <c r="B405" s="20"/>
      <c r="C405" s="20" t="str">
        <f>IFERROR(__xludf.DUMMYFUNCTION("IF(ISBLANK(B405),,IFERROR(array_constrain(FILTER('Leetcode分类顺序表'!B:J,'Leetcode分类顺序表'!A:A = B405), 1, 10000000),IFERROR(FILTER(Algoexpert.io!B:D,Algoexpert.io!A:A = B405),FILTER('Leetcode List'!B:J,'Leetcode List'!A:A = B405))))"),"")</f>
        <v/>
      </c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>
      <c r="A406" s="22"/>
      <c r="B406" s="20"/>
      <c r="C406" s="20" t="str">
        <f>IFERROR(__xludf.DUMMYFUNCTION("IF(ISBLANK(B406),,IFERROR(array_constrain(FILTER('Leetcode分类顺序表'!B:J,'Leetcode分类顺序表'!A:A = B406), 1, 10000000),IFERROR(FILTER(Algoexpert.io!B:D,Algoexpert.io!A:A = B406),FILTER('Leetcode List'!B:J,'Leetcode List'!A:A = B406))))"),"")</f>
        <v/>
      </c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>
      <c r="A407" s="22"/>
      <c r="B407" s="20"/>
      <c r="C407" s="20" t="str">
        <f>IFERROR(__xludf.DUMMYFUNCTION("IF(ISBLANK(B407),,IFERROR(array_constrain(FILTER('Leetcode分类顺序表'!B:J,'Leetcode分类顺序表'!A:A = B407), 1, 10000000),IFERROR(FILTER(Algoexpert.io!B:D,Algoexpert.io!A:A = B407),FILTER('Leetcode List'!B:J,'Leetcode List'!A:A = B407))))"),"")</f>
        <v/>
      </c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>
      <c r="A408" s="22"/>
      <c r="B408" s="20"/>
      <c r="C408" s="20" t="str">
        <f>IFERROR(__xludf.DUMMYFUNCTION("IF(ISBLANK(B408),,IFERROR(array_constrain(FILTER('Leetcode分类顺序表'!B:J,'Leetcode分类顺序表'!A:A = B408), 1, 10000000),IFERROR(FILTER(Algoexpert.io!B:D,Algoexpert.io!A:A = B408),FILTER('Leetcode List'!B:J,'Leetcode List'!A:A = B408))))"),"")</f>
        <v/>
      </c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>
      <c r="A409" s="22"/>
      <c r="B409" s="20"/>
      <c r="C409" s="20" t="str">
        <f>IFERROR(__xludf.DUMMYFUNCTION("IF(ISBLANK(B409),,IFERROR(array_constrain(FILTER('Leetcode分类顺序表'!B:J,'Leetcode分类顺序表'!A:A = B409), 1, 10000000),IFERROR(FILTER(Algoexpert.io!B:D,Algoexpert.io!A:A = B409),FILTER('Leetcode List'!B:J,'Leetcode List'!A:A = B409))))"),"")</f>
        <v/>
      </c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>
      <c r="A410" s="22"/>
      <c r="B410" s="20"/>
      <c r="C410" s="20" t="str">
        <f>IFERROR(__xludf.DUMMYFUNCTION("IF(ISBLANK(B410),,IFERROR(array_constrain(FILTER('Leetcode分类顺序表'!B:J,'Leetcode分类顺序表'!A:A = B410), 1, 10000000),IFERROR(FILTER(Algoexpert.io!B:D,Algoexpert.io!A:A = B410),FILTER('Leetcode List'!B:J,'Leetcode List'!A:A = B410))))"),"")</f>
        <v/>
      </c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>
      <c r="A411" s="22"/>
      <c r="B411" s="20"/>
      <c r="C411" s="20" t="str">
        <f>IFERROR(__xludf.DUMMYFUNCTION("IF(ISBLANK(B411),,IFERROR(array_constrain(FILTER('Leetcode分类顺序表'!B:J,'Leetcode分类顺序表'!A:A = B411), 1, 10000000),IFERROR(FILTER(Algoexpert.io!B:D,Algoexpert.io!A:A = B411),FILTER('Leetcode List'!B:J,'Leetcode List'!A:A = B411))))"),"")</f>
        <v/>
      </c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>
      <c r="A412" s="22"/>
      <c r="B412" s="20"/>
      <c r="C412" s="20" t="str">
        <f>IFERROR(__xludf.DUMMYFUNCTION("IF(ISBLANK(B412),,IFERROR(array_constrain(FILTER('Leetcode分类顺序表'!B:J,'Leetcode分类顺序表'!A:A = B412), 1, 10000000),IFERROR(FILTER(Algoexpert.io!B:D,Algoexpert.io!A:A = B412),FILTER('Leetcode List'!B:J,'Leetcode List'!A:A = B412))))"),"")</f>
        <v/>
      </c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>
      <c r="A413" s="22"/>
      <c r="B413" s="20"/>
      <c r="C413" s="20" t="str">
        <f>IFERROR(__xludf.DUMMYFUNCTION("IF(ISBLANK(B413),,IFERROR(array_constrain(FILTER('Leetcode分类顺序表'!B:J,'Leetcode分类顺序表'!A:A = B413), 1, 10000000),IFERROR(FILTER(Algoexpert.io!B:D,Algoexpert.io!A:A = B413),FILTER('Leetcode List'!B:J,'Leetcode List'!A:A = B413))))"),"")</f>
        <v/>
      </c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>
      <c r="A414" s="22"/>
      <c r="B414" s="20"/>
      <c r="C414" s="20" t="str">
        <f>IFERROR(__xludf.DUMMYFUNCTION("IF(ISBLANK(B414),,IFERROR(array_constrain(FILTER('Leetcode分类顺序表'!B:J,'Leetcode分类顺序表'!A:A = B414), 1, 10000000),IFERROR(FILTER(Algoexpert.io!B:D,Algoexpert.io!A:A = B414),FILTER('Leetcode List'!B:J,'Leetcode List'!A:A = B414))))"),"")</f>
        <v/>
      </c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>
      <c r="A415" s="22"/>
      <c r="B415" s="20"/>
      <c r="C415" s="20" t="str">
        <f>IFERROR(__xludf.DUMMYFUNCTION("IF(ISBLANK(B415),,IFERROR(array_constrain(FILTER('Leetcode分类顺序表'!B:J,'Leetcode分类顺序表'!A:A = B415), 1, 10000000),IFERROR(FILTER(Algoexpert.io!B:D,Algoexpert.io!A:A = B415),FILTER('Leetcode List'!B:J,'Leetcode List'!A:A = B415))))"),"")</f>
        <v/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>
      <c r="A416" s="22"/>
      <c r="B416" s="20"/>
      <c r="C416" s="20" t="str">
        <f>IFERROR(__xludf.DUMMYFUNCTION("IF(ISBLANK(B416),,IFERROR(array_constrain(FILTER('Leetcode分类顺序表'!B:J,'Leetcode分类顺序表'!A:A = B416), 1, 10000000),IFERROR(FILTER(Algoexpert.io!B:D,Algoexpert.io!A:A = B416),FILTER('Leetcode List'!B:J,'Leetcode List'!A:A = B416))))"),"")</f>
        <v/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>
      <c r="A417" s="22"/>
      <c r="B417" s="20"/>
      <c r="C417" s="20" t="str">
        <f>IFERROR(__xludf.DUMMYFUNCTION("IF(ISBLANK(B417),,IFERROR(array_constrain(FILTER('Leetcode分类顺序表'!B:J,'Leetcode分类顺序表'!A:A = B417), 1, 10000000),IFERROR(FILTER(Algoexpert.io!B:D,Algoexpert.io!A:A = B417),FILTER('Leetcode List'!B:J,'Leetcode List'!A:A = B417))))"),"")</f>
        <v/>
      </c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>
      <c r="A418" s="22"/>
      <c r="B418" s="20"/>
      <c r="C418" s="20" t="str">
        <f>IFERROR(__xludf.DUMMYFUNCTION("IF(ISBLANK(B418),,IFERROR(array_constrain(FILTER('Leetcode分类顺序表'!B:J,'Leetcode分类顺序表'!A:A = B418), 1, 10000000),IFERROR(FILTER(Algoexpert.io!B:D,Algoexpert.io!A:A = B418),FILTER('Leetcode List'!B:J,'Leetcode List'!A:A = B418))))"),"")</f>
        <v/>
      </c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>
      <c r="A419" s="22"/>
      <c r="B419" s="20"/>
      <c r="C419" s="20" t="str">
        <f>IFERROR(__xludf.DUMMYFUNCTION("IF(ISBLANK(B419),,IFERROR(array_constrain(FILTER('Leetcode分类顺序表'!B:J,'Leetcode分类顺序表'!A:A = B419), 1, 10000000),IFERROR(FILTER(Algoexpert.io!B:D,Algoexpert.io!A:A = B419),FILTER('Leetcode List'!B:J,'Leetcode List'!A:A = B419))))"),"")</f>
        <v/>
      </c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>
      <c r="A420" s="22"/>
      <c r="B420" s="20"/>
      <c r="C420" s="20" t="str">
        <f>IFERROR(__xludf.DUMMYFUNCTION("IF(ISBLANK(B420),,IFERROR(array_constrain(FILTER('Leetcode分类顺序表'!B:J,'Leetcode分类顺序表'!A:A = B420), 1, 10000000),IFERROR(FILTER(Algoexpert.io!B:D,Algoexpert.io!A:A = B420),FILTER('Leetcode List'!B:J,'Leetcode List'!A:A = B420))))"),"")</f>
        <v/>
      </c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>
      <c r="A421" s="22"/>
      <c r="B421" s="20"/>
      <c r="C421" s="20" t="str">
        <f>IFERROR(__xludf.DUMMYFUNCTION("IF(ISBLANK(B421),,IFERROR(array_constrain(FILTER('Leetcode分类顺序表'!B:J,'Leetcode分类顺序表'!A:A = B421), 1, 10000000),IFERROR(FILTER(Algoexpert.io!B:D,Algoexpert.io!A:A = B421),FILTER('Leetcode List'!B:J,'Leetcode List'!A:A = B421))))"),"")</f>
        <v/>
      </c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>
      <c r="A422" s="22"/>
      <c r="B422" s="20"/>
      <c r="C422" s="20" t="str">
        <f>IFERROR(__xludf.DUMMYFUNCTION("IF(ISBLANK(B422),,IFERROR(array_constrain(FILTER('Leetcode分类顺序表'!B:J,'Leetcode分类顺序表'!A:A = B422), 1, 10000000),IFERROR(FILTER(Algoexpert.io!B:D,Algoexpert.io!A:A = B422),FILTER('Leetcode List'!B:J,'Leetcode List'!A:A = B422))))"),"")</f>
        <v/>
      </c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>
      <c r="A423" s="22"/>
      <c r="B423" s="20"/>
      <c r="C423" s="20" t="str">
        <f>IFERROR(__xludf.DUMMYFUNCTION("IF(ISBLANK(B423),,IFERROR(array_constrain(FILTER('Leetcode分类顺序表'!B:J,'Leetcode分类顺序表'!A:A = B423), 1, 10000000),IFERROR(FILTER(Algoexpert.io!B:D,Algoexpert.io!A:A = B423),FILTER('Leetcode List'!B:J,'Leetcode List'!A:A = B423))))"),"")</f>
        <v/>
      </c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>
      <c r="A424" s="22"/>
      <c r="B424" s="20"/>
      <c r="C424" s="20" t="str">
        <f>IFERROR(__xludf.DUMMYFUNCTION("IF(ISBLANK(B424),,IFERROR(array_constrain(FILTER('Leetcode分类顺序表'!B:J,'Leetcode分类顺序表'!A:A = B424), 1, 10000000),IFERROR(FILTER(Algoexpert.io!B:D,Algoexpert.io!A:A = B424),FILTER('Leetcode List'!B:J,'Leetcode List'!A:A = B424))))"),"")</f>
        <v/>
      </c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>
      <c r="A425" s="22"/>
      <c r="B425" s="20"/>
      <c r="C425" s="20" t="str">
        <f>IFERROR(__xludf.DUMMYFUNCTION("IF(ISBLANK(B425),,IFERROR(array_constrain(FILTER('Leetcode分类顺序表'!B:J,'Leetcode分类顺序表'!A:A = B425), 1, 10000000),IFERROR(FILTER(Algoexpert.io!B:D,Algoexpert.io!A:A = B425),FILTER('Leetcode List'!B:J,'Leetcode List'!A:A = B425))))"),"")</f>
        <v/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>
      <c r="A426" s="22"/>
      <c r="B426" s="20"/>
      <c r="C426" s="20" t="str">
        <f>IFERROR(__xludf.DUMMYFUNCTION("IF(ISBLANK(B426),,IFERROR(array_constrain(FILTER('Leetcode分类顺序表'!B:J,'Leetcode分类顺序表'!A:A = B426), 1, 10000000),IFERROR(FILTER(Algoexpert.io!B:D,Algoexpert.io!A:A = B426),FILTER('Leetcode List'!B:J,'Leetcode List'!A:A = B426))))"),"")</f>
        <v/>
      </c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>
      <c r="A427" s="22"/>
      <c r="B427" s="20"/>
      <c r="C427" s="20" t="str">
        <f>IFERROR(__xludf.DUMMYFUNCTION("IF(ISBLANK(B427),,IFERROR(array_constrain(FILTER('Leetcode分类顺序表'!B:J,'Leetcode分类顺序表'!A:A = B427), 1, 10000000),IFERROR(FILTER(Algoexpert.io!B:D,Algoexpert.io!A:A = B427),FILTER('Leetcode List'!B:J,'Leetcode List'!A:A = B427))))"),"")</f>
        <v/>
      </c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>
      <c r="A428" s="22"/>
      <c r="B428" s="20"/>
      <c r="C428" s="20" t="str">
        <f>IFERROR(__xludf.DUMMYFUNCTION("IF(ISBLANK(B428),,IFERROR(array_constrain(FILTER('Leetcode分类顺序表'!B:J,'Leetcode分类顺序表'!A:A = B428), 1, 10000000),IFERROR(FILTER(Algoexpert.io!B:D,Algoexpert.io!A:A = B428),FILTER('Leetcode List'!B:J,'Leetcode List'!A:A = B428))))"),"")</f>
        <v/>
      </c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>
      <c r="A429" s="22"/>
      <c r="B429" s="20"/>
      <c r="C429" s="20" t="str">
        <f>IFERROR(__xludf.DUMMYFUNCTION("IF(ISBLANK(B429),,IFERROR(array_constrain(FILTER('Leetcode分类顺序表'!B:J,'Leetcode分类顺序表'!A:A = B429), 1, 10000000),IFERROR(FILTER(Algoexpert.io!B:D,Algoexpert.io!A:A = B429),FILTER('Leetcode List'!B:J,'Leetcode List'!A:A = B429))))"),"")</f>
        <v/>
      </c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>
      <c r="A430" s="22"/>
      <c r="B430" s="20"/>
      <c r="C430" s="20" t="str">
        <f>IFERROR(__xludf.DUMMYFUNCTION("IF(ISBLANK(B430),,IFERROR(array_constrain(FILTER('Leetcode分类顺序表'!B:J,'Leetcode分类顺序表'!A:A = B430), 1, 10000000),IFERROR(FILTER(Algoexpert.io!B:D,Algoexpert.io!A:A = B430),FILTER('Leetcode List'!B:J,'Leetcode List'!A:A = B430))))"),"")</f>
        <v/>
      </c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>
      <c r="A431" s="22"/>
      <c r="B431" s="20"/>
      <c r="C431" s="20" t="str">
        <f>IFERROR(__xludf.DUMMYFUNCTION("IF(ISBLANK(B431),,IFERROR(array_constrain(FILTER('Leetcode分类顺序表'!B:J,'Leetcode分类顺序表'!A:A = B431), 1, 10000000),IFERROR(FILTER(Algoexpert.io!B:D,Algoexpert.io!A:A = B431),FILTER('Leetcode List'!B:J,'Leetcode List'!A:A = B431))))"),"")</f>
        <v/>
      </c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>
      <c r="A432" s="22"/>
      <c r="B432" s="20"/>
      <c r="C432" s="20" t="str">
        <f>IFERROR(__xludf.DUMMYFUNCTION("IF(ISBLANK(B432),,IFERROR(array_constrain(FILTER('Leetcode分类顺序表'!B:J,'Leetcode分类顺序表'!A:A = B432), 1, 10000000),IFERROR(FILTER(Algoexpert.io!B:D,Algoexpert.io!A:A = B432),FILTER('Leetcode List'!B:J,'Leetcode List'!A:A = B432))))"),"")</f>
        <v/>
      </c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>
      <c r="A433" s="22"/>
      <c r="B433" s="20"/>
      <c r="C433" s="20" t="str">
        <f>IFERROR(__xludf.DUMMYFUNCTION("IF(ISBLANK(B433),,IFERROR(array_constrain(FILTER('Leetcode分类顺序表'!B:J,'Leetcode分类顺序表'!A:A = B433), 1, 10000000),IFERROR(FILTER(Algoexpert.io!B:D,Algoexpert.io!A:A = B433),FILTER('Leetcode List'!B:J,'Leetcode List'!A:A = B433))))"),"")</f>
        <v/>
      </c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>
      <c r="A434" s="22"/>
      <c r="B434" s="20"/>
      <c r="C434" s="20" t="str">
        <f>IFERROR(__xludf.DUMMYFUNCTION("IF(ISBLANK(B434),,IFERROR(array_constrain(FILTER('Leetcode分类顺序表'!B:J,'Leetcode分类顺序表'!A:A = B434), 1, 10000000),IFERROR(FILTER(Algoexpert.io!B:D,Algoexpert.io!A:A = B434),FILTER('Leetcode List'!B:J,'Leetcode List'!A:A = B434))))"),"")</f>
        <v/>
      </c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>
      <c r="A435" s="22"/>
      <c r="B435" s="20"/>
      <c r="C435" s="20" t="str">
        <f>IFERROR(__xludf.DUMMYFUNCTION("IF(ISBLANK(B435),,IFERROR(array_constrain(FILTER('Leetcode分类顺序表'!B:J,'Leetcode分类顺序表'!A:A = B435), 1, 10000000),IFERROR(FILTER(Algoexpert.io!B:D,Algoexpert.io!A:A = B435),FILTER('Leetcode List'!B:J,'Leetcode List'!A:A = B435))))"),"")</f>
        <v/>
      </c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>
      <c r="A436" s="22"/>
      <c r="B436" s="20"/>
      <c r="C436" s="20" t="str">
        <f>IFERROR(__xludf.DUMMYFUNCTION("IF(ISBLANK(B436),,IFERROR(array_constrain(FILTER('Leetcode分类顺序表'!B:J,'Leetcode分类顺序表'!A:A = B436), 1, 10000000),IFERROR(FILTER(Algoexpert.io!B:D,Algoexpert.io!A:A = B436),FILTER('Leetcode List'!B:J,'Leetcode List'!A:A = B436))))"),"")</f>
        <v/>
      </c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>
      <c r="A437" s="22"/>
      <c r="B437" s="20"/>
      <c r="C437" s="20" t="str">
        <f>IFERROR(__xludf.DUMMYFUNCTION("IF(ISBLANK(B437),,IFERROR(array_constrain(FILTER('Leetcode分类顺序表'!B:J,'Leetcode分类顺序表'!A:A = B437), 1, 10000000),IFERROR(FILTER(Algoexpert.io!B:D,Algoexpert.io!A:A = B437),FILTER('Leetcode List'!B:J,'Leetcode List'!A:A = B437))))"),"")</f>
        <v/>
      </c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>
      <c r="A438" s="22"/>
      <c r="B438" s="20"/>
      <c r="C438" s="20" t="str">
        <f>IFERROR(__xludf.DUMMYFUNCTION("IF(ISBLANK(B438),,IFERROR(array_constrain(FILTER('Leetcode分类顺序表'!B:J,'Leetcode分类顺序表'!A:A = B438), 1, 10000000),IFERROR(FILTER(Algoexpert.io!B:D,Algoexpert.io!A:A = B438),FILTER('Leetcode List'!B:J,'Leetcode List'!A:A = B438))))"),"")</f>
        <v/>
      </c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>
      <c r="A439" s="22"/>
      <c r="B439" s="20"/>
      <c r="C439" s="20" t="str">
        <f>IFERROR(__xludf.DUMMYFUNCTION("IF(ISBLANK(B439),,IFERROR(array_constrain(FILTER('Leetcode分类顺序表'!B:J,'Leetcode分类顺序表'!A:A = B439), 1, 10000000),IFERROR(FILTER(Algoexpert.io!B:D,Algoexpert.io!A:A = B439),FILTER('Leetcode List'!B:J,'Leetcode List'!A:A = B439))))"),"")</f>
        <v/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>
      <c r="A440" s="22"/>
      <c r="B440" s="20"/>
      <c r="C440" s="20" t="str">
        <f>IFERROR(__xludf.DUMMYFUNCTION("IF(ISBLANK(B440),,IFERROR(array_constrain(FILTER('Leetcode分类顺序表'!B:J,'Leetcode分类顺序表'!A:A = B440), 1, 10000000),IFERROR(FILTER(Algoexpert.io!B:D,Algoexpert.io!A:A = B440),FILTER('Leetcode List'!B:J,'Leetcode List'!A:A = B440))))"),"")</f>
        <v/>
      </c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>
      <c r="A441" s="22"/>
      <c r="B441" s="20"/>
      <c r="C441" s="20" t="str">
        <f>IFERROR(__xludf.DUMMYFUNCTION("IF(ISBLANK(B441),,IFERROR(array_constrain(FILTER('Leetcode分类顺序表'!B:J,'Leetcode分类顺序表'!A:A = B441), 1, 10000000),IFERROR(FILTER(Algoexpert.io!B:D,Algoexpert.io!A:A = B441),FILTER('Leetcode List'!B:J,'Leetcode List'!A:A = B441))))"),"")</f>
        <v/>
      </c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>
      <c r="A442" s="22"/>
      <c r="B442" s="20"/>
      <c r="C442" s="20" t="str">
        <f>IFERROR(__xludf.DUMMYFUNCTION("IF(ISBLANK(B442),,IFERROR(array_constrain(FILTER('Leetcode分类顺序表'!B:J,'Leetcode分类顺序表'!A:A = B442), 1, 10000000),IFERROR(FILTER(Algoexpert.io!B:D,Algoexpert.io!A:A = B442),FILTER('Leetcode List'!B:J,'Leetcode List'!A:A = B442))))"),"")</f>
        <v/>
      </c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>
      <c r="A443" s="22"/>
      <c r="B443" s="20"/>
      <c r="C443" s="20" t="str">
        <f>IFERROR(__xludf.DUMMYFUNCTION("IF(ISBLANK(B443),,IFERROR(array_constrain(FILTER('Leetcode分类顺序表'!B:J,'Leetcode分类顺序表'!A:A = B443), 1, 10000000),IFERROR(FILTER(Algoexpert.io!B:D,Algoexpert.io!A:A = B443),FILTER('Leetcode List'!B:J,'Leetcode List'!A:A = B443))))"),"")</f>
        <v/>
      </c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>
      <c r="A444" s="22"/>
      <c r="B444" s="20"/>
      <c r="C444" s="20" t="str">
        <f>IFERROR(__xludf.DUMMYFUNCTION("IF(ISBLANK(B444),,IFERROR(array_constrain(FILTER('Leetcode分类顺序表'!B:J,'Leetcode分类顺序表'!A:A = B444), 1, 10000000),IFERROR(FILTER(Algoexpert.io!B:D,Algoexpert.io!A:A = B444),FILTER('Leetcode List'!B:J,'Leetcode List'!A:A = B444))))"),"")</f>
        <v/>
      </c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>
      <c r="A445" s="22"/>
      <c r="B445" s="20"/>
      <c r="C445" s="20" t="str">
        <f>IFERROR(__xludf.DUMMYFUNCTION("IF(ISBLANK(B445),,IFERROR(array_constrain(FILTER('Leetcode分类顺序表'!B:J,'Leetcode分类顺序表'!A:A = B445), 1, 10000000),IFERROR(FILTER(Algoexpert.io!B:D,Algoexpert.io!A:A = B445),FILTER('Leetcode List'!B:J,'Leetcode List'!A:A = B445))))"),"")</f>
        <v/>
      </c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>
      <c r="A446" s="22"/>
      <c r="B446" s="20"/>
      <c r="C446" s="20" t="str">
        <f>IFERROR(__xludf.DUMMYFUNCTION("IF(ISBLANK(B446),,IFERROR(array_constrain(FILTER('Leetcode分类顺序表'!B:J,'Leetcode分类顺序表'!A:A = B446), 1, 10000000),IFERROR(FILTER(Algoexpert.io!B:D,Algoexpert.io!A:A = B446),FILTER('Leetcode List'!B:J,'Leetcode List'!A:A = B446))))"),"")</f>
        <v/>
      </c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>
      <c r="A447" s="22"/>
      <c r="B447" s="20"/>
      <c r="C447" s="20" t="str">
        <f>IFERROR(__xludf.DUMMYFUNCTION("IF(ISBLANK(B447),,IFERROR(array_constrain(FILTER('Leetcode分类顺序表'!B:J,'Leetcode分类顺序表'!A:A = B447), 1, 10000000),IFERROR(FILTER(Algoexpert.io!B:D,Algoexpert.io!A:A = B447),FILTER('Leetcode List'!B:J,'Leetcode List'!A:A = B447))))"),"")</f>
        <v/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>
      <c r="A448" s="22"/>
      <c r="B448" s="20"/>
      <c r="C448" s="20" t="str">
        <f>IFERROR(__xludf.DUMMYFUNCTION("IF(ISBLANK(B448),,IFERROR(array_constrain(FILTER('Leetcode分类顺序表'!B:J,'Leetcode分类顺序表'!A:A = B448), 1, 10000000),IFERROR(FILTER(Algoexpert.io!B:D,Algoexpert.io!A:A = B448),FILTER('Leetcode List'!B:J,'Leetcode List'!A:A = B448))))"),"")</f>
        <v/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>
      <c r="A449" s="22"/>
      <c r="B449" s="20"/>
      <c r="C449" s="20" t="str">
        <f>IFERROR(__xludf.DUMMYFUNCTION("IF(ISBLANK(B449),,IFERROR(array_constrain(FILTER('Leetcode分类顺序表'!B:J,'Leetcode分类顺序表'!A:A = B449), 1, 10000000),IFERROR(FILTER(Algoexpert.io!B:D,Algoexpert.io!A:A = B449),FILTER('Leetcode List'!B:J,'Leetcode List'!A:A = B449))))"),"")</f>
        <v/>
      </c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>
      <c r="A450" s="22"/>
      <c r="B450" s="20"/>
      <c r="C450" s="20" t="str">
        <f>IFERROR(__xludf.DUMMYFUNCTION("IF(ISBLANK(B450),,IFERROR(array_constrain(FILTER('Leetcode分类顺序表'!B:J,'Leetcode分类顺序表'!A:A = B450), 1, 10000000),IFERROR(FILTER(Algoexpert.io!B:D,Algoexpert.io!A:A = B450),FILTER('Leetcode List'!B:J,'Leetcode List'!A:A = B450))))"),"")</f>
        <v/>
      </c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>
      <c r="A451" s="22"/>
      <c r="B451" s="20"/>
      <c r="C451" s="20" t="str">
        <f>IFERROR(__xludf.DUMMYFUNCTION("IF(ISBLANK(B451),,IFERROR(array_constrain(FILTER('Leetcode分类顺序表'!B:J,'Leetcode分类顺序表'!A:A = B451), 1, 10000000),IFERROR(FILTER(Algoexpert.io!B:D,Algoexpert.io!A:A = B451),FILTER('Leetcode List'!B:J,'Leetcode List'!A:A = B451))))"),"")</f>
        <v/>
      </c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>
      <c r="A452" s="22"/>
      <c r="B452" s="20"/>
      <c r="C452" s="20" t="str">
        <f>IFERROR(__xludf.DUMMYFUNCTION("IF(ISBLANK(B452),,IFERROR(array_constrain(FILTER('Leetcode分类顺序表'!B:J,'Leetcode分类顺序表'!A:A = B452), 1, 10000000),IFERROR(FILTER(Algoexpert.io!B:D,Algoexpert.io!A:A = B452),FILTER('Leetcode List'!B:J,'Leetcode List'!A:A = B452))))"),"")</f>
        <v/>
      </c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>
      <c r="A453" s="22"/>
      <c r="B453" s="20"/>
      <c r="C453" s="20" t="str">
        <f>IFERROR(__xludf.DUMMYFUNCTION("IF(ISBLANK(B453),,IFERROR(array_constrain(FILTER('Leetcode分类顺序表'!B:J,'Leetcode分类顺序表'!A:A = B453), 1, 10000000),IFERROR(FILTER(Algoexpert.io!B:D,Algoexpert.io!A:A = B453),FILTER('Leetcode List'!B:J,'Leetcode List'!A:A = B453))))"),"")</f>
        <v/>
      </c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>
      <c r="A454" s="22"/>
      <c r="B454" s="20"/>
      <c r="C454" s="20" t="str">
        <f>IFERROR(__xludf.DUMMYFUNCTION("IF(ISBLANK(B454),,IFERROR(array_constrain(FILTER('Leetcode分类顺序表'!B:J,'Leetcode分类顺序表'!A:A = B454), 1, 10000000),IFERROR(FILTER(Algoexpert.io!B:D,Algoexpert.io!A:A = B454),FILTER('Leetcode List'!B:J,'Leetcode List'!A:A = B454))))"),"")</f>
        <v/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>
      <c r="A455" s="22"/>
      <c r="B455" s="20"/>
      <c r="C455" s="20" t="str">
        <f>IFERROR(__xludf.DUMMYFUNCTION("IF(ISBLANK(B455),,IFERROR(array_constrain(FILTER('Leetcode分类顺序表'!B:J,'Leetcode分类顺序表'!A:A = B455), 1, 10000000),IFERROR(FILTER(Algoexpert.io!B:D,Algoexpert.io!A:A = B455),FILTER('Leetcode List'!B:J,'Leetcode List'!A:A = B455))))"),"")</f>
        <v/>
      </c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>
      <c r="A456" s="22"/>
      <c r="B456" s="20"/>
      <c r="C456" s="20" t="str">
        <f>IFERROR(__xludf.DUMMYFUNCTION("IF(ISBLANK(B456),,IFERROR(array_constrain(FILTER('Leetcode分类顺序表'!B:J,'Leetcode分类顺序表'!A:A = B456), 1, 10000000),IFERROR(FILTER(Algoexpert.io!B:D,Algoexpert.io!A:A = B456),FILTER('Leetcode List'!B:J,'Leetcode List'!A:A = B456))))"),"")</f>
        <v/>
      </c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>
      <c r="A457" s="22"/>
      <c r="B457" s="20"/>
      <c r="C457" s="20" t="str">
        <f>IFERROR(__xludf.DUMMYFUNCTION("IF(ISBLANK(B457),,IFERROR(array_constrain(FILTER('Leetcode分类顺序表'!B:J,'Leetcode分类顺序表'!A:A = B457), 1, 10000000),IFERROR(FILTER(Algoexpert.io!B:D,Algoexpert.io!A:A = B457),FILTER('Leetcode List'!B:J,'Leetcode List'!A:A = B457))))"),"")</f>
        <v/>
      </c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>
      <c r="A458" s="22"/>
      <c r="B458" s="20"/>
      <c r="C458" s="20" t="str">
        <f>IFERROR(__xludf.DUMMYFUNCTION("IF(ISBLANK(B458),,IFERROR(array_constrain(FILTER('Leetcode分类顺序表'!B:J,'Leetcode分类顺序表'!A:A = B458), 1, 10000000),IFERROR(FILTER(Algoexpert.io!B:D,Algoexpert.io!A:A = B458),FILTER('Leetcode List'!B:J,'Leetcode List'!A:A = B458))))"),"")</f>
        <v/>
      </c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>
      <c r="A459" s="22"/>
      <c r="B459" s="20"/>
      <c r="C459" s="20" t="str">
        <f>IFERROR(__xludf.DUMMYFUNCTION("IF(ISBLANK(B459),,IFERROR(array_constrain(FILTER('Leetcode分类顺序表'!B:J,'Leetcode分类顺序表'!A:A = B459), 1, 10000000),IFERROR(FILTER(Algoexpert.io!B:D,Algoexpert.io!A:A = B459),FILTER('Leetcode List'!B:J,'Leetcode List'!A:A = B459))))"),"")</f>
        <v/>
      </c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>
      <c r="A460" s="22"/>
      <c r="B460" s="20"/>
      <c r="C460" s="20" t="str">
        <f>IFERROR(__xludf.DUMMYFUNCTION("IF(ISBLANK(B460),,IFERROR(array_constrain(FILTER('Leetcode分类顺序表'!B:J,'Leetcode分类顺序表'!A:A = B460), 1, 10000000),IFERROR(FILTER(Algoexpert.io!B:D,Algoexpert.io!A:A = B460),FILTER('Leetcode List'!B:J,'Leetcode List'!A:A = B460))))"),"")</f>
        <v/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>
      <c r="A461" s="22"/>
      <c r="B461" s="20"/>
      <c r="C461" s="20" t="str">
        <f>IFERROR(__xludf.DUMMYFUNCTION("IF(ISBLANK(B461),,IFERROR(array_constrain(FILTER('Leetcode分类顺序表'!B:J,'Leetcode分类顺序表'!A:A = B461), 1, 10000000),IFERROR(FILTER(Algoexpert.io!B:D,Algoexpert.io!A:A = B461),FILTER('Leetcode List'!B:J,'Leetcode List'!A:A = B461))))"),"")</f>
        <v/>
      </c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>
      <c r="A462" s="22"/>
      <c r="B462" s="20"/>
      <c r="C462" s="20" t="str">
        <f>IFERROR(__xludf.DUMMYFUNCTION("IF(ISBLANK(B462),,IFERROR(array_constrain(FILTER('Leetcode分类顺序表'!B:J,'Leetcode分类顺序表'!A:A = B462), 1, 10000000),IFERROR(FILTER(Algoexpert.io!B:D,Algoexpert.io!A:A = B462),FILTER('Leetcode List'!B:J,'Leetcode List'!A:A = B462))))"),"")</f>
        <v/>
      </c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>
      <c r="A463" s="22"/>
      <c r="B463" s="20"/>
      <c r="C463" s="20" t="str">
        <f>IFERROR(__xludf.DUMMYFUNCTION("IF(ISBLANK(B463),,IFERROR(array_constrain(FILTER('Leetcode分类顺序表'!B:J,'Leetcode分类顺序表'!A:A = B463), 1, 10000000),IFERROR(FILTER(Algoexpert.io!B:D,Algoexpert.io!A:A = B463),FILTER('Leetcode List'!B:J,'Leetcode List'!A:A = B463))))"),"")</f>
        <v/>
      </c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>
      <c r="A464" s="22"/>
      <c r="B464" s="20"/>
      <c r="C464" s="20" t="str">
        <f>IFERROR(__xludf.DUMMYFUNCTION("IF(ISBLANK(B464),,IFERROR(array_constrain(FILTER('Leetcode分类顺序表'!B:J,'Leetcode分类顺序表'!A:A = B464), 1, 10000000),IFERROR(FILTER(Algoexpert.io!B:D,Algoexpert.io!A:A = B464),FILTER('Leetcode List'!B:J,'Leetcode List'!A:A = B464))))"),"")</f>
        <v/>
      </c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>
      <c r="A465" s="22"/>
      <c r="B465" s="20"/>
      <c r="C465" s="20" t="str">
        <f>IFERROR(__xludf.DUMMYFUNCTION("IF(ISBLANK(B465),,IFERROR(array_constrain(FILTER('Leetcode分类顺序表'!B:J,'Leetcode分类顺序表'!A:A = B465), 1, 10000000),IFERROR(FILTER(Algoexpert.io!B:D,Algoexpert.io!A:A = B465),FILTER('Leetcode List'!B:J,'Leetcode List'!A:A = B465))))"),"")</f>
        <v/>
      </c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>
      <c r="A466" s="22"/>
      <c r="B466" s="20"/>
      <c r="C466" s="20" t="str">
        <f>IFERROR(__xludf.DUMMYFUNCTION("IF(ISBLANK(B466),,IFERROR(array_constrain(FILTER('Leetcode分类顺序表'!B:J,'Leetcode分类顺序表'!A:A = B466), 1, 10000000),IFERROR(FILTER(Algoexpert.io!B:D,Algoexpert.io!A:A = B466),FILTER('Leetcode List'!B:J,'Leetcode List'!A:A = B466))))"),"")</f>
        <v/>
      </c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>
      <c r="A467" s="22"/>
      <c r="B467" s="20"/>
      <c r="C467" s="20" t="str">
        <f>IFERROR(__xludf.DUMMYFUNCTION("IF(ISBLANK(B467),,IFERROR(array_constrain(FILTER('Leetcode分类顺序表'!B:J,'Leetcode分类顺序表'!A:A = B467), 1, 10000000),IFERROR(FILTER(Algoexpert.io!B:D,Algoexpert.io!A:A = B467),FILTER('Leetcode List'!B:J,'Leetcode List'!A:A = B467))))"),"")</f>
        <v/>
      </c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>
      <c r="A468" s="22"/>
      <c r="B468" s="20"/>
      <c r="C468" s="20" t="str">
        <f>IFERROR(__xludf.DUMMYFUNCTION("IF(ISBLANK(B468),,IFERROR(array_constrain(FILTER('Leetcode分类顺序表'!B:J,'Leetcode分类顺序表'!A:A = B468), 1, 10000000),IFERROR(FILTER(Algoexpert.io!B:D,Algoexpert.io!A:A = B468),FILTER('Leetcode List'!B:J,'Leetcode List'!A:A = B468))))"),"")</f>
        <v/>
      </c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>
      <c r="A469" s="22"/>
      <c r="B469" s="20"/>
      <c r="C469" s="20" t="str">
        <f>IFERROR(__xludf.DUMMYFUNCTION("IF(ISBLANK(B469),,IFERROR(array_constrain(FILTER('Leetcode分类顺序表'!B:J,'Leetcode分类顺序表'!A:A = B469), 1, 10000000),IFERROR(FILTER(Algoexpert.io!B:D,Algoexpert.io!A:A = B469),FILTER('Leetcode List'!B:J,'Leetcode List'!A:A = B469))))"),"")</f>
        <v/>
      </c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>
      <c r="A470" s="22"/>
      <c r="B470" s="20"/>
      <c r="C470" s="20" t="str">
        <f>IFERROR(__xludf.DUMMYFUNCTION("IF(ISBLANK(B470),,IFERROR(array_constrain(FILTER('Leetcode分类顺序表'!B:J,'Leetcode分类顺序表'!A:A = B470), 1, 10000000),IFERROR(FILTER(Algoexpert.io!B:D,Algoexpert.io!A:A = B470),FILTER('Leetcode List'!B:J,'Leetcode List'!A:A = B470))))"),"")</f>
        <v/>
      </c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>
      <c r="A471" s="22"/>
      <c r="B471" s="20"/>
      <c r="C471" s="20" t="str">
        <f>IFERROR(__xludf.DUMMYFUNCTION("IF(ISBLANK(B471),,IFERROR(array_constrain(FILTER('Leetcode分类顺序表'!B:J,'Leetcode分类顺序表'!A:A = B471), 1, 10000000),IFERROR(FILTER(Algoexpert.io!B:D,Algoexpert.io!A:A = B471),FILTER('Leetcode List'!B:J,'Leetcode List'!A:A = B471))))"),"")</f>
        <v/>
      </c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>
      <c r="A472" s="22"/>
      <c r="B472" s="20"/>
      <c r="C472" s="20" t="str">
        <f>IFERROR(__xludf.DUMMYFUNCTION("IF(ISBLANK(B472),,IFERROR(array_constrain(FILTER('Leetcode分类顺序表'!B:J,'Leetcode分类顺序表'!A:A = B472), 1, 10000000),IFERROR(FILTER(Algoexpert.io!B:D,Algoexpert.io!A:A = B472),FILTER('Leetcode List'!B:J,'Leetcode List'!A:A = B472))))"),"")</f>
        <v/>
      </c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>
      <c r="A473" s="22"/>
      <c r="B473" s="20"/>
      <c r="C473" s="20" t="str">
        <f>IFERROR(__xludf.DUMMYFUNCTION("IF(ISBLANK(B473),,IFERROR(array_constrain(FILTER('Leetcode分类顺序表'!B:J,'Leetcode分类顺序表'!A:A = B473), 1, 10000000),IFERROR(FILTER(Algoexpert.io!B:D,Algoexpert.io!A:A = B473),FILTER('Leetcode List'!B:J,'Leetcode List'!A:A = B473))))"),"")</f>
        <v/>
      </c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>
      <c r="A474" s="22"/>
      <c r="B474" s="20"/>
      <c r="C474" s="20" t="str">
        <f>IFERROR(__xludf.DUMMYFUNCTION("IF(ISBLANK(B474),,IFERROR(array_constrain(FILTER('Leetcode分类顺序表'!B:J,'Leetcode分类顺序表'!A:A = B474), 1, 10000000),IFERROR(FILTER(Algoexpert.io!B:D,Algoexpert.io!A:A = B474),FILTER('Leetcode List'!B:J,'Leetcode List'!A:A = B474))))"),"")</f>
        <v/>
      </c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>
      <c r="A475" s="22"/>
      <c r="B475" s="20"/>
      <c r="C475" s="20" t="str">
        <f>IFERROR(__xludf.DUMMYFUNCTION("IF(ISBLANK(B475),,IFERROR(array_constrain(FILTER('Leetcode分类顺序表'!B:J,'Leetcode分类顺序表'!A:A = B475), 1, 10000000),IFERROR(FILTER(Algoexpert.io!B:D,Algoexpert.io!A:A = B475),FILTER('Leetcode List'!B:J,'Leetcode List'!A:A = B475))))"),"")</f>
        <v/>
      </c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>
      <c r="A476" s="22"/>
      <c r="B476" s="20"/>
      <c r="C476" s="20" t="str">
        <f>IFERROR(__xludf.DUMMYFUNCTION("IF(ISBLANK(B476),,IFERROR(array_constrain(FILTER('Leetcode分类顺序表'!B:J,'Leetcode分类顺序表'!A:A = B476), 1, 10000000),IFERROR(FILTER(Algoexpert.io!B:D,Algoexpert.io!A:A = B476),FILTER('Leetcode List'!B:J,'Leetcode List'!A:A = B476))))"),"")</f>
        <v/>
      </c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>
      <c r="A477" s="22"/>
      <c r="B477" s="20"/>
      <c r="C477" s="20" t="str">
        <f>IFERROR(__xludf.DUMMYFUNCTION("IF(ISBLANK(B477),,IFERROR(array_constrain(FILTER('Leetcode分类顺序表'!B:J,'Leetcode分类顺序表'!A:A = B477), 1, 10000000),IFERROR(FILTER(Algoexpert.io!B:D,Algoexpert.io!A:A = B477),FILTER('Leetcode List'!B:J,'Leetcode List'!A:A = B477))))"),"")</f>
        <v/>
      </c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>
      <c r="A478" s="22"/>
      <c r="B478" s="20"/>
      <c r="C478" s="20" t="str">
        <f>IFERROR(__xludf.DUMMYFUNCTION("IF(ISBLANK(B478),,IFERROR(array_constrain(FILTER('Leetcode分类顺序表'!B:J,'Leetcode分类顺序表'!A:A = B478), 1, 10000000),IFERROR(FILTER(Algoexpert.io!B:D,Algoexpert.io!A:A = B478),FILTER('Leetcode List'!B:J,'Leetcode List'!A:A = B478))))"),"")</f>
        <v/>
      </c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>
      <c r="A479" s="22"/>
      <c r="B479" s="20"/>
      <c r="C479" s="20" t="str">
        <f>IFERROR(__xludf.DUMMYFUNCTION("IF(ISBLANK(B479),,IFERROR(array_constrain(FILTER('Leetcode分类顺序表'!B:J,'Leetcode分类顺序表'!A:A = B479), 1, 10000000),IFERROR(FILTER(Algoexpert.io!B:D,Algoexpert.io!A:A = B479),FILTER('Leetcode List'!B:J,'Leetcode List'!A:A = B479))))"),"")</f>
        <v/>
      </c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>
      <c r="A480" s="22"/>
      <c r="B480" s="20"/>
      <c r="C480" s="20" t="str">
        <f>IFERROR(__xludf.DUMMYFUNCTION("IF(ISBLANK(B480),,IFERROR(array_constrain(FILTER('Leetcode分类顺序表'!B:J,'Leetcode分类顺序表'!A:A = B480), 1, 10000000),IFERROR(FILTER(Algoexpert.io!B:D,Algoexpert.io!A:A = B480),FILTER('Leetcode List'!B:J,'Leetcode List'!A:A = B480))))"),"")</f>
        <v/>
      </c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>
      <c r="A481" s="22"/>
      <c r="B481" s="20"/>
      <c r="C481" s="20" t="str">
        <f>IFERROR(__xludf.DUMMYFUNCTION("IF(ISBLANK(B481),,IFERROR(array_constrain(FILTER('Leetcode分类顺序表'!B:J,'Leetcode分类顺序表'!A:A = B481), 1, 10000000),IFERROR(FILTER(Algoexpert.io!B:D,Algoexpert.io!A:A = B481),FILTER('Leetcode List'!B:J,'Leetcode List'!A:A = B481))))"),"")</f>
        <v/>
      </c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>
      <c r="A482" s="22"/>
      <c r="B482" s="20"/>
      <c r="C482" s="20" t="str">
        <f>IFERROR(__xludf.DUMMYFUNCTION("IF(ISBLANK(B482),,IFERROR(array_constrain(FILTER('Leetcode分类顺序表'!B:J,'Leetcode分类顺序表'!A:A = B482), 1, 10000000),IFERROR(FILTER(Algoexpert.io!B:D,Algoexpert.io!A:A = B482),FILTER('Leetcode List'!B:J,'Leetcode List'!A:A = B482))))"),"")</f>
        <v/>
      </c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>
      <c r="A483" s="22"/>
      <c r="B483" s="20"/>
      <c r="C483" s="20" t="str">
        <f>IFERROR(__xludf.DUMMYFUNCTION("IF(ISBLANK(B483),,IFERROR(array_constrain(FILTER('Leetcode分类顺序表'!B:J,'Leetcode分类顺序表'!A:A = B483), 1, 10000000),IFERROR(FILTER(Algoexpert.io!B:D,Algoexpert.io!A:A = B483),FILTER('Leetcode List'!B:J,'Leetcode List'!A:A = B483))))"),"")</f>
        <v/>
      </c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>
      <c r="A484" s="22"/>
      <c r="B484" s="20"/>
      <c r="C484" s="20" t="str">
        <f>IFERROR(__xludf.DUMMYFUNCTION("IF(ISBLANK(B484),,IFERROR(array_constrain(FILTER('Leetcode分类顺序表'!B:J,'Leetcode分类顺序表'!A:A = B484), 1, 10000000),IFERROR(FILTER(Algoexpert.io!B:D,Algoexpert.io!A:A = B484),FILTER('Leetcode List'!B:J,'Leetcode List'!A:A = B484))))"),"")</f>
        <v/>
      </c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>
      <c r="A485" s="22"/>
      <c r="B485" s="20"/>
      <c r="C485" s="20" t="str">
        <f>IFERROR(__xludf.DUMMYFUNCTION("IF(ISBLANK(B485),,IFERROR(array_constrain(FILTER('Leetcode分类顺序表'!B:J,'Leetcode分类顺序表'!A:A = B485), 1, 10000000),IFERROR(FILTER(Algoexpert.io!B:D,Algoexpert.io!A:A = B485),FILTER('Leetcode List'!B:J,'Leetcode List'!A:A = B485))))"),"")</f>
        <v/>
      </c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>
      <c r="A486" s="22"/>
      <c r="B486" s="20"/>
      <c r="C486" s="20" t="str">
        <f>IFERROR(__xludf.DUMMYFUNCTION("IF(ISBLANK(B486),,IFERROR(array_constrain(FILTER('Leetcode分类顺序表'!B:J,'Leetcode分类顺序表'!A:A = B486), 1, 10000000),IFERROR(FILTER(Algoexpert.io!B:D,Algoexpert.io!A:A = B486),FILTER('Leetcode List'!B:J,'Leetcode List'!A:A = B486))))"),"")</f>
        <v/>
      </c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>
      <c r="A487" s="22"/>
      <c r="B487" s="20"/>
      <c r="C487" s="20" t="str">
        <f>IFERROR(__xludf.DUMMYFUNCTION("IF(ISBLANK(B487),,IFERROR(array_constrain(FILTER('Leetcode分类顺序表'!B:J,'Leetcode分类顺序表'!A:A = B487), 1, 10000000),IFERROR(FILTER(Algoexpert.io!B:D,Algoexpert.io!A:A = B487),FILTER('Leetcode List'!B:J,'Leetcode List'!A:A = B487))))"),"")</f>
        <v/>
      </c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>
      <c r="A488" s="22"/>
      <c r="B488" s="20"/>
      <c r="C488" s="20" t="str">
        <f>IFERROR(__xludf.DUMMYFUNCTION("IF(ISBLANK(B488),,IFERROR(array_constrain(FILTER('Leetcode分类顺序表'!B:J,'Leetcode分类顺序表'!A:A = B488), 1, 10000000),IFERROR(FILTER(Algoexpert.io!B:D,Algoexpert.io!A:A = B488),FILTER('Leetcode List'!B:J,'Leetcode List'!A:A = B488))))"),"")</f>
        <v/>
      </c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>
      <c r="A489" s="22"/>
      <c r="B489" s="20"/>
      <c r="C489" s="20" t="str">
        <f>IFERROR(__xludf.DUMMYFUNCTION("IF(ISBLANK(B489),,IFERROR(array_constrain(FILTER('Leetcode分类顺序表'!B:J,'Leetcode分类顺序表'!A:A = B489), 1, 10000000),IFERROR(FILTER(Algoexpert.io!B:D,Algoexpert.io!A:A = B489),FILTER('Leetcode List'!B:J,'Leetcode List'!A:A = B489))))"),"")</f>
        <v/>
      </c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>
      <c r="A490" s="22"/>
      <c r="B490" s="20"/>
      <c r="C490" s="20" t="str">
        <f>IFERROR(__xludf.DUMMYFUNCTION("IF(ISBLANK(B490),,IFERROR(array_constrain(FILTER('Leetcode分类顺序表'!B:J,'Leetcode分类顺序表'!A:A = B490), 1, 10000000),IFERROR(FILTER(Algoexpert.io!B:D,Algoexpert.io!A:A = B490),FILTER('Leetcode List'!B:J,'Leetcode List'!A:A = B490))))"),"")</f>
        <v/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>
      <c r="A491" s="22"/>
      <c r="B491" s="20"/>
      <c r="C491" s="20" t="str">
        <f>IFERROR(__xludf.DUMMYFUNCTION("IF(ISBLANK(B491),,IFERROR(array_constrain(FILTER('Leetcode分类顺序表'!B:J,'Leetcode分类顺序表'!A:A = B491), 1, 10000000),IFERROR(FILTER(Algoexpert.io!B:D,Algoexpert.io!A:A = B491),FILTER('Leetcode List'!B:J,'Leetcode List'!A:A = B491))))"),"")</f>
        <v/>
      </c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>
      <c r="A492" s="22"/>
      <c r="B492" s="20"/>
      <c r="C492" s="20" t="str">
        <f>IFERROR(__xludf.DUMMYFUNCTION("IF(ISBLANK(B492),,IFERROR(array_constrain(FILTER('Leetcode分类顺序表'!B:J,'Leetcode分类顺序表'!A:A = B492), 1, 10000000),IFERROR(FILTER(Algoexpert.io!B:D,Algoexpert.io!A:A = B492),FILTER('Leetcode List'!B:J,'Leetcode List'!A:A = B492))))"),"")</f>
        <v/>
      </c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>
      <c r="A493" s="22"/>
      <c r="B493" s="20"/>
      <c r="C493" s="20" t="str">
        <f>IFERROR(__xludf.DUMMYFUNCTION("IF(ISBLANK(B493),,IFERROR(array_constrain(FILTER('Leetcode分类顺序表'!B:J,'Leetcode分类顺序表'!A:A = B493), 1, 10000000),IFERROR(FILTER(Algoexpert.io!B:D,Algoexpert.io!A:A = B493),FILTER('Leetcode List'!B:J,'Leetcode List'!A:A = B493))))"),"")</f>
        <v/>
      </c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>
      <c r="A494" s="22"/>
      <c r="B494" s="20"/>
      <c r="C494" s="20" t="str">
        <f>IFERROR(__xludf.DUMMYFUNCTION("IF(ISBLANK(B494),,IFERROR(array_constrain(FILTER('Leetcode分类顺序表'!B:J,'Leetcode分类顺序表'!A:A = B494), 1, 10000000),IFERROR(FILTER(Algoexpert.io!B:D,Algoexpert.io!A:A = B494),FILTER('Leetcode List'!B:J,'Leetcode List'!A:A = B494))))"),"")</f>
        <v/>
      </c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>
      <c r="A495" s="22"/>
      <c r="B495" s="20"/>
      <c r="C495" s="20" t="str">
        <f>IFERROR(__xludf.DUMMYFUNCTION("IF(ISBLANK(B495),,IFERROR(array_constrain(FILTER('Leetcode分类顺序表'!B:J,'Leetcode分类顺序表'!A:A = B495), 1, 10000000),IFERROR(FILTER(Algoexpert.io!B:D,Algoexpert.io!A:A = B495),FILTER('Leetcode List'!B:J,'Leetcode List'!A:A = B495))))"),"")</f>
        <v/>
      </c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>
      <c r="A496" s="22"/>
      <c r="B496" s="20"/>
      <c r="C496" s="20" t="str">
        <f>IFERROR(__xludf.DUMMYFUNCTION("IF(ISBLANK(B496),,IFERROR(array_constrain(FILTER('Leetcode分类顺序表'!B:J,'Leetcode分类顺序表'!A:A = B496), 1, 10000000),IFERROR(FILTER(Algoexpert.io!B:D,Algoexpert.io!A:A = B496),FILTER('Leetcode List'!B:J,'Leetcode List'!A:A = B496))))"),"")</f>
        <v/>
      </c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>
      <c r="A497" s="22"/>
      <c r="B497" s="20"/>
      <c r="C497" s="20" t="str">
        <f>IFERROR(__xludf.DUMMYFUNCTION("IF(ISBLANK(B497),,IFERROR(array_constrain(FILTER('Leetcode分类顺序表'!B:J,'Leetcode分类顺序表'!A:A = B497), 1, 10000000),IFERROR(FILTER(Algoexpert.io!B:D,Algoexpert.io!A:A = B497),FILTER('Leetcode List'!B:J,'Leetcode List'!A:A = B497))))"),"")</f>
        <v/>
      </c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>
      <c r="A498" s="22"/>
      <c r="B498" s="20"/>
      <c r="C498" s="20" t="str">
        <f>IFERROR(__xludf.DUMMYFUNCTION("IF(ISBLANK(B498),,IFERROR(array_constrain(FILTER('Leetcode分类顺序表'!B:J,'Leetcode分类顺序表'!A:A = B498), 1, 10000000),IFERROR(FILTER(Algoexpert.io!B:D,Algoexpert.io!A:A = B498),FILTER('Leetcode List'!B:J,'Leetcode List'!A:A = B498))))"),"")</f>
        <v/>
      </c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>
      <c r="A499" s="22"/>
      <c r="B499" s="20"/>
      <c r="C499" s="20" t="str">
        <f>IFERROR(__xludf.DUMMYFUNCTION("IF(ISBLANK(B499),,IFERROR(array_constrain(FILTER('Leetcode分类顺序表'!B:J,'Leetcode分类顺序表'!A:A = B499), 1, 10000000),IFERROR(FILTER(Algoexpert.io!B:D,Algoexpert.io!A:A = B499),FILTER('Leetcode List'!B:J,'Leetcode List'!A:A = B499))))"),"")</f>
        <v/>
      </c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>
      <c r="A500" s="22"/>
      <c r="B500" s="20"/>
      <c r="C500" s="20" t="str">
        <f>IFERROR(__xludf.DUMMYFUNCTION("IF(ISBLANK(B500),,IFERROR(array_constrain(FILTER('Leetcode分类顺序表'!B:J,'Leetcode分类顺序表'!A:A = B500), 1, 10000000),IFERROR(FILTER(Algoexpert.io!B:D,Algoexpert.io!A:A = B500),FILTER('Leetcode List'!B:J,'Leetcode List'!A:A = B500))))"),"")</f>
        <v/>
      </c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>
      <c r="A501" s="22"/>
      <c r="B501" s="20"/>
      <c r="C501" s="20" t="str">
        <f>IFERROR(__xludf.DUMMYFUNCTION("IF(ISBLANK(B501),,IFERROR(array_constrain(FILTER('Leetcode分类顺序表'!B:J,'Leetcode分类顺序表'!A:A = B501), 1, 10000000),IFERROR(FILTER(Algoexpert.io!B:D,Algoexpert.io!A:A = B501),FILTER('Leetcode List'!B:J,'Leetcode List'!A:A = B501))))"),"")</f>
        <v/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>
      <c r="A502" s="22"/>
      <c r="B502" s="20"/>
      <c r="C502" s="20" t="str">
        <f>IFERROR(__xludf.DUMMYFUNCTION("IF(ISBLANK(B502),,IFERROR(array_constrain(FILTER('Leetcode分类顺序表'!B:J,'Leetcode分类顺序表'!A:A = B502), 1, 10000000),IFERROR(FILTER(Algoexpert.io!B:D,Algoexpert.io!A:A = B502),FILTER('Leetcode List'!B:J,'Leetcode List'!A:A = B502))))"),"")</f>
        <v/>
      </c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>
      <c r="A503" s="22"/>
      <c r="B503" s="20"/>
      <c r="C503" s="20" t="str">
        <f>IFERROR(__xludf.DUMMYFUNCTION("IF(ISBLANK(B503),,IFERROR(array_constrain(FILTER('Leetcode分类顺序表'!B:J,'Leetcode分类顺序表'!A:A = B503), 1, 10000000),IFERROR(FILTER(Algoexpert.io!B:D,Algoexpert.io!A:A = B503),FILTER('Leetcode List'!B:J,'Leetcode List'!A:A = B503))))"),"")</f>
        <v/>
      </c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>
      <c r="A504" s="22"/>
      <c r="B504" s="20"/>
      <c r="C504" s="20" t="str">
        <f>IFERROR(__xludf.DUMMYFUNCTION("IF(ISBLANK(B504),,IFERROR(array_constrain(FILTER('Leetcode分类顺序表'!B:J,'Leetcode分类顺序表'!A:A = B504), 1, 10000000),IFERROR(FILTER(Algoexpert.io!B:D,Algoexpert.io!A:A = B504),FILTER('Leetcode List'!B:J,'Leetcode List'!A:A = B504))))"),"")</f>
        <v/>
      </c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>
      <c r="A505" s="22"/>
      <c r="B505" s="20"/>
      <c r="C505" s="20" t="str">
        <f>IFERROR(__xludf.DUMMYFUNCTION("IF(ISBLANK(B505),,IFERROR(array_constrain(FILTER('Leetcode分类顺序表'!B:J,'Leetcode分类顺序表'!A:A = B505), 1, 10000000),IFERROR(FILTER(Algoexpert.io!B:D,Algoexpert.io!A:A = B505),FILTER('Leetcode List'!B:J,'Leetcode List'!A:A = B505))))"),"")</f>
        <v/>
      </c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>
      <c r="A506" s="22"/>
      <c r="B506" s="20"/>
      <c r="C506" s="20" t="str">
        <f>IFERROR(__xludf.DUMMYFUNCTION("IF(ISBLANK(B506),,IFERROR(array_constrain(FILTER('Leetcode分类顺序表'!B:J,'Leetcode分类顺序表'!A:A = B506), 1, 10000000),IFERROR(FILTER(Algoexpert.io!B:D,Algoexpert.io!A:A = B506),FILTER('Leetcode List'!B:J,'Leetcode List'!A:A = B506))))"),"")</f>
        <v/>
      </c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>
      <c r="A507" s="22"/>
      <c r="B507" s="20"/>
      <c r="C507" s="20" t="str">
        <f>IFERROR(__xludf.DUMMYFUNCTION("IF(ISBLANK(B507),,IFERROR(array_constrain(FILTER('Leetcode分类顺序表'!B:J,'Leetcode分类顺序表'!A:A = B507), 1, 10000000),IFERROR(FILTER(Algoexpert.io!B:D,Algoexpert.io!A:A = B507),FILTER('Leetcode List'!B:J,'Leetcode List'!A:A = B507))))"),"")</f>
        <v/>
      </c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>
      <c r="A508" s="22"/>
      <c r="B508" s="20"/>
      <c r="C508" s="20" t="str">
        <f>IFERROR(__xludf.DUMMYFUNCTION("IF(ISBLANK(B508),,IFERROR(array_constrain(FILTER('Leetcode分类顺序表'!B:J,'Leetcode分类顺序表'!A:A = B508), 1, 10000000),IFERROR(FILTER(Algoexpert.io!B:D,Algoexpert.io!A:A = B508),FILTER('Leetcode List'!B:J,'Leetcode List'!A:A = B508))))"),"")</f>
        <v/>
      </c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>
      <c r="A509" s="22"/>
      <c r="B509" s="20"/>
      <c r="C509" s="20" t="str">
        <f>IFERROR(__xludf.DUMMYFUNCTION("IF(ISBLANK(B509),,IFERROR(array_constrain(FILTER('Leetcode分类顺序表'!B:J,'Leetcode分类顺序表'!A:A = B509), 1, 10000000),IFERROR(FILTER(Algoexpert.io!B:D,Algoexpert.io!A:A = B509),FILTER('Leetcode List'!B:J,'Leetcode List'!A:A = B509))))"),"")</f>
        <v/>
      </c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>
      <c r="A510" s="22"/>
      <c r="B510" s="20"/>
      <c r="C510" s="20" t="str">
        <f>IFERROR(__xludf.DUMMYFUNCTION("IF(ISBLANK(B510),,IFERROR(array_constrain(FILTER('Leetcode分类顺序表'!B:J,'Leetcode分类顺序表'!A:A = B510), 1, 10000000),IFERROR(FILTER(Algoexpert.io!B:D,Algoexpert.io!A:A = B510),FILTER('Leetcode List'!B:J,'Leetcode List'!A:A = B510))))"),"")</f>
        <v/>
      </c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>
      <c r="A511" s="22"/>
      <c r="B511" s="20"/>
      <c r="C511" s="20" t="str">
        <f>IFERROR(__xludf.DUMMYFUNCTION("IF(ISBLANK(B511),,IFERROR(array_constrain(FILTER('Leetcode分类顺序表'!B:J,'Leetcode分类顺序表'!A:A = B511), 1, 10000000),IFERROR(FILTER(Algoexpert.io!B:D,Algoexpert.io!A:A = B511),FILTER('Leetcode List'!B:J,'Leetcode List'!A:A = B511))))"),"")</f>
        <v/>
      </c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>
      <c r="A512" s="22"/>
      <c r="B512" s="20"/>
      <c r="C512" s="20" t="str">
        <f>IFERROR(__xludf.DUMMYFUNCTION("IF(ISBLANK(B512),,IFERROR(array_constrain(FILTER('Leetcode分类顺序表'!B:J,'Leetcode分类顺序表'!A:A = B512), 1, 10000000),IFERROR(FILTER(Algoexpert.io!B:D,Algoexpert.io!A:A = B512),FILTER('Leetcode List'!B:J,'Leetcode List'!A:A = B512))))"),"")</f>
        <v/>
      </c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>
      <c r="A513" s="22"/>
      <c r="B513" s="20"/>
      <c r="C513" s="20" t="str">
        <f>IFERROR(__xludf.DUMMYFUNCTION("IF(ISBLANK(B513),,IFERROR(array_constrain(FILTER('Leetcode分类顺序表'!B:J,'Leetcode分类顺序表'!A:A = B513), 1, 10000000),IFERROR(FILTER(Algoexpert.io!B:D,Algoexpert.io!A:A = B513),FILTER('Leetcode List'!B:J,'Leetcode List'!A:A = B513))))"),"")</f>
        <v/>
      </c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>
      <c r="A514" s="22"/>
      <c r="B514" s="20"/>
      <c r="C514" s="20" t="str">
        <f>IFERROR(__xludf.DUMMYFUNCTION("IF(ISBLANK(B514),,IFERROR(array_constrain(FILTER('Leetcode分类顺序表'!B:J,'Leetcode分类顺序表'!A:A = B514), 1, 10000000),IFERROR(FILTER(Algoexpert.io!B:D,Algoexpert.io!A:A = B514),FILTER('Leetcode List'!B:J,'Leetcode List'!A:A = B514))))"),"")</f>
        <v/>
      </c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>
      <c r="A515" s="22"/>
      <c r="B515" s="20"/>
      <c r="C515" s="20" t="str">
        <f>IFERROR(__xludf.DUMMYFUNCTION("IF(ISBLANK(B515),,IFERROR(array_constrain(FILTER('Leetcode分类顺序表'!B:J,'Leetcode分类顺序表'!A:A = B515), 1, 10000000),IFERROR(FILTER(Algoexpert.io!B:D,Algoexpert.io!A:A = B515),FILTER('Leetcode List'!B:J,'Leetcode List'!A:A = B515))))"),"")</f>
        <v/>
      </c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>
      <c r="A516" s="22"/>
      <c r="B516" s="20"/>
      <c r="C516" s="20" t="str">
        <f>IFERROR(__xludf.DUMMYFUNCTION("IF(ISBLANK(B516),,IFERROR(array_constrain(FILTER('Leetcode分类顺序表'!B:J,'Leetcode分类顺序表'!A:A = B516), 1, 10000000),IFERROR(FILTER(Algoexpert.io!B:D,Algoexpert.io!A:A = B516),FILTER('Leetcode List'!B:J,'Leetcode List'!A:A = B516))))"),"")</f>
        <v/>
      </c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>
      <c r="A517" s="22"/>
      <c r="B517" s="20"/>
      <c r="C517" s="20" t="str">
        <f>IFERROR(__xludf.DUMMYFUNCTION("IF(ISBLANK(B517),,IFERROR(array_constrain(FILTER('Leetcode分类顺序表'!B:J,'Leetcode分类顺序表'!A:A = B517), 1, 10000000),IFERROR(FILTER(Algoexpert.io!B:D,Algoexpert.io!A:A = B517),FILTER('Leetcode List'!B:J,'Leetcode List'!A:A = B517))))"),"")</f>
        <v/>
      </c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>
      <c r="A518" s="22"/>
      <c r="B518" s="20"/>
      <c r="C518" s="20" t="str">
        <f>IFERROR(__xludf.DUMMYFUNCTION("IF(ISBLANK(B518),,IFERROR(array_constrain(FILTER('Leetcode分类顺序表'!B:J,'Leetcode分类顺序表'!A:A = B518), 1, 10000000),IFERROR(FILTER(Algoexpert.io!B:D,Algoexpert.io!A:A = B518),FILTER('Leetcode List'!B:J,'Leetcode List'!A:A = B518))))"),"")</f>
        <v/>
      </c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>
      <c r="A519" s="22"/>
      <c r="B519" s="20"/>
      <c r="C519" s="20" t="str">
        <f>IFERROR(__xludf.DUMMYFUNCTION("IF(ISBLANK(B519),,IFERROR(array_constrain(FILTER('Leetcode分类顺序表'!B:J,'Leetcode分类顺序表'!A:A = B519), 1, 10000000),IFERROR(FILTER(Algoexpert.io!B:D,Algoexpert.io!A:A = B519),FILTER('Leetcode List'!B:J,'Leetcode List'!A:A = B519))))"),"")</f>
        <v/>
      </c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>
      <c r="A520" s="22"/>
      <c r="B520" s="20"/>
      <c r="C520" s="20" t="str">
        <f>IFERROR(__xludf.DUMMYFUNCTION("IF(ISBLANK(B520),,IFERROR(array_constrain(FILTER('Leetcode分类顺序表'!B:J,'Leetcode分类顺序表'!A:A = B520), 1, 10000000),IFERROR(FILTER(Algoexpert.io!B:D,Algoexpert.io!A:A = B520),FILTER('Leetcode List'!B:J,'Leetcode List'!A:A = B520))))"),"")</f>
        <v/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>
      <c r="A521" s="22"/>
      <c r="B521" s="20"/>
      <c r="C521" s="20" t="str">
        <f>IFERROR(__xludf.DUMMYFUNCTION("IF(ISBLANK(B521),,IFERROR(array_constrain(FILTER('Leetcode分类顺序表'!B:J,'Leetcode分类顺序表'!A:A = B521), 1, 10000000),IFERROR(FILTER(Algoexpert.io!B:D,Algoexpert.io!A:A = B521),FILTER('Leetcode List'!B:J,'Leetcode List'!A:A = B521))))"),"")</f>
        <v/>
      </c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>
      <c r="A522" s="22"/>
      <c r="B522" s="20"/>
      <c r="C522" s="20" t="str">
        <f>IFERROR(__xludf.DUMMYFUNCTION("IF(ISBLANK(B522),,IFERROR(array_constrain(FILTER('Leetcode分类顺序表'!B:J,'Leetcode分类顺序表'!A:A = B522), 1, 10000000),IFERROR(FILTER(Algoexpert.io!B:D,Algoexpert.io!A:A = B522),FILTER('Leetcode List'!B:J,'Leetcode List'!A:A = B522))))"),"")</f>
        <v/>
      </c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>
      <c r="A523" s="22"/>
      <c r="B523" s="20"/>
      <c r="C523" s="20" t="str">
        <f>IFERROR(__xludf.DUMMYFUNCTION("IF(ISBLANK(B523),,IFERROR(array_constrain(FILTER('Leetcode分类顺序表'!B:J,'Leetcode分类顺序表'!A:A = B523), 1, 10000000),IFERROR(FILTER(Algoexpert.io!B:D,Algoexpert.io!A:A = B523),FILTER('Leetcode List'!B:J,'Leetcode List'!A:A = B523))))"),"")</f>
        <v/>
      </c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>
      <c r="A524" s="22"/>
      <c r="B524" s="20"/>
      <c r="C524" s="20" t="str">
        <f>IFERROR(__xludf.DUMMYFUNCTION("IF(ISBLANK(B524),,IFERROR(array_constrain(FILTER('Leetcode分类顺序表'!B:J,'Leetcode分类顺序表'!A:A = B524), 1, 10000000),IFERROR(FILTER(Algoexpert.io!B:D,Algoexpert.io!A:A = B524),FILTER('Leetcode List'!B:J,'Leetcode List'!A:A = B524))))"),"")</f>
        <v/>
      </c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>
      <c r="A525" s="22"/>
      <c r="B525" s="20"/>
      <c r="C525" s="20" t="str">
        <f>IFERROR(__xludf.DUMMYFUNCTION("IF(ISBLANK(B525),,IFERROR(array_constrain(FILTER('Leetcode分类顺序表'!B:J,'Leetcode分类顺序表'!A:A = B525), 1, 10000000),IFERROR(FILTER(Algoexpert.io!B:D,Algoexpert.io!A:A = B525),FILTER('Leetcode List'!B:J,'Leetcode List'!A:A = B525))))"),"")</f>
        <v/>
      </c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>
      <c r="A526" s="22"/>
      <c r="B526" s="20"/>
      <c r="C526" s="20" t="str">
        <f>IFERROR(__xludf.DUMMYFUNCTION("IF(ISBLANK(B526),,IFERROR(array_constrain(FILTER('Leetcode分类顺序表'!B:J,'Leetcode分类顺序表'!A:A = B526), 1, 10000000),IFERROR(FILTER(Algoexpert.io!B:D,Algoexpert.io!A:A = B526),FILTER('Leetcode List'!B:J,'Leetcode List'!A:A = B526))))"),"")</f>
        <v/>
      </c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>
      <c r="A527" s="22"/>
      <c r="B527" s="20"/>
      <c r="C527" s="20" t="str">
        <f>IFERROR(__xludf.DUMMYFUNCTION("IF(ISBLANK(B527),,IFERROR(array_constrain(FILTER('Leetcode分类顺序表'!B:J,'Leetcode分类顺序表'!A:A = B527), 1, 10000000),IFERROR(FILTER(Algoexpert.io!B:D,Algoexpert.io!A:A = B527),FILTER('Leetcode List'!B:J,'Leetcode List'!A:A = B527))))"),"")</f>
        <v/>
      </c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>
      <c r="A528" s="22"/>
      <c r="B528" s="20"/>
      <c r="C528" s="20" t="str">
        <f>IFERROR(__xludf.DUMMYFUNCTION("IF(ISBLANK(B528),,IFERROR(array_constrain(FILTER('Leetcode分类顺序表'!B:J,'Leetcode分类顺序表'!A:A = B528), 1, 10000000),IFERROR(FILTER(Algoexpert.io!B:D,Algoexpert.io!A:A = B528),FILTER('Leetcode List'!B:J,'Leetcode List'!A:A = B528))))"),"")</f>
        <v/>
      </c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>
      <c r="A529" s="22"/>
      <c r="B529" s="20"/>
      <c r="C529" s="20" t="str">
        <f>IFERROR(__xludf.DUMMYFUNCTION("IF(ISBLANK(B529),,IFERROR(array_constrain(FILTER('Leetcode分类顺序表'!B:J,'Leetcode分类顺序表'!A:A = B529), 1, 10000000),IFERROR(FILTER(Algoexpert.io!B:D,Algoexpert.io!A:A = B529),FILTER('Leetcode List'!B:J,'Leetcode List'!A:A = B529))))"),"")</f>
        <v/>
      </c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>
      <c r="A530" s="22"/>
      <c r="B530" s="20"/>
      <c r="C530" s="20" t="str">
        <f>IFERROR(__xludf.DUMMYFUNCTION("IF(ISBLANK(B530),,IFERROR(array_constrain(FILTER('Leetcode分类顺序表'!B:J,'Leetcode分类顺序表'!A:A = B530), 1, 10000000),IFERROR(FILTER(Algoexpert.io!B:D,Algoexpert.io!A:A = B530),FILTER('Leetcode List'!B:J,'Leetcode List'!A:A = B530))))"),"")</f>
        <v/>
      </c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>
      <c r="A531" s="22"/>
      <c r="B531" s="20"/>
      <c r="C531" s="20" t="str">
        <f>IFERROR(__xludf.DUMMYFUNCTION("IF(ISBLANK(B531),,IFERROR(array_constrain(FILTER('Leetcode分类顺序表'!B:J,'Leetcode分类顺序表'!A:A = B531), 1, 10000000),IFERROR(FILTER(Algoexpert.io!B:D,Algoexpert.io!A:A = B531),FILTER('Leetcode List'!B:J,'Leetcode List'!A:A = B531))))"),"")</f>
        <v/>
      </c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>
      <c r="A532" s="22"/>
      <c r="B532" s="20"/>
      <c r="C532" s="20" t="str">
        <f>IFERROR(__xludf.DUMMYFUNCTION("IF(ISBLANK(B532),,IFERROR(array_constrain(FILTER('Leetcode分类顺序表'!B:J,'Leetcode分类顺序表'!A:A = B532), 1, 10000000),IFERROR(FILTER(Algoexpert.io!B:D,Algoexpert.io!A:A = B532),FILTER('Leetcode List'!B:J,'Leetcode List'!A:A = B532))))"),"")</f>
        <v/>
      </c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>
      <c r="A533" s="22"/>
      <c r="B533" s="20"/>
      <c r="C533" s="20" t="str">
        <f>IFERROR(__xludf.DUMMYFUNCTION("IF(ISBLANK(B533),,IFERROR(array_constrain(FILTER('Leetcode分类顺序表'!B:J,'Leetcode分类顺序表'!A:A = B533), 1, 10000000),IFERROR(FILTER(Algoexpert.io!B:D,Algoexpert.io!A:A = B533),FILTER('Leetcode List'!B:J,'Leetcode List'!A:A = B533))))"),"")</f>
        <v/>
      </c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>
      <c r="A534" s="22"/>
      <c r="B534" s="20"/>
      <c r="C534" s="20" t="str">
        <f>IFERROR(__xludf.DUMMYFUNCTION("IF(ISBLANK(B534),,IFERROR(array_constrain(FILTER('Leetcode分类顺序表'!B:J,'Leetcode分类顺序表'!A:A = B534), 1, 10000000),IFERROR(FILTER(Algoexpert.io!B:D,Algoexpert.io!A:A = B534),FILTER('Leetcode List'!B:J,'Leetcode List'!A:A = B534))))"),"")</f>
        <v/>
      </c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>
      <c r="A535" s="22"/>
      <c r="B535" s="20"/>
      <c r="C535" s="20" t="str">
        <f>IFERROR(__xludf.DUMMYFUNCTION("IF(ISBLANK(B535),,IFERROR(array_constrain(FILTER('Leetcode分类顺序表'!B:J,'Leetcode分类顺序表'!A:A = B535), 1, 10000000),IFERROR(FILTER(Algoexpert.io!B:D,Algoexpert.io!A:A = B535),FILTER('Leetcode List'!B:J,'Leetcode List'!A:A = B535))))"),"")</f>
        <v/>
      </c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>
      <c r="A536" s="22"/>
      <c r="B536" s="20"/>
      <c r="C536" s="20" t="str">
        <f>IFERROR(__xludf.DUMMYFUNCTION("IF(ISBLANK(B536),,IFERROR(array_constrain(FILTER('Leetcode分类顺序表'!B:J,'Leetcode分类顺序表'!A:A = B536), 1, 10000000),IFERROR(FILTER(Algoexpert.io!B:D,Algoexpert.io!A:A = B536),FILTER('Leetcode List'!B:J,'Leetcode List'!A:A = B536))))"),"")</f>
        <v/>
      </c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>
      <c r="A537" s="22"/>
      <c r="B537" s="20"/>
      <c r="C537" s="20" t="str">
        <f>IFERROR(__xludf.DUMMYFUNCTION("IF(ISBLANK(B537),,IFERROR(array_constrain(FILTER('Leetcode分类顺序表'!B:J,'Leetcode分类顺序表'!A:A = B537), 1, 10000000),IFERROR(FILTER(Algoexpert.io!B:D,Algoexpert.io!A:A = B537),FILTER('Leetcode List'!B:J,'Leetcode List'!A:A = B537))))"),"")</f>
        <v/>
      </c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>
      <c r="A538" s="22"/>
      <c r="B538" s="20"/>
      <c r="C538" s="20" t="str">
        <f>IFERROR(__xludf.DUMMYFUNCTION("IF(ISBLANK(B538),,IFERROR(array_constrain(FILTER('Leetcode分类顺序表'!B:J,'Leetcode分类顺序表'!A:A = B538), 1, 10000000),IFERROR(FILTER(Algoexpert.io!B:D,Algoexpert.io!A:A = B538),FILTER('Leetcode List'!B:J,'Leetcode List'!A:A = B538))))"),"")</f>
        <v/>
      </c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>
      <c r="A539" s="22"/>
      <c r="B539" s="20"/>
      <c r="C539" s="20" t="str">
        <f>IFERROR(__xludf.DUMMYFUNCTION("IF(ISBLANK(B539),,IFERROR(array_constrain(FILTER('Leetcode分类顺序表'!B:J,'Leetcode分类顺序表'!A:A = B539), 1, 10000000),IFERROR(FILTER(Algoexpert.io!B:D,Algoexpert.io!A:A = B539),FILTER('Leetcode List'!B:J,'Leetcode List'!A:A = B539))))"),"")</f>
        <v/>
      </c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>
      <c r="A540" s="22"/>
      <c r="B540" s="20"/>
      <c r="C540" s="20" t="str">
        <f>IFERROR(__xludf.DUMMYFUNCTION("IF(ISBLANK(B540),,IFERROR(array_constrain(FILTER('Leetcode分类顺序表'!B:J,'Leetcode分类顺序表'!A:A = B540), 1, 10000000),IFERROR(FILTER(Algoexpert.io!B:D,Algoexpert.io!A:A = B540),FILTER('Leetcode List'!B:J,'Leetcode List'!A:A = B540))))"),"")</f>
        <v/>
      </c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>
      <c r="A541" s="22"/>
      <c r="B541" s="20"/>
      <c r="C541" s="20" t="str">
        <f>IFERROR(__xludf.DUMMYFUNCTION("IF(ISBLANK(B541),,IFERROR(array_constrain(FILTER('Leetcode分类顺序表'!B:J,'Leetcode分类顺序表'!A:A = B541), 1, 10000000),IFERROR(FILTER(Algoexpert.io!B:D,Algoexpert.io!A:A = B541),FILTER('Leetcode List'!B:J,'Leetcode List'!A:A = B541))))"),"")</f>
        <v/>
      </c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>
      <c r="A542" s="22"/>
      <c r="B542" s="20"/>
      <c r="C542" s="20" t="str">
        <f>IFERROR(__xludf.DUMMYFUNCTION("IF(ISBLANK(B542),,IFERROR(array_constrain(FILTER('Leetcode分类顺序表'!B:J,'Leetcode分类顺序表'!A:A = B542), 1, 10000000),IFERROR(FILTER(Algoexpert.io!B:D,Algoexpert.io!A:A = B542),FILTER('Leetcode List'!B:J,'Leetcode List'!A:A = B542))))"),"")</f>
        <v/>
      </c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>
      <c r="A543" s="22"/>
      <c r="B543" s="20"/>
      <c r="C543" s="20" t="str">
        <f>IFERROR(__xludf.DUMMYFUNCTION("IF(ISBLANK(B543),,IFERROR(array_constrain(FILTER('Leetcode分类顺序表'!B:J,'Leetcode分类顺序表'!A:A = B543), 1, 10000000),IFERROR(FILTER(Algoexpert.io!B:D,Algoexpert.io!A:A = B543),FILTER('Leetcode List'!B:J,'Leetcode List'!A:A = B543))))"),"")</f>
        <v/>
      </c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>
      <c r="A544" s="22"/>
      <c r="B544" s="20"/>
      <c r="C544" s="20" t="str">
        <f>IFERROR(__xludf.DUMMYFUNCTION("IF(ISBLANK(B544),,IFERROR(array_constrain(FILTER('Leetcode分类顺序表'!B:J,'Leetcode分类顺序表'!A:A = B544), 1, 10000000),IFERROR(FILTER(Algoexpert.io!B:D,Algoexpert.io!A:A = B544),FILTER('Leetcode List'!B:J,'Leetcode List'!A:A = B544))))"),"")</f>
        <v/>
      </c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>
      <c r="A545" s="22"/>
      <c r="B545" s="20"/>
      <c r="C545" s="20" t="str">
        <f>IFERROR(__xludf.DUMMYFUNCTION("IF(ISBLANK(B545),,IFERROR(array_constrain(FILTER('Leetcode分类顺序表'!B:J,'Leetcode分类顺序表'!A:A = B545), 1, 10000000),IFERROR(FILTER(Algoexpert.io!B:D,Algoexpert.io!A:A = B545),FILTER('Leetcode List'!B:J,'Leetcode List'!A:A = B545))))"),"")</f>
        <v/>
      </c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>
      <c r="A546" s="22"/>
      <c r="B546" s="20"/>
      <c r="C546" s="20" t="str">
        <f>IFERROR(__xludf.DUMMYFUNCTION("IF(ISBLANK(B546),,IFERROR(array_constrain(FILTER('Leetcode分类顺序表'!B:J,'Leetcode分类顺序表'!A:A = B546), 1, 10000000),IFERROR(FILTER(Algoexpert.io!B:D,Algoexpert.io!A:A = B546),FILTER('Leetcode List'!B:J,'Leetcode List'!A:A = B546))))"),"")</f>
        <v/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>
      <c r="A547" s="22"/>
      <c r="B547" s="20"/>
      <c r="C547" s="20" t="str">
        <f>IFERROR(__xludf.DUMMYFUNCTION("IF(ISBLANK(B547),,IFERROR(array_constrain(FILTER('Leetcode分类顺序表'!B:J,'Leetcode分类顺序表'!A:A = B547), 1, 10000000),IFERROR(FILTER(Algoexpert.io!B:D,Algoexpert.io!A:A = B547),FILTER('Leetcode List'!B:J,'Leetcode List'!A:A = B547))))"),"")</f>
        <v/>
      </c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>
      <c r="A548" s="22"/>
      <c r="B548" s="20"/>
      <c r="C548" s="20" t="str">
        <f>IFERROR(__xludf.DUMMYFUNCTION("IF(ISBLANK(B548),,IFERROR(array_constrain(FILTER('Leetcode分类顺序表'!B:J,'Leetcode分类顺序表'!A:A = B548), 1, 10000000),IFERROR(FILTER(Algoexpert.io!B:D,Algoexpert.io!A:A = B548),FILTER('Leetcode List'!B:J,'Leetcode List'!A:A = B548))))"),"")</f>
        <v/>
      </c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>
      <c r="A549" s="22"/>
      <c r="B549" s="20"/>
      <c r="C549" s="20" t="str">
        <f>IFERROR(__xludf.DUMMYFUNCTION("IF(ISBLANK(B549),,IFERROR(array_constrain(FILTER('Leetcode分类顺序表'!B:J,'Leetcode分类顺序表'!A:A = B549), 1, 10000000),IFERROR(FILTER(Algoexpert.io!B:D,Algoexpert.io!A:A = B549),FILTER('Leetcode List'!B:J,'Leetcode List'!A:A = B549))))"),"")</f>
        <v/>
      </c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>
      <c r="A550" s="22"/>
      <c r="B550" s="20"/>
      <c r="C550" s="20" t="str">
        <f>IFERROR(__xludf.DUMMYFUNCTION("IF(ISBLANK(B550),,IFERROR(array_constrain(FILTER('Leetcode分类顺序表'!B:J,'Leetcode分类顺序表'!A:A = B550), 1, 10000000),IFERROR(FILTER(Algoexpert.io!B:D,Algoexpert.io!A:A = B550),FILTER('Leetcode List'!B:J,'Leetcode List'!A:A = B550))))"),"")</f>
        <v/>
      </c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>
      <c r="A551" s="22"/>
      <c r="B551" s="20"/>
      <c r="C551" s="20" t="str">
        <f>IFERROR(__xludf.DUMMYFUNCTION("IF(ISBLANK(B551),,IFERROR(array_constrain(FILTER('Leetcode分类顺序表'!B:J,'Leetcode分类顺序表'!A:A = B551), 1, 10000000),IFERROR(FILTER(Algoexpert.io!B:D,Algoexpert.io!A:A = B551),FILTER('Leetcode List'!B:J,'Leetcode List'!A:A = B551))))"),"")</f>
        <v/>
      </c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>
      <c r="A552" s="22"/>
      <c r="B552" s="20"/>
      <c r="C552" s="20" t="str">
        <f>IFERROR(__xludf.DUMMYFUNCTION("IF(ISBLANK(B552),,IFERROR(array_constrain(FILTER('Leetcode分类顺序表'!B:J,'Leetcode分类顺序表'!A:A = B552), 1, 10000000),IFERROR(FILTER(Algoexpert.io!B:D,Algoexpert.io!A:A = B552),FILTER('Leetcode List'!B:J,'Leetcode List'!A:A = B552))))"),"")</f>
        <v/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>
      <c r="A553" s="22"/>
      <c r="B553" s="20"/>
      <c r="C553" s="20" t="str">
        <f>IFERROR(__xludf.DUMMYFUNCTION("IF(ISBLANK(B553),,IFERROR(array_constrain(FILTER('Leetcode分类顺序表'!B:J,'Leetcode分类顺序表'!A:A = B553), 1, 10000000),IFERROR(FILTER(Algoexpert.io!B:D,Algoexpert.io!A:A = B553),FILTER('Leetcode List'!B:J,'Leetcode List'!A:A = B553))))"),"")</f>
        <v/>
      </c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>
      <c r="A554" s="22"/>
      <c r="B554" s="20"/>
      <c r="C554" s="20" t="str">
        <f>IFERROR(__xludf.DUMMYFUNCTION("IF(ISBLANK(B554),,IFERROR(array_constrain(FILTER('Leetcode分类顺序表'!B:J,'Leetcode分类顺序表'!A:A = B554), 1, 10000000),IFERROR(FILTER(Algoexpert.io!B:D,Algoexpert.io!A:A = B554),FILTER('Leetcode List'!B:J,'Leetcode List'!A:A = B554))))"),"")</f>
        <v/>
      </c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>
      <c r="A555" s="22"/>
      <c r="B555" s="20"/>
      <c r="C555" s="20" t="str">
        <f>IFERROR(__xludf.DUMMYFUNCTION("IF(ISBLANK(B555),,IFERROR(array_constrain(FILTER('Leetcode分类顺序表'!B:J,'Leetcode分类顺序表'!A:A = B555), 1, 10000000),IFERROR(FILTER(Algoexpert.io!B:D,Algoexpert.io!A:A = B555),FILTER('Leetcode List'!B:J,'Leetcode List'!A:A = B555))))"),"")</f>
        <v/>
      </c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>
      <c r="A556" s="22"/>
      <c r="B556" s="20"/>
      <c r="C556" s="20" t="str">
        <f>IFERROR(__xludf.DUMMYFUNCTION("IF(ISBLANK(B556),,IFERROR(array_constrain(FILTER('Leetcode分类顺序表'!B:J,'Leetcode分类顺序表'!A:A = B556), 1, 10000000),IFERROR(FILTER(Algoexpert.io!B:D,Algoexpert.io!A:A = B556),FILTER('Leetcode List'!B:J,'Leetcode List'!A:A = B556))))"),"")</f>
        <v/>
      </c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>
      <c r="A557" s="22"/>
      <c r="B557" s="20"/>
      <c r="C557" s="20" t="str">
        <f>IFERROR(__xludf.DUMMYFUNCTION("IF(ISBLANK(B557),,IFERROR(array_constrain(FILTER('Leetcode分类顺序表'!B:J,'Leetcode分类顺序表'!A:A = B557), 1, 10000000),IFERROR(FILTER(Algoexpert.io!B:D,Algoexpert.io!A:A = B557),FILTER('Leetcode List'!B:J,'Leetcode List'!A:A = B557))))"),"")</f>
        <v/>
      </c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>
      <c r="A558" s="22"/>
      <c r="B558" s="20"/>
      <c r="C558" s="20" t="str">
        <f>IFERROR(__xludf.DUMMYFUNCTION("IF(ISBLANK(B558),,IFERROR(array_constrain(FILTER('Leetcode分类顺序表'!B:J,'Leetcode分类顺序表'!A:A = B558), 1, 10000000),IFERROR(FILTER(Algoexpert.io!B:D,Algoexpert.io!A:A = B558),FILTER('Leetcode List'!B:J,'Leetcode List'!A:A = B558))))"),"")</f>
        <v/>
      </c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>
      <c r="A559" s="22"/>
      <c r="B559" s="20"/>
      <c r="C559" s="20" t="str">
        <f>IFERROR(__xludf.DUMMYFUNCTION("IF(ISBLANK(B559),,IFERROR(array_constrain(FILTER('Leetcode分类顺序表'!B:J,'Leetcode分类顺序表'!A:A = B559), 1, 10000000),IFERROR(FILTER(Algoexpert.io!B:D,Algoexpert.io!A:A = B559),FILTER('Leetcode List'!B:J,'Leetcode List'!A:A = B559))))"),"")</f>
        <v/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>
      <c r="A560" s="22"/>
      <c r="B560" s="20"/>
      <c r="C560" s="20" t="str">
        <f>IFERROR(__xludf.DUMMYFUNCTION("IF(ISBLANK(B560),,IFERROR(array_constrain(FILTER('Leetcode分类顺序表'!B:J,'Leetcode分类顺序表'!A:A = B560), 1, 10000000),IFERROR(FILTER(Algoexpert.io!B:D,Algoexpert.io!A:A = B560),FILTER('Leetcode List'!B:J,'Leetcode List'!A:A = B560))))"),"")</f>
        <v/>
      </c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>
      <c r="A561" s="22"/>
      <c r="B561" s="20"/>
      <c r="C561" s="20" t="str">
        <f>IFERROR(__xludf.DUMMYFUNCTION("IF(ISBLANK(B561),,IFERROR(array_constrain(FILTER('Leetcode分类顺序表'!B:J,'Leetcode分类顺序表'!A:A = B561), 1, 10000000),IFERROR(FILTER(Algoexpert.io!B:D,Algoexpert.io!A:A = B561),FILTER('Leetcode List'!B:J,'Leetcode List'!A:A = B561))))"),"")</f>
        <v/>
      </c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>
      <c r="A562" s="22"/>
      <c r="B562" s="20"/>
      <c r="C562" s="20" t="str">
        <f>IFERROR(__xludf.DUMMYFUNCTION("IF(ISBLANK(B562),,IFERROR(array_constrain(FILTER('Leetcode分类顺序表'!B:J,'Leetcode分类顺序表'!A:A = B562), 1, 10000000),IFERROR(FILTER(Algoexpert.io!B:D,Algoexpert.io!A:A = B562),FILTER('Leetcode List'!B:J,'Leetcode List'!A:A = B562))))"),"")</f>
        <v/>
      </c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>
      <c r="A563" s="22"/>
      <c r="B563" s="20"/>
      <c r="C563" s="20" t="str">
        <f>IFERROR(__xludf.DUMMYFUNCTION("IF(ISBLANK(B563),,IFERROR(array_constrain(FILTER('Leetcode分类顺序表'!B:J,'Leetcode分类顺序表'!A:A = B563), 1, 10000000),IFERROR(FILTER(Algoexpert.io!B:D,Algoexpert.io!A:A = B563),FILTER('Leetcode List'!B:J,'Leetcode List'!A:A = B563))))"),"")</f>
        <v/>
      </c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>
      <c r="A564" s="22"/>
      <c r="B564" s="20"/>
      <c r="C564" s="20" t="str">
        <f>IFERROR(__xludf.DUMMYFUNCTION("IF(ISBLANK(B564),,IFERROR(array_constrain(FILTER('Leetcode分类顺序表'!B:J,'Leetcode分类顺序表'!A:A = B564), 1, 10000000),IFERROR(FILTER(Algoexpert.io!B:D,Algoexpert.io!A:A = B564),FILTER('Leetcode List'!B:J,'Leetcode List'!A:A = B564))))"),"")</f>
        <v/>
      </c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>
      <c r="A565" s="22"/>
      <c r="B565" s="20"/>
      <c r="C565" s="20" t="str">
        <f>IFERROR(__xludf.DUMMYFUNCTION("IF(ISBLANK(B565),,IFERROR(array_constrain(FILTER('Leetcode分类顺序表'!B:J,'Leetcode分类顺序表'!A:A = B565), 1, 10000000),IFERROR(FILTER(Algoexpert.io!B:D,Algoexpert.io!A:A = B565),FILTER('Leetcode List'!B:J,'Leetcode List'!A:A = B565))))"),"")</f>
        <v/>
      </c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>
      <c r="A566" s="22"/>
      <c r="B566" s="20"/>
      <c r="C566" s="20" t="str">
        <f>IFERROR(__xludf.DUMMYFUNCTION("IF(ISBLANK(B566),,IFERROR(array_constrain(FILTER('Leetcode分类顺序表'!B:J,'Leetcode分类顺序表'!A:A = B566), 1, 10000000),IFERROR(FILTER(Algoexpert.io!B:D,Algoexpert.io!A:A = B566),FILTER('Leetcode List'!B:J,'Leetcode List'!A:A = B566))))"),"")</f>
        <v/>
      </c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>
      <c r="A567" s="22"/>
      <c r="B567" s="20"/>
      <c r="C567" s="20" t="str">
        <f>IFERROR(__xludf.DUMMYFUNCTION("IF(ISBLANK(B567),,IFERROR(array_constrain(FILTER('Leetcode分类顺序表'!B:J,'Leetcode分类顺序表'!A:A = B567), 1, 10000000),IFERROR(FILTER(Algoexpert.io!B:D,Algoexpert.io!A:A = B567),FILTER('Leetcode List'!B:J,'Leetcode List'!A:A = B567))))"),"")</f>
        <v/>
      </c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>
      <c r="A568" s="22"/>
      <c r="B568" s="20"/>
      <c r="C568" s="20" t="str">
        <f>IFERROR(__xludf.DUMMYFUNCTION("IF(ISBLANK(B568),,IFERROR(array_constrain(FILTER('Leetcode分类顺序表'!B:J,'Leetcode分类顺序表'!A:A = B568), 1, 10000000),IFERROR(FILTER(Algoexpert.io!B:D,Algoexpert.io!A:A = B568),FILTER('Leetcode List'!B:J,'Leetcode List'!A:A = B568))))"),"")</f>
        <v/>
      </c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>
      <c r="A569" s="22"/>
      <c r="B569" s="20"/>
      <c r="C569" s="20" t="str">
        <f>IFERROR(__xludf.DUMMYFUNCTION("IF(ISBLANK(B569),,IFERROR(array_constrain(FILTER('Leetcode分类顺序表'!B:J,'Leetcode分类顺序表'!A:A = B569), 1, 10000000),IFERROR(FILTER(Algoexpert.io!B:D,Algoexpert.io!A:A = B569),FILTER('Leetcode List'!B:J,'Leetcode List'!A:A = B569))))"),"")</f>
        <v/>
      </c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>
      <c r="A570" s="22"/>
      <c r="B570" s="20"/>
      <c r="C570" s="20" t="str">
        <f>IFERROR(__xludf.DUMMYFUNCTION("IF(ISBLANK(B570),,IFERROR(array_constrain(FILTER('Leetcode分类顺序表'!B:J,'Leetcode分类顺序表'!A:A = B570), 1, 10000000),IFERROR(FILTER(Algoexpert.io!B:D,Algoexpert.io!A:A = B570),FILTER('Leetcode List'!B:J,'Leetcode List'!A:A = B570))))"),"")</f>
        <v/>
      </c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>
      <c r="A571" s="22"/>
      <c r="B571" s="20"/>
      <c r="C571" s="20" t="str">
        <f>IFERROR(__xludf.DUMMYFUNCTION("IF(ISBLANK(B571),,IFERROR(array_constrain(FILTER('Leetcode分类顺序表'!B:J,'Leetcode分类顺序表'!A:A = B571), 1, 10000000),IFERROR(FILTER(Algoexpert.io!B:D,Algoexpert.io!A:A = B571),FILTER('Leetcode List'!B:J,'Leetcode List'!A:A = B571))))"),"")</f>
        <v/>
      </c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>
      <c r="A572" s="22"/>
      <c r="B572" s="20"/>
      <c r="C572" s="20" t="str">
        <f>IFERROR(__xludf.DUMMYFUNCTION("IF(ISBLANK(B572),,IFERROR(array_constrain(FILTER('Leetcode分类顺序表'!B:J,'Leetcode分类顺序表'!A:A = B572), 1, 10000000),IFERROR(FILTER(Algoexpert.io!B:D,Algoexpert.io!A:A = B572),FILTER('Leetcode List'!B:J,'Leetcode List'!A:A = B572))))"),"")</f>
        <v/>
      </c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>
      <c r="A573" s="22"/>
      <c r="B573" s="20"/>
      <c r="C573" s="20" t="str">
        <f>IFERROR(__xludf.DUMMYFUNCTION("IF(ISBLANK(B573),,IFERROR(array_constrain(FILTER('Leetcode分类顺序表'!B:J,'Leetcode分类顺序表'!A:A = B573), 1, 10000000),IFERROR(FILTER(Algoexpert.io!B:D,Algoexpert.io!A:A = B573),FILTER('Leetcode List'!B:J,'Leetcode List'!A:A = B573))))"),"")</f>
        <v/>
      </c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>
      <c r="A574" s="22"/>
      <c r="B574" s="20"/>
      <c r="C574" s="20" t="str">
        <f>IFERROR(__xludf.DUMMYFUNCTION("IF(ISBLANK(B574),,IFERROR(array_constrain(FILTER('Leetcode分类顺序表'!B:J,'Leetcode分类顺序表'!A:A = B574), 1, 10000000),IFERROR(FILTER(Algoexpert.io!B:D,Algoexpert.io!A:A = B574),FILTER('Leetcode List'!B:J,'Leetcode List'!A:A = B574))))"),"")</f>
        <v/>
      </c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>
      <c r="A575" s="22"/>
      <c r="B575" s="20"/>
      <c r="C575" s="20" t="str">
        <f>IFERROR(__xludf.DUMMYFUNCTION("IF(ISBLANK(B575),,IFERROR(array_constrain(FILTER('Leetcode分类顺序表'!B:J,'Leetcode分类顺序表'!A:A = B575), 1, 10000000),IFERROR(FILTER(Algoexpert.io!B:D,Algoexpert.io!A:A = B575),FILTER('Leetcode List'!B:J,'Leetcode List'!A:A = B575))))"),"")</f>
        <v/>
      </c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>
      <c r="A576" s="22"/>
      <c r="B576" s="20"/>
      <c r="C576" s="20" t="str">
        <f>IFERROR(__xludf.DUMMYFUNCTION("IF(ISBLANK(B576),,IFERROR(array_constrain(FILTER('Leetcode分类顺序表'!B:J,'Leetcode分类顺序表'!A:A = B576), 1, 10000000),IFERROR(FILTER(Algoexpert.io!B:D,Algoexpert.io!A:A = B576),FILTER('Leetcode List'!B:J,'Leetcode List'!A:A = B576))))"),"")</f>
        <v/>
      </c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>
      <c r="A577" s="22"/>
      <c r="B577" s="20"/>
      <c r="C577" s="20" t="str">
        <f>IFERROR(__xludf.DUMMYFUNCTION("IF(ISBLANK(B577),,IFERROR(array_constrain(FILTER('Leetcode分类顺序表'!B:J,'Leetcode分类顺序表'!A:A = B577), 1, 10000000),IFERROR(FILTER(Algoexpert.io!B:D,Algoexpert.io!A:A = B577),FILTER('Leetcode List'!B:J,'Leetcode List'!A:A = B577))))"),"")</f>
        <v/>
      </c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>
      <c r="A578" s="22"/>
      <c r="B578" s="20"/>
      <c r="C578" s="20" t="str">
        <f>IFERROR(__xludf.DUMMYFUNCTION("IF(ISBLANK(B578),,IFERROR(array_constrain(FILTER('Leetcode分类顺序表'!B:J,'Leetcode分类顺序表'!A:A = B578), 1, 10000000),IFERROR(FILTER(Algoexpert.io!B:D,Algoexpert.io!A:A = B578),FILTER('Leetcode List'!B:J,'Leetcode List'!A:A = B578))))"),"")</f>
        <v/>
      </c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>
      <c r="A579" s="22"/>
      <c r="B579" s="20"/>
      <c r="C579" s="20" t="str">
        <f>IFERROR(__xludf.DUMMYFUNCTION("IF(ISBLANK(B579),,IFERROR(array_constrain(FILTER('Leetcode分类顺序表'!B:J,'Leetcode分类顺序表'!A:A = B579), 1, 10000000),IFERROR(FILTER(Algoexpert.io!B:D,Algoexpert.io!A:A = B579),FILTER('Leetcode List'!B:J,'Leetcode List'!A:A = B579))))"),"")</f>
        <v/>
      </c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>
      <c r="A580" s="22"/>
      <c r="B580" s="20"/>
      <c r="C580" s="20" t="str">
        <f>IFERROR(__xludf.DUMMYFUNCTION("IF(ISBLANK(B580),,IFERROR(array_constrain(FILTER('Leetcode分类顺序表'!B:J,'Leetcode分类顺序表'!A:A = B580), 1, 10000000),IFERROR(FILTER(Algoexpert.io!B:D,Algoexpert.io!A:A = B580),FILTER('Leetcode List'!B:J,'Leetcode List'!A:A = B580))))"),"")</f>
        <v/>
      </c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>
      <c r="A581" s="22"/>
      <c r="B581" s="20"/>
      <c r="C581" s="20" t="str">
        <f>IFERROR(__xludf.DUMMYFUNCTION("IF(ISBLANK(B581),,IFERROR(array_constrain(FILTER('Leetcode分类顺序表'!B:J,'Leetcode分类顺序表'!A:A = B581), 1, 10000000),IFERROR(FILTER(Algoexpert.io!B:D,Algoexpert.io!A:A = B581),FILTER('Leetcode List'!B:J,'Leetcode List'!A:A = B581))))"),"")</f>
        <v/>
      </c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>
      <c r="A582" s="22"/>
      <c r="B582" s="20"/>
      <c r="C582" s="20" t="str">
        <f>IFERROR(__xludf.DUMMYFUNCTION("IF(ISBLANK(B582),,IFERROR(array_constrain(FILTER('Leetcode分类顺序表'!B:J,'Leetcode分类顺序表'!A:A = B582), 1, 10000000),IFERROR(FILTER(Algoexpert.io!B:D,Algoexpert.io!A:A = B582),FILTER('Leetcode List'!B:J,'Leetcode List'!A:A = B582))))"),"")</f>
        <v/>
      </c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>
      <c r="A583" s="22"/>
      <c r="B583" s="20"/>
      <c r="C583" s="20" t="str">
        <f>IFERROR(__xludf.DUMMYFUNCTION("IF(ISBLANK(B583),,IFERROR(array_constrain(FILTER('Leetcode分类顺序表'!B:J,'Leetcode分类顺序表'!A:A = B583), 1, 10000000),IFERROR(FILTER(Algoexpert.io!B:D,Algoexpert.io!A:A = B583),FILTER('Leetcode List'!B:J,'Leetcode List'!A:A = B583))))"),"")</f>
        <v/>
      </c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>
      <c r="A584" s="22"/>
      <c r="B584" s="20"/>
      <c r="C584" s="20" t="str">
        <f>IFERROR(__xludf.DUMMYFUNCTION("IF(ISBLANK(B584),,IFERROR(array_constrain(FILTER('Leetcode分类顺序表'!B:J,'Leetcode分类顺序表'!A:A = B584), 1, 10000000),IFERROR(FILTER(Algoexpert.io!B:D,Algoexpert.io!A:A = B584),FILTER('Leetcode List'!B:J,'Leetcode List'!A:A = B584))))"),"")</f>
        <v/>
      </c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>
      <c r="A585" s="22"/>
      <c r="B585" s="20"/>
      <c r="C585" s="20" t="str">
        <f>IFERROR(__xludf.DUMMYFUNCTION("IF(ISBLANK(B585),,IFERROR(array_constrain(FILTER('Leetcode分类顺序表'!B:J,'Leetcode分类顺序表'!A:A = B585), 1, 10000000),IFERROR(FILTER(Algoexpert.io!B:D,Algoexpert.io!A:A = B585),FILTER('Leetcode List'!B:J,'Leetcode List'!A:A = B585))))"),"")</f>
        <v/>
      </c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>
      <c r="A586" s="22"/>
      <c r="B586" s="20"/>
      <c r="C586" s="20" t="str">
        <f>IFERROR(__xludf.DUMMYFUNCTION("IF(ISBLANK(B586),,IFERROR(array_constrain(FILTER('Leetcode分类顺序表'!B:J,'Leetcode分类顺序表'!A:A = B586), 1, 10000000),IFERROR(FILTER(Algoexpert.io!B:D,Algoexpert.io!A:A = B586),FILTER('Leetcode List'!B:J,'Leetcode List'!A:A = B586))))"),"")</f>
        <v/>
      </c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>
      <c r="A587" s="22"/>
      <c r="B587" s="20"/>
      <c r="C587" s="20" t="str">
        <f>IFERROR(__xludf.DUMMYFUNCTION("IF(ISBLANK(B587),,IFERROR(array_constrain(FILTER('Leetcode分类顺序表'!B:J,'Leetcode分类顺序表'!A:A = B587), 1, 10000000),IFERROR(FILTER(Algoexpert.io!B:D,Algoexpert.io!A:A = B587),FILTER('Leetcode List'!B:J,'Leetcode List'!A:A = B587))))"),"")</f>
        <v/>
      </c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>
      <c r="A588" s="22"/>
      <c r="B588" s="20"/>
      <c r="C588" s="20" t="str">
        <f>IFERROR(__xludf.DUMMYFUNCTION("IF(ISBLANK(B588),,IFERROR(array_constrain(FILTER('Leetcode分类顺序表'!B:J,'Leetcode分类顺序表'!A:A = B588), 1, 10000000),IFERROR(FILTER(Algoexpert.io!B:D,Algoexpert.io!A:A = B588),FILTER('Leetcode List'!B:J,'Leetcode List'!A:A = B588))))"),"")</f>
        <v/>
      </c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>
      <c r="A589" s="22"/>
      <c r="B589" s="20"/>
      <c r="C589" s="20" t="str">
        <f>IFERROR(__xludf.DUMMYFUNCTION("IF(ISBLANK(B589),,IFERROR(array_constrain(FILTER('Leetcode分类顺序表'!B:J,'Leetcode分类顺序表'!A:A = B589), 1, 10000000),IFERROR(FILTER(Algoexpert.io!B:D,Algoexpert.io!A:A = B589),FILTER('Leetcode List'!B:J,'Leetcode List'!A:A = B589))))"),"")</f>
        <v/>
      </c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>
      <c r="A590" s="22"/>
      <c r="B590" s="20"/>
      <c r="C590" s="20" t="str">
        <f>IFERROR(__xludf.DUMMYFUNCTION("IF(ISBLANK(B590),,IFERROR(array_constrain(FILTER('Leetcode分类顺序表'!B:J,'Leetcode分类顺序表'!A:A = B590), 1, 10000000),IFERROR(FILTER(Algoexpert.io!B:D,Algoexpert.io!A:A = B590),FILTER('Leetcode List'!B:J,'Leetcode List'!A:A = B590))))"),"")</f>
        <v/>
      </c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>
      <c r="A591" s="22"/>
      <c r="B591" s="20"/>
      <c r="C591" s="20" t="str">
        <f>IFERROR(__xludf.DUMMYFUNCTION("IF(ISBLANK(B591),,IFERROR(array_constrain(FILTER('Leetcode分类顺序表'!B:J,'Leetcode分类顺序表'!A:A = B591), 1, 10000000),IFERROR(FILTER(Algoexpert.io!B:D,Algoexpert.io!A:A = B591),FILTER('Leetcode List'!B:J,'Leetcode List'!A:A = B591))))"),"")</f>
        <v/>
      </c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>
      <c r="A592" s="22"/>
      <c r="B592" s="20"/>
      <c r="C592" s="20" t="str">
        <f>IFERROR(__xludf.DUMMYFUNCTION("IF(ISBLANK(B592),,IFERROR(array_constrain(FILTER('Leetcode分类顺序表'!B:J,'Leetcode分类顺序表'!A:A = B592), 1, 10000000),IFERROR(FILTER(Algoexpert.io!B:D,Algoexpert.io!A:A = B592),FILTER('Leetcode List'!B:J,'Leetcode List'!A:A = B592))))"),"")</f>
        <v/>
      </c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>
      <c r="A593" s="22"/>
      <c r="B593" s="20"/>
      <c r="C593" s="20" t="str">
        <f>IFERROR(__xludf.DUMMYFUNCTION("IF(ISBLANK(B593),,IFERROR(array_constrain(FILTER('Leetcode分类顺序表'!B:J,'Leetcode分类顺序表'!A:A = B593), 1, 10000000),IFERROR(FILTER(Algoexpert.io!B:D,Algoexpert.io!A:A = B593),FILTER('Leetcode List'!B:J,'Leetcode List'!A:A = B593))))"),"")</f>
        <v/>
      </c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>
      <c r="A594" s="22"/>
      <c r="B594" s="20"/>
      <c r="C594" s="20" t="str">
        <f>IFERROR(__xludf.DUMMYFUNCTION("IF(ISBLANK(B594),,IFERROR(array_constrain(FILTER('Leetcode分类顺序表'!B:J,'Leetcode分类顺序表'!A:A = B594), 1, 10000000),IFERROR(FILTER(Algoexpert.io!B:D,Algoexpert.io!A:A = B594),FILTER('Leetcode List'!B:J,'Leetcode List'!A:A = B594))))"),"")</f>
        <v/>
      </c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>
      <c r="A595" s="22"/>
      <c r="B595" s="20"/>
      <c r="C595" s="20" t="str">
        <f>IFERROR(__xludf.DUMMYFUNCTION("IF(ISBLANK(B595),,IFERROR(array_constrain(FILTER('Leetcode分类顺序表'!B:J,'Leetcode分类顺序表'!A:A = B595), 1, 10000000),IFERROR(FILTER(Algoexpert.io!B:D,Algoexpert.io!A:A = B595),FILTER('Leetcode List'!B:J,'Leetcode List'!A:A = B595))))"),"")</f>
        <v/>
      </c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>
      <c r="A596" s="22"/>
      <c r="B596" s="20"/>
      <c r="C596" s="20" t="str">
        <f>IFERROR(__xludf.DUMMYFUNCTION("IF(ISBLANK(B596),,IFERROR(array_constrain(FILTER('Leetcode分类顺序表'!B:J,'Leetcode分类顺序表'!A:A = B596), 1, 10000000),IFERROR(FILTER(Algoexpert.io!B:D,Algoexpert.io!A:A = B596),FILTER('Leetcode List'!B:J,'Leetcode List'!A:A = B596))))"),"")</f>
        <v/>
      </c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>
      <c r="A597" s="22"/>
      <c r="B597" s="20"/>
      <c r="C597" s="20" t="str">
        <f>IFERROR(__xludf.DUMMYFUNCTION("IF(ISBLANK(B597),,IFERROR(array_constrain(FILTER('Leetcode分类顺序表'!B:J,'Leetcode分类顺序表'!A:A = B597), 1, 10000000),IFERROR(FILTER(Algoexpert.io!B:D,Algoexpert.io!A:A = B597),FILTER('Leetcode List'!B:J,'Leetcode List'!A:A = B597))))"),"")</f>
        <v/>
      </c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>
      <c r="A598" s="22"/>
      <c r="B598" s="20"/>
      <c r="C598" s="20" t="str">
        <f>IFERROR(__xludf.DUMMYFUNCTION("IF(ISBLANK(B598),,IFERROR(array_constrain(FILTER('Leetcode分类顺序表'!B:J,'Leetcode分类顺序表'!A:A = B598), 1, 10000000),IFERROR(FILTER(Algoexpert.io!B:D,Algoexpert.io!A:A = B598),FILTER('Leetcode List'!B:J,'Leetcode List'!A:A = B598))))"),"")</f>
        <v/>
      </c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>
      <c r="A599" s="22"/>
      <c r="B599" s="20"/>
      <c r="C599" s="20" t="str">
        <f>IFERROR(__xludf.DUMMYFUNCTION("IF(ISBLANK(B599),,IFERROR(array_constrain(FILTER('Leetcode分类顺序表'!B:J,'Leetcode分类顺序表'!A:A = B599), 1, 10000000),IFERROR(FILTER(Algoexpert.io!B:D,Algoexpert.io!A:A = B599),FILTER('Leetcode List'!B:J,'Leetcode List'!A:A = B599))))"),"")</f>
        <v/>
      </c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>
      <c r="A600" s="22"/>
      <c r="B600" s="20"/>
      <c r="C600" s="20" t="str">
        <f>IFERROR(__xludf.DUMMYFUNCTION("IF(ISBLANK(B600),,IFERROR(array_constrain(FILTER('Leetcode分类顺序表'!B:J,'Leetcode分类顺序表'!A:A = B600), 1, 10000000),IFERROR(FILTER(Algoexpert.io!B:D,Algoexpert.io!A:A = B600),FILTER('Leetcode List'!B:J,'Leetcode List'!A:A = B600))))"),"")</f>
        <v/>
      </c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>
      <c r="A601" s="22"/>
      <c r="B601" s="20"/>
      <c r="C601" s="20" t="str">
        <f>IFERROR(__xludf.DUMMYFUNCTION("IF(ISBLANK(B601),,IFERROR(array_constrain(FILTER('Leetcode分类顺序表'!B:J,'Leetcode分类顺序表'!A:A = B601), 1, 10000000),IFERROR(FILTER(Algoexpert.io!B:D,Algoexpert.io!A:A = B601),FILTER('Leetcode List'!B:J,'Leetcode List'!A:A = B601))))"),"")</f>
        <v/>
      </c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>
      <c r="A602" s="22"/>
      <c r="B602" s="20"/>
      <c r="C602" s="20" t="str">
        <f>IFERROR(__xludf.DUMMYFUNCTION("IF(ISBLANK(B602),,IFERROR(array_constrain(FILTER('Leetcode分类顺序表'!B:J,'Leetcode分类顺序表'!A:A = B602), 1, 10000000),IFERROR(FILTER(Algoexpert.io!B:D,Algoexpert.io!A:A = B602),FILTER('Leetcode List'!B:J,'Leetcode List'!A:A = B602))))"),"")</f>
        <v/>
      </c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>
      <c r="A603" s="22"/>
      <c r="B603" s="20"/>
      <c r="C603" s="20" t="str">
        <f>IFERROR(__xludf.DUMMYFUNCTION("IF(ISBLANK(B603),,IFERROR(array_constrain(FILTER('Leetcode分类顺序表'!B:J,'Leetcode分类顺序表'!A:A = B603), 1, 10000000),IFERROR(FILTER(Algoexpert.io!B:D,Algoexpert.io!A:A = B603),FILTER('Leetcode List'!B:J,'Leetcode List'!A:A = B603))))"),"")</f>
        <v/>
      </c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>
      <c r="A604" s="22"/>
      <c r="B604" s="20"/>
      <c r="C604" s="20" t="str">
        <f>IFERROR(__xludf.DUMMYFUNCTION("IF(ISBLANK(B604),,IFERROR(array_constrain(FILTER('Leetcode分类顺序表'!B:J,'Leetcode分类顺序表'!A:A = B604), 1, 10000000),IFERROR(FILTER(Algoexpert.io!B:D,Algoexpert.io!A:A = B604),FILTER('Leetcode List'!B:J,'Leetcode List'!A:A = B604))))"),"")</f>
        <v/>
      </c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>
      <c r="A605" s="22"/>
      <c r="B605" s="20"/>
      <c r="C605" s="20" t="str">
        <f>IFERROR(__xludf.DUMMYFUNCTION("IF(ISBLANK(B605),,IFERROR(array_constrain(FILTER('Leetcode分类顺序表'!B:J,'Leetcode分类顺序表'!A:A = B605), 1, 10000000),IFERROR(FILTER(Algoexpert.io!B:D,Algoexpert.io!A:A = B605),FILTER('Leetcode List'!B:J,'Leetcode List'!A:A = B605))))"),"")</f>
        <v/>
      </c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>
      <c r="A606" s="22"/>
      <c r="B606" s="20"/>
      <c r="C606" s="20" t="str">
        <f>IFERROR(__xludf.DUMMYFUNCTION("IF(ISBLANK(B606),,IFERROR(array_constrain(FILTER('Leetcode分类顺序表'!B:J,'Leetcode分类顺序表'!A:A = B606), 1, 10000000),IFERROR(FILTER(Algoexpert.io!B:D,Algoexpert.io!A:A = B606),FILTER('Leetcode List'!B:J,'Leetcode List'!A:A = B606))))"),"")</f>
        <v/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>
      <c r="A607" s="22"/>
      <c r="B607" s="20"/>
      <c r="C607" s="20" t="str">
        <f>IFERROR(__xludf.DUMMYFUNCTION("IF(ISBLANK(B607),,IFERROR(array_constrain(FILTER('Leetcode分类顺序表'!B:J,'Leetcode分类顺序表'!A:A = B607), 1, 10000000),IFERROR(FILTER(Algoexpert.io!B:D,Algoexpert.io!A:A = B607),FILTER('Leetcode List'!B:J,'Leetcode List'!A:A = B607))))"),"")</f>
        <v/>
      </c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>
      <c r="A608" s="22"/>
      <c r="B608" s="20"/>
      <c r="C608" s="20" t="str">
        <f>IFERROR(__xludf.DUMMYFUNCTION("IF(ISBLANK(B608),,IFERROR(array_constrain(FILTER('Leetcode分类顺序表'!B:J,'Leetcode分类顺序表'!A:A = B608), 1, 10000000),IFERROR(FILTER(Algoexpert.io!B:D,Algoexpert.io!A:A = B608),FILTER('Leetcode List'!B:J,'Leetcode List'!A:A = B608))))"),"")</f>
        <v/>
      </c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>
      <c r="A609" s="22"/>
      <c r="B609" s="20"/>
      <c r="C609" s="20" t="str">
        <f>IFERROR(__xludf.DUMMYFUNCTION("IF(ISBLANK(B609),,IFERROR(array_constrain(FILTER('Leetcode分类顺序表'!B:J,'Leetcode分类顺序表'!A:A = B609), 1, 10000000),IFERROR(FILTER(Algoexpert.io!B:D,Algoexpert.io!A:A = B609),FILTER('Leetcode List'!B:J,'Leetcode List'!A:A = B609))))"),"")</f>
        <v/>
      </c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>
      <c r="A610" s="22"/>
      <c r="B610" s="20"/>
      <c r="C610" s="20" t="str">
        <f>IFERROR(__xludf.DUMMYFUNCTION("IF(ISBLANK(B610),,IFERROR(array_constrain(FILTER('Leetcode分类顺序表'!B:J,'Leetcode分类顺序表'!A:A = B610), 1, 10000000),IFERROR(FILTER(Algoexpert.io!B:D,Algoexpert.io!A:A = B610),FILTER('Leetcode List'!B:J,'Leetcode List'!A:A = B610))))"),"")</f>
        <v/>
      </c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>
      <c r="A611" s="22"/>
      <c r="B611" s="20"/>
      <c r="C611" s="20" t="str">
        <f>IFERROR(__xludf.DUMMYFUNCTION("IF(ISBLANK(B611),,IFERROR(array_constrain(FILTER('Leetcode分类顺序表'!B:J,'Leetcode分类顺序表'!A:A = B611), 1, 10000000),IFERROR(FILTER(Algoexpert.io!B:D,Algoexpert.io!A:A = B611),FILTER('Leetcode List'!B:J,'Leetcode List'!A:A = B611))))"),"")</f>
        <v/>
      </c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>
      <c r="A612" s="22"/>
      <c r="B612" s="20"/>
      <c r="C612" s="20" t="str">
        <f>IFERROR(__xludf.DUMMYFUNCTION("IF(ISBLANK(B612),,IFERROR(array_constrain(FILTER('Leetcode分类顺序表'!B:J,'Leetcode分类顺序表'!A:A = B612), 1, 10000000),IFERROR(FILTER(Algoexpert.io!B:D,Algoexpert.io!A:A = B612),FILTER('Leetcode List'!B:J,'Leetcode List'!A:A = B612))))"),"")</f>
        <v/>
      </c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>
      <c r="A613" s="22"/>
      <c r="B613" s="20"/>
      <c r="C613" s="20" t="str">
        <f>IFERROR(__xludf.DUMMYFUNCTION("IF(ISBLANK(B613),,IFERROR(array_constrain(FILTER('Leetcode分类顺序表'!B:J,'Leetcode分类顺序表'!A:A = B613), 1, 10000000),IFERROR(FILTER(Algoexpert.io!B:D,Algoexpert.io!A:A = B613),FILTER('Leetcode List'!B:J,'Leetcode List'!A:A = B613))))"),"")</f>
        <v/>
      </c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>
      <c r="A614" s="22"/>
      <c r="B614" s="20"/>
      <c r="C614" s="20" t="str">
        <f>IFERROR(__xludf.DUMMYFUNCTION("IF(ISBLANK(B614),,IFERROR(array_constrain(FILTER('Leetcode分类顺序表'!B:J,'Leetcode分类顺序表'!A:A = B614), 1, 10000000),IFERROR(FILTER(Algoexpert.io!B:D,Algoexpert.io!A:A = B614),FILTER('Leetcode List'!B:J,'Leetcode List'!A:A = B614))))"),"")</f>
        <v/>
      </c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>
      <c r="A615" s="22"/>
      <c r="B615" s="20"/>
      <c r="C615" s="20" t="str">
        <f>IFERROR(__xludf.DUMMYFUNCTION("IF(ISBLANK(B615),,IFERROR(array_constrain(FILTER('Leetcode分类顺序表'!B:J,'Leetcode分类顺序表'!A:A = B615), 1, 10000000),IFERROR(FILTER(Algoexpert.io!B:D,Algoexpert.io!A:A = B615),FILTER('Leetcode List'!B:J,'Leetcode List'!A:A = B615))))"),"")</f>
        <v/>
      </c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>
      <c r="A616" s="22"/>
      <c r="B616" s="20"/>
      <c r="C616" s="20" t="str">
        <f>IFERROR(__xludf.DUMMYFUNCTION("IF(ISBLANK(B616),,IFERROR(array_constrain(FILTER('Leetcode分类顺序表'!B:J,'Leetcode分类顺序表'!A:A = B616), 1, 10000000),IFERROR(FILTER(Algoexpert.io!B:D,Algoexpert.io!A:A = B616),FILTER('Leetcode List'!B:J,'Leetcode List'!A:A = B616))))"),"")</f>
        <v/>
      </c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>
      <c r="A617" s="22"/>
      <c r="B617" s="20"/>
      <c r="C617" s="20" t="str">
        <f>IFERROR(__xludf.DUMMYFUNCTION("IF(ISBLANK(B617),,IFERROR(array_constrain(FILTER('Leetcode分类顺序表'!B:J,'Leetcode分类顺序表'!A:A = B617), 1, 10000000),IFERROR(FILTER(Algoexpert.io!B:D,Algoexpert.io!A:A = B617),FILTER('Leetcode List'!B:J,'Leetcode List'!A:A = B617))))"),"")</f>
        <v/>
      </c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>
      <c r="A618" s="22"/>
      <c r="B618" s="20"/>
      <c r="C618" s="20" t="str">
        <f>IFERROR(__xludf.DUMMYFUNCTION("IF(ISBLANK(B618),,IFERROR(array_constrain(FILTER('Leetcode分类顺序表'!B:J,'Leetcode分类顺序表'!A:A = B618), 1, 10000000),IFERROR(FILTER(Algoexpert.io!B:D,Algoexpert.io!A:A = B618),FILTER('Leetcode List'!B:J,'Leetcode List'!A:A = B618))))"),"")</f>
        <v/>
      </c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>
      <c r="A619" s="22"/>
      <c r="B619" s="20"/>
      <c r="C619" s="20" t="str">
        <f>IFERROR(__xludf.DUMMYFUNCTION("IF(ISBLANK(B619),,IFERROR(array_constrain(FILTER('Leetcode分类顺序表'!B:J,'Leetcode分类顺序表'!A:A = B619), 1, 10000000),IFERROR(FILTER(Algoexpert.io!B:D,Algoexpert.io!A:A = B619),FILTER('Leetcode List'!B:J,'Leetcode List'!A:A = B619))))"),"")</f>
        <v/>
      </c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>
      <c r="A620" s="22"/>
      <c r="B620" s="20"/>
      <c r="C620" s="20" t="str">
        <f>IFERROR(__xludf.DUMMYFUNCTION("IF(ISBLANK(B620),,IFERROR(array_constrain(FILTER('Leetcode分类顺序表'!B:J,'Leetcode分类顺序表'!A:A = B620), 1, 10000000),IFERROR(FILTER(Algoexpert.io!B:D,Algoexpert.io!A:A = B620),FILTER('Leetcode List'!B:J,'Leetcode List'!A:A = B620))))"),"")</f>
        <v/>
      </c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>
      <c r="A621" s="22"/>
      <c r="B621" s="20"/>
      <c r="C621" s="20" t="str">
        <f>IFERROR(__xludf.DUMMYFUNCTION("IF(ISBLANK(B621),,IFERROR(array_constrain(FILTER('Leetcode分类顺序表'!B:J,'Leetcode分类顺序表'!A:A = B621), 1, 10000000),IFERROR(FILTER(Algoexpert.io!B:D,Algoexpert.io!A:A = B621),FILTER('Leetcode List'!B:J,'Leetcode List'!A:A = B621))))"),"")</f>
        <v/>
      </c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>
      <c r="A622" s="22"/>
      <c r="B622" s="20"/>
      <c r="C622" s="20" t="str">
        <f>IFERROR(__xludf.DUMMYFUNCTION("IF(ISBLANK(B622),,IFERROR(array_constrain(FILTER('Leetcode分类顺序表'!B:J,'Leetcode分类顺序表'!A:A = B622), 1, 10000000),IFERROR(FILTER(Algoexpert.io!B:D,Algoexpert.io!A:A = B622),FILTER('Leetcode List'!B:J,'Leetcode List'!A:A = B622))))"),"")</f>
        <v/>
      </c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>
      <c r="A623" s="22"/>
      <c r="B623" s="20"/>
      <c r="C623" s="20" t="str">
        <f>IFERROR(__xludf.DUMMYFUNCTION("IF(ISBLANK(B623),,IFERROR(array_constrain(FILTER('Leetcode分类顺序表'!B:J,'Leetcode分类顺序表'!A:A = B623), 1, 10000000),IFERROR(FILTER(Algoexpert.io!B:D,Algoexpert.io!A:A = B623),FILTER('Leetcode List'!B:J,'Leetcode List'!A:A = B623))))"),"")</f>
        <v/>
      </c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>
      <c r="A624" s="22"/>
      <c r="B624" s="20"/>
      <c r="C624" s="20" t="str">
        <f>IFERROR(__xludf.DUMMYFUNCTION("IF(ISBLANK(B624),,IFERROR(array_constrain(FILTER('Leetcode分类顺序表'!B:J,'Leetcode分类顺序表'!A:A = B624), 1, 10000000),IFERROR(FILTER(Algoexpert.io!B:D,Algoexpert.io!A:A = B624),FILTER('Leetcode List'!B:J,'Leetcode List'!A:A = B624))))"),"")</f>
        <v/>
      </c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>
      <c r="A625" s="22"/>
      <c r="B625" s="20"/>
      <c r="C625" s="20" t="str">
        <f>IFERROR(__xludf.DUMMYFUNCTION("IF(ISBLANK(B625),,IFERROR(array_constrain(FILTER('Leetcode分类顺序表'!B:J,'Leetcode分类顺序表'!A:A = B625), 1, 10000000),IFERROR(FILTER(Algoexpert.io!B:D,Algoexpert.io!A:A = B625),FILTER('Leetcode List'!B:J,'Leetcode List'!A:A = B625))))"),"")</f>
        <v/>
      </c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>
      <c r="A626" s="22"/>
      <c r="B626" s="20"/>
      <c r="C626" s="20" t="str">
        <f>IFERROR(__xludf.DUMMYFUNCTION("IF(ISBLANK(B626),,IFERROR(array_constrain(FILTER('Leetcode分类顺序表'!B:J,'Leetcode分类顺序表'!A:A = B626), 1, 10000000),IFERROR(FILTER(Algoexpert.io!B:D,Algoexpert.io!A:A = B626),FILTER('Leetcode List'!B:J,'Leetcode List'!A:A = B626))))"),"")</f>
        <v/>
      </c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>
      <c r="A627" s="22"/>
      <c r="B627" s="20"/>
      <c r="C627" s="20" t="str">
        <f>IFERROR(__xludf.DUMMYFUNCTION("IF(ISBLANK(B627),,IFERROR(array_constrain(FILTER('Leetcode分类顺序表'!B:J,'Leetcode分类顺序表'!A:A = B627), 1, 10000000),IFERROR(FILTER(Algoexpert.io!B:D,Algoexpert.io!A:A = B627),FILTER('Leetcode List'!B:J,'Leetcode List'!A:A = B627))))"),"")</f>
        <v/>
      </c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>
      <c r="A628" s="22"/>
      <c r="B628" s="20"/>
      <c r="C628" s="20" t="str">
        <f>IFERROR(__xludf.DUMMYFUNCTION("IF(ISBLANK(B628),,IFERROR(array_constrain(FILTER('Leetcode分类顺序表'!B:J,'Leetcode分类顺序表'!A:A = B628), 1, 10000000),IFERROR(FILTER(Algoexpert.io!B:D,Algoexpert.io!A:A = B628),FILTER('Leetcode List'!B:J,'Leetcode List'!A:A = B628))))"),"")</f>
        <v/>
      </c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>
      <c r="A629" s="22"/>
      <c r="B629" s="20"/>
      <c r="C629" s="20" t="str">
        <f>IFERROR(__xludf.DUMMYFUNCTION("IF(ISBLANK(B629),,IFERROR(array_constrain(FILTER('Leetcode分类顺序表'!B:J,'Leetcode分类顺序表'!A:A = B629), 1, 10000000),IFERROR(FILTER(Algoexpert.io!B:D,Algoexpert.io!A:A = B629),FILTER('Leetcode List'!B:J,'Leetcode List'!A:A = B629))))"),"")</f>
        <v/>
      </c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>
      <c r="A630" s="22"/>
      <c r="B630" s="20"/>
      <c r="C630" s="20" t="str">
        <f>IFERROR(__xludf.DUMMYFUNCTION("IF(ISBLANK(B630),,IFERROR(array_constrain(FILTER('Leetcode分类顺序表'!B:J,'Leetcode分类顺序表'!A:A = B630), 1, 10000000),IFERROR(FILTER(Algoexpert.io!B:D,Algoexpert.io!A:A = B630),FILTER('Leetcode List'!B:J,'Leetcode List'!A:A = B630))))"),"")</f>
        <v/>
      </c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>
      <c r="A631" s="22"/>
      <c r="B631" s="20"/>
      <c r="C631" s="20" t="str">
        <f>IFERROR(__xludf.DUMMYFUNCTION("IF(ISBLANK(B631),,IFERROR(array_constrain(FILTER('Leetcode分类顺序表'!B:J,'Leetcode分类顺序表'!A:A = B631), 1, 10000000),IFERROR(FILTER(Algoexpert.io!B:D,Algoexpert.io!A:A = B631),FILTER('Leetcode List'!B:J,'Leetcode List'!A:A = B631))))"),"")</f>
        <v/>
      </c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>
      <c r="A632" s="22"/>
      <c r="B632" s="20"/>
      <c r="C632" s="20" t="str">
        <f>IFERROR(__xludf.DUMMYFUNCTION("IF(ISBLANK(B632),,IFERROR(array_constrain(FILTER('Leetcode分类顺序表'!B:J,'Leetcode分类顺序表'!A:A = B632), 1, 10000000),IFERROR(FILTER(Algoexpert.io!B:D,Algoexpert.io!A:A = B632),FILTER('Leetcode List'!B:J,'Leetcode List'!A:A = B632))))"),"")</f>
        <v/>
      </c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>
      <c r="A633" s="22"/>
      <c r="B633" s="20"/>
      <c r="C633" s="20" t="str">
        <f>IFERROR(__xludf.DUMMYFUNCTION("IF(ISBLANK(B633),,IFERROR(array_constrain(FILTER('Leetcode分类顺序表'!B:J,'Leetcode分类顺序表'!A:A = B633), 1, 10000000),IFERROR(FILTER(Algoexpert.io!B:D,Algoexpert.io!A:A = B633),FILTER('Leetcode List'!B:J,'Leetcode List'!A:A = B633))))"),"")</f>
        <v/>
      </c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>
      <c r="A634" s="22"/>
      <c r="B634" s="20"/>
      <c r="C634" s="20" t="str">
        <f>IFERROR(__xludf.DUMMYFUNCTION("IF(ISBLANK(B634),,IFERROR(array_constrain(FILTER('Leetcode分类顺序表'!B:J,'Leetcode分类顺序表'!A:A = B634), 1, 10000000),IFERROR(FILTER(Algoexpert.io!B:D,Algoexpert.io!A:A = B634),FILTER('Leetcode List'!B:J,'Leetcode List'!A:A = B634))))"),"")</f>
        <v/>
      </c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>
      <c r="A635" s="22"/>
      <c r="B635" s="20"/>
      <c r="C635" s="20" t="str">
        <f>IFERROR(__xludf.DUMMYFUNCTION("IF(ISBLANK(B635),,IFERROR(array_constrain(FILTER('Leetcode分类顺序表'!B:J,'Leetcode分类顺序表'!A:A = B635), 1, 10000000),IFERROR(FILTER(Algoexpert.io!B:D,Algoexpert.io!A:A = B635),FILTER('Leetcode List'!B:J,'Leetcode List'!A:A = B635))))"),"")</f>
        <v/>
      </c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>
      <c r="A636" s="22"/>
      <c r="B636" s="20"/>
      <c r="C636" s="20" t="str">
        <f>IFERROR(__xludf.DUMMYFUNCTION("IF(ISBLANK(B636),,IFERROR(array_constrain(FILTER('Leetcode分类顺序表'!B:J,'Leetcode分类顺序表'!A:A = B636), 1, 10000000),IFERROR(FILTER(Algoexpert.io!B:D,Algoexpert.io!A:A = B636),FILTER('Leetcode List'!B:J,'Leetcode List'!A:A = B636))))"),"")</f>
        <v/>
      </c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>
      <c r="A637" s="22"/>
      <c r="B637" s="20"/>
      <c r="C637" s="20" t="str">
        <f>IFERROR(__xludf.DUMMYFUNCTION("IF(ISBLANK(B637),,IFERROR(array_constrain(FILTER('Leetcode分类顺序表'!B:J,'Leetcode分类顺序表'!A:A = B637), 1, 10000000),IFERROR(FILTER(Algoexpert.io!B:D,Algoexpert.io!A:A = B637),FILTER('Leetcode List'!B:J,'Leetcode List'!A:A = B637))))"),"")</f>
        <v/>
      </c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>
      <c r="A638" s="22"/>
      <c r="B638" s="20"/>
      <c r="C638" s="20" t="str">
        <f>IFERROR(__xludf.DUMMYFUNCTION("IF(ISBLANK(B638),,IFERROR(array_constrain(FILTER('Leetcode分类顺序表'!B:J,'Leetcode分类顺序表'!A:A = B638), 1, 10000000),IFERROR(FILTER(Algoexpert.io!B:D,Algoexpert.io!A:A = B638),FILTER('Leetcode List'!B:J,'Leetcode List'!A:A = B638))))"),"")</f>
        <v/>
      </c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>
      <c r="A639" s="22"/>
      <c r="B639" s="20"/>
      <c r="C639" s="20" t="str">
        <f>IFERROR(__xludf.DUMMYFUNCTION("IF(ISBLANK(B639),,IFERROR(array_constrain(FILTER('Leetcode分类顺序表'!B:J,'Leetcode分类顺序表'!A:A = B639), 1, 10000000),IFERROR(FILTER(Algoexpert.io!B:D,Algoexpert.io!A:A = B639),FILTER('Leetcode List'!B:J,'Leetcode List'!A:A = B639))))"),"")</f>
        <v/>
      </c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>
      <c r="A640" s="22"/>
      <c r="B640" s="20"/>
      <c r="C640" s="20" t="str">
        <f>IFERROR(__xludf.DUMMYFUNCTION("IF(ISBLANK(B640),,IFERROR(array_constrain(FILTER('Leetcode分类顺序表'!B:J,'Leetcode分类顺序表'!A:A = B640), 1, 10000000),IFERROR(FILTER(Algoexpert.io!B:D,Algoexpert.io!A:A = B640),FILTER('Leetcode List'!B:J,'Leetcode List'!A:A = B640))))"),"")</f>
        <v/>
      </c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>
      <c r="A641" s="22"/>
      <c r="B641" s="20"/>
      <c r="C641" s="20" t="str">
        <f>IFERROR(__xludf.DUMMYFUNCTION("IF(ISBLANK(B641),,IFERROR(array_constrain(FILTER('Leetcode分类顺序表'!B:J,'Leetcode分类顺序表'!A:A = B641), 1, 10000000),IFERROR(FILTER(Algoexpert.io!B:D,Algoexpert.io!A:A = B641),FILTER('Leetcode List'!B:J,'Leetcode List'!A:A = B641))))"),"")</f>
        <v/>
      </c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>
      <c r="A642" s="22"/>
      <c r="B642" s="20"/>
      <c r="C642" s="20" t="str">
        <f>IFERROR(__xludf.DUMMYFUNCTION("IF(ISBLANK(B642),,IFERROR(array_constrain(FILTER('Leetcode分类顺序表'!B:J,'Leetcode分类顺序表'!A:A = B642), 1, 10000000),IFERROR(FILTER(Algoexpert.io!B:D,Algoexpert.io!A:A = B642),FILTER('Leetcode List'!B:J,'Leetcode List'!A:A = B642))))"),"")</f>
        <v/>
      </c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>
      <c r="A643" s="22"/>
      <c r="B643" s="20"/>
      <c r="C643" s="20" t="str">
        <f>IFERROR(__xludf.DUMMYFUNCTION("IF(ISBLANK(B643),,IFERROR(array_constrain(FILTER('Leetcode分类顺序表'!B:J,'Leetcode分类顺序表'!A:A = B643), 1, 10000000),IFERROR(FILTER(Algoexpert.io!B:D,Algoexpert.io!A:A = B643),FILTER('Leetcode List'!B:J,'Leetcode List'!A:A = B643))))"),"")</f>
        <v/>
      </c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>
      <c r="A644" s="22"/>
      <c r="B644" s="20"/>
      <c r="C644" s="20" t="str">
        <f>IFERROR(__xludf.DUMMYFUNCTION("IF(ISBLANK(B644),,IFERROR(array_constrain(FILTER('Leetcode分类顺序表'!B:J,'Leetcode分类顺序表'!A:A = B644), 1, 10000000),IFERROR(FILTER(Algoexpert.io!B:D,Algoexpert.io!A:A = B644),FILTER('Leetcode List'!B:J,'Leetcode List'!A:A = B644))))"),"")</f>
        <v/>
      </c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>
      <c r="A645" s="22"/>
      <c r="B645" s="20"/>
      <c r="C645" s="20" t="str">
        <f>IFERROR(__xludf.DUMMYFUNCTION("IF(ISBLANK(B645),,IFERROR(array_constrain(FILTER('Leetcode分类顺序表'!B:J,'Leetcode分类顺序表'!A:A = B645), 1, 10000000),IFERROR(FILTER(Algoexpert.io!B:D,Algoexpert.io!A:A = B645),FILTER('Leetcode List'!B:J,'Leetcode List'!A:A = B645))))"),"")</f>
        <v/>
      </c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>
      <c r="A646" s="22"/>
      <c r="B646" s="20"/>
      <c r="C646" s="20" t="str">
        <f>IFERROR(__xludf.DUMMYFUNCTION("IF(ISBLANK(B646),,IFERROR(array_constrain(FILTER('Leetcode分类顺序表'!B:J,'Leetcode分类顺序表'!A:A = B646), 1, 10000000),IFERROR(FILTER(Algoexpert.io!B:D,Algoexpert.io!A:A = B646),FILTER('Leetcode List'!B:J,'Leetcode List'!A:A = B646))))"),"")</f>
        <v/>
      </c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>
      <c r="A647" s="22"/>
      <c r="B647" s="20"/>
      <c r="C647" s="20" t="str">
        <f>IFERROR(__xludf.DUMMYFUNCTION("IF(ISBLANK(B647),,IFERROR(array_constrain(FILTER('Leetcode分类顺序表'!B:J,'Leetcode分类顺序表'!A:A = B647), 1, 10000000),IFERROR(FILTER(Algoexpert.io!B:D,Algoexpert.io!A:A = B647),FILTER('Leetcode List'!B:J,'Leetcode List'!A:A = B647))))"),"")</f>
        <v/>
      </c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>
      <c r="A648" s="22"/>
      <c r="B648" s="20"/>
      <c r="C648" s="20" t="str">
        <f>IFERROR(__xludf.DUMMYFUNCTION("IF(ISBLANK(B648),,IFERROR(array_constrain(FILTER('Leetcode分类顺序表'!B:J,'Leetcode分类顺序表'!A:A = B648), 1, 10000000),IFERROR(FILTER(Algoexpert.io!B:D,Algoexpert.io!A:A = B648),FILTER('Leetcode List'!B:J,'Leetcode List'!A:A = B648))))"),"")</f>
        <v/>
      </c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>
      <c r="A649" s="22"/>
      <c r="B649" s="20"/>
      <c r="C649" s="20" t="str">
        <f>IFERROR(__xludf.DUMMYFUNCTION("IF(ISBLANK(B649),,IFERROR(array_constrain(FILTER('Leetcode分类顺序表'!B:J,'Leetcode分类顺序表'!A:A = B649), 1, 10000000),IFERROR(FILTER(Algoexpert.io!B:D,Algoexpert.io!A:A = B649),FILTER('Leetcode List'!B:J,'Leetcode List'!A:A = B649))))"),"")</f>
        <v/>
      </c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>
      <c r="A650" s="22"/>
      <c r="B650" s="20"/>
      <c r="C650" s="20" t="str">
        <f>IFERROR(__xludf.DUMMYFUNCTION("IF(ISBLANK(B650),,IFERROR(array_constrain(FILTER('Leetcode分类顺序表'!B:J,'Leetcode分类顺序表'!A:A = B650), 1, 10000000),IFERROR(FILTER(Algoexpert.io!B:D,Algoexpert.io!A:A = B650),FILTER('Leetcode List'!B:J,'Leetcode List'!A:A = B650))))"),"")</f>
        <v/>
      </c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>
      <c r="A651" s="22"/>
      <c r="B651" s="20"/>
      <c r="C651" s="20" t="str">
        <f>IFERROR(__xludf.DUMMYFUNCTION("IF(ISBLANK(B651),,IFERROR(array_constrain(FILTER('Leetcode分类顺序表'!B:J,'Leetcode分类顺序表'!A:A = B651), 1, 10000000),IFERROR(FILTER(Algoexpert.io!B:D,Algoexpert.io!A:A = B651),FILTER('Leetcode List'!B:J,'Leetcode List'!A:A = B651))))"),"")</f>
        <v/>
      </c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>
      <c r="A652" s="22"/>
      <c r="B652" s="20"/>
      <c r="C652" s="20" t="str">
        <f>IFERROR(__xludf.DUMMYFUNCTION("IF(ISBLANK(B652),,IFERROR(array_constrain(FILTER('Leetcode分类顺序表'!B:J,'Leetcode分类顺序表'!A:A = B652), 1, 10000000),IFERROR(FILTER(Algoexpert.io!B:D,Algoexpert.io!A:A = B652),FILTER('Leetcode List'!B:J,'Leetcode List'!A:A = B652))))"),"")</f>
        <v/>
      </c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>
      <c r="A653" s="22"/>
      <c r="B653" s="20"/>
      <c r="C653" s="20" t="str">
        <f>IFERROR(__xludf.DUMMYFUNCTION("IF(ISBLANK(B653),,IFERROR(array_constrain(FILTER('Leetcode分类顺序表'!B:J,'Leetcode分类顺序表'!A:A = B653), 1, 10000000),IFERROR(FILTER(Algoexpert.io!B:D,Algoexpert.io!A:A = B653),FILTER('Leetcode List'!B:J,'Leetcode List'!A:A = B653))))"),"")</f>
        <v/>
      </c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>
      <c r="A654" s="22"/>
      <c r="B654" s="20"/>
      <c r="C654" s="20" t="str">
        <f>IFERROR(__xludf.DUMMYFUNCTION("IF(ISBLANK(B654),,IFERROR(array_constrain(FILTER('Leetcode分类顺序表'!B:J,'Leetcode分类顺序表'!A:A = B654), 1, 10000000),IFERROR(FILTER(Algoexpert.io!B:D,Algoexpert.io!A:A = B654),FILTER('Leetcode List'!B:J,'Leetcode List'!A:A = B654))))"),"")</f>
        <v/>
      </c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>
      <c r="A655" s="22"/>
      <c r="B655" s="20"/>
      <c r="C655" s="20" t="str">
        <f>IFERROR(__xludf.DUMMYFUNCTION("IF(ISBLANK(B655),,IFERROR(array_constrain(FILTER('Leetcode分类顺序表'!B:J,'Leetcode分类顺序表'!A:A = B655), 1, 10000000),IFERROR(FILTER(Algoexpert.io!B:D,Algoexpert.io!A:A = B655),FILTER('Leetcode List'!B:J,'Leetcode List'!A:A = B655))))"),"")</f>
        <v/>
      </c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>
      <c r="A656" s="22"/>
      <c r="B656" s="20"/>
      <c r="C656" s="20" t="str">
        <f>IFERROR(__xludf.DUMMYFUNCTION("IF(ISBLANK(B656),,IFERROR(array_constrain(FILTER('Leetcode分类顺序表'!B:J,'Leetcode分类顺序表'!A:A = B656), 1, 10000000),IFERROR(FILTER(Algoexpert.io!B:D,Algoexpert.io!A:A = B656),FILTER('Leetcode List'!B:J,'Leetcode List'!A:A = B656))))"),"")</f>
        <v/>
      </c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>
      <c r="A657" s="22"/>
      <c r="B657" s="20"/>
      <c r="C657" s="20" t="str">
        <f>IFERROR(__xludf.DUMMYFUNCTION("IF(ISBLANK(B657),,IFERROR(array_constrain(FILTER('Leetcode分类顺序表'!B:J,'Leetcode分类顺序表'!A:A = B657), 1, 10000000),IFERROR(FILTER(Algoexpert.io!B:D,Algoexpert.io!A:A = B657),FILTER('Leetcode List'!B:J,'Leetcode List'!A:A = B657))))"),"")</f>
        <v/>
      </c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>
      <c r="A658" s="22"/>
      <c r="B658" s="20"/>
      <c r="C658" s="20" t="str">
        <f>IFERROR(__xludf.DUMMYFUNCTION("IF(ISBLANK(B658),,IFERROR(array_constrain(FILTER('Leetcode分类顺序表'!B:J,'Leetcode分类顺序表'!A:A = B658), 1, 10000000),IFERROR(FILTER(Algoexpert.io!B:D,Algoexpert.io!A:A = B658),FILTER('Leetcode List'!B:J,'Leetcode List'!A:A = B658))))"),"")</f>
        <v/>
      </c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>
      <c r="A659" s="22"/>
      <c r="B659" s="20"/>
      <c r="C659" s="20" t="str">
        <f>IFERROR(__xludf.DUMMYFUNCTION("IF(ISBLANK(B659),,IFERROR(array_constrain(FILTER('Leetcode分类顺序表'!B:J,'Leetcode分类顺序表'!A:A = B659), 1, 10000000),IFERROR(FILTER(Algoexpert.io!B:D,Algoexpert.io!A:A = B659),FILTER('Leetcode List'!B:J,'Leetcode List'!A:A = B659))))"),"")</f>
        <v/>
      </c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>
      <c r="A660" s="22"/>
      <c r="B660" s="20"/>
      <c r="C660" s="20" t="str">
        <f>IFERROR(__xludf.DUMMYFUNCTION("IF(ISBLANK(B660),,IFERROR(array_constrain(FILTER('Leetcode分类顺序表'!B:J,'Leetcode分类顺序表'!A:A = B660), 1, 10000000),IFERROR(FILTER(Algoexpert.io!B:D,Algoexpert.io!A:A = B660),FILTER('Leetcode List'!B:J,'Leetcode List'!A:A = B660))))"),"")</f>
        <v/>
      </c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>
      <c r="A661" s="22"/>
      <c r="B661" s="20"/>
      <c r="C661" s="20" t="str">
        <f>IFERROR(__xludf.DUMMYFUNCTION("IF(ISBLANK(B661),,IFERROR(array_constrain(FILTER('Leetcode分类顺序表'!B:J,'Leetcode分类顺序表'!A:A = B661), 1, 10000000),IFERROR(FILTER(Algoexpert.io!B:D,Algoexpert.io!A:A = B661),FILTER('Leetcode List'!B:J,'Leetcode List'!A:A = B661))))"),"")</f>
        <v/>
      </c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>
      <c r="A662" s="22"/>
      <c r="B662" s="20"/>
      <c r="C662" s="20" t="str">
        <f>IFERROR(__xludf.DUMMYFUNCTION("IF(ISBLANK(B662),,IFERROR(array_constrain(FILTER('Leetcode分类顺序表'!B:J,'Leetcode分类顺序表'!A:A = B662), 1, 10000000),IFERROR(FILTER(Algoexpert.io!B:D,Algoexpert.io!A:A = B662),FILTER('Leetcode List'!B:J,'Leetcode List'!A:A = B662))))"),"")</f>
        <v/>
      </c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>
      <c r="A663" s="22"/>
      <c r="B663" s="20"/>
      <c r="C663" s="20" t="str">
        <f>IFERROR(__xludf.DUMMYFUNCTION("IF(ISBLANK(B663),,IFERROR(array_constrain(FILTER('Leetcode分类顺序表'!B:J,'Leetcode分类顺序表'!A:A = B663), 1, 10000000),IFERROR(FILTER(Algoexpert.io!B:D,Algoexpert.io!A:A = B663),FILTER('Leetcode List'!B:J,'Leetcode List'!A:A = B663))))"),"")</f>
        <v/>
      </c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>
      <c r="A664" s="22"/>
      <c r="B664" s="20"/>
      <c r="C664" s="20" t="str">
        <f>IFERROR(__xludf.DUMMYFUNCTION("IF(ISBLANK(B664),,IFERROR(array_constrain(FILTER('Leetcode分类顺序表'!B:J,'Leetcode分类顺序表'!A:A = B664), 1, 10000000),IFERROR(FILTER(Algoexpert.io!B:D,Algoexpert.io!A:A = B664),FILTER('Leetcode List'!B:J,'Leetcode List'!A:A = B664))))"),"")</f>
        <v/>
      </c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>
      <c r="A665" s="22"/>
      <c r="B665" s="20"/>
      <c r="C665" s="20" t="str">
        <f>IFERROR(__xludf.DUMMYFUNCTION("IF(ISBLANK(B665),,IFERROR(array_constrain(FILTER('Leetcode分类顺序表'!B:J,'Leetcode分类顺序表'!A:A = B665), 1, 10000000),IFERROR(FILTER(Algoexpert.io!B:D,Algoexpert.io!A:A = B665),FILTER('Leetcode List'!B:J,'Leetcode List'!A:A = B665))))"),"")</f>
        <v/>
      </c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>
      <c r="A666" s="22"/>
      <c r="B666" s="20"/>
      <c r="C666" s="20" t="str">
        <f>IFERROR(__xludf.DUMMYFUNCTION("IF(ISBLANK(B666),,IFERROR(array_constrain(FILTER('Leetcode分类顺序表'!B:J,'Leetcode分类顺序表'!A:A = B666), 1, 10000000),IFERROR(FILTER(Algoexpert.io!B:D,Algoexpert.io!A:A = B666),FILTER('Leetcode List'!B:J,'Leetcode List'!A:A = B666))))"),"")</f>
        <v/>
      </c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>
      <c r="A667" s="22"/>
      <c r="B667" s="20"/>
      <c r="C667" s="20" t="str">
        <f>IFERROR(__xludf.DUMMYFUNCTION("IF(ISBLANK(B667),,IFERROR(array_constrain(FILTER('Leetcode分类顺序表'!B:J,'Leetcode分类顺序表'!A:A = B667), 1, 10000000),IFERROR(FILTER(Algoexpert.io!B:D,Algoexpert.io!A:A = B667),FILTER('Leetcode List'!B:J,'Leetcode List'!A:A = B667))))"),"")</f>
        <v/>
      </c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>
      <c r="A668" s="22"/>
      <c r="B668" s="20"/>
      <c r="C668" s="20" t="str">
        <f>IFERROR(__xludf.DUMMYFUNCTION("IF(ISBLANK(B668),,IFERROR(array_constrain(FILTER('Leetcode分类顺序表'!B:J,'Leetcode分类顺序表'!A:A = B668), 1, 10000000),IFERROR(FILTER(Algoexpert.io!B:D,Algoexpert.io!A:A = B668),FILTER('Leetcode List'!B:J,'Leetcode List'!A:A = B668))))"),"")</f>
        <v/>
      </c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>
      <c r="A669" s="22"/>
      <c r="B669" s="20"/>
      <c r="C669" s="20" t="str">
        <f>IFERROR(__xludf.DUMMYFUNCTION("IF(ISBLANK(B669),,IFERROR(array_constrain(FILTER('Leetcode分类顺序表'!B:J,'Leetcode分类顺序表'!A:A = B669), 1, 10000000),IFERROR(FILTER(Algoexpert.io!B:D,Algoexpert.io!A:A = B669),FILTER('Leetcode List'!B:J,'Leetcode List'!A:A = B669))))"),"")</f>
        <v/>
      </c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>
      <c r="A670" s="22"/>
      <c r="B670" s="20"/>
      <c r="C670" s="20" t="str">
        <f>IFERROR(__xludf.DUMMYFUNCTION("IF(ISBLANK(B670),,IFERROR(array_constrain(FILTER('Leetcode分类顺序表'!B:J,'Leetcode分类顺序表'!A:A = B670), 1, 10000000),IFERROR(FILTER(Algoexpert.io!B:D,Algoexpert.io!A:A = B670),FILTER('Leetcode List'!B:J,'Leetcode List'!A:A = B670))))"),"")</f>
        <v/>
      </c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>
      <c r="A671" s="22"/>
      <c r="B671" s="20"/>
      <c r="C671" s="20" t="str">
        <f>IFERROR(__xludf.DUMMYFUNCTION("IF(ISBLANK(B671),,IFERROR(array_constrain(FILTER('Leetcode分类顺序表'!B:J,'Leetcode分类顺序表'!A:A = B671), 1, 10000000),IFERROR(FILTER(Algoexpert.io!B:D,Algoexpert.io!A:A = B671),FILTER('Leetcode List'!B:J,'Leetcode List'!A:A = B671))))"),"")</f>
        <v/>
      </c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>
      <c r="A672" s="22"/>
      <c r="B672" s="20"/>
      <c r="C672" s="20" t="str">
        <f>IFERROR(__xludf.DUMMYFUNCTION("IF(ISBLANK(B672),,IFERROR(array_constrain(FILTER('Leetcode分类顺序表'!B:J,'Leetcode分类顺序表'!A:A = B672), 1, 10000000),IFERROR(FILTER(Algoexpert.io!B:D,Algoexpert.io!A:A = B672),FILTER('Leetcode List'!B:J,'Leetcode List'!A:A = B672))))"),"")</f>
        <v/>
      </c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>
      <c r="A673" s="22"/>
      <c r="B673" s="20"/>
      <c r="C673" s="20" t="str">
        <f>IFERROR(__xludf.DUMMYFUNCTION("IF(ISBLANK(B673),,IFERROR(array_constrain(FILTER('Leetcode分类顺序表'!B:J,'Leetcode分类顺序表'!A:A = B673), 1, 10000000),IFERROR(FILTER(Algoexpert.io!B:D,Algoexpert.io!A:A = B673),FILTER('Leetcode List'!B:J,'Leetcode List'!A:A = B673))))"),"")</f>
        <v/>
      </c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>
      <c r="A674" s="22"/>
      <c r="B674" s="20"/>
      <c r="C674" s="20" t="str">
        <f>IFERROR(__xludf.DUMMYFUNCTION("IF(ISBLANK(B674),,IFERROR(array_constrain(FILTER('Leetcode分类顺序表'!B:J,'Leetcode分类顺序表'!A:A = B674), 1, 10000000),IFERROR(FILTER(Algoexpert.io!B:D,Algoexpert.io!A:A = B674),FILTER('Leetcode List'!B:J,'Leetcode List'!A:A = B674))))"),"")</f>
        <v/>
      </c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>
      <c r="A675" s="22"/>
      <c r="B675" s="20"/>
      <c r="C675" s="20" t="str">
        <f>IFERROR(__xludf.DUMMYFUNCTION("IF(ISBLANK(B675),,IFERROR(array_constrain(FILTER('Leetcode分类顺序表'!B:J,'Leetcode分类顺序表'!A:A = B675), 1, 10000000),IFERROR(FILTER(Algoexpert.io!B:D,Algoexpert.io!A:A = B675),FILTER('Leetcode List'!B:J,'Leetcode List'!A:A = B675))))"),"")</f>
        <v/>
      </c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>
      <c r="A676" s="22"/>
      <c r="B676" s="20"/>
      <c r="C676" s="20" t="str">
        <f>IFERROR(__xludf.DUMMYFUNCTION("IF(ISBLANK(B676),,IFERROR(array_constrain(FILTER('Leetcode分类顺序表'!B:J,'Leetcode分类顺序表'!A:A = B676), 1, 10000000),IFERROR(FILTER(Algoexpert.io!B:D,Algoexpert.io!A:A = B676),FILTER('Leetcode List'!B:J,'Leetcode List'!A:A = B676))))"),"")</f>
        <v/>
      </c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>
      <c r="A677" s="22"/>
      <c r="B677" s="20"/>
      <c r="C677" s="20" t="str">
        <f>IFERROR(__xludf.DUMMYFUNCTION("IF(ISBLANK(B677),,IFERROR(array_constrain(FILTER('Leetcode分类顺序表'!B:J,'Leetcode分类顺序表'!A:A = B677), 1, 10000000),IFERROR(FILTER(Algoexpert.io!B:D,Algoexpert.io!A:A = B677),FILTER('Leetcode List'!B:J,'Leetcode List'!A:A = B677))))"),"")</f>
        <v/>
      </c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>
      <c r="A678" s="22"/>
      <c r="B678" s="20"/>
      <c r="C678" s="20" t="str">
        <f>IFERROR(__xludf.DUMMYFUNCTION("IF(ISBLANK(B678),,IFERROR(array_constrain(FILTER('Leetcode分类顺序表'!B:J,'Leetcode分类顺序表'!A:A = B678), 1, 10000000),IFERROR(FILTER(Algoexpert.io!B:D,Algoexpert.io!A:A = B678),FILTER('Leetcode List'!B:J,'Leetcode List'!A:A = B678))))"),"")</f>
        <v/>
      </c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>
      <c r="A679" s="22"/>
      <c r="B679" s="20"/>
      <c r="C679" s="20" t="str">
        <f>IFERROR(__xludf.DUMMYFUNCTION("IF(ISBLANK(B679),,IFERROR(array_constrain(FILTER('Leetcode分类顺序表'!B:J,'Leetcode分类顺序表'!A:A = B679), 1, 10000000),IFERROR(FILTER(Algoexpert.io!B:D,Algoexpert.io!A:A = B679),FILTER('Leetcode List'!B:J,'Leetcode List'!A:A = B679))))"),"")</f>
        <v/>
      </c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>
      <c r="A680" s="22"/>
      <c r="B680" s="20"/>
      <c r="C680" s="20" t="str">
        <f>IFERROR(__xludf.DUMMYFUNCTION("IF(ISBLANK(B680),,IFERROR(array_constrain(FILTER('Leetcode分类顺序表'!B:J,'Leetcode分类顺序表'!A:A = B680), 1, 10000000),IFERROR(FILTER(Algoexpert.io!B:D,Algoexpert.io!A:A = B680),FILTER('Leetcode List'!B:J,'Leetcode List'!A:A = B680))))"),"")</f>
        <v/>
      </c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>
      <c r="A681" s="22"/>
      <c r="B681" s="20"/>
      <c r="C681" s="20" t="str">
        <f>IFERROR(__xludf.DUMMYFUNCTION("IF(ISBLANK(B681),,IFERROR(array_constrain(FILTER('Leetcode分类顺序表'!B:J,'Leetcode分类顺序表'!A:A = B681), 1, 10000000),IFERROR(FILTER(Algoexpert.io!B:D,Algoexpert.io!A:A = B681),FILTER('Leetcode List'!B:J,'Leetcode List'!A:A = B681))))"),"")</f>
        <v/>
      </c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>
      <c r="A682" s="22"/>
      <c r="B682" s="20"/>
      <c r="C682" s="20" t="str">
        <f>IFERROR(__xludf.DUMMYFUNCTION("IF(ISBLANK(B682),,IFERROR(array_constrain(FILTER('Leetcode分类顺序表'!B:J,'Leetcode分类顺序表'!A:A = B682), 1, 10000000),IFERROR(FILTER(Algoexpert.io!B:D,Algoexpert.io!A:A = B682),FILTER('Leetcode List'!B:J,'Leetcode List'!A:A = B682))))"),"")</f>
        <v/>
      </c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>
      <c r="A683" s="22"/>
      <c r="B683" s="20"/>
      <c r="C683" s="20" t="str">
        <f>IFERROR(__xludf.DUMMYFUNCTION("IF(ISBLANK(B683),,IFERROR(array_constrain(FILTER('Leetcode分类顺序表'!B:J,'Leetcode分类顺序表'!A:A = B683), 1, 10000000),IFERROR(FILTER(Algoexpert.io!B:D,Algoexpert.io!A:A = B683),FILTER('Leetcode List'!B:J,'Leetcode List'!A:A = B683))))"),"")</f>
        <v/>
      </c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>
      <c r="A684" s="22"/>
      <c r="B684" s="20"/>
      <c r="C684" s="20" t="str">
        <f>IFERROR(__xludf.DUMMYFUNCTION("IF(ISBLANK(B684),,IFERROR(array_constrain(FILTER('Leetcode分类顺序表'!B:J,'Leetcode分类顺序表'!A:A = B684), 1, 10000000),IFERROR(FILTER(Algoexpert.io!B:D,Algoexpert.io!A:A = B684),FILTER('Leetcode List'!B:J,'Leetcode List'!A:A = B684))))"),"")</f>
        <v/>
      </c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>
      <c r="A685" s="22"/>
      <c r="B685" s="20"/>
      <c r="C685" s="20" t="str">
        <f>IFERROR(__xludf.DUMMYFUNCTION("IF(ISBLANK(B685),,IFERROR(array_constrain(FILTER('Leetcode分类顺序表'!B:J,'Leetcode分类顺序表'!A:A = B685), 1, 10000000),IFERROR(FILTER(Algoexpert.io!B:D,Algoexpert.io!A:A = B685),FILTER('Leetcode List'!B:J,'Leetcode List'!A:A = B685))))"),"")</f>
        <v/>
      </c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>
      <c r="A686" s="22"/>
      <c r="B686" s="20"/>
      <c r="C686" s="20" t="str">
        <f>IFERROR(__xludf.DUMMYFUNCTION("IF(ISBLANK(B686),,IFERROR(array_constrain(FILTER('Leetcode分类顺序表'!B:J,'Leetcode分类顺序表'!A:A = B686), 1, 10000000),IFERROR(FILTER(Algoexpert.io!B:D,Algoexpert.io!A:A = B686),FILTER('Leetcode List'!B:J,'Leetcode List'!A:A = B686))))"),"")</f>
        <v/>
      </c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>
      <c r="A687" s="22"/>
      <c r="B687" s="20"/>
      <c r="C687" s="20" t="str">
        <f>IFERROR(__xludf.DUMMYFUNCTION("IF(ISBLANK(B687),,IFERROR(array_constrain(FILTER('Leetcode分类顺序表'!B:J,'Leetcode分类顺序表'!A:A = B687), 1, 10000000),IFERROR(FILTER(Algoexpert.io!B:D,Algoexpert.io!A:A = B687),FILTER('Leetcode List'!B:J,'Leetcode List'!A:A = B687))))"),"")</f>
        <v/>
      </c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>
      <c r="A688" s="22"/>
      <c r="B688" s="20"/>
      <c r="C688" s="20" t="str">
        <f>IFERROR(__xludf.DUMMYFUNCTION("IF(ISBLANK(B688),,IFERROR(array_constrain(FILTER('Leetcode分类顺序表'!B:J,'Leetcode分类顺序表'!A:A = B688), 1, 10000000),IFERROR(FILTER(Algoexpert.io!B:D,Algoexpert.io!A:A = B688),FILTER('Leetcode List'!B:J,'Leetcode List'!A:A = B688))))"),"")</f>
        <v/>
      </c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>
      <c r="A689" s="22"/>
      <c r="B689" s="20"/>
      <c r="C689" s="20" t="str">
        <f>IFERROR(__xludf.DUMMYFUNCTION("IF(ISBLANK(B689),,IFERROR(array_constrain(FILTER('Leetcode分类顺序表'!B:J,'Leetcode分类顺序表'!A:A = B689), 1, 10000000),IFERROR(FILTER(Algoexpert.io!B:D,Algoexpert.io!A:A = B689),FILTER('Leetcode List'!B:J,'Leetcode List'!A:A = B689))))"),"")</f>
        <v/>
      </c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>
      <c r="A690" s="22"/>
      <c r="B690" s="20"/>
      <c r="C690" s="20" t="str">
        <f>IFERROR(__xludf.DUMMYFUNCTION("IF(ISBLANK(B690),,IFERROR(array_constrain(FILTER('Leetcode分类顺序表'!B:J,'Leetcode分类顺序表'!A:A = B690), 1, 10000000),IFERROR(FILTER(Algoexpert.io!B:D,Algoexpert.io!A:A = B690),FILTER('Leetcode List'!B:J,'Leetcode List'!A:A = B690))))"),"")</f>
        <v/>
      </c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>
      <c r="A691" s="22"/>
      <c r="B691" s="20"/>
      <c r="C691" s="20" t="str">
        <f>IFERROR(__xludf.DUMMYFUNCTION("IF(ISBLANK(B691),,IFERROR(array_constrain(FILTER('Leetcode分类顺序表'!B:J,'Leetcode分类顺序表'!A:A = B691), 1, 10000000),IFERROR(FILTER(Algoexpert.io!B:D,Algoexpert.io!A:A = B691),FILTER('Leetcode List'!B:J,'Leetcode List'!A:A = B691))))"),"")</f>
        <v/>
      </c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>
      <c r="A692" s="22"/>
      <c r="B692" s="20"/>
      <c r="C692" s="20" t="str">
        <f>IFERROR(__xludf.DUMMYFUNCTION("IF(ISBLANK(B692),,IFERROR(array_constrain(FILTER('Leetcode分类顺序表'!B:J,'Leetcode分类顺序表'!A:A = B692), 1, 10000000),IFERROR(FILTER(Algoexpert.io!B:D,Algoexpert.io!A:A = B692),FILTER('Leetcode List'!B:J,'Leetcode List'!A:A = B692))))"),"")</f>
        <v/>
      </c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>
      <c r="A693" s="22"/>
      <c r="B693" s="20"/>
      <c r="C693" s="20" t="str">
        <f>IFERROR(__xludf.DUMMYFUNCTION("IF(ISBLANK(B693),,IFERROR(array_constrain(FILTER('Leetcode分类顺序表'!B:J,'Leetcode分类顺序表'!A:A = B693), 1, 10000000),IFERROR(FILTER(Algoexpert.io!B:D,Algoexpert.io!A:A = B693),FILTER('Leetcode List'!B:J,'Leetcode List'!A:A = B693))))"),"")</f>
        <v/>
      </c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>
      <c r="A694" s="22"/>
      <c r="B694" s="20"/>
      <c r="C694" s="20" t="str">
        <f>IFERROR(__xludf.DUMMYFUNCTION("IF(ISBLANK(B694),,IFERROR(array_constrain(FILTER('Leetcode分类顺序表'!B:J,'Leetcode分类顺序表'!A:A = B694), 1, 10000000),IFERROR(FILTER(Algoexpert.io!B:D,Algoexpert.io!A:A = B694),FILTER('Leetcode List'!B:J,'Leetcode List'!A:A = B694))))"),"")</f>
        <v/>
      </c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>
      <c r="A695" s="22"/>
      <c r="B695" s="20"/>
      <c r="C695" s="20" t="str">
        <f>IFERROR(__xludf.DUMMYFUNCTION("IF(ISBLANK(B695),,IFERROR(array_constrain(FILTER('Leetcode分类顺序表'!B:J,'Leetcode分类顺序表'!A:A = B695), 1, 10000000),IFERROR(FILTER(Algoexpert.io!B:D,Algoexpert.io!A:A = B695),FILTER('Leetcode List'!B:J,'Leetcode List'!A:A = B695))))"),"")</f>
        <v/>
      </c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>
      <c r="A696" s="22"/>
      <c r="B696" s="20"/>
      <c r="C696" s="20" t="str">
        <f>IFERROR(__xludf.DUMMYFUNCTION("IF(ISBLANK(B696),,IFERROR(array_constrain(FILTER('Leetcode分类顺序表'!B:J,'Leetcode分类顺序表'!A:A = B696), 1, 10000000),IFERROR(FILTER(Algoexpert.io!B:D,Algoexpert.io!A:A = B696),FILTER('Leetcode List'!B:J,'Leetcode List'!A:A = B696))))"),"")</f>
        <v/>
      </c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>
      <c r="A697" s="22"/>
      <c r="B697" s="20"/>
      <c r="C697" s="20" t="str">
        <f>IFERROR(__xludf.DUMMYFUNCTION("IF(ISBLANK(B697),,IFERROR(array_constrain(FILTER('Leetcode分类顺序表'!B:J,'Leetcode分类顺序表'!A:A = B697), 1, 10000000),IFERROR(FILTER(Algoexpert.io!B:D,Algoexpert.io!A:A = B697),FILTER('Leetcode List'!B:J,'Leetcode List'!A:A = B697))))"),"")</f>
        <v/>
      </c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>
      <c r="A698" s="22"/>
      <c r="B698" s="20"/>
      <c r="C698" s="20" t="str">
        <f>IFERROR(__xludf.DUMMYFUNCTION("IF(ISBLANK(B698),,IFERROR(array_constrain(FILTER('Leetcode分类顺序表'!B:J,'Leetcode分类顺序表'!A:A = B698), 1, 10000000),IFERROR(FILTER(Algoexpert.io!B:D,Algoexpert.io!A:A = B698),FILTER('Leetcode List'!B:J,'Leetcode List'!A:A = B698))))"),"")</f>
        <v/>
      </c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>
      <c r="A699" s="22"/>
      <c r="B699" s="20"/>
      <c r="C699" s="20" t="str">
        <f>IFERROR(__xludf.DUMMYFUNCTION("IF(ISBLANK(B699),,IFERROR(array_constrain(FILTER('Leetcode分类顺序表'!B:J,'Leetcode分类顺序表'!A:A = B699), 1, 10000000),IFERROR(FILTER(Algoexpert.io!B:D,Algoexpert.io!A:A = B699),FILTER('Leetcode List'!B:J,'Leetcode List'!A:A = B699))))"),"")</f>
        <v/>
      </c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>
      <c r="A700" s="22"/>
      <c r="B700" s="20"/>
      <c r="C700" s="20" t="str">
        <f>IFERROR(__xludf.DUMMYFUNCTION("IF(ISBLANK(B700),,IFERROR(array_constrain(FILTER('Leetcode分类顺序表'!B:J,'Leetcode分类顺序表'!A:A = B700), 1, 10000000),IFERROR(FILTER(Algoexpert.io!B:D,Algoexpert.io!A:A = B700),FILTER('Leetcode List'!B:J,'Leetcode List'!A:A = B700))))"),"")</f>
        <v/>
      </c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>
      <c r="A701" s="22"/>
      <c r="B701" s="20"/>
      <c r="C701" s="20" t="str">
        <f>IFERROR(__xludf.DUMMYFUNCTION("IF(ISBLANK(B701),,IFERROR(array_constrain(FILTER('Leetcode分类顺序表'!B:J,'Leetcode分类顺序表'!A:A = B701), 1, 10000000),IFERROR(FILTER(Algoexpert.io!B:D,Algoexpert.io!A:A = B701),FILTER('Leetcode List'!B:J,'Leetcode List'!A:A = B701))))"),"")</f>
        <v/>
      </c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>
      <c r="A702" s="22"/>
      <c r="B702" s="20"/>
      <c r="C702" s="20" t="str">
        <f>IFERROR(__xludf.DUMMYFUNCTION("IF(ISBLANK(B702),,IFERROR(array_constrain(FILTER('Leetcode分类顺序表'!B:J,'Leetcode分类顺序表'!A:A = B702), 1, 10000000),IFERROR(FILTER(Algoexpert.io!B:D,Algoexpert.io!A:A = B702),FILTER('Leetcode List'!B:J,'Leetcode List'!A:A = B702))))"),"")</f>
        <v/>
      </c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>
      <c r="A703" s="22"/>
      <c r="B703" s="20"/>
      <c r="C703" s="20" t="str">
        <f>IFERROR(__xludf.DUMMYFUNCTION("IF(ISBLANK(B703),,IFERROR(array_constrain(FILTER('Leetcode分类顺序表'!B:J,'Leetcode分类顺序表'!A:A = B703), 1, 10000000),IFERROR(FILTER(Algoexpert.io!B:D,Algoexpert.io!A:A = B703),FILTER('Leetcode List'!B:J,'Leetcode List'!A:A = B703))))"),"")</f>
        <v/>
      </c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>
      <c r="A704" s="22"/>
      <c r="B704" s="20"/>
      <c r="C704" s="20" t="str">
        <f>IFERROR(__xludf.DUMMYFUNCTION("IF(ISBLANK(B704),,IFERROR(array_constrain(FILTER('Leetcode分类顺序表'!B:J,'Leetcode分类顺序表'!A:A = B704), 1, 10000000),IFERROR(FILTER(Algoexpert.io!B:D,Algoexpert.io!A:A = B704),FILTER('Leetcode List'!B:J,'Leetcode List'!A:A = B704))))"),"")</f>
        <v/>
      </c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>
      <c r="A705" s="22"/>
      <c r="B705" s="20"/>
      <c r="C705" s="20" t="str">
        <f>IFERROR(__xludf.DUMMYFUNCTION("IF(ISBLANK(B705),,IFERROR(array_constrain(FILTER('Leetcode分类顺序表'!B:J,'Leetcode分类顺序表'!A:A = B705), 1, 10000000),IFERROR(FILTER(Algoexpert.io!B:D,Algoexpert.io!A:A = B705),FILTER('Leetcode List'!B:J,'Leetcode List'!A:A = B705))))"),"")</f>
        <v/>
      </c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>
      <c r="A706" s="22"/>
      <c r="B706" s="20"/>
      <c r="C706" s="20" t="str">
        <f>IFERROR(__xludf.DUMMYFUNCTION("IF(ISBLANK(B706),,IFERROR(array_constrain(FILTER('Leetcode分类顺序表'!B:J,'Leetcode分类顺序表'!A:A = B706), 1, 10000000),IFERROR(FILTER(Algoexpert.io!B:D,Algoexpert.io!A:A = B706),FILTER('Leetcode List'!B:J,'Leetcode List'!A:A = B706))))"),"")</f>
        <v/>
      </c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>
      <c r="A707" s="22"/>
      <c r="B707" s="20"/>
      <c r="C707" s="20" t="str">
        <f>IFERROR(__xludf.DUMMYFUNCTION("IF(ISBLANK(B707),,IFERROR(array_constrain(FILTER('Leetcode分类顺序表'!B:J,'Leetcode分类顺序表'!A:A = B707), 1, 10000000),IFERROR(FILTER(Algoexpert.io!B:D,Algoexpert.io!A:A = B707),FILTER('Leetcode List'!B:J,'Leetcode List'!A:A = B707))))"),"")</f>
        <v/>
      </c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>
      <c r="A708" s="22"/>
      <c r="B708" s="20"/>
      <c r="C708" s="20" t="str">
        <f>IFERROR(__xludf.DUMMYFUNCTION("IF(ISBLANK(B708),,IFERROR(array_constrain(FILTER('Leetcode分类顺序表'!B:J,'Leetcode分类顺序表'!A:A = B708), 1, 10000000),IFERROR(FILTER(Algoexpert.io!B:D,Algoexpert.io!A:A = B708),FILTER('Leetcode List'!B:J,'Leetcode List'!A:A = B708))))"),"")</f>
        <v/>
      </c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>
      <c r="A709" s="22"/>
      <c r="B709" s="20"/>
      <c r="C709" s="20" t="str">
        <f>IFERROR(__xludf.DUMMYFUNCTION("IF(ISBLANK(B709),,IFERROR(array_constrain(FILTER('Leetcode分类顺序表'!B:J,'Leetcode分类顺序表'!A:A = B709), 1, 10000000),IFERROR(FILTER(Algoexpert.io!B:D,Algoexpert.io!A:A = B709),FILTER('Leetcode List'!B:J,'Leetcode List'!A:A = B709))))"),"")</f>
        <v/>
      </c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>
      <c r="A710" s="22"/>
      <c r="B710" s="20"/>
      <c r="C710" s="20" t="str">
        <f>IFERROR(__xludf.DUMMYFUNCTION("IF(ISBLANK(B710),,IFERROR(array_constrain(FILTER('Leetcode分类顺序表'!B:J,'Leetcode分类顺序表'!A:A = B710), 1, 10000000),IFERROR(FILTER(Algoexpert.io!B:D,Algoexpert.io!A:A = B710),FILTER('Leetcode List'!B:J,'Leetcode List'!A:A = B710))))"),"")</f>
        <v/>
      </c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>
      <c r="A711" s="22"/>
      <c r="B711" s="20"/>
      <c r="C711" s="20" t="str">
        <f>IFERROR(__xludf.DUMMYFUNCTION("IF(ISBLANK(B711),,IFERROR(array_constrain(FILTER('Leetcode分类顺序表'!B:J,'Leetcode分类顺序表'!A:A = B711), 1, 10000000),IFERROR(FILTER(Algoexpert.io!B:D,Algoexpert.io!A:A = B711),FILTER('Leetcode List'!B:J,'Leetcode List'!A:A = B711))))"),"")</f>
        <v/>
      </c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>
      <c r="A712" s="22"/>
      <c r="B712" s="20"/>
      <c r="C712" s="20" t="str">
        <f>IFERROR(__xludf.DUMMYFUNCTION("IF(ISBLANK(B712),,IFERROR(array_constrain(FILTER('Leetcode分类顺序表'!B:J,'Leetcode分类顺序表'!A:A = B712), 1, 10000000),IFERROR(FILTER(Algoexpert.io!B:D,Algoexpert.io!A:A = B712),FILTER('Leetcode List'!B:J,'Leetcode List'!A:A = B712))))"),"")</f>
        <v/>
      </c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>
      <c r="A713" s="22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>
      <c r="A714" s="22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>
      <c r="A715" s="22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>
      <c r="A716" s="22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>
      <c r="A717" s="22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>
      <c r="A718" s="22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>
      <c r="A719" s="22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>
      <c r="A720" s="22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>
      <c r="A721" s="22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>
      <c r="A722" s="22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>
      <c r="A723" s="22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>
      <c r="A724" s="22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>
      <c r="A725" s="22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>
      <c r="A726" s="22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>
      <c r="A727" s="22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>
      <c r="A728" s="22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>
      <c r="A729" s="22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>
      <c r="A730" s="22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>
      <c r="A731" s="22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>
      <c r="A732" s="22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>
      <c r="A733" s="22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>
      <c r="A734" s="22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>
      <c r="A735" s="22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>
      <c r="A736" s="22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>
      <c r="A737" s="22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>
      <c r="A738" s="22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>
      <c r="A739" s="22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>
      <c r="A740" s="22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>
      <c r="A741" s="22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>
      <c r="A742" s="22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>
      <c r="A743" s="22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>
      <c r="A744" s="22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>
      <c r="A745" s="22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>
      <c r="A746" s="22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>
      <c r="A747" s="22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>
      <c r="A748" s="22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>
      <c r="A749" s="22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>
      <c r="A750" s="22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>
      <c r="A751" s="22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>
      <c r="A752" s="22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>
      <c r="A753" s="22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>
      <c r="A754" s="22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>
      <c r="A755" s="22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>
      <c r="A756" s="22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>
      <c r="A757" s="22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>
      <c r="A758" s="22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>
      <c r="A759" s="22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>
      <c r="A760" s="22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>
      <c r="A761" s="22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>
      <c r="A762" s="22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>
      <c r="A763" s="22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>
      <c r="A764" s="22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>
      <c r="A765" s="22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>
      <c r="A766" s="22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>
      <c r="A767" s="22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>
      <c r="A768" s="22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>
      <c r="A769" s="22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>
      <c r="A770" s="22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>
      <c r="A771" s="22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>
      <c r="A772" s="22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>
      <c r="A773" s="22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>
      <c r="A774" s="22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>
      <c r="A775" s="22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>
      <c r="A776" s="22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>
      <c r="A777" s="22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>
      <c r="A778" s="22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>
      <c r="A779" s="22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>
      <c r="A780" s="22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>
      <c r="A781" s="22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>
      <c r="A782" s="22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>
      <c r="A783" s="22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>
      <c r="A784" s="22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>
      <c r="A785" s="22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>
      <c r="A786" s="22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>
      <c r="A787" s="22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>
      <c r="A788" s="22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>
      <c r="A789" s="22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>
      <c r="A790" s="22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>
      <c r="A791" s="22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>
      <c r="A792" s="22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>
      <c r="A793" s="22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>
      <c r="A794" s="22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>
      <c r="A795" s="22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>
      <c r="A796" s="22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>
      <c r="A797" s="22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>
      <c r="A798" s="22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>
      <c r="A799" s="22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>
      <c r="A800" s="22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>
      <c r="A801" s="22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>
      <c r="A802" s="22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>
      <c r="A803" s="22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>
      <c r="A804" s="22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>
      <c r="A805" s="22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>
      <c r="A806" s="22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>
      <c r="A807" s="22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>
      <c r="A808" s="22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>
      <c r="A809" s="22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>
      <c r="A810" s="22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>
      <c r="A811" s="22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>
      <c r="A812" s="22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>
      <c r="A813" s="22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>
      <c r="A814" s="22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>
      <c r="A815" s="22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>
      <c r="A816" s="22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>
      <c r="A817" s="22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>
      <c r="A818" s="22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>
      <c r="A819" s="22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>
      <c r="A820" s="22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>
      <c r="A821" s="22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>
      <c r="A822" s="22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>
      <c r="A823" s="22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>
      <c r="A824" s="22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>
      <c r="A825" s="22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>
      <c r="A826" s="22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>
      <c r="A827" s="22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>
      <c r="A828" s="22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>
      <c r="A829" s="22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>
      <c r="A830" s="22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>
      <c r="A831" s="22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>
      <c r="A832" s="22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>
      <c r="A833" s="22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>
      <c r="A834" s="22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>
      <c r="A835" s="22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>
      <c r="A836" s="22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>
      <c r="A837" s="22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>
      <c r="A838" s="22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>
      <c r="A839" s="22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>
      <c r="A840" s="22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>
      <c r="A841" s="22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>
      <c r="A842" s="22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>
      <c r="A843" s="22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>
      <c r="A844" s="22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>
      <c r="A845" s="22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>
      <c r="A846" s="22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>
      <c r="A847" s="22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>
      <c r="A848" s="22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>
      <c r="A849" s="22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>
      <c r="A850" s="22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>
      <c r="A851" s="22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>
      <c r="A852" s="22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>
      <c r="A853" s="22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>
      <c r="A854" s="22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>
      <c r="A855" s="22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>
      <c r="A856" s="22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>
      <c r="A857" s="22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>
      <c r="A858" s="22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>
      <c r="A859" s="22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>
      <c r="A860" s="22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>
      <c r="A861" s="22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>
      <c r="A862" s="22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>
      <c r="A863" s="22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>
      <c r="A864" s="22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>
      <c r="A865" s="22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>
      <c r="A866" s="22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>
      <c r="A867" s="22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>
      <c r="A868" s="22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>
      <c r="A869" s="22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>
      <c r="A870" s="22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>
      <c r="A871" s="22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>
      <c r="A872" s="22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>
      <c r="A873" s="22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>
      <c r="A874" s="22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>
      <c r="A875" s="22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>
      <c r="A876" s="22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>
      <c r="A877" s="22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>
      <c r="A878" s="22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>
      <c r="A879" s="22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>
      <c r="A880" s="22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>
      <c r="A881" s="22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>
      <c r="A882" s="22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>
      <c r="A883" s="22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>
      <c r="A884" s="22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>
      <c r="A885" s="22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>
      <c r="A886" s="22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>
      <c r="A887" s="22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>
      <c r="A888" s="22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>
      <c r="A889" s="22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>
      <c r="A890" s="22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>
      <c r="A891" s="22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>
      <c r="A892" s="22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>
      <c r="A893" s="22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>
      <c r="A894" s="22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>
      <c r="A895" s="22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>
      <c r="A896" s="22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>
      <c r="A897" s="22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>
      <c r="A898" s="22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>
      <c r="A899" s="22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>
      <c r="A900" s="22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>
      <c r="A901" s="22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>
      <c r="A902" s="22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>
      <c r="A903" s="22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>
      <c r="A904" s="22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>
      <c r="A905" s="22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>
      <c r="A906" s="22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>
      <c r="A907" s="22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>
      <c r="A908" s="22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>
      <c r="A909" s="22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>
      <c r="A910" s="22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>
      <c r="A911" s="22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>
      <c r="A912" s="22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>
      <c r="A913" s="22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>
      <c r="A914" s="22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>
      <c r="A915" s="22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>
      <c r="A916" s="22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>
      <c r="A917" s="22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>
      <c r="A918" s="22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>
      <c r="A919" s="22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>
      <c r="A920" s="22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>
      <c r="A921" s="22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>
      <c r="A922" s="22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>
      <c r="A923" s="22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>
      <c r="A924" s="22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>
      <c r="A925" s="22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>
      <c r="A926" s="22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>
      <c r="A927" s="22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>
      <c r="A928" s="22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>
      <c r="A929" s="22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>
      <c r="A930" s="22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>
      <c r="A931" s="22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>
      <c r="A932" s="22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>
      <c r="A933" s="22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>
      <c r="A934" s="22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>
      <c r="A935" s="22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>
      <c r="A936" s="22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>
      <c r="A937" s="22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>
      <c r="A938" s="22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>
      <c r="A939" s="22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>
      <c r="A940" s="22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>
      <c r="A941" s="22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>
      <c r="A942" s="22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>
      <c r="A943" s="22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>
      <c r="A944" s="22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>
      <c r="A945" s="22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>
      <c r="A946" s="22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>
      <c r="A947" s="22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>
      <c r="A948" s="22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>
      <c r="A949" s="22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>
      <c r="A950" s="22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>
      <c r="A951" s="22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>
      <c r="A952" s="22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>
      <c r="A953" s="22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>
      <c r="A954" s="22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>
      <c r="A955" s="22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>
      <c r="A956" s="22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>
      <c r="A957" s="22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>
      <c r="A958" s="22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>
      <c r="A959" s="22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>
      <c r="A960" s="22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>
      <c r="A961" s="22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>
      <c r="A962" s="22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>
      <c r="A963" s="22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>
      <c r="A964" s="22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>
      <c r="A965" s="22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>
      <c r="A966" s="22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>
      <c r="A967" s="22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>
      <c r="A968" s="22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>
      <c r="A969" s="22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>
      <c r="A970" s="22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>
      <c r="A971" s="22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>
      <c r="A972" s="22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>
      <c r="A973" s="22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>
      <c r="A974" s="22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>
      <c r="A975" s="22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>
      <c r="A976" s="22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>
      <c r="A977" s="22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>
      <c r="A978" s="22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>
      <c r="A979" s="22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>
      <c r="A980" s="22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>
      <c r="A981" s="22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>
      <c r="A982" s="22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>
      <c r="A983" s="22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>
      <c r="A984" s="22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>
      <c r="A985" s="22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>
      <c r="A986" s="22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>
      <c r="A987" s="22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>
      <c r="A988" s="22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>
      <c r="A989" s="22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>
      <c r="A990" s="22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>
      <c r="A991" s="22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>
      <c r="A992" s="22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>
      <c r="A993" s="22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>
      <c r="A994" s="22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>
      <c r="A995" s="22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>
      <c r="A996" s="22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>
      <c r="A997" s="22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>
      <c r="A998" s="22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>
      <c r="A999" s="22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>
      <c r="A1000" s="22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conditionalFormatting sqref="C1:D1">
    <cfRule type="expression" dxfId="1" priority="1">
      <formula>AND(ISNUMBER($L2),$L2=0)</formula>
    </cfRule>
  </conditionalFormatting>
  <conditionalFormatting sqref="C1:D1">
    <cfRule type="expression" dxfId="3" priority="2">
      <formula>AND(ISNUMBER($L2),$L2&gt;0)</formula>
    </cfRule>
  </conditionalFormatting>
  <conditionalFormatting sqref="C1:D1">
    <cfRule type="expression" dxfId="2" priority="3">
      <formula>AND(ISNUMBER($L2),$L2&gt;3)</formula>
    </cfRule>
  </conditionalFormatting>
  <conditionalFormatting sqref="C31">
    <cfRule type="expression" dxfId="2" priority="4">
      <formula>AND(ISNUMBER($L29),$L29&gt;3)</formula>
    </cfRule>
  </conditionalFormatting>
  <conditionalFormatting sqref="C31">
    <cfRule type="expression" dxfId="3" priority="5">
      <formula>AND(ISNUMBER($L29),$L29&gt;0)</formula>
    </cfRule>
  </conditionalFormatting>
  <conditionalFormatting sqref="C31">
    <cfRule type="expression" dxfId="1" priority="6">
      <formula>AND(ISNUMBER($L29),$L29=0)</formula>
    </cfRule>
  </conditionalFormatting>
  <conditionalFormatting sqref="A1:C1000 E1:AH1000 D3:D1000">
    <cfRule type="expression" dxfId="2" priority="7">
      <formula>AND(ISNUMBER($L1),$L1&gt;3)</formula>
    </cfRule>
  </conditionalFormatting>
  <conditionalFormatting sqref="A1:C1000 E1:AH1000 D3:D1000">
    <cfRule type="expression" dxfId="3" priority="8">
      <formula>AND(ISNUMBER($L1),$L1&gt;0)</formula>
    </cfRule>
  </conditionalFormatting>
  <conditionalFormatting sqref="A1:C1000 E1:AH1000 D3:D1000">
    <cfRule type="expression" dxfId="1" priority="9">
      <formula>AND(ISNUMBER($L1),$L1=0)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9.88"/>
    <col hidden="1" min="6" max="9" width="12.63"/>
  </cols>
  <sheetData>
    <row r="1">
      <c r="A1" s="10" t="s">
        <v>5</v>
      </c>
      <c r="B1" s="11" t="s">
        <v>24</v>
      </c>
      <c r="C1" s="10" t="s">
        <v>7</v>
      </c>
      <c r="D1" s="12" t="str">
        <f>IFERROR(__xludf.DUMMYFUNCTION("IF(COUNTUNIQUE(B3:B1000)&gt;0,COUNTUNIQUE(B3:B1000),)"),"")</f>
        <v/>
      </c>
      <c r="E1" s="13" t="s">
        <v>8</v>
      </c>
      <c r="F1" s="14"/>
      <c r="G1" s="14"/>
      <c r="H1" s="14"/>
      <c r="I1" s="14"/>
      <c r="J1" s="14" t="str">
        <f>IF((COUNTA(B:B)-2)/(DATEDIF(A3,TODAY(),"D")+1)&gt;0,(COUNTA(B:B)-2)/(DATEDIF(A3,TODAY(),"D")+1),)</f>
        <v/>
      </c>
      <c r="K1" s="10"/>
      <c r="L1" s="10" t="s">
        <v>9</v>
      </c>
      <c r="M1" s="12"/>
      <c r="N1" s="15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>
      <c r="A2" s="16" t="s">
        <v>10</v>
      </c>
      <c r="B2" s="10" t="s">
        <v>11</v>
      </c>
      <c r="C2" s="17" t="s">
        <v>12</v>
      </c>
      <c r="D2" s="10" t="s">
        <v>13</v>
      </c>
      <c r="E2" s="10" t="s">
        <v>14</v>
      </c>
      <c r="F2" s="10" t="s">
        <v>15</v>
      </c>
      <c r="G2" s="10"/>
      <c r="H2" s="10"/>
      <c r="I2" s="10"/>
      <c r="J2" s="10" t="s">
        <v>16</v>
      </c>
      <c r="K2" s="10" t="s">
        <v>17</v>
      </c>
      <c r="L2" s="10" t="s">
        <v>18</v>
      </c>
      <c r="M2" s="12"/>
      <c r="N2" s="15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>
      <c r="A3" s="19"/>
      <c r="B3" s="21"/>
      <c r="C3" s="20" t="str">
        <f>IFERROR(__xludf.DUMMYFUNCTION("IF(ISBLANK(B3),,IFERROR(array_constrain(FILTER('Leetcode分类顺序表'!B:J,'Leetcode分类顺序表'!A:A = B3), 1, 10000000),IFERROR(FILTER(Algoexpert.io!B:D,Algoexpert.io!A:A = B3),FILTER('Leetcode List'!B:J,'Leetcode List'!A:A = B3))))"),"")</f>
        <v/>
      </c>
      <c r="D3" s="20"/>
      <c r="E3" s="20"/>
      <c r="F3" s="20"/>
      <c r="G3" s="20"/>
      <c r="H3" s="20"/>
      <c r="I3" s="20"/>
      <c r="J3" s="20"/>
      <c r="K3" s="20"/>
      <c r="L3" s="20" t="str">
        <f t="shared" ref="L3:L211" si="1">IF(ISBLANK(B3),,COUNTIF(B:B,"="&amp;B3)-1)</f>
        <v/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>
      <c r="A4" s="19"/>
      <c r="B4" s="21"/>
      <c r="C4" s="20" t="str">
        <f>IFERROR(__xludf.DUMMYFUNCTION("IF(ISBLANK(B4),,IFERROR(array_constrain(FILTER('Leetcode分类顺序表'!B:J,'Leetcode分类顺序表'!A:A = B4), 1, 10000000),IFERROR(FILTER(Algoexpert.io!B:D,Algoexpert.io!A:A = B4),FILTER('Leetcode List'!B:J,'Leetcode List'!A:A = B4))))"),"")</f>
        <v/>
      </c>
      <c r="D4" s="20"/>
      <c r="E4" s="20"/>
      <c r="F4" s="20"/>
      <c r="G4" s="20"/>
      <c r="H4" s="20"/>
      <c r="I4" s="20"/>
      <c r="J4" s="20"/>
      <c r="K4" s="20"/>
      <c r="L4" s="20" t="str">
        <f t="shared" si="1"/>
        <v/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>
      <c r="A5" s="19"/>
      <c r="B5" s="21"/>
      <c r="C5" s="20" t="str">
        <f>IFERROR(__xludf.DUMMYFUNCTION("IF(ISBLANK(B5),,IFERROR(array_constrain(FILTER('Leetcode分类顺序表'!B:J,'Leetcode分类顺序表'!A:A = B5), 1, 10000000),IFERROR(FILTER(Algoexpert.io!B:D,Algoexpert.io!A:A = B5),FILTER('Leetcode List'!B:J,'Leetcode List'!A:A = B5))))"),"")</f>
        <v/>
      </c>
      <c r="D5" s="20"/>
      <c r="E5" s="20"/>
      <c r="F5" s="20"/>
      <c r="G5" s="20"/>
      <c r="H5" s="20"/>
      <c r="I5" s="20"/>
      <c r="J5" s="20"/>
      <c r="K5" s="20"/>
      <c r="L5" s="20" t="str">
        <f t="shared" si="1"/>
        <v/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>
      <c r="A6" s="19"/>
      <c r="B6" s="21"/>
      <c r="C6" s="20" t="str">
        <f>IFERROR(__xludf.DUMMYFUNCTION("IF(ISBLANK(B6),,IFERROR(array_constrain(FILTER('Leetcode分类顺序表'!B:J,'Leetcode分类顺序表'!A:A = B6), 1, 10000000),IFERROR(FILTER(Algoexpert.io!B:D,Algoexpert.io!A:A = B6),FILTER('Leetcode List'!B:J,'Leetcode List'!A:A = B6))))"),"")</f>
        <v/>
      </c>
      <c r="D6" s="20"/>
      <c r="E6" s="20"/>
      <c r="F6" s="20"/>
      <c r="G6" s="20"/>
      <c r="H6" s="20"/>
      <c r="I6" s="20"/>
      <c r="J6" s="20"/>
      <c r="K6" s="20"/>
      <c r="L6" s="20" t="str">
        <f t="shared" si="1"/>
        <v/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>
      <c r="A7" s="19"/>
      <c r="B7" s="21"/>
      <c r="C7" s="20" t="str">
        <f>IFERROR(__xludf.DUMMYFUNCTION("IF(ISBLANK(B7),,IFERROR(array_constrain(FILTER('Leetcode分类顺序表'!B:J,'Leetcode分类顺序表'!A:A = B7), 1, 10000000),IFERROR(FILTER(Algoexpert.io!B:D,Algoexpert.io!A:A = B7),FILTER('Leetcode List'!B:J,'Leetcode List'!A:A = B7))))"),"")</f>
        <v/>
      </c>
      <c r="D7" s="20"/>
      <c r="E7" s="20"/>
      <c r="F7" s="20"/>
      <c r="G7" s="20"/>
      <c r="H7" s="20"/>
      <c r="I7" s="20"/>
      <c r="J7" s="20"/>
      <c r="K7" s="20"/>
      <c r="L7" s="20" t="str">
        <f t="shared" si="1"/>
        <v/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>
      <c r="A8" s="19"/>
      <c r="B8" s="21"/>
      <c r="C8" s="20" t="str">
        <f>IFERROR(__xludf.DUMMYFUNCTION("IF(ISBLANK(B8),,IFERROR(array_constrain(FILTER('Leetcode分类顺序表'!B:J,'Leetcode分类顺序表'!A:A = B8), 1, 10000000),IFERROR(FILTER(Algoexpert.io!B:D,Algoexpert.io!A:A = B8),FILTER('Leetcode List'!B:J,'Leetcode List'!A:A = B8))))"),"")</f>
        <v/>
      </c>
      <c r="D8" s="20"/>
      <c r="E8" s="20"/>
      <c r="F8" s="20"/>
      <c r="G8" s="20"/>
      <c r="H8" s="20"/>
      <c r="I8" s="20"/>
      <c r="J8" s="20"/>
      <c r="K8" s="20"/>
      <c r="L8" s="20" t="str">
        <f t="shared" si="1"/>
        <v/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>
      <c r="A9" s="19"/>
      <c r="B9" s="21"/>
      <c r="C9" s="20" t="str">
        <f>IFERROR(__xludf.DUMMYFUNCTION("IF(ISBLANK(B9),,IFERROR(array_constrain(FILTER('Leetcode分类顺序表'!B:J,'Leetcode分类顺序表'!A:A = B9), 1, 10000000),IFERROR(FILTER(Algoexpert.io!B:D,Algoexpert.io!A:A = B9),FILTER('Leetcode List'!B:J,'Leetcode List'!A:A = B9))))"),"")</f>
        <v/>
      </c>
      <c r="D9" s="20"/>
      <c r="E9" s="20"/>
      <c r="F9" s="20"/>
      <c r="G9" s="20"/>
      <c r="H9" s="20"/>
      <c r="I9" s="20"/>
      <c r="J9" s="20"/>
      <c r="K9" s="20"/>
      <c r="L9" s="20" t="str">
        <f t="shared" si="1"/>
        <v/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>
      <c r="A10" s="19"/>
      <c r="B10" s="21"/>
      <c r="C10" s="20" t="str">
        <f>IFERROR(__xludf.DUMMYFUNCTION("IF(ISBLANK(B10),,IFERROR(array_constrain(FILTER('Leetcode分类顺序表'!B:J,'Leetcode分类顺序表'!A:A = B10), 1, 10000000),IFERROR(FILTER(Algoexpert.io!B:D,Algoexpert.io!A:A = B10),FILTER('Leetcode List'!B:J,'Leetcode List'!A:A = B10))))"),"")</f>
        <v/>
      </c>
      <c r="D10" s="20"/>
      <c r="E10" s="20"/>
      <c r="F10" s="20"/>
      <c r="G10" s="20"/>
      <c r="H10" s="20"/>
      <c r="I10" s="20"/>
      <c r="J10" s="20"/>
      <c r="K10" s="20"/>
      <c r="L10" s="20" t="str">
        <f t="shared" si="1"/>
        <v/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>
      <c r="A11" s="19"/>
      <c r="B11" s="21"/>
      <c r="C11" s="20" t="str">
        <f>IFERROR(__xludf.DUMMYFUNCTION("IF(ISBLANK(B11),,IFERROR(array_constrain(FILTER('Leetcode分类顺序表'!B:J,'Leetcode分类顺序表'!A:A = B11), 1, 10000000),IFERROR(FILTER(Algoexpert.io!B:D,Algoexpert.io!A:A = B11),FILTER('Leetcode List'!B:J,'Leetcode List'!A:A = B11))))"),"")</f>
        <v/>
      </c>
      <c r="D11" s="20"/>
      <c r="E11" s="20"/>
      <c r="F11" s="20"/>
      <c r="G11" s="20"/>
      <c r="H11" s="20"/>
      <c r="I11" s="20"/>
      <c r="J11" s="20"/>
      <c r="K11" s="20"/>
      <c r="L11" s="20" t="str">
        <f t="shared" si="1"/>
        <v/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>
      <c r="A12" s="19"/>
      <c r="B12" s="21"/>
      <c r="C12" s="20" t="str">
        <f>IFERROR(__xludf.DUMMYFUNCTION("IF(ISBLANK(B12),,IFERROR(array_constrain(FILTER('Leetcode分类顺序表'!B:J,'Leetcode分类顺序表'!A:A = B12), 1, 10000000),IFERROR(FILTER(Algoexpert.io!B:D,Algoexpert.io!A:A = B12),FILTER('Leetcode List'!B:J,'Leetcode List'!A:A = B12))))"),"")</f>
        <v/>
      </c>
      <c r="D12" s="20"/>
      <c r="E12" s="20"/>
      <c r="F12" s="20"/>
      <c r="G12" s="20"/>
      <c r="H12" s="20"/>
      <c r="I12" s="20"/>
      <c r="J12" s="20"/>
      <c r="K12" s="20"/>
      <c r="L12" s="20" t="str">
        <f t="shared" si="1"/>
        <v/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>
      <c r="A13" s="19"/>
      <c r="B13" s="21"/>
      <c r="C13" s="20" t="str">
        <f>IFERROR(__xludf.DUMMYFUNCTION("IF(ISBLANK(B13),,IFERROR(array_constrain(FILTER('Leetcode分类顺序表'!B:J,'Leetcode分类顺序表'!A:A = B13), 1, 10000000),IFERROR(FILTER(Algoexpert.io!B:D,Algoexpert.io!A:A = B13),FILTER('Leetcode List'!B:J,'Leetcode List'!A:A = B13))))"),"")</f>
        <v/>
      </c>
      <c r="D13" s="20"/>
      <c r="E13" s="20"/>
      <c r="F13" s="20"/>
      <c r="G13" s="20"/>
      <c r="H13" s="20"/>
      <c r="I13" s="20"/>
      <c r="J13" s="20"/>
      <c r="K13" s="20"/>
      <c r="L13" s="20" t="str">
        <f t="shared" si="1"/>
        <v/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>
      <c r="A14" s="19"/>
      <c r="B14" s="21"/>
      <c r="C14" s="20" t="str">
        <f>IFERROR(__xludf.DUMMYFUNCTION("IF(ISBLANK(B14),,IFERROR(array_constrain(FILTER('Leetcode分类顺序表'!B:J,'Leetcode分类顺序表'!A:A = B14), 1, 10000000),IFERROR(FILTER(Algoexpert.io!B:D,Algoexpert.io!A:A = B14),FILTER('Leetcode List'!B:J,'Leetcode List'!A:A = B14))))"),"")</f>
        <v/>
      </c>
      <c r="D14" s="20"/>
      <c r="E14" s="20"/>
      <c r="F14" s="20"/>
      <c r="G14" s="20"/>
      <c r="H14" s="20"/>
      <c r="I14" s="20"/>
      <c r="J14" s="20"/>
      <c r="K14" s="20"/>
      <c r="L14" s="20" t="str">
        <f t="shared" si="1"/>
        <v/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>
      <c r="A15" s="19"/>
      <c r="B15" s="21"/>
      <c r="C15" s="20" t="str">
        <f>IFERROR(__xludf.DUMMYFUNCTION("IF(ISBLANK(B15),,IFERROR(array_constrain(FILTER('Leetcode分类顺序表'!B:J,'Leetcode分类顺序表'!A:A = B15), 1, 10000000),IFERROR(FILTER(Algoexpert.io!B:D,Algoexpert.io!A:A = B15),FILTER('Leetcode List'!B:J,'Leetcode List'!A:A = B15))))"),"")</f>
        <v/>
      </c>
      <c r="D15" s="20"/>
      <c r="E15" s="20"/>
      <c r="F15" s="20"/>
      <c r="G15" s="20"/>
      <c r="H15" s="20"/>
      <c r="I15" s="20"/>
      <c r="J15" s="20"/>
      <c r="K15" s="20"/>
      <c r="L15" s="20" t="str">
        <f t="shared" si="1"/>
        <v/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>
      <c r="A16" s="19"/>
      <c r="B16" s="21"/>
      <c r="C16" s="20" t="str">
        <f>IFERROR(__xludf.DUMMYFUNCTION("IF(ISBLANK(B16),,IFERROR(array_constrain(FILTER('Leetcode分类顺序表'!B:J,'Leetcode分类顺序表'!A:A = B16), 1, 10000000),IFERROR(FILTER(Algoexpert.io!B:D,Algoexpert.io!A:A = B16),FILTER('Leetcode List'!B:J,'Leetcode List'!A:A = B16))))"),"")</f>
        <v/>
      </c>
      <c r="D16" s="20"/>
      <c r="E16" s="20"/>
      <c r="F16" s="20"/>
      <c r="G16" s="20"/>
      <c r="H16" s="20"/>
      <c r="I16" s="20"/>
      <c r="J16" s="20"/>
      <c r="K16" s="20"/>
      <c r="L16" s="20" t="str">
        <f t="shared" si="1"/>
        <v/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>
      <c r="A17" s="19"/>
      <c r="B17" s="21"/>
      <c r="C17" s="20" t="str">
        <f>IFERROR(__xludf.DUMMYFUNCTION("IF(ISBLANK(B17),,IFERROR(array_constrain(FILTER('Leetcode分类顺序表'!B:J,'Leetcode分类顺序表'!A:A = B17), 1, 10000000),IFERROR(FILTER(Algoexpert.io!B:D,Algoexpert.io!A:A = B17),FILTER('Leetcode List'!B:J,'Leetcode List'!A:A = B17))))"),"")</f>
        <v/>
      </c>
      <c r="D17" s="20"/>
      <c r="E17" s="20"/>
      <c r="F17" s="20"/>
      <c r="G17" s="20"/>
      <c r="H17" s="20"/>
      <c r="I17" s="20"/>
      <c r="J17" s="20"/>
      <c r="K17" s="20"/>
      <c r="L17" s="20" t="str">
        <f t="shared" si="1"/>
        <v/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>
      <c r="A18" s="19"/>
      <c r="B18" s="21"/>
      <c r="C18" s="20" t="str">
        <f>IFERROR(__xludf.DUMMYFUNCTION("IF(ISBLANK(B18),,IFERROR(array_constrain(FILTER('Leetcode分类顺序表'!B:J,'Leetcode分类顺序表'!A:A = B18), 1, 10000000),IFERROR(FILTER(Algoexpert.io!B:D,Algoexpert.io!A:A = B18),FILTER('Leetcode List'!B:J,'Leetcode List'!A:A = B18))))"),"")</f>
        <v/>
      </c>
      <c r="D18" s="20"/>
      <c r="E18" s="20"/>
      <c r="F18" s="20"/>
      <c r="G18" s="20"/>
      <c r="H18" s="20"/>
      <c r="I18" s="20"/>
      <c r="J18" s="20"/>
      <c r="K18" s="20"/>
      <c r="L18" s="20" t="str">
        <f t="shared" si="1"/>
        <v/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>
      <c r="A19" s="19"/>
      <c r="B19" s="21"/>
      <c r="C19" s="20" t="str">
        <f>IFERROR(__xludf.DUMMYFUNCTION("IF(ISBLANK(B19),,IFERROR(array_constrain(FILTER('Leetcode分类顺序表'!B:J,'Leetcode分类顺序表'!A:A = B19), 1, 10000000),IFERROR(FILTER(Algoexpert.io!B:D,Algoexpert.io!A:A = B19),FILTER('Leetcode List'!B:J,'Leetcode List'!A:A = B19))))"),"")</f>
        <v/>
      </c>
      <c r="D19" s="20"/>
      <c r="E19" s="20"/>
      <c r="F19" s="20"/>
      <c r="G19" s="20"/>
      <c r="H19" s="20"/>
      <c r="I19" s="20"/>
      <c r="J19" s="20"/>
      <c r="K19" s="20"/>
      <c r="L19" s="20" t="str">
        <f t="shared" si="1"/>
        <v/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>
      <c r="A20" s="19"/>
      <c r="B20" s="21"/>
      <c r="C20" s="20" t="str">
        <f>IFERROR(__xludf.DUMMYFUNCTION("IF(ISBLANK(B20),,IFERROR(array_constrain(FILTER('Leetcode分类顺序表'!B:J,'Leetcode分类顺序表'!A:A = B20), 1, 10000000),IFERROR(FILTER(Algoexpert.io!B:D,Algoexpert.io!A:A = B20),FILTER('Leetcode List'!B:J,'Leetcode List'!A:A = B20))))"),"")</f>
        <v/>
      </c>
      <c r="D20" s="20"/>
      <c r="E20" s="20"/>
      <c r="F20" s="20"/>
      <c r="G20" s="20"/>
      <c r="H20" s="20"/>
      <c r="I20" s="20"/>
      <c r="J20" s="20"/>
      <c r="K20" s="20"/>
      <c r="L20" s="20" t="str">
        <f t="shared" si="1"/>
        <v/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>
      <c r="A21" s="19"/>
      <c r="B21" s="21"/>
      <c r="C21" s="20" t="str">
        <f>IFERROR(__xludf.DUMMYFUNCTION("IF(ISBLANK(B21),,IFERROR(array_constrain(FILTER('Leetcode分类顺序表'!B:J,'Leetcode分类顺序表'!A:A = B21), 1, 10000000),IFERROR(FILTER(Algoexpert.io!B:D,Algoexpert.io!A:A = B21),FILTER('Leetcode List'!B:J,'Leetcode List'!A:A = B21))))"),"")</f>
        <v/>
      </c>
      <c r="D21" s="20"/>
      <c r="E21" s="20"/>
      <c r="F21" s="20"/>
      <c r="G21" s="20"/>
      <c r="H21" s="20"/>
      <c r="I21" s="20"/>
      <c r="J21" s="20"/>
      <c r="K21" s="20"/>
      <c r="L21" s="20" t="str">
        <f t="shared" si="1"/>
        <v/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>
      <c r="A22" s="19"/>
      <c r="B22" s="21"/>
      <c r="C22" s="20" t="str">
        <f>IFERROR(__xludf.DUMMYFUNCTION("IF(ISBLANK(B22),,IFERROR(array_constrain(FILTER('Leetcode分类顺序表'!B:J,'Leetcode分类顺序表'!A:A = B22), 1, 10000000),IFERROR(FILTER(Algoexpert.io!B:D,Algoexpert.io!A:A = B22),FILTER('Leetcode List'!B:J,'Leetcode List'!A:A = B22))))"),"")</f>
        <v/>
      </c>
      <c r="D22" s="20"/>
      <c r="E22" s="20"/>
      <c r="F22" s="20"/>
      <c r="G22" s="20"/>
      <c r="H22" s="20"/>
      <c r="I22" s="20"/>
      <c r="J22" s="20"/>
      <c r="K22" s="20"/>
      <c r="L22" s="20" t="str">
        <f t="shared" si="1"/>
        <v/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>
      <c r="A23" s="19"/>
      <c r="B23" s="21"/>
      <c r="C23" s="20" t="str">
        <f>IFERROR(__xludf.DUMMYFUNCTION("IF(ISBLANK(B23),,IFERROR(array_constrain(FILTER('Leetcode分类顺序表'!B:J,'Leetcode分类顺序表'!A:A = B23), 1, 10000000),IFERROR(FILTER(Algoexpert.io!B:D,Algoexpert.io!A:A = B23),FILTER('Leetcode List'!B:J,'Leetcode List'!A:A = B23))))"),"")</f>
        <v/>
      </c>
      <c r="D23" s="20"/>
      <c r="E23" s="20"/>
      <c r="F23" s="20"/>
      <c r="G23" s="20"/>
      <c r="H23" s="20"/>
      <c r="I23" s="20"/>
      <c r="J23" s="20"/>
      <c r="K23" s="20"/>
      <c r="L23" s="20" t="str">
        <f t="shared" si="1"/>
        <v/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>
      <c r="A24" s="19"/>
      <c r="B24" s="21"/>
      <c r="C24" s="20" t="str">
        <f>IFERROR(__xludf.DUMMYFUNCTION("IF(ISBLANK(B24),,IFERROR(array_constrain(FILTER('Leetcode分类顺序表'!B:J,'Leetcode分类顺序表'!A:A = B24), 1, 10000000),IFERROR(FILTER(Algoexpert.io!B:D,Algoexpert.io!A:A = B24),FILTER('Leetcode List'!B:J,'Leetcode List'!A:A = B24))))"),"")</f>
        <v/>
      </c>
      <c r="D24" s="20"/>
      <c r="E24" s="20"/>
      <c r="F24" s="20"/>
      <c r="G24" s="20"/>
      <c r="H24" s="20"/>
      <c r="I24" s="20"/>
      <c r="J24" s="20"/>
      <c r="K24" s="20"/>
      <c r="L24" s="20" t="str">
        <f t="shared" si="1"/>
        <v/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>
      <c r="A25" s="19"/>
      <c r="B25" s="21"/>
      <c r="C25" s="20" t="str">
        <f>IFERROR(__xludf.DUMMYFUNCTION("IF(ISBLANK(B25),,IFERROR(array_constrain(FILTER('Leetcode分类顺序表'!B:J,'Leetcode分类顺序表'!A:A = B25), 1, 10000000),IFERROR(FILTER(Algoexpert.io!B:D,Algoexpert.io!A:A = B25),FILTER('Leetcode List'!B:J,'Leetcode List'!A:A = B25))))"),"")</f>
        <v/>
      </c>
      <c r="D25" s="20"/>
      <c r="E25" s="20"/>
      <c r="F25" s="20"/>
      <c r="G25" s="20"/>
      <c r="H25" s="20"/>
      <c r="I25" s="20"/>
      <c r="J25" s="20"/>
      <c r="K25" s="20"/>
      <c r="L25" s="20" t="str">
        <f t="shared" si="1"/>
        <v/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>
      <c r="A26" s="19"/>
      <c r="B26" s="21"/>
      <c r="C26" s="20" t="str">
        <f>IFERROR(__xludf.DUMMYFUNCTION("IF(ISBLANK(B26),,IFERROR(array_constrain(FILTER('Leetcode分类顺序表'!B:J,'Leetcode分类顺序表'!A:A = B26), 1, 10000000),IFERROR(FILTER(Algoexpert.io!B:D,Algoexpert.io!A:A = B26),FILTER('Leetcode List'!B:J,'Leetcode List'!A:A = B26))))"),"")</f>
        <v/>
      </c>
      <c r="D26" s="20"/>
      <c r="E26" s="20"/>
      <c r="F26" s="20"/>
      <c r="G26" s="20"/>
      <c r="H26" s="20"/>
      <c r="I26" s="20"/>
      <c r="J26" s="20"/>
      <c r="K26" s="20"/>
      <c r="L26" s="20" t="str">
        <f t="shared" si="1"/>
        <v/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>
      <c r="A27" s="19"/>
      <c r="B27" s="21"/>
      <c r="C27" s="20" t="str">
        <f>IFERROR(__xludf.DUMMYFUNCTION("IF(ISBLANK(B27),,IFERROR(array_constrain(FILTER('Leetcode分类顺序表'!B:J,'Leetcode分类顺序表'!A:A = B27), 1, 10000000),IFERROR(FILTER(Algoexpert.io!B:D,Algoexpert.io!A:A = B27),FILTER('Leetcode List'!B:J,'Leetcode List'!A:A = B27))))"),"")</f>
        <v/>
      </c>
      <c r="D27" s="20"/>
      <c r="E27" s="20"/>
      <c r="F27" s="20"/>
      <c r="G27" s="20"/>
      <c r="H27" s="20"/>
      <c r="I27" s="20"/>
      <c r="J27" s="20"/>
      <c r="K27" s="20"/>
      <c r="L27" s="20" t="str">
        <f t="shared" si="1"/>
        <v/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>
      <c r="A28" s="19"/>
      <c r="B28" s="21"/>
      <c r="C28" s="20" t="str">
        <f>IFERROR(__xludf.DUMMYFUNCTION("IF(ISBLANK(B28),,IFERROR(array_constrain(FILTER('Leetcode分类顺序表'!B:J,'Leetcode分类顺序表'!A:A = B28), 1, 10000000),IFERROR(FILTER(Algoexpert.io!B:D,Algoexpert.io!A:A = B28),FILTER('Leetcode List'!B:J,'Leetcode List'!A:A = B28))))"),"")</f>
        <v/>
      </c>
      <c r="D28" s="20"/>
      <c r="E28" s="20"/>
      <c r="F28" s="20"/>
      <c r="G28" s="20"/>
      <c r="H28" s="20"/>
      <c r="I28" s="20"/>
      <c r="J28" s="20"/>
      <c r="K28" s="20"/>
      <c r="L28" s="20" t="str">
        <f t="shared" si="1"/>
        <v/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>
      <c r="A29" s="19"/>
      <c r="B29" s="21"/>
      <c r="C29" s="20" t="str">
        <f>IFERROR(__xludf.DUMMYFUNCTION("IF(ISBLANK(B29),,IFERROR(array_constrain(FILTER('Leetcode分类顺序表'!B:J,'Leetcode分类顺序表'!A:A = B29), 1, 10000000),IFERROR(FILTER(Algoexpert.io!B:D,Algoexpert.io!A:A = B29),FILTER('Leetcode List'!B:J,'Leetcode List'!A:A = B29))))"),"")</f>
        <v/>
      </c>
      <c r="D29" s="20"/>
      <c r="E29" s="20"/>
      <c r="F29" s="20"/>
      <c r="G29" s="20"/>
      <c r="H29" s="20"/>
      <c r="I29" s="20"/>
      <c r="J29" s="20"/>
      <c r="K29" s="20"/>
      <c r="L29" s="20" t="str">
        <f t="shared" si="1"/>
        <v/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>
      <c r="A30" s="19"/>
      <c r="B30" s="21"/>
      <c r="C30" s="20" t="str">
        <f>IFERROR(__xludf.DUMMYFUNCTION("IF(ISBLANK(B30),,IFERROR(array_constrain(FILTER('Leetcode分类顺序表'!B:J,'Leetcode分类顺序表'!A:A = B30), 1, 10000000),IFERROR(FILTER(Algoexpert.io!B:D,Algoexpert.io!A:A = B30),FILTER('Leetcode List'!B:J,'Leetcode List'!A:A = B30))))"),"")</f>
        <v/>
      </c>
      <c r="D30" s="20"/>
      <c r="E30" s="20"/>
      <c r="F30" s="20"/>
      <c r="G30" s="20"/>
      <c r="H30" s="20"/>
      <c r="I30" s="20"/>
      <c r="J30" s="20"/>
      <c r="K30" s="20"/>
      <c r="L30" s="20" t="str">
        <f t="shared" si="1"/>
        <v/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>
      <c r="A31" s="19"/>
      <c r="B31" s="21"/>
      <c r="C31" s="20" t="str">
        <f>IFERROR(__xludf.DUMMYFUNCTION("IF(ISBLANK(B31),,IFERROR(array_constrain(FILTER('Leetcode分类顺序表'!B:J,'Leetcode分类顺序表'!A:A = B31), 1, 10000000),IFERROR(FILTER(Algoexpert.io!B:D,Algoexpert.io!A:A = B31),FILTER('Leetcode List'!B:J,'Leetcode List'!A:A = B31))))"),"")</f>
        <v/>
      </c>
      <c r="D31" s="20"/>
      <c r="E31" s="20"/>
      <c r="F31" s="20"/>
      <c r="G31" s="20"/>
      <c r="H31" s="20"/>
      <c r="I31" s="20"/>
      <c r="J31" s="20"/>
      <c r="K31" s="20"/>
      <c r="L31" s="20" t="str">
        <f t="shared" si="1"/>
        <v/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>
      <c r="A32" s="19"/>
      <c r="B32" s="21"/>
      <c r="C32" s="20" t="str">
        <f>IFERROR(__xludf.DUMMYFUNCTION("IF(ISBLANK(B32),,IFERROR(array_constrain(FILTER('Leetcode分类顺序表'!B:J,'Leetcode分类顺序表'!A:A = B32), 1, 10000000),IFERROR(FILTER(Algoexpert.io!B:D,Algoexpert.io!A:A = B32),FILTER('Leetcode List'!B:J,'Leetcode List'!A:A = B32))))"),"")</f>
        <v/>
      </c>
      <c r="D32" s="20"/>
      <c r="E32" s="20"/>
      <c r="F32" s="20"/>
      <c r="G32" s="20"/>
      <c r="H32" s="20"/>
      <c r="I32" s="20"/>
      <c r="J32" s="20"/>
      <c r="K32" s="20"/>
      <c r="L32" s="20" t="str">
        <f t="shared" si="1"/>
        <v/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>
      <c r="A33" s="19"/>
      <c r="B33" s="21"/>
      <c r="C33" s="20" t="str">
        <f>IFERROR(__xludf.DUMMYFUNCTION("IF(ISBLANK(B33),,IFERROR(array_constrain(FILTER('Leetcode分类顺序表'!B:J,'Leetcode分类顺序表'!A:A = B33), 1, 10000000),IFERROR(FILTER(Algoexpert.io!B:D,Algoexpert.io!A:A = B33),FILTER('Leetcode List'!B:J,'Leetcode List'!A:A = B33))))"),"")</f>
        <v/>
      </c>
      <c r="D33" s="20"/>
      <c r="E33" s="20"/>
      <c r="F33" s="20"/>
      <c r="G33" s="20"/>
      <c r="H33" s="20"/>
      <c r="I33" s="20"/>
      <c r="J33" s="20"/>
      <c r="K33" s="20"/>
      <c r="L33" s="20" t="str">
        <f t="shared" si="1"/>
        <v/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>
      <c r="A34" s="19"/>
      <c r="B34" s="21"/>
      <c r="C34" s="20" t="str">
        <f>IFERROR(__xludf.DUMMYFUNCTION("IF(ISBLANK(B34),,IFERROR(array_constrain(FILTER('Leetcode分类顺序表'!B:J,'Leetcode分类顺序表'!A:A = B34), 1, 10000000),IFERROR(FILTER(Algoexpert.io!B:D,Algoexpert.io!A:A = B34),FILTER('Leetcode List'!B:J,'Leetcode List'!A:A = B34))))"),"")</f>
        <v/>
      </c>
      <c r="D34" s="20"/>
      <c r="E34" s="20"/>
      <c r="F34" s="20"/>
      <c r="G34" s="20"/>
      <c r="H34" s="20"/>
      <c r="I34" s="20"/>
      <c r="J34" s="20"/>
      <c r="K34" s="20"/>
      <c r="L34" s="20" t="str">
        <f t="shared" si="1"/>
        <v/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>
      <c r="A35" s="19"/>
      <c r="B35" s="21"/>
      <c r="C35" s="20" t="str">
        <f>IFERROR(__xludf.DUMMYFUNCTION("IF(ISBLANK(B35),,IFERROR(array_constrain(FILTER('Leetcode分类顺序表'!B:J,'Leetcode分类顺序表'!A:A = B35), 1, 10000000),IFERROR(FILTER(Algoexpert.io!B:D,Algoexpert.io!A:A = B35),FILTER('Leetcode List'!B:J,'Leetcode List'!A:A = B35))))"),"")</f>
        <v/>
      </c>
      <c r="D35" s="20"/>
      <c r="E35" s="20"/>
      <c r="F35" s="20"/>
      <c r="G35" s="20"/>
      <c r="H35" s="20"/>
      <c r="I35" s="20"/>
      <c r="J35" s="20"/>
      <c r="K35" s="20"/>
      <c r="L35" s="20" t="str">
        <f t="shared" si="1"/>
        <v/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>
      <c r="A36" s="19"/>
      <c r="B36" s="21"/>
      <c r="C36" s="20" t="str">
        <f>IFERROR(__xludf.DUMMYFUNCTION("IF(ISBLANK(B36),,IFERROR(array_constrain(FILTER('Leetcode分类顺序表'!B:J,'Leetcode分类顺序表'!A:A = B36), 1, 10000000),IFERROR(FILTER(Algoexpert.io!B:D,Algoexpert.io!A:A = B36),FILTER('Leetcode List'!B:J,'Leetcode List'!A:A = B36))))"),"")</f>
        <v/>
      </c>
      <c r="D36" s="20"/>
      <c r="E36" s="20"/>
      <c r="F36" s="20"/>
      <c r="G36" s="20"/>
      <c r="H36" s="20"/>
      <c r="I36" s="20"/>
      <c r="J36" s="20"/>
      <c r="K36" s="20"/>
      <c r="L36" s="20" t="str">
        <f t="shared" si="1"/>
        <v/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>
      <c r="A37" s="19"/>
      <c r="B37" s="21"/>
      <c r="C37" s="20" t="str">
        <f>IFERROR(__xludf.DUMMYFUNCTION("IF(ISBLANK(B37),,IFERROR(array_constrain(FILTER('Leetcode分类顺序表'!B:J,'Leetcode分类顺序表'!A:A = B37), 1, 10000000),IFERROR(FILTER(Algoexpert.io!B:D,Algoexpert.io!A:A = B37),FILTER('Leetcode List'!B:J,'Leetcode List'!A:A = B37))))"),"")</f>
        <v/>
      </c>
      <c r="D37" s="20"/>
      <c r="E37" s="20"/>
      <c r="F37" s="20"/>
      <c r="G37" s="20"/>
      <c r="H37" s="20"/>
      <c r="I37" s="20"/>
      <c r="J37" s="20"/>
      <c r="K37" s="20"/>
      <c r="L37" s="20" t="str">
        <f t="shared" si="1"/>
        <v/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>
      <c r="A38" s="19"/>
      <c r="B38" s="21"/>
      <c r="C38" s="20" t="str">
        <f>IFERROR(__xludf.DUMMYFUNCTION("IF(ISBLANK(B38),,IFERROR(array_constrain(FILTER('Leetcode分类顺序表'!B:J,'Leetcode分类顺序表'!A:A = B38), 1, 10000000),IFERROR(FILTER(Algoexpert.io!B:D,Algoexpert.io!A:A = B38),FILTER('Leetcode List'!B:J,'Leetcode List'!A:A = B38))))"),"")</f>
        <v/>
      </c>
      <c r="D38" s="20"/>
      <c r="E38" s="20"/>
      <c r="F38" s="20"/>
      <c r="G38" s="20"/>
      <c r="H38" s="20"/>
      <c r="I38" s="20"/>
      <c r="J38" s="20"/>
      <c r="K38" s="20"/>
      <c r="L38" s="20" t="str">
        <f t="shared" si="1"/>
        <v/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>
      <c r="A39" s="19"/>
      <c r="B39" s="21"/>
      <c r="C39" s="20" t="str">
        <f>IFERROR(__xludf.DUMMYFUNCTION("IF(ISBLANK(B39),,IFERROR(array_constrain(FILTER('Leetcode分类顺序表'!B:J,'Leetcode分类顺序表'!A:A = B39), 1, 10000000),IFERROR(FILTER(Algoexpert.io!B:D,Algoexpert.io!A:A = B39),FILTER('Leetcode List'!B:J,'Leetcode List'!A:A = B39))))"),"")</f>
        <v/>
      </c>
      <c r="D39" s="20"/>
      <c r="E39" s="20"/>
      <c r="F39" s="20"/>
      <c r="G39" s="20"/>
      <c r="H39" s="20"/>
      <c r="I39" s="20"/>
      <c r="J39" s="20"/>
      <c r="K39" s="20"/>
      <c r="L39" s="20" t="str">
        <f t="shared" si="1"/>
        <v/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>
      <c r="A40" s="19"/>
      <c r="B40" s="21"/>
      <c r="C40" s="20" t="str">
        <f>IFERROR(__xludf.DUMMYFUNCTION("IF(ISBLANK(B40),,IFERROR(array_constrain(FILTER('Leetcode分类顺序表'!B:J,'Leetcode分类顺序表'!A:A = B40), 1, 10000000),IFERROR(FILTER(Algoexpert.io!B:D,Algoexpert.io!A:A = B40),FILTER('Leetcode List'!B:J,'Leetcode List'!A:A = B40))))"),"")</f>
        <v/>
      </c>
      <c r="D40" s="20"/>
      <c r="E40" s="20"/>
      <c r="F40" s="20"/>
      <c r="G40" s="20"/>
      <c r="H40" s="20"/>
      <c r="I40" s="20"/>
      <c r="J40" s="20"/>
      <c r="K40" s="20"/>
      <c r="L40" s="20" t="str">
        <f t="shared" si="1"/>
        <v/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>
      <c r="A41" s="19"/>
      <c r="B41" s="21"/>
      <c r="C41" s="20" t="str">
        <f>IFERROR(__xludf.DUMMYFUNCTION("IF(ISBLANK(B41),,IFERROR(array_constrain(FILTER('Leetcode分类顺序表'!B:J,'Leetcode分类顺序表'!A:A = B41), 1, 10000000),IFERROR(FILTER(Algoexpert.io!B:D,Algoexpert.io!A:A = B41),FILTER('Leetcode List'!B:J,'Leetcode List'!A:A = B41))))"),"")</f>
        <v/>
      </c>
      <c r="D41" s="20"/>
      <c r="E41" s="20"/>
      <c r="F41" s="20"/>
      <c r="G41" s="20"/>
      <c r="H41" s="20"/>
      <c r="I41" s="20"/>
      <c r="J41" s="20"/>
      <c r="K41" s="20"/>
      <c r="L41" s="20" t="str">
        <f t="shared" si="1"/>
        <v/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>
      <c r="A42" s="19"/>
      <c r="B42" s="21"/>
      <c r="C42" s="20" t="str">
        <f>IFERROR(__xludf.DUMMYFUNCTION("IF(ISBLANK(B42),,IFERROR(array_constrain(FILTER('Leetcode分类顺序表'!B:J,'Leetcode分类顺序表'!A:A = B42), 1, 10000000),IFERROR(FILTER(Algoexpert.io!B:D,Algoexpert.io!A:A = B42),FILTER('Leetcode List'!B:J,'Leetcode List'!A:A = B42))))"),"")</f>
        <v/>
      </c>
      <c r="D42" s="20"/>
      <c r="E42" s="20"/>
      <c r="F42" s="20"/>
      <c r="G42" s="20"/>
      <c r="H42" s="20"/>
      <c r="I42" s="20"/>
      <c r="J42" s="20"/>
      <c r="K42" s="20"/>
      <c r="L42" s="20" t="str">
        <f t="shared" si="1"/>
        <v/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>
      <c r="A43" s="19"/>
      <c r="B43" s="21"/>
      <c r="C43" s="20" t="str">
        <f>IFERROR(__xludf.DUMMYFUNCTION("IF(ISBLANK(B43),,IFERROR(array_constrain(FILTER('Leetcode分类顺序表'!B:J,'Leetcode分类顺序表'!A:A = B43), 1, 10000000),IFERROR(FILTER(Algoexpert.io!B:D,Algoexpert.io!A:A = B43),FILTER('Leetcode List'!B:J,'Leetcode List'!A:A = B43))))"),"")</f>
        <v/>
      </c>
      <c r="D43" s="20"/>
      <c r="E43" s="20"/>
      <c r="F43" s="20"/>
      <c r="G43" s="20"/>
      <c r="H43" s="20"/>
      <c r="I43" s="20"/>
      <c r="J43" s="20"/>
      <c r="K43" s="20"/>
      <c r="L43" s="20" t="str">
        <f t="shared" si="1"/>
        <v/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>
      <c r="A44" s="19"/>
      <c r="B44" s="21"/>
      <c r="C44" s="20" t="str">
        <f>IFERROR(__xludf.DUMMYFUNCTION("IF(ISBLANK(B44),,IFERROR(array_constrain(FILTER('Leetcode分类顺序表'!B:J,'Leetcode分类顺序表'!A:A = B44), 1, 10000000),IFERROR(FILTER(Algoexpert.io!B:D,Algoexpert.io!A:A = B44),FILTER('Leetcode List'!B:J,'Leetcode List'!A:A = B44))))"),"")</f>
        <v/>
      </c>
      <c r="D44" s="20"/>
      <c r="E44" s="20"/>
      <c r="F44" s="20"/>
      <c r="G44" s="20"/>
      <c r="H44" s="20"/>
      <c r="I44" s="20"/>
      <c r="J44" s="20"/>
      <c r="K44" s="20"/>
      <c r="L44" s="20" t="str">
        <f t="shared" si="1"/>
        <v/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>
      <c r="A45" s="19"/>
      <c r="B45" s="21"/>
      <c r="C45" s="20" t="str">
        <f>IFERROR(__xludf.DUMMYFUNCTION("IF(ISBLANK(B45),,IFERROR(array_constrain(FILTER('Leetcode分类顺序表'!B:J,'Leetcode分类顺序表'!A:A = B45), 1, 10000000),IFERROR(FILTER(Algoexpert.io!B:D,Algoexpert.io!A:A = B45),FILTER('Leetcode List'!B:J,'Leetcode List'!A:A = B45))))"),"")</f>
        <v/>
      </c>
      <c r="D45" s="20"/>
      <c r="E45" s="20"/>
      <c r="F45" s="20"/>
      <c r="G45" s="20"/>
      <c r="H45" s="20"/>
      <c r="I45" s="20"/>
      <c r="J45" s="20"/>
      <c r="K45" s="20"/>
      <c r="L45" s="20" t="str">
        <f t="shared" si="1"/>
        <v/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>
      <c r="A46" s="19"/>
      <c r="B46" s="21"/>
      <c r="C46" s="20" t="str">
        <f>IFERROR(__xludf.DUMMYFUNCTION("IF(ISBLANK(B46),,IFERROR(array_constrain(FILTER('Leetcode分类顺序表'!B:J,'Leetcode分类顺序表'!A:A = B46), 1, 10000000),IFERROR(FILTER(Algoexpert.io!B:D,Algoexpert.io!A:A = B46),FILTER('Leetcode List'!B:J,'Leetcode List'!A:A = B46))))"),"")</f>
        <v/>
      </c>
      <c r="D46" s="20"/>
      <c r="E46" s="20"/>
      <c r="F46" s="20"/>
      <c r="G46" s="20"/>
      <c r="H46" s="20"/>
      <c r="I46" s="20"/>
      <c r="J46" s="20"/>
      <c r="K46" s="20"/>
      <c r="L46" s="20" t="str">
        <f t="shared" si="1"/>
        <v/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>
      <c r="A47" s="19"/>
      <c r="B47" s="21"/>
      <c r="C47" s="20" t="str">
        <f>IFERROR(__xludf.DUMMYFUNCTION("IF(ISBLANK(B47),,IFERROR(array_constrain(FILTER('Leetcode分类顺序表'!B:J,'Leetcode分类顺序表'!A:A = B47), 1, 10000000),IFERROR(FILTER(Algoexpert.io!B:D,Algoexpert.io!A:A = B47),FILTER('Leetcode List'!B:J,'Leetcode List'!A:A = B47))))"),"")</f>
        <v/>
      </c>
      <c r="D47" s="20"/>
      <c r="E47" s="20"/>
      <c r="F47" s="20"/>
      <c r="G47" s="20"/>
      <c r="H47" s="20"/>
      <c r="I47" s="20"/>
      <c r="J47" s="20"/>
      <c r="K47" s="20"/>
      <c r="L47" s="20" t="str">
        <f t="shared" si="1"/>
        <v/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>
      <c r="A48" s="19"/>
      <c r="B48" s="21"/>
      <c r="C48" s="20" t="str">
        <f>IFERROR(__xludf.DUMMYFUNCTION("IF(ISBLANK(B48),,IFERROR(array_constrain(FILTER('Leetcode分类顺序表'!B:J,'Leetcode分类顺序表'!A:A = B48), 1, 10000000),IFERROR(FILTER(Algoexpert.io!B:D,Algoexpert.io!A:A = B48),FILTER('Leetcode List'!B:J,'Leetcode List'!A:A = B48))))"),"")</f>
        <v/>
      </c>
      <c r="D48" s="20"/>
      <c r="E48" s="20"/>
      <c r="F48" s="20"/>
      <c r="G48" s="20"/>
      <c r="H48" s="20"/>
      <c r="I48" s="20"/>
      <c r="J48" s="20"/>
      <c r="K48" s="20"/>
      <c r="L48" s="20" t="str">
        <f t="shared" si="1"/>
        <v/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>
      <c r="A49" s="19"/>
      <c r="B49" s="21"/>
      <c r="C49" s="20" t="str">
        <f>IFERROR(__xludf.DUMMYFUNCTION("IF(ISBLANK(B49),,IFERROR(array_constrain(FILTER('Leetcode分类顺序表'!B:J,'Leetcode分类顺序表'!A:A = B49), 1, 10000000),IFERROR(FILTER(Algoexpert.io!B:D,Algoexpert.io!A:A = B49),FILTER('Leetcode List'!B:J,'Leetcode List'!A:A = B49))))"),"")</f>
        <v/>
      </c>
      <c r="D49" s="20"/>
      <c r="E49" s="20"/>
      <c r="F49" s="20"/>
      <c r="G49" s="20"/>
      <c r="H49" s="20"/>
      <c r="I49" s="20"/>
      <c r="J49" s="20"/>
      <c r="K49" s="20"/>
      <c r="L49" s="20" t="str">
        <f t="shared" si="1"/>
        <v/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>
      <c r="A50" s="19"/>
      <c r="B50" s="21"/>
      <c r="C50" s="20" t="str">
        <f>IFERROR(__xludf.DUMMYFUNCTION("IF(ISBLANK(B50),,IFERROR(array_constrain(FILTER('Leetcode分类顺序表'!B:J,'Leetcode分类顺序表'!A:A = B50), 1, 10000000),IFERROR(FILTER(Algoexpert.io!B:D,Algoexpert.io!A:A = B50),FILTER('Leetcode List'!B:J,'Leetcode List'!A:A = B50))))"),"")</f>
        <v/>
      </c>
      <c r="D50" s="20"/>
      <c r="E50" s="20"/>
      <c r="F50" s="20"/>
      <c r="G50" s="20"/>
      <c r="H50" s="20"/>
      <c r="I50" s="20"/>
      <c r="J50" s="20"/>
      <c r="K50" s="20"/>
      <c r="L50" s="20" t="str">
        <f t="shared" si="1"/>
        <v/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>
      <c r="A51" s="19"/>
      <c r="B51" s="21"/>
      <c r="C51" s="20" t="str">
        <f>IFERROR(__xludf.DUMMYFUNCTION("IF(ISBLANK(B51),,IFERROR(array_constrain(FILTER('Leetcode分类顺序表'!B:J,'Leetcode分类顺序表'!A:A = B51), 1, 10000000),IFERROR(FILTER(Algoexpert.io!B:D,Algoexpert.io!A:A = B51),FILTER('Leetcode List'!B:J,'Leetcode List'!A:A = B51))))"),"")</f>
        <v/>
      </c>
      <c r="D51" s="20"/>
      <c r="E51" s="20"/>
      <c r="F51" s="20"/>
      <c r="G51" s="20"/>
      <c r="H51" s="20"/>
      <c r="I51" s="20"/>
      <c r="J51" s="20"/>
      <c r="K51" s="20"/>
      <c r="L51" s="20" t="str">
        <f t="shared" si="1"/>
        <v/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>
      <c r="A52" s="19"/>
      <c r="B52" s="21"/>
      <c r="C52" s="20" t="str">
        <f>IFERROR(__xludf.DUMMYFUNCTION("IF(ISBLANK(B52),,IFERROR(array_constrain(FILTER('Leetcode分类顺序表'!B:J,'Leetcode分类顺序表'!A:A = B52), 1, 10000000),IFERROR(FILTER(Algoexpert.io!B:D,Algoexpert.io!A:A = B52),FILTER('Leetcode List'!B:J,'Leetcode List'!A:A = B52))))"),"")</f>
        <v/>
      </c>
      <c r="D52" s="20"/>
      <c r="E52" s="20"/>
      <c r="F52" s="20"/>
      <c r="G52" s="20"/>
      <c r="H52" s="20"/>
      <c r="I52" s="20"/>
      <c r="J52" s="20"/>
      <c r="K52" s="20"/>
      <c r="L52" s="20" t="str">
        <f t="shared" si="1"/>
        <v/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>
      <c r="A53" s="19"/>
      <c r="B53" s="21"/>
      <c r="C53" s="20" t="str">
        <f>IFERROR(__xludf.DUMMYFUNCTION("IF(ISBLANK(B53),,IFERROR(array_constrain(FILTER('Leetcode分类顺序表'!B:J,'Leetcode分类顺序表'!A:A = B53), 1, 10000000),IFERROR(FILTER(Algoexpert.io!B:D,Algoexpert.io!A:A = B53),FILTER('Leetcode List'!B:J,'Leetcode List'!A:A = B53))))"),"")</f>
        <v/>
      </c>
      <c r="D53" s="20"/>
      <c r="E53" s="20"/>
      <c r="F53" s="20"/>
      <c r="G53" s="20"/>
      <c r="H53" s="20"/>
      <c r="I53" s="20"/>
      <c r="J53" s="20"/>
      <c r="K53" s="20"/>
      <c r="L53" s="20" t="str">
        <f t="shared" si="1"/>
        <v/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>
      <c r="A54" s="19"/>
      <c r="B54" s="21"/>
      <c r="C54" s="20" t="str">
        <f>IFERROR(__xludf.DUMMYFUNCTION("IF(ISBLANK(B54),,IFERROR(array_constrain(FILTER('Leetcode分类顺序表'!B:J,'Leetcode分类顺序表'!A:A = B54), 1, 10000000),IFERROR(FILTER(Algoexpert.io!B:D,Algoexpert.io!A:A = B54),FILTER('Leetcode List'!B:J,'Leetcode List'!A:A = B54))))"),"")</f>
        <v/>
      </c>
      <c r="D54" s="20"/>
      <c r="E54" s="20"/>
      <c r="F54" s="20"/>
      <c r="G54" s="20"/>
      <c r="H54" s="20"/>
      <c r="I54" s="20"/>
      <c r="J54" s="20"/>
      <c r="K54" s="20"/>
      <c r="L54" s="20" t="str">
        <f t="shared" si="1"/>
        <v/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>
      <c r="A55" s="19"/>
      <c r="B55" s="21"/>
      <c r="C55" s="20" t="str">
        <f>IFERROR(__xludf.DUMMYFUNCTION("IF(ISBLANK(B55),,IFERROR(array_constrain(FILTER('Leetcode分类顺序表'!B:J,'Leetcode分类顺序表'!A:A = B55), 1, 10000000),IFERROR(FILTER(Algoexpert.io!B:D,Algoexpert.io!A:A = B55),FILTER('Leetcode List'!B:J,'Leetcode List'!A:A = B55))))"),"")</f>
        <v/>
      </c>
      <c r="D55" s="20"/>
      <c r="E55" s="20"/>
      <c r="F55" s="20"/>
      <c r="G55" s="20"/>
      <c r="H55" s="20"/>
      <c r="I55" s="20"/>
      <c r="J55" s="20"/>
      <c r="K55" s="20"/>
      <c r="L55" s="20" t="str">
        <f t="shared" si="1"/>
        <v/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>
      <c r="A56" s="19"/>
      <c r="B56" s="21"/>
      <c r="C56" s="20" t="str">
        <f>IFERROR(__xludf.DUMMYFUNCTION("IF(ISBLANK(B56),,IFERROR(array_constrain(FILTER('Leetcode分类顺序表'!B:J,'Leetcode分类顺序表'!A:A = B56), 1, 10000000),IFERROR(FILTER(Algoexpert.io!B:D,Algoexpert.io!A:A = B56),FILTER('Leetcode List'!B:J,'Leetcode List'!A:A = B56))))"),"")</f>
        <v/>
      </c>
      <c r="D56" s="20"/>
      <c r="E56" s="20"/>
      <c r="F56" s="20"/>
      <c r="G56" s="20"/>
      <c r="H56" s="20"/>
      <c r="I56" s="20"/>
      <c r="J56" s="20"/>
      <c r="K56" s="20"/>
      <c r="L56" s="20" t="str">
        <f t="shared" si="1"/>
        <v/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>
      <c r="A57" s="19"/>
      <c r="B57" s="21"/>
      <c r="C57" s="20" t="str">
        <f>IFERROR(__xludf.DUMMYFUNCTION("IF(ISBLANK(B57),,IFERROR(array_constrain(FILTER('Leetcode分类顺序表'!B:J,'Leetcode分类顺序表'!A:A = B57), 1, 10000000),IFERROR(FILTER(Algoexpert.io!B:D,Algoexpert.io!A:A = B57),FILTER('Leetcode List'!B:J,'Leetcode List'!A:A = B57))))"),"")</f>
        <v/>
      </c>
      <c r="D57" s="20"/>
      <c r="E57" s="20"/>
      <c r="F57" s="20"/>
      <c r="G57" s="20"/>
      <c r="H57" s="20"/>
      <c r="I57" s="20"/>
      <c r="J57" s="20"/>
      <c r="K57" s="20"/>
      <c r="L57" s="20" t="str">
        <f t="shared" si="1"/>
        <v/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>
      <c r="A58" s="19"/>
      <c r="B58" s="21"/>
      <c r="C58" s="20" t="str">
        <f>IFERROR(__xludf.DUMMYFUNCTION("IF(ISBLANK(B58),,IFERROR(array_constrain(FILTER('Leetcode分类顺序表'!B:J,'Leetcode分类顺序表'!A:A = B58), 1, 10000000),IFERROR(FILTER(Algoexpert.io!B:D,Algoexpert.io!A:A = B58),FILTER('Leetcode List'!B:J,'Leetcode List'!A:A = B58))))"),"")</f>
        <v/>
      </c>
      <c r="D58" s="20"/>
      <c r="E58" s="20"/>
      <c r="F58" s="20"/>
      <c r="G58" s="20"/>
      <c r="H58" s="20"/>
      <c r="I58" s="20"/>
      <c r="J58" s="20"/>
      <c r="K58" s="20"/>
      <c r="L58" s="20" t="str">
        <f t="shared" si="1"/>
        <v/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>
      <c r="A59" s="22"/>
      <c r="B59" s="21"/>
      <c r="C59" s="20" t="str">
        <f>IFERROR(__xludf.DUMMYFUNCTION("IF(ISBLANK(B59),,IFERROR(array_constrain(FILTER('Leetcode分类顺序表'!B:J,'Leetcode分类顺序表'!A:A = B59), 1, 10000000),IFERROR(FILTER(Algoexpert.io!B:D,Algoexpert.io!A:A = B59),FILTER('Leetcode List'!B:J,'Leetcode List'!A:A = B59))))"),"")</f>
        <v/>
      </c>
      <c r="D59" s="20"/>
      <c r="E59" s="20"/>
      <c r="F59" s="20"/>
      <c r="G59" s="20"/>
      <c r="H59" s="20"/>
      <c r="I59" s="20"/>
      <c r="J59" s="20"/>
      <c r="K59" s="20"/>
      <c r="L59" s="20" t="str">
        <f t="shared" si="1"/>
        <v/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>
      <c r="A60" s="22"/>
      <c r="B60" s="20"/>
      <c r="C60" s="20" t="str">
        <f>IFERROR(__xludf.DUMMYFUNCTION("IF(ISBLANK(B60),,IFERROR(array_constrain(FILTER('Leetcode分类顺序表'!B:J,'Leetcode分类顺序表'!A:A = B60), 1, 10000000),IFERROR(FILTER(Algoexpert.io!B:D,Algoexpert.io!A:A = B60),FILTER('Leetcode List'!B:J,'Leetcode List'!A:A = B60))))"),"")</f>
        <v/>
      </c>
      <c r="D60" s="20"/>
      <c r="E60" s="20"/>
      <c r="F60" s="20"/>
      <c r="G60" s="20"/>
      <c r="H60" s="20"/>
      <c r="I60" s="20"/>
      <c r="J60" s="20"/>
      <c r="K60" s="20"/>
      <c r="L60" s="20" t="str">
        <f t="shared" si="1"/>
        <v/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>
      <c r="A61" s="22"/>
      <c r="B61" s="20"/>
      <c r="C61" s="20" t="str">
        <f>IFERROR(__xludf.DUMMYFUNCTION("IF(ISBLANK(B61),,IFERROR(array_constrain(FILTER('Leetcode分类顺序表'!B:J,'Leetcode分类顺序表'!A:A = B61), 1, 10000000),IFERROR(FILTER(Algoexpert.io!B:D,Algoexpert.io!A:A = B61),FILTER('Leetcode List'!B:J,'Leetcode List'!A:A = B61))))"),"")</f>
        <v/>
      </c>
      <c r="D61" s="20"/>
      <c r="E61" s="20"/>
      <c r="F61" s="20"/>
      <c r="G61" s="20"/>
      <c r="H61" s="20"/>
      <c r="I61" s="20"/>
      <c r="J61" s="20"/>
      <c r="K61" s="20"/>
      <c r="L61" s="20" t="str">
        <f t="shared" si="1"/>
        <v/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>
      <c r="A62" s="22"/>
      <c r="B62" s="20"/>
      <c r="C62" s="20" t="str">
        <f>IFERROR(__xludf.DUMMYFUNCTION("IF(ISBLANK(B62),,IFERROR(array_constrain(FILTER('Leetcode分类顺序表'!B:J,'Leetcode分类顺序表'!A:A = B62), 1, 10000000),IFERROR(FILTER(Algoexpert.io!B:D,Algoexpert.io!A:A = B62),FILTER('Leetcode List'!B:J,'Leetcode List'!A:A = B62))))"),"")</f>
        <v/>
      </c>
      <c r="D62" s="20"/>
      <c r="E62" s="20"/>
      <c r="F62" s="20"/>
      <c r="G62" s="20"/>
      <c r="H62" s="20"/>
      <c r="I62" s="20"/>
      <c r="J62" s="20"/>
      <c r="K62" s="20"/>
      <c r="L62" s="20" t="str">
        <f t="shared" si="1"/>
        <v/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>
      <c r="A63" s="22"/>
      <c r="B63" s="20"/>
      <c r="C63" s="20" t="str">
        <f>IFERROR(__xludf.DUMMYFUNCTION("IF(ISBLANK(B63),,IFERROR(array_constrain(FILTER('Leetcode分类顺序表'!B:J,'Leetcode分类顺序表'!A:A = B63), 1, 10000000),IFERROR(FILTER(Algoexpert.io!B:D,Algoexpert.io!A:A = B63),FILTER('Leetcode List'!B:J,'Leetcode List'!A:A = B63))))"),"")</f>
        <v/>
      </c>
      <c r="D63" s="20"/>
      <c r="E63" s="20"/>
      <c r="F63" s="20"/>
      <c r="G63" s="20"/>
      <c r="H63" s="20"/>
      <c r="I63" s="20"/>
      <c r="J63" s="20"/>
      <c r="K63" s="20"/>
      <c r="L63" s="20" t="str">
        <f t="shared" si="1"/>
        <v/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>
      <c r="A64" s="22"/>
      <c r="B64" s="20"/>
      <c r="C64" s="20" t="str">
        <f>IFERROR(__xludf.DUMMYFUNCTION("IF(ISBLANK(B64),,IFERROR(array_constrain(FILTER('Leetcode分类顺序表'!B:J,'Leetcode分类顺序表'!A:A = B64), 1, 10000000),IFERROR(FILTER(Algoexpert.io!B:D,Algoexpert.io!A:A = B64),FILTER('Leetcode List'!B:J,'Leetcode List'!A:A = B64))))"),"")</f>
        <v/>
      </c>
      <c r="D64" s="20"/>
      <c r="E64" s="20"/>
      <c r="F64" s="20"/>
      <c r="G64" s="20"/>
      <c r="H64" s="20"/>
      <c r="I64" s="20"/>
      <c r="J64" s="20"/>
      <c r="K64" s="20"/>
      <c r="L64" s="20" t="str">
        <f t="shared" si="1"/>
        <v/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>
      <c r="A65" s="22"/>
      <c r="B65" s="20"/>
      <c r="C65" s="20" t="str">
        <f>IFERROR(__xludf.DUMMYFUNCTION("IF(ISBLANK(B65),,IFERROR(array_constrain(FILTER('Leetcode分类顺序表'!B:J,'Leetcode分类顺序表'!A:A = B65), 1, 10000000),IFERROR(FILTER(Algoexpert.io!B:D,Algoexpert.io!A:A = B65),FILTER('Leetcode List'!B:J,'Leetcode List'!A:A = B65))))"),"")</f>
        <v/>
      </c>
      <c r="D65" s="20"/>
      <c r="E65" s="20"/>
      <c r="F65" s="20"/>
      <c r="G65" s="20"/>
      <c r="H65" s="20"/>
      <c r="I65" s="20"/>
      <c r="J65" s="20"/>
      <c r="K65" s="20"/>
      <c r="L65" s="20" t="str">
        <f t="shared" si="1"/>
        <v/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>
      <c r="A66" s="22"/>
      <c r="B66" s="20"/>
      <c r="C66" s="20" t="str">
        <f>IFERROR(__xludf.DUMMYFUNCTION("IF(ISBLANK(B66),,IFERROR(array_constrain(FILTER('Leetcode分类顺序表'!B:J,'Leetcode分类顺序表'!A:A = B66), 1, 10000000),IFERROR(FILTER(Algoexpert.io!B:D,Algoexpert.io!A:A = B66),FILTER('Leetcode List'!B:J,'Leetcode List'!A:A = B66))))"),"")</f>
        <v/>
      </c>
      <c r="D66" s="20"/>
      <c r="E66" s="20"/>
      <c r="F66" s="20"/>
      <c r="G66" s="20"/>
      <c r="H66" s="20"/>
      <c r="I66" s="20"/>
      <c r="J66" s="20"/>
      <c r="K66" s="20"/>
      <c r="L66" s="20" t="str">
        <f t="shared" si="1"/>
        <v/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>
      <c r="A67" s="22"/>
      <c r="B67" s="20"/>
      <c r="C67" s="20" t="str">
        <f>IFERROR(__xludf.DUMMYFUNCTION("IF(ISBLANK(B67),,IFERROR(array_constrain(FILTER('Leetcode分类顺序表'!B:J,'Leetcode分类顺序表'!A:A = B67), 1, 10000000),IFERROR(FILTER(Algoexpert.io!B:D,Algoexpert.io!A:A = B67),FILTER('Leetcode List'!B:J,'Leetcode List'!A:A = B67))))"),"")</f>
        <v/>
      </c>
      <c r="D67" s="20"/>
      <c r="E67" s="20"/>
      <c r="F67" s="20"/>
      <c r="G67" s="20"/>
      <c r="H67" s="20"/>
      <c r="I67" s="20"/>
      <c r="J67" s="20"/>
      <c r="K67" s="20"/>
      <c r="L67" s="20" t="str">
        <f t="shared" si="1"/>
        <v/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>
      <c r="A68" s="22"/>
      <c r="B68" s="20"/>
      <c r="C68" s="20" t="str">
        <f>IFERROR(__xludf.DUMMYFUNCTION("IF(ISBLANK(B68),,IFERROR(array_constrain(FILTER('Leetcode分类顺序表'!B:J,'Leetcode分类顺序表'!A:A = B68), 1, 10000000),IFERROR(FILTER(Algoexpert.io!B:D,Algoexpert.io!A:A = B68),FILTER('Leetcode List'!B:J,'Leetcode List'!A:A = B68))))"),"")</f>
        <v/>
      </c>
      <c r="D68" s="20"/>
      <c r="E68" s="20"/>
      <c r="F68" s="20"/>
      <c r="G68" s="20"/>
      <c r="H68" s="20"/>
      <c r="I68" s="20"/>
      <c r="J68" s="20"/>
      <c r="K68" s="20"/>
      <c r="L68" s="20" t="str">
        <f t="shared" si="1"/>
        <v/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>
      <c r="A69" s="22"/>
      <c r="B69" s="20"/>
      <c r="C69" s="20" t="str">
        <f>IFERROR(__xludf.DUMMYFUNCTION("IF(ISBLANK(B69),,IFERROR(array_constrain(FILTER('Leetcode分类顺序表'!B:J,'Leetcode分类顺序表'!A:A = B69), 1, 10000000),IFERROR(FILTER(Algoexpert.io!B:D,Algoexpert.io!A:A = B69),FILTER('Leetcode List'!B:J,'Leetcode List'!A:A = B69))))"),"")</f>
        <v/>
      </c>
      <c r="D69" s="20"/>
      <c r="E69" s="20"/>
      <c r="F69" s="20"/>
      <c r="G69" s="20"/>
      <c r="H69" s="20"/>
      <c r="I69" s="20"/>
      <c r="J69" s="20"/>
      <c r="K69" s="20"/>
      <c r="L69" s="20" t="str">
        <f t="shared" si="1"/>
        <v/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>
      <c r="A70" s="22"/>
      <c r="B70" s="20"/>
      <c r="C70" s="20" t="str">
        <f>IFERROR(__xludf.DUMMYFUNCTION("IF(ISBLANK(B70),,IFERROR(array_constrain(FILTER('Leetcode分类顺序表'!B:J,'Leetcode分类顺序表'!A:A = B70), 1, 10000000),IFERROR(FILTER(Algoexpert.io!B:D,Algoexpert.io!A:A = B70),FILTER('Leetcode List'!B:J,'Leetcode List'!A:A = B70))))"),"")</f>
        <v/>
      </c>
      <c r="D70" s="20"/>
      <c r="E70" s="20"/>
      <c r="F70" s="20"/>
      <c r="G70" s="20"/>
      <c r="H70" s="20"/>
      <c r="I70" s="20"/>
      <c r="J70" s="20"/>
      <c r="K70" s="20"/>
      <c r="L70" s="20" t="str">
        <f t="shared" si="1"/>
        <v/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>
      <c r="A71" s="22"/>
      <c r="B71" s="20"/>
      <c r="C71" s="20" t="str">
        <f>IFERROR(__xludf.DUMMYFUNCTION("IF(ISBLANK(B71),,IFERROR(array_constrain(FILTER('Leetcode分类顺序表'!B:J,'Leetcode分类顺序表'!A:A = B71), 1, 10000000),IFERROR(FILTER(Algoexpert.io!B:D,Algoexpert.io!A:A = B71),FILTER('Leetcode List'!B:J,'Leetcode List'!A:A = B71))))"),"")</f>
        <v/>
      </c>
      <c r="D71" s="20"/>
      <c r="E71" s="20"/>
      <c r="F71" s="20"/>
      <c r="G71" s="20"/>
      <c r="H71" s="20"/>
      <c r="I71" s="20"/>
      <c r="J71" s="20"/>
      <c r="K71" s="20"/>
      <c r="L71" s="20" t="str">
        <f t="shared" si="1"/>
        <v/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>
      <c r="A72" s="22"/>
      <c r="B72" s="20"/>
      <c r="C72" s="20" t="str">
        <f>IFERROR(__xludf.DUMMYFUNCTION("IF(ISBLANK(B72),,IFERROR(array_constrain(FILTER('Leetcode分类顺序表'!B:J,'Leetcode分类顺序表'!A:A = B72), 1, 10000000),IFERROR(FILTER(Algoexpert.io!B:D,Algoexpert.io!A:A = B72),FILTER('Leetcode List'!B:J,'Leetcode List'!A:A = B72))))"),"")</f>
        <v/>
      </c>
      <c r="D72" s="20"/>
      <c r="E72" s="20"/>
      <c r="F72" s="20"/>
      <c r="G72" s="20"/>
      <c r="H72" s="20"/>
      <c r="I72" s="20"/>
      <c r="J72" s="20"/>
      <c r="K72" s="20"/>
      <c r="L72" s="20" t="str">
        <f t="shared" si="1"/>
        <v/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>
      <c r="A73" s="22"/>
      <c r="B73" s="20"/>
      <c r="C73" s="20" t="str">
        <f>IFERROR(__xludf.DUMMYFUNCTION("IF(ISBLANK(B73),,IFERROR(array_constrain(FILTER('Leetcode分类顺序表'!B:J,'Leetcode分类顺序表'!A:A = B73), 1, 10000000),IFERROR(FILTER(Algoexpert.io!B:D,Algoexpert.io!A:A = B73),FILTER('Leetcode List'!B:J,'Leetcode List'!A:A = B73))))"),"")</f>
        <v/>
      </c>
      <c r="D73" s="20"/>
      <c r="E73" s="20"/>
      <c r="F73" s="20"/>
      <c r="G73" s="20"/>
      <c r="H73" s="20"/>
      <c r="I73" s="20"/>
      <c r="J73" s="20"/>
      <c r="K73" s="20"/>
      <c r="L73" s="20" t="str">
        <f t="shared" si="1"/>
        <v/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>
      <c r="A74" s="22"/>
      <c r="B74" s="20"/>
      <c r="C74" s="20" t="str">
        <f>IFERROR(__xludf.DUMMYFUNCTION("IF(ISBLANK(B74),,IFERROR(array_constrain(FILTER('Leetcode分类顺序表'!B:J,'Leetcode分类顺序表'!A:A = B74), 1, 10000000),IFERROR(FILTER(Algoexpert.io!B:D,Algoexpert.io!A:A = B74),FILTER('Leetcode List'!B:J,'Leetcode List'!A:A = B74))))"),"")</f>
        <v/>
      </c>
      <c r="D74" s="20"/>
      <c r="E74" s="20"/>
      <c r="F74" s="20"/>
      <c r="G74" s="20"/>
      <c r="H74" s="20"/>
      <c r="I74" s="20"/>
      <c r="J74" s="20"/>
      <c r="K74" s="20"/>
      <c r="L74" s="20" t="str">
        <f t="shared" si="1"/>
        <v/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>
      <c r="A75" s="22"/>
      <c r="B75" s="20"/>
      <c r="C75" s="20" t="str">
        <f>IFERROR(__xludf.DUMMYFUNCTION("IF(ISBLANK(B75),,IFERROR(array_constrain(FILTER('Leetcode分类顺序表'!B:J,'Leetcode分类顺序表'!A:A = B75), 1, 10000000),IFERROR(FILTER(Algoexpert.io!B:D,Algoexpert.io!A:A = B75),FILTER('Leetcode List'!B:J,'Leetcode List'!A:A = B75))))"),"")</f>
        <v/>
      </c>
      <c r="D75" s="20"/>
      <c r="E75" s="20"/>
      <c r="F75" s="20"/>
      <c r="G75" s="20"/>
      <c r="H75" s="20"/>
      <c r="I75" s="20"/>
      <c r="J75" s="20"/>
      <c r="K75" s="20"/>
      <c r="L75" s="20" t="str">
        <f t="shared" si="1"/>
        <v/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>
      <c r="A76" s="22"/>
      <c r="B76" s="20"/>
      <c r="C76" s="20" t="str">
        <f>IFERROR(__xludf.DUMMYFUNCTION("IF(ISBLANK(B76),,IFERROR(array_constrain(FILTER('Leetcode分类顺序表'!B:J,'Leetcode分类顺序表'!A:A = B76), 1, 10000000),IFERROR(FILTER(Algoexpert.io!B:D,Algoexpert.io!A:A = B76),FILTER('Leetcode List'!B:J,'Leetcode List'!A:A = B76))))"),"")</f>
        <v/>
      </c>
      <c r="D76" s="20"/>
      <c r="E76" s="20"/>
      <c r="F76" s="20"/>
      <c r="G76" s="20"/>
      <c r="H76" s="20"/>
      <c r="I76" s="20"/>
      <c r="J76" s="20"/>
      <c r="K76" s="20"/>
      <c r="L76" s="20" t="str">
        <f t="shared" si="1"/>
        <v/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>
      <c r="A77" s="22"/>
      <c r="B77" s="20"/>
      <c r="C77" s="20" t="str">
        <f>IFERROR(__xludf.DUMMYFUNCTION("IF(ISBLANK(B77),,IFERROR(array_constrain(FILTER('Leetcode分类顺序表'!B:J,'Leetcode分类顺序表'!A:A = B77), 1, 10000000),IFERROR(FILTER(Algoexpert.io!B:D,Algoexpert.io!A:A = B77),FILTER('Leetcode List'!B:J,'Leetcode List'!A:A = B77))))"),"")</f>
        <v/>
      </c>
      <c r="D77" s="20"/>
      <c r="E77" s="20"/>
      <c r="F77" s="20"/>
      <c r="G77" s="20"/>
      <c r="H77" s="20"/>
      <c r="I77" s="20"/>
      <c r="J77" s="20"/>
      <c r="K77" s="20"/>
      <c r="L77" s="20" t="str">
        <f t="shared" si="1"/>
        <v/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>
      <c r="A78" s="22"/>
      <c r="B78" s="20"/>
      <c r="C78" s="20" t="str">
        <f>IFERROR(__xludf.DUMMYFUNCTION("IF(ISBLANK(B78),,IFERROR(array_constrain(FILTER('Leetcode分类顺序表'!B:J,'Leetcode分类顺序表'!A:A = B78), 1, 10000000),IFERROR(FILTER(Algoexpert.io!B:D,Algoexpert.io!A:A = B78),FILTER('Leetcode List'!B:J,'Leetcode List'!A:A = B78))))"),"")</f>
        <v/>
      </c>
      <c r="D78" s="20"/>
      <c r="E78" s="20"/>
      <c r="F78" s="20"/>
      <c r="G78" s="20"/>
      <c r="H78" s="20"/>
      <c r="I78" s="20"/>
      <c r="J78" s="20"/>
      <c r="K78" s="20"/>
      <c r="L78" s="20" t="str">
        <f t="shared" si="1"/>
        <v/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>
      <c r="A79" s="22"/>
      <c r="B79" s="20"/>
      <c r="C79" s="20" t="str">
        <f>IFERROR(__xludf.DUMMYFUNCTION("IF(ISBLANK(B79),,IFERROR(array_constrain(FILTER('Leetcode分类顺序表'!B:J,'Leetcode分类顺序表'!A:A = B79), 1, 10000000),IFERROR(FILTER(Algoexpert.io!B:D,Algoexpert.io!A:A = B79),FILTER('Leetcode List'!B:J,'Leetcode List'!A:A = B79))))"),"")</f>
        <v/>
      </c>
      <c r="D79" s="20"/>
      <c r="E79" s="20"/>
      <c r="F79" s="20"/>
      <c r="G79" s="20"/>
      <c r="H79" s="20"/>
      <c r="I79" s="20"/>
      <c r="J79" s="20"/>
      <c r="K79" s="20"/>
      <c r="L79" s="20" t="str">
        <f t="shared" si="1"/>
        <v/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>
      <c r="A80" s="22"/>
      <c r="B80" s="20"/>
      <c r="C80" s="20" t="str">
        <f>IFERROR(__xludf.DUMMYFUNCTION("IF(ISBLANK(B80),,IFERROR(array_constrain(FILTER('Leetcode分类顺序表'!B:J,'Leetcode分类顺序表'!A:A = B80), 1, 10000000),IFERROR(FILTER(Algoexpert.io!B:D,Algoexpert.io!A:A = B80),FILTER('Leetcode List'!B:J,'Leetcode List'!A:A = B80))))"),"")</f>
        <v/>
      </c>
      <c r="D80" s="20"/>
      <c r="E80" s="20"/>
      <c r="F80" s="20"/>
      <c r="G80" s="20"/>
      <c r="H80" s="20"/>
      <c r="I80" s="20"/>
      <c r="J80" s="20"/>
      <c r="K80" s="20"/>
      <c r="L80" s="20" t="str">
        <f t="shared" si="1"/>
        <v/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>
      <c r="A81" s="22"/>
      <c r="B81" s="20"/>
      <c r="C81" s="20" t="str">
        <f>IFERROR(__xludf.DUMMYFUNCTION("IF(ISBLANK(B81),,IFERROR(array_constrain(FILTER('Leetcode分类顺序表'!B:J,'Leetcode分类顺序表'!A:A = B81), 1, 10000000),IFERROR(FILTER(Algoexpert.io!B:D,Algoexpert.io!A:A = B81),FILTER('Leetcode List'!B:J,'Leetcode List'!A:A = B81))))"),"")</f>
        <v/>
      </c>
      <c r="D81" s="20"/>
      <c r="E81" s="20"/>
      <c r="F81" s="20"/>
      <c r="G81" s="20"/>
      <c r="H81" s="20"/>
      <c r="I81" s="20"/>
      <c r="J81" s="20"/>
      <c r="K81" s="20"/>
      <c r="L81" s="20" t="str">
        <f t="shared" si="1"/>
        <v/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>
      <c r="A82" s="22"/>
      <c r="B82" s="20"/>
      <c r="C82" s="20" t="str">
        <f>IFERROR(__xludf.DUMMYFUNCTION("IF(ISBLANK(B82),,IFERROR(array_constrain(FILTER('Leetcode分类顺序表'!B:J,'Leetcode分类顺序表'!A:A = B82), 1, 10000000),IFERROR(FILTER(Algoexpert.io!B:D,Algoexpert.io!A:A = B82),FILTER('Leetcode List'!B:J,'Leetcode List'!A:A = B82))))"),"")</f>
        <v/>
      </c>
      <c r="D82" s="20"/>
      <c r="E82" s="20"/>
      <c r="F82" s="20"/>
      <c r="G82" s="20"/>
      <c r="H82" s="20"/>
      <c r="I82" s="20"/>
      <c r="J82" s="20"/>
      <c r="K82" s="20"/>
      <c r="L82" s="20" t="str">
        <f t="shared" si="1"/>
        <v/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>
      <c r="A83" s="22"/>
      <c r="B83" s="20"/>
      <c r="C83" s="20" t="str">
        <f>IFERROR(__xludf.DUMMYFUNCTION("IF(ISBLANK(B83),,IFERROR(array_constrain(FILTER('Leetcode分类顺序表'!B:J,'Leetcode分类顺序表'!A:A = B83), 1, 10000000),IFERROR(FILTER(Algoexpert.io!B:D,Algoexpert.io!A:A = B83),FILTER('Leetcode List'!B:J,'Leetcode List'!A:A = B83))))"),"")</f>
        <v/>
      </c>
      <c r="D83" s="20"/>
      <c r="E83" s="20"/>
      <c r="F83" s="20"/>
      <c r="G83" s="20"/>
      <c r="H83" s="20"/>
      <c r="I83" s="20"/>
      <c r="J83" s="20"/>
      <c r="K83" s="20"/>
      <c r="L83" s="20" t="str">
        <f t="shared" si="1"/>
        <v/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>
      <c r="A84" s="22"/>
      <c r="B84" s="20"/>
      <c r="C84" s="20" t="str">
        <f>IFERROR(__xludf.DUMMYFUNCTION("IF(ISBLANK(B84),,IFERROR(array_constrain(FILTER('Leetcode分类顺序表'!B:J,'Leetcode分类顺序表'!A:A = B84), 1, 10000000),IFERROR(FILTER(Algoexpert.io!B:D,Algoexpert.io!A:A = B84),FILTER('Leetcode List'!B:J,'Leetcode List'!A:A = B84))))"),"")</f>
        <v/>
      </c>
      <c r="D84" s="20"/>
      <c r="E84" s="20"/>
      <c r="F84" s="20"/>
      <c r="G84" s="20"/>
      <c r="H84" s="20"/>
      <c r="I84" s="20"/>
      <c r="J84" s="20"/>
      <c r="K84" s="20"/>
      <c r="L84" s="20" t="str">
        <f t="shared" si="1"/>
        <v/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>
      <c r="A85" s="22"/>
      <c r="B85" s="20"/>
      <c r="C85" s="20" t="str">
        <f>IFERROR(__xludf.DUMMYFUNCTION("IF(ISBLANK(B85),,IFERROR(array_constrain(FILTER('Leetcode分类顺序表'!B:J,'Leetcode分类顺序表'!A:A = B85), 1, 10000000),IFERROR(FILTER(Algoexpert.io!B:D,Algoexpert.io!A:A = B85),FILTER('Leetcode List'!B:J,'Leetcode List'!A:A = B85))))"),"")</f>
        <v/>
      </c>
      <c r="D85" s="20"/>
      <c r="E85" s="20"/>
      <c r="F85" s="20"/>
      <c r="G85" s="20"/>
      <c r="H85" s="20"/>
      <c r="I85" s="20"/>
      <c r="J85" s="20"/>
      <c r="K85" s="20"/>
      <c r="L85" s="20" t="str">
        <f t="shared" si="1"/>
        <v/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>
      <c r="A86" s="22"/>
      <c r="B86" s="20"/>
      <c r="C86" s="20" t="str">
        <f>IFERROR(__xludf.DUMMYFUNCTION("IF(ISBLANK(B86),,IFERROR(array_constrain(FILTER('Leetcode分类顺序表'!B:J,'Leetcode分类顺序表'!A:A = B86), 1, 10000000),IFERROR(FILTER(Algoexpert.io!B:D,Algoexpert.io!A:A = B86),FILTER('Leetcode List'!B:J,'Leetcode List'!A:A = B86))))"),"")</f>
        <v/>
      </c>
      <c r="D86" s="20"/>
      <c r="E86" s="20"/>
      <c r="F86" s="20"/>
      <c r="G86" s="20"/>
      <c r="H86" s="20"/>
      <c r="I86" s="20"/>
      <c r="J86" s="20"/>
      <c r="K86" s="20"/>
      <c r="L86" s="20" t="str">
        <f t="shared" si="1"/>
        <v/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>
      <c r="A87" s="22"/>
      <c r="B87" s="20"/>
      <c r="C87" s="20" t="str">
        <f>IFERROR(__xludf.DUMMYFUNCTION("IF(ISBLANK(B87),,IFERROR(array_constrain(FILTER('Leetcode分类顺序表'!B:J,'Leetcode分类顺序表'!A:A = B87), 1, 10000000),IFERROR(FILTER(Algoexpert.io!B:D,Algoexpert.io!A:A = B87),FILTER('Leetcode List'!B:J,'Leetcode List'!A:A = B87))))"),"")</f>
        <v/>
      </c>
      <c r="D87" s="20"/>
      <c r="E87" s="20"/>
      <c r="F87" s="20"/>
      <c r="G87" s="20"/>
      <c r="H87" s="20"/>
      <c r="I87" s="20"/>
      <c r="J87" s="20"/>
      <c r="K87" s="20"/>
      <c r="L87" s="20" t="str">
        <f t="shared" si="1"/>
        <v/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>
      <c r="A88" s="22"/>
      <c r="B88" s="20"/>
      <c r="C88" s="20" t="str">
        <f>IFERROR(__xludf.DUMMYFUNCTION("IF(ISBLANK(B88),,IFERROR(array_constrain(FILTER('Leetcode分类顺序表'!B:J,'Leetcode分类顺序表'!A:A = B88), 1, 10000000),IFERROR(FILTER(Algoexpert.io!B:D,Algoexpert.io!A:A = B88),FILTER('Leetcode List'!B:J,'Leetcode List'!A:A = B88))))"),"")</f>
        <v/>
      </c>
      <c r="D88" s="20"/>
      <c r="E88" s="20"/>
      <c r="F88" s="20"/>
      <c r="G88" s="20"/>
      <c r="H88" s="20"/>
      <c r="I88" s="20"/>
      <c r="J88" s="20"/>
      <c r="K88" s="20"/>
      <c r="L88" s="20" t="str">
        <f t="shared" si="1"/>
        <v/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>
      <c r="A89" s="22"/>
      <c r="B89" s="20"/>
      <c r="C89" s="20" t="str">
        <f>IFERROR(__xludf.DUMMYFUNCTION("IF(ISBLANK(B89),,IFERROR(array_constrain(FILTER('Leetcode分类顺序表'!B:J,'Leetcode分类顺序表'!A:A = B89), 1, 10000000),IFERROR(FILTER(Algoexpert.io!B:D,Algoexpert.io!A:A = B89),FILTER('Leetcode List'!B:J,'Leetcode List'!A:A = B89))))"),"")</f>
        <v/>
      </c>
      <c r="D89" s="20"/>
      <c r="E89" s="20"/>
      <c r="F89" s="20"/>
      <c r="G89" s="20"/>
      <c r="H89" s="20"/>
      <c r="I89" s="20"/>
      <c r="J89" s="20"/>
      <c r="K89" s="20"/>
      <c r="L89" s="20" t="str">
        <f t="shared" si="1"/>
        <v/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>
      <c r="A90" s="22"/>
      <c r="B90" s="20"/>
      <c r="C90" s="20" t="str">
        <f>IFERROR(__xludf.DUMMYFUNCTION("IF(ISBLANK(B90),,IFERROR(array_constrain(FILTER('Leetcode分类顺序表'!B:J,'Leetcode分类顺序表'!A:A = B90), 1, 10000000),IFERROR(FILTER(Algoexpert.io!B:D,Algoexpert.io!A:A = B90),FILTER('Leetcode List'!B:J,'Leetcode List'!A:A = B90))))"),"")</f>
        <v/>
      </c>
      <c r="D90" s="20"/>
      <c r="E90" s="20"/>
      <c r="F90" s="20"/>
      <c r="G90" s="20"/>
      <c r="H90" s="20"/>
      <c r="I90" s="20"/>
      <c r="J90" s="20"/>
      <c r="K90" s="20"/>
      <c r="L90" s="20" t="str">
        <f t="shared" si="1"/>
        <v/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>
      <c r="A91" s="22"/>
      <c r="B91" s="20"/>
      <c r="C91" s="20" t="str">
        <f>IFERROR(__xludf.DUMMYFUNCTION("IF(ISBLANK(B91),,IFERROR(array_constrain(FILTER('Leetcode分类顺序表'!B:J,'Leetcode分类顺序表'!A:A = B91), 1, 10000000),IFERROR(FILTER(Algoexpert.io!B:D,Algoexpert.io!A:A = B91),FILTER('Leetcode List'!B:J,'Leetcode List'!A:A = B91))))"),"")</f>
        <v/>
      </c>
      <c r="D91" s="20"/>
      <c r="E91" s="20"/>
      <c r="F91" s="20"/>
      <c r="G91" s="20"/>
      <c r="H91" s="20"/>
      <c r="I91" s="20"/>
      <c r="J91" s="20"/>
      <c r="K91" s="20"/>
      <c r="L91" s="20" t="str">
        <f t="shared" si="1"/>
        <v/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>
      <c r="A92" s="22"/>
      <c r="B92" s="20"/>
      <c r="C92" s="20" t="str">
        <f>IFERROR(__xludf.DUMMYFUNCTION("IF(ISBLANK(B92),,IFERROR(array_constrain(FILTER('Leetcode分类顺序表'!B:J,'Leetcode分类顺序表'!A:A = B92), 1, 10000000),IFERROR(FILTER(Algoexpert.io!B:D,Algoexpert.io!A:A = B92),FILTER('Leetcode List'!B:J,'Leetcode List'!A:A = B92))))"),"")</f>
        <v/>
      </c>
      <c r="D92" s="20"/>
      <c r="E92" s="20"/>
      <c r="F92" s="20"/>
      <c r="G92" s="20"/>
      <c r="H92" s="20"/>
      <c r="I92" s="20"/>
      <c r="J92" s="20"/>
      <c r="K92" s="20"/>
      <c r="L92" s="20" t="str">
        <f t="shared" si="1"/>
        <v/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>
      <c r="A93" s="22"/>
      <c r="B93" s="20"/>
      <c r="C93" s="20" t="str">
        <f>IFERROR(__xludf.DUMMYFUNCTION("IF(ISBLANK(B93),,IFERROR(array_constrain(FILTER('Leetcode分类顺序表'!B:J,'Leetcode分类顺序表'!A:A = B93), 1, 10000000),IFERROR(FILTER(Algoexpert.io!B:D,Algoexpert.io!A:A = B93),FILTER('Leetcode List'!B:J,'Leetcode List'!A:A = B93))))"),"")</f>
        <v/>
      </c>
      <c r="D93" s="20"/>
      <c r="E93" s="20"/>
      <c r="F93" s="20"/>
      <c r="G93" s="20"/>
      <c r="H93" s="20"/>
      <c r="I93" s="20"/>
      <c r="J93" s="20"/>
      <c r="K93" s="20"/>
      <c r="L93" s="20" t="str">
        <f t="shared" si="1"/>
        <v/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>
      <c r="A94" s="22"/>
      <c r="B94" s="20"/>
      <c r="C94" s="20" t="str">
        <f>IFERROR(__xludf.DUMMYFUNCTION("IF(ISBLANK(B94),,IFERROR(array_constrain(FILTER('Leetcode分类顺序表'!B:J,'Leetcode分类顺序表'!A:A = B94), 1, 10000000),IFERROR(FILTER(Algoexpert.io!B:D,Algoexpert.io!A:A = B94),FILTER('Leetcode List'!B:J,'Leetcode List'!A:A = B94))))"),"")</f>
        <v/>
      </c>
      <c r="D94" s="20"/>
      <c r="E94" s="20"/>
      <c r="F94" s="20"/>
      <c r="G94" s="20"/>
      <c r="H94" s="20"/>
      <c r="I94" s="20"/>
      <c r="J94" s="20"/>
      <c r="K94" s="20"/>
      <c r="L94" s="20" t="str">
        <f t="shared" si="1"/>
        <v/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>
      <c r="A95" s="22"/>
      <c r="B95" s="20"/>
      <c r="C95" s="20" t="str">
        <f>IFERROR(__xludf.DUMMYFUNCTION("IF(ISBLANK(B95),,IFERROR(array_constrain(FILTER('Leetcode分类顺序表'!B:J,'Leetcode分类顺序表'!A:A = B95), 1, 10000000),IFERROR(FILTER(Algoexpert.io!B:D,Algoexpert.io!A:A = B95),FILTER('Leetcode List'!B:J,'Leetcode List'!A:A = B95))))"),"")</f>
        <v/>
      </c>
      <c r="D95" s="20"/>
      <c r="E95" s="20"/>
      <c r="F95" s="20"/>
      <c r="G95" s="20"/>
      <c r="H95" s="20"/>
      <c r="I95" s="20"/>
      <c r="J95" s="20"/>
      <c r="K95" s="20"/>
      <c r="L95" s="20" t="str">
        <f t="shared" si="1"/>
        <v/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>
      <c r="A96" s="22"/>
      <c r="B96" s="20"/>
      <c r="C96" s="20" t="str">
        <f>IFERROR(__xludf.DUMMYFUNCTION("IF(ISBLANK(B96),,IFERROR(array_constrain(FILTER('Leetcode分类顺序表'!B:J,'Leetcode分类顺序表'!A:A = B96), 1, 10000000),IFERROR(FILTER(Algoexpert.io!B:D,Algoexpert.io!A:A = B96),FILTER('Leetcode List'!B:J,'Leetcode List'!A:A = B96))))"),"")</f>
        <v/>
      </c>
      <c r="D96" s="20"/>
      <c r="E96" s="20"/>
      <c r="F96" s="20"/>
      <c r="G96" s="20"/>
      <c r="H96" s="20"/>
      <c r="I96" s="20"/>
      <c r="J96" s="20"/>
      <c r="K96" s="20"/>
      <c r="L96" s="20" t="str">
        <f t="shared" si="1"/>
        <v/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>
      <c r="A97" s="22"/>
      <c r="B97" s="20"/>
      <c r="C97" s="20" t="str">
        <f>IFERROR(__xludf.DUMMYFUNCTION("IF(ISBLANK(B97),,IFERROR(array_constrain(FILTER('Leetcode分类顺序表'!B:J,'Leetcode分类顺序表'!A:A = B97), 1, 10000000),IFERROR(FILTER(Algoexpert.io!B:D,Algoexpert.io!A:A = B97),FILTER('Leetcode List'!B:J,'Leetcode List'!A:A = B97))))"),"")</f>
        <v/>
      </c>
      <c r="D97" s="20"/>
      <c r="E97" s="20"/>
      <c r="F97" s="20"/>
      <c r="G97" s="20"/>
      <c r="H97" s="20"/>
      <c r="I97" s="20"/>
      <c r="J97" s="20"/>
      <c r="K97" s="20"/>
      <c r="L97" s="20" t="str">
        <f t="shared" si="1"/>
        <v/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>
      <c r="A98" s="22"/>
      <c r="B98" s="20"/>
      <c r="C98" s="20" t="str">
        <f>IFERROR(__xludf.DUMMYFUNCTION("IF(ISBLANK(B98),,IFERROR(array_constrain(FILTER('Leetcode分类顺序表'!B:J,'Leetcode分类顺序表'!A:A = B98), 1, 10000000),IFERROR(FILTER(Algoexpert.io!B:D,Algoexpert.io!A:A = B98),FILTER('Leetcode List'!B:J,'Leetcode List'!A:A = B98))))"),"")</f>
        <v/>
      </c>
      <c r="D98" s="20"/>
      <c r="E98" s="20"/>
      <c r="F98" s="20"/>
      <c r="G98" s="20"/>
      <c r="H98" s="20"/>
      <c r="I98" s="20"/>
      <c r="J98" s="20"/>
      <c r="K98" s="20"/>
      <c r="L98" s="20" t="str">
        <f t="shared" si="1"/>
        <v/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>
      <c r="A99" s="22"/>
      <c r="B99" s="20"/>
      <c r="C99" s="20" t="str">
        <f>IFERROR(__xludf.DUMMYFUNCTION("IF(ISBLANK(B99),,IFERROR(array_constrain(FILTER('Leetcode分类顺序表'!B:J,'Leetcode分类顺序表'!A:A = B99), 1, 10000000),IFERROR(FILTER(Algoexpert.io!B:D,Algoexpert.io!A:A = B99),FILTER('Leetcode List'!B:J,'Leetcode List'!A:A = B99))))"),"")</f>
        <v/>
      </c>
      <c r="D99" s="20"/>
      <c r="E99" s="20"/>
      <c r="F99" s="20"/>
      <c r="G99" s="20"/>
      <c r="H99" s="20"/>
      <c r="I99" s="20"/>
      <c r="J99" s="20"/>
      <c r="K99" s="20"/>
      <c r="L99" s="20" t="str">
        <f t="shared" si="1"/>
        <v/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>
      <c r="A100" s="22"/>
      <c r="B100" s="20"/>
      <c r="C100" s="20" t="str">
        <f>IFERROR(__xludf.DUMMYFUNCTION("IF(ISBLANK(B100),,IFERROR(array_constrain(FILTER('Leetcode分类顺序表'!B:J,'Leetcode分类顺序表'!A:A = B100), 1, 10000000),IFERROR(FILTER(Algoexpert.io!B:D,Algoexpert.io!A:A = B100),FILTER('Leetcode List'!B:J,'Leetcode List'!A:A = B100))))"),"")</f>
        <v/>
      </c>
      <c r="D100" s="20"/>
      <c r="E100" s="20"/>
      <c r="F100" s="20"/>
      <c r="G100" s="20"/>
      <c r="H100" s="20"/>
      <c r="I100" s="20"/>
      <c r="J100" s="20"/>
      <c r="K100" s="20"/>
      <c r="L100" s="20" t="str">
        <f t="shared" si="1"/>
        <v/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>
      <c r="A101" s="22"/>
      <c r="B101" s="20"/>
      <c r="C101" s="20" t="str">
        <f>IFERROR(__xludf.DUMMYFUNCTION("IF(ISBLANK(B101),,IFERROR(array_constrain(FILTER('Leetcode分类顺序表'!B:J,'Leetcode分类顺序表'!A:A = B101), 1, 10000000),IFERROR(FILTER(Algoexpert.io!B:D,Algoexpert.io!A:A = B101),FILTER('Leetcode List'!B:J,'Leetcode List'!A:A = B101))))"),"")</f>
        <v/>
      </c>
      <c r="D101" s="20"/>
      <c r="E101" s="20"/>
      <c r="F101" s="20"/>
      <c r="G101" s="20"/>
      <c r="H101" s="20"/>
      <c r="I101" s="20"/>
      <c r="J101" s="20"/>
      <c r="K101" s="20"/>
      <c r="L101" s="20" t="str">
        <f t="shared" si="1"/>
        <v/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>
      <c r="A102" s="22"/>
      <c r="B102" s="20"/>
      <c r="C102" s="20" t="str">
        <f>IFERROR(__xludf.DUMMYFUNCTION("IF(ISBLANK(B102),,IFERROR(array_constrain(FILTER('Leetcode分类顺序表'!B:J,'Leetcode分类顺序表'!A:A = B102), 1, 10000000),IFERROR(FILTER(Algoexpert.io!B:D,Algoexpert.io!A:A = B102),FILTER('Leetcode List'!B:J,'Leetcode List'!A:A = B102))))"),"")</f>
        <v/>
      </c>
      <c r="D102" s="20"/>
      <c r="E102" s="20"/>
      <c r="F102" s="20"/>
      <c r="G102" s="20"/>
      <c r="H102" s="20"/>
      <c r="I102" s="20"/>
      <c r="J102" s="20"/>
      <c r="K102" s="20"/>
      <c r="L102" s="20" t="str">
        <f t="shared" si="1"/>
        <v/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>
      <c r="A103" s="22"/>
      <c r="B103" s="20"/>
      <c r="C103" s="20" t="str">
        <f>IFERROR(__xludf.DUMMYFUNCTION("IF(ISBLANK(B103),,IFERROR(array_constrain(FILTER('Leetcode分类顺序表'!B:J,'Leetcode分类顺序表'!A:A = B103), 1, 10000000),IFERROR(FILTER(Algoexpert.io!B:D,Algoexpert.io!A:A = B103),FILTER('Leetcode List'!B:J,'Leetcode List'!A:A = B103))))"),"")</f>
        <v/>
      </c>
      <c r="D103" s="20"/>
      <c r="E103" s="20"/>
      <c r="F103" s="20"/>
      <c r="G103" s="20"/>
      <c r="H103" s="20"/>
      <c r="I103" s="20"/>
      <c r="J103" s="20"/>
      <c r="K103" s="20"/>
      <c r="L103" s="20" t="str">
        <f t="shared" si="1"/>
        <v/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>
      <c r="A104" s="22"/>
      <c r="B104" s="20"/>
      <c r="C104" s="20" t="str">
        <f>IFERROR(__xludf.DUMMYFUNCTION("IF(ISBLANK(B104),,IFERROR(array_constrain(FILTER('Leetcode分类顺序表'!B:J,'Leetcode分类顺序表'!A:A = B104), 1, 10000000),IFERROR(FILTER(Algoexpert.io!B:D,Algoexpert.io!A:A = B104),FILTER('Leetcode List'!B:J,'Leetcode List'!A:A = B104))))"),"")</f>
        <v/>
      </c>
      <c r="D104" s="20"/>
      <c r="E104" s="20"/>
      <c r="F104" s="20"/>
      <c r="G104" s="20"/>
      <c r="H104" s="20"/>
      <c r="I104" s="20"/>
      <c r="J104" s="20"/>
      <c r="K104" s="20"/>
      <c r="L104" s="20" t="str">
        <f t="shared" si="1"/>
        <v/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>
      <c r="A105" s="22"/>
      <c r="B105" s="20"/>
      <c r="C105" s="20" t="str">
        <f>IFERROR(__xludf.DUMMYFUNCTION("IF(ISBLANK(B105),,IFERROR(array_constrain(FILTER('Leetcode分类顺序表'!B:J,'Leetcode分类顺序表'!A:A = B105), 1, 10000000),IFERROR(FILTER(Algoexpert.io!B:D,Algoexpert.io!A:A = B105),FILTER('Leetcode List'!B:J,'Leetcode List'!A:A = B105))))"),"")</f>
        <v/>
      </c>
      <c r="D105" s="20"/>
      <c r="E105" s="20"/>
      <c r="F105" s="20"/>
      <c r="G105" s="20"/>
      <c r="H105" s="20"/>
      <c r="I105" s="20"/>
      <c r="J105" s="20"/>
      <c r="K105" s="20"/>
      <c r="L105" s="20" t="str">
        <f t="shared" si="1"/>
        <v/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>
      <c r="A106" s="22"/>
      <c r="B106" s="20"/>
      <c r="C106" s="20" t="str">
        <f>IFERROR(__xludf.DUMMYFUNCTION("IF(ISBLANK(B106),,IFERROR(array_constrain(FILTER('Leetcode分类顺序表'!B:J,'Leetcode分类顺序表'!A:A = B106), 1, 10000000),IFERROR(FILTER(Algoexpert.io!B:D,Algoexpert.io!A:A = B106),FILTER('Leetcode List'!B:J,'Leetcode List'!A:A = B106))))"),"")</f>
        <v/>
      </c>
      <c r="D106" s="20"/>
      <c r="E106" s="20"/>
      <c r="F106" s="20"/>
      <c r="G106" s="20"/>
      <c r="H106" s="20"/>
      <c r="I106" s="20"/>
      <c r="J106" s="20"/>
      <c r="K106" s="20"/>
      <c r="L106" s="20" t="str">
        <f t="shared" si="1"/>
        <v/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>
      <c r="A107" s="22"/>
      <c r="B107" s="20"/>
      <c r="C107" s="20" t="str">
        <f>IFERROR(__xludf.DUMMYFUNCTION("IF(ISBLANK(B107),,IFERROR(array_constrain(FILTER('Leetcode分类顺序表'!B:J,'Leetcode分类顺序表'!A:A = B107), 1, 10000000),IFERROR(FILTER(Algoexpert.io!B:D,Algoexpert.io!A:A = B107),FILTER('Leetcode List'!B:J,'Leetcode List'!A:A = B107))))"),"")</f>
        <v/>
      </c>
      <c r="D107" s="20"/>
      <c r="E107" s="20"/>
      <c r="F107" s="20"/>
      <c r="G107" s="20"/>
      <c r="H107" s="20"/>
      <c r="I107" s="20"/>
      <c r="J107" s="20"/>
      <c r="K107" s="20"/>
      <c r="L107" s="20" t="str">
        <f t="shared" si="1"/>
        <v/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>
      <c r="A108" s="22"/>
      <c r="B108" s="20"/>
      <c r="C108" s="20" t="str">
        <f>IFERROR(__xludf.DUMMYFUNCTION("IF(ISBLANK(B108),,IFERROR(array_constrain(FILTER('Leetcode分类顺序表'!B:J,'Leetcode分类顺序表'!A:A = B108), 1, 10000000),IFERROR(FILTER(Algoexpert.io!B:D,Algoexpert.io!A:A = B108),FILTER('Leetcode List'!B:J,'Leetcode List'!A:A = B108))))"),"")</f>
        <v/>
      </c>
      <c r="D108" s="20"/>
      <c r="E108" s="20"/>
      <c r="F108" s="20"/>
      <c r="G108" s="20"/>
      <c r="H108" s="20"/>
      <c r="I108" s="20"/>
      <c r="J108" s="20"/>
      <c r="K108" s="20"/>
      <c r="L108" s="20" t="str">
        <f t="shared" si="1"/>
        <v/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>
      <c r="A109" s="22"/>
      <c r="B109" s="20"/>
      <c r="C109" s="20" t="str">
        <f>IFERROR(__xludf.DUMMYFUNCTION("IF(ISBLANK(B109),,IFERROR(array_constrain(FILTER('Leetcode分类顺序表'!B:J,'Leetcode分类顺序表'!A:A = B109), 1, 10000000),IFERROR(FILTER(Algoexpert.io!B:D,Algoexpert.io!A:A = B109),FILTER('Leetcode List'!B:J,'Leetcode List'!A:A = B109))))"),"")</f>
        <v/>
      </c>
      <c r="D109" s="20"/>
      <c r="E109" s="20"/>
      <c r="F109" s="20"/>
      <c r="G109" s="20"/>
      <c r="H109" s="20"/>
      <c r="I109" s="20"/>
      <c r="J109" s="20"/>
      <c r="K109" s="20"/>
      <c r="L109" s="20" t="str">
        <f t="shared" si="1"/>
        <v/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>
      <c r="A110" s="22"/>
      <c r="B110" s="20"/>
      <c r="C110" s="20" t="str">
        <f>IFERROR(__xludf.DUMMYFUNCTION("IF(ISBLANK(B110),,IFERROR(array_constrain(FILTER('Leetcode分类顺序表'!B:J,'Leetcode分类顺序表'!A:A = B110), 1, 10000000),IFERROR(FILTER(Algoexpert.io!B:D,Algoexpert.io!A:A = B110),FILTER('Leetcode List'!B:J,'Leetcode List'!A:A = B110))))"),"")</f>
        <v/>
      </c>
      <c r="D110" s="20"/>
      <c r="E110" s="20"/>
      <c r="F110" s="20"/>
      <c r="G110" s="20"/>
      <c r="H110" s="20"/>
      <c r="I110" s="20"/>
      <c r="J110" s="20"/>
      <c r="K110" s="20"/>
      <c r="L110" s="20" t="str">
        <f t="shared" si="1"/>
        <v/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>
      <c r="A111" s="22"/>
      <c r="B111" s="20"/>
      <c r="C111" s="20" t="str">
        <f>IFERROR(__xludf.DUMMYFUNCTION("IF(ISBLANK(B111),,IFERROR(array_constrain(FILTER('Leetcode分类顺序表'!B:J,'Leetcode分类顺序表'!A:A = B111), 1, 10000000),IFERROR(FILTER(Algoexpert.io!B:D,Algoexpert.io!A:A = B111),FILTER('Leetcode List'!B:J,'Leetcode List'!A:A = B111))))"),"")</f>
        <v/>
      </c>
      <c r="D111" s="20"/>
      <c r="E111" s="20"/>
      <c r="F111" s="20"/>
      <c r="G111" s="20"/>
      <c r="H111" s="20"/>
      <c r="I111" s="20"/>
      <c r="J111" s="20"/>
      <c r="K111" s="20"/>
      <c r="L111" s="20" t="str">
        <f t="shared" si="1"/>
        <v/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>
      <c r="A112" s="22"/>
      <c r="B112" s="20"/>
      <c r="C112" s="20" t="str">
        <f>IFERROR(__xludf.DUMMYFUNCTION("IF(ISBLANK(B112),,IFERROR(array_constrain(FILTER('Leetcode分类顺序表'!B:J,'Leetcode分类顺序表'!A:A = B112), 1, 10000000),IFERROR(FILTER(Algoexpert.io!B:D,Algoexpert.io!A:A = B112),FILTER('Leetcode List'!B:J,'Leetcode List'!A:A = B112))))"),"")</f>
        <v/>
      </c>
      <c r="D112" s="20"/>
      <c r="E112" s="20"/>
      <c r="F112" s="20"/>
      <c r="G112" s="20"/>
      <c r="H112" s="20"/>
      <c r="I112" s="20"/>
      <c r="J112" s="20"/>
      <c r="K112" s="20"/>
      <c r="L112" s="20" t="str">
        <f t="shared" si="1"/>
        <v/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>
      <c r="A113" s="22"/>
      <c r="B113" s="20"/>
      <c r="C113" s="20" t="str">
        <f>IFERROR(__xludf.DUMMYFUNCTION("IF(ISBLANK(B113),,IFERROR(array_constrain(FILTER('Leetcode分类顺序表'!B:J,'Leetcode分类顺序表'!A:A = B113), 1, 10000000),IFERROR(FILTER(Algoexpert.io!B:D,Algoexpert.io!A:A = B113),FILTER('Leetcode List'!B:J,'Leetcode List'!A:A = B113))))"),"")</f>
        <v/>
      </c>
      <c r="D113" s="20"/>
      <c r="E113" s="20"/>
      <c r="F113" s="20"/>
      <c r="G113" s="20"/>
      <c r="H113" s="20"/>
      <c r="I113" s="20"/>
      <c r="J113" s="20"/>
      <c r="K113" s="20"/>
      <c r="L113" s="20" t="str">
        <f t="shared" si="1"/>
        <v/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>
      <c r="A114" s="22"/>
      <c r="B114" s="20"/>
      <c r="C114" s="20" t="str">
        <f>IFERROR(__xludf.DUMMYFUNCTION("IF(ISBLANK(B114),,IFERROR(array_constrain(FILTER('Leetcode分类顺序表'!B:J,'Leetcode分类顺序表'!A:A = B114), 1, 10000000),IFERROR(FILTER(Algoexpert.io!B:D,Algoexpert.io!A:A = B114),FILTER('Leetcode List'!B:J,'Leetcode List'!A:A = B114))))"),"")</f>
        <v/>
      </c>
      <c r="D114" s="20"/>
      <c r="E114" s="20"/>
      <c r="F114" s="20"/>
      <c r="G114" s="20"/>
      <c r="H114" s="20"/>
      <c r="I114" s="20"/>
      <c r="J114" s="20"/>
      <c r="K114" s="20"/>
      <c r="L114" s="20" t="str">
        <f t="shared" si="1"/>
        <v/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>
      <c r="A115" s="22"/>
      <c r="B115" s="20"/>
      <c r="C115" s="20" t="str">
        <f>IFERROR(__xludf.DUMMYFUNCTION("IF(ISBLANK(B115),,IFERROR(array_constrain(FILTER('Leetcode分类顺序表'!B:J,'Leetcode分类顺序表'!A:A = B115), 1, 10000000),IFERROR(FILTER(Algoexpert.io!B:D,Algoexpert.io!A:A = B115),FILTER('Leetcode List'!B:J,'Leetcode List'!A:A = B115))))"),"")</f>
        <v/>
      </c>
      <c r="D115" s="20"/>
      <c r="E115" s="20"/>
      <c r="F115" s="20"/>
      <c r="G115" s="20"/>
      <c r="H115" s="20"/>
      <c r="I115" s="20"/>
      <c r="J115" s="20"/>
      <c r="K115" s="20"/>
      <c r="L115" s="20" t="str">
        <f t="shared" si="1"/>
        <v/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>
      <c r="A116" s="22"/>
      <c r="B116" s="20"/>
      <c r="C116" s="20" t="str">
        <f>IFERROR(__xludf.DUMMYFUNCTION("IF(ISBLANK(B116),,IFERROR(array_constrain(FILTER('Leetcode分类顺序表'!B:J,'Leetcode分类顺序表'!A:A = B116), 1, 10000000),IFERROR(FILTER(Algoexpert.io!B:D,Algoexpert.io!A:A = B116),FILTER('Leetcode List'!B:J,'Leetcode List'!A:A = B116))))"),"")</f>
        <v/>
      </c>
      <c r="D116" s="20"/>
      <c r="E116" s="20"/>
      <c r="F116" s="20"/>
      <c r="G116" s="20"/>
      <c r="H116" s="20"/>
      <c r="I116" s="20"/>
      <c r="J116" s="20"/>
      <c r="K116" s="20"/>
      <c r="L116" s="20" t="str">
        <f t="shared" si="1"/>
        <v/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>
      <c r="A117" s="22"/>
      <c r="B117" s="20"/>
      <c r="C117" s="20" t="str">
        <f>IFERROR(__xludf.DUMMYFUNCTION("IF(ISBLANK(B117),,IFERROR(array_constrain(FILTER('Leetcode分类顺序表'!B:J,'Leetcode分类顺序表'!A:A = B117), 1, 10000000),IFERROR(FILTER(Algoexpert.io!B:D,Algoexpert.io!A:A = B117),FILTER('Leetcode List'!B:J,'Leetcode List'!A:A = B117))))"),"")</f>
        <v/>
      </c>
      <c r="D117" s="20"/>
      <c r="E117" s="20"/>
      <c r="F117" s="20"/>
      <c r="G117" s="20"/>
      <c r="H117" s="20"/>
      <c r="I117" s="20"/>
      <c r="J117" s="20"/>
      <c r="K117" s="20"/>
      <c r="L117" s="20" t="str">
        <f t="shared" si="1"/>
        <v/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>
      <c r="A118" s="22"/>
      <c r="B118" s="20"/>
      <c r="C118" s="20" t="str">
        <f>IFERROR(__xludf.DUMMYFUNCTION("IF(ISBLANK(B118),,IFERROR(array_constrain(FILTER('Leetcode分类顺序表'!B:J,'Leetcode分类顺序表'!A:A = B118), 1, 10000000),IFERROR(FILTER(Algoexpert.io!B:D,Algoexpert.io!A:A = B118),FILTER('Leetcode List'!B:J,'Leetcode List'!A:A = B118))))"),"")</f>
        <v/>
      </c>
      <c r="D118" s="20"/>
      <c r="E118" s="20"/>
      <c r="F118" s="20"/>
      <c r="G118" s="20"/>
      <c r="H118" s="20"/>
      <c r="I118" s="20"/>
      <c r="J118" s="20"/>
      <c r="K118" s="20"/>
      <c r="L118" s="20" t="str">
        <f t="shared" si="1"/>
        <v/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>
      <c r="A119" s="22"/>
      <c r="B119" s="20"/>
      <c r="C119" s="20" t="str">
        <f>IFERROR(__xludf.DUMMYFUNCTION("IF(ISBLANK(B119),,IFERROR(array_constrain(FILTER('Leetcode分类顺序表'!B:J,'Leetcode分类顺序表'!A:A = B119), 1, 10000000),IFERROR(FILTER(Algoexpert.io!B:D,Algoexpert.io!A:A = B119),FILTER('Leetcode List'!B:J,'Leetcode List'!A:A = B119))))"),"")</f>
        <v/>
      </c>
      <c r="D119" s="20"/>
      <c r="E119" s="20"/>
      <c r="F119" s="20"/>
      <c r="G119" s="20"/>
      <c r="H119" s="20"/>
      <c r="I119" s="20"/>
      <c r="J119" s="20"/>
      <c r="K119" s="20"/>
      <c r="L119" s="20" t="str">
        <f t="shared" si="1"/>
        <v/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>
      <c r="A120" s="22"/>
      <c r="B120" s="20"/>
      <c r="C120" s="20" t="str">
        <f>IFERROR(__xludf.DUMMYFUNCTION("IF(ISBLANK(B120),,IFERROR(array_constrain(FILTER('Leetcode分类顺序表'!B:J,'Leetcode分类顺序表'!A:A = B120), 1, 10000000),IFERROR(FILTER(Algoexpert.io!B:D,Algoexpert.io!A:A = B120),FILTER('Leetcode List'!B:J,'Leetcode List'!A:A = B120))))"),"")</f>
        <v/>
      </c>
      <c r="D120" s="20"/>
      <c r="E120" s="20"/>
      <c r="F120" s="20"/>
      <c r="G120" s="20"/>
      <c r="H120" s="20"/>
      <c r="I120" s="20"/>
      <c r="J120" s="20"/>
      <c r="K120" s="20"/>
      <c r="L120" s="20" t="str">
        <f t="shared" si="1"/>
        <v/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>
      <c r="A121" s="22"/>
      <c r="B121" s="20"/>
      <c r="C121" s="20" t="str">
        <f>IFERROR(__xludf.DUMMYFUNCTION("IF(ISBLANK(B121),,IFERROR(array_constrain(FILTER('Leetcode分类顺序表'!B:J,'Leetcode分类顺序表'!A:A = B121), 1, 10000000),IFERROR(FILTER(Algoexpert.io!B:D,Algoexpert.io!A:A = B121),FILTER('Leetcode List'!B:J,'Leetcode List'!A:A = B121))))"),"")</f>
        <v/>
      </c>
      <c r="D121" s="20"/>
      <c r="E121" s="20"/>
      <c r="F121" s="20"/>
      <c r="G121" s="20"/>
      <c r="H121" s="20"/>
      <c r="I121" s="20"/>
      <c r="J121" s="20"/>
      <c r="K121" s="20"/>
      <c r="L121" s="20" t="str">
        <f t="shared" si="1"/>
        <v/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>
      <c r="A122" s="22"/>
      <c r="B122" s="20"/>
      <c r="C122" s="20" t="str">
        <f>IFERROR(__xludf.DUMMYFUNCTION("IF(ISBLANK(B122),,IFERROR(array_constrain(FILTER('Leetcode分类顺序表'!B:J,'Leetcode分类顺序表'!A:A = B122), 1, 10000000),IFERROR(FILTER(Algoexpert.io!B:D,Algoexpert.io!A:A = B122),FILTER('Leetcode List'!B:J,'Leetcode List'!A:A = B122))))"),"")</f>
        <v/>
      </c>
      <c r="D122" s="20"/>
      <c r="E122" s="20"/>
      <c r="F122" s="20"/>
      <c r="G122" s="20"/>
      <c r="H122" s="20"/>
      <c r="I122" s="20"/>
      <c r="J122" s="20"/>
      <c r="K122" s="20"/>
      <c r="L122" s="20" t="str">
        <f t="shared" si="1"/>
        <v/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>
      <c r="A123" s="22"/>
      <c r="B123" s="20"/>
      <c r="C123" s="20" t="str">
        <f>IFERROR(__xludf.DUMMYFUNCTION("IF(ISBLANK(B123),,IFERROR(array_constrain(FILTER('Leetcode分类顺序表'!B:J,'Leetcode分类顺序表'!A:A = B123), 1, 10000000),IFERROR(FILTER(Algoexpert.io!B:D,Algoexpert.io!A:A = B123),FILTER('Leetcode List'!B:J,'Leetcode List'!A:A = B123))))"),"")</f>
        <v/>
      </c>
      <c r="D123" s="20"/>
      <c r="E123" s="20"/>
      <c r="F123" s="20"/>
      <c r="G123" s="20"/>
      <c r="H123" s="20"/>
      <c r="I123" s="20"/>
      <c r="J123" s="20"/>
      <c r="K123" s="20"/>
      <c r="L123" s="20" t="str">
        <f t="shared" si="1"/>
        <v/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>
      <c r="A124" s="22"/>
      <c r="B124" s="20"/>
      <c r="C124" s="20" t="str">
        <f>IFERROR(__xludf.DUMMYFUNCTION("IF(ISBLANK(B124),,IFERROR(array_constrain(FILTER('Leetcode分类顺序表'!B:J,'Leetcode分类顺序表'!A:A = B124), 1, 10000000),IFERROR(FILTER(Algoexpert.io!B:D,Algoexpert.io!A:A = B124),FILTER('Leetcode List'!B:J,'Leetcode List'!A:A = B124))))"),"")</f>
        <v/>
      </c>
      <c r="D124" s="20"/>
      <c r="E124" s="20"/>
      <c r="F124" s="20"/>
      <c r="G124" s="20"/>
      <c r="H124" s="20"/>
      <c r="I124" s="20"/>
      <c r="J124" s="20"/>
      <c r="K124" s="20"/>
      <c r="L124" s="20" t="str">
        <f t="shared" si="1"/>
        <v/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>
      <c r="A125" s="22"/>
      <c r="B125" s="20"/>
      <c r="C125" s="20" t="str">
        <f>IFERROR(__xludf.DUMMYFUNCTION("IF(ISBLANK(B125),,IFERROR(array_constrain(FILTER('Leetcode分类顺序表'!B:J,'Leetcode分类顺序表'!A:A = B125), 1, 10000000),IFERROR(FILTER(Algoexpert.io!B:D,Algoexpert.io!A:A = B125),FILTER('Leetcode List'!B:J,'Leetcode List'!A:A = B125))))"),"")</f>
        <v/>
      </c>
      <c r="D125" s="20"/>
      <c r="E125" s="20"/>
      <c r="F125" s="20"/>
      <c r="G125" s="20"/>
      <c r="H125" s="20"/>
      <c r="I125" s="20"/>
      <c r="J125" s="20"/>
      <c r="K125" s="20"/>
      <c r="L125" s="20" t="str">
        <f t="shared" si="1"/>
        <v/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>
      <c r="A126" s="22"/>
      <c r="B126" s="20"/>
      <c r="C126" s="20" t="str">
        <f>IFERROR(__xludf.DUMMYFUNCTION("IF(ISBLANK(B126),,IFERROR(array_constrain(FILTER('Leetcode分类顺序表'!B:J,'Leetcode分类顺序表'!A:A = B126), 1, 10000000),IFERROR(FILTER(Algoexpert.io!B:D,Algoexpert.io!A:A = B126),FILTER('Leetcode List'!B:J,'Leetcode List'!A:A = B126))))"),"")</f>
        <v/>
      </c>
      <c r="D126" s="20"/>
      <c r="E126" s="20"/>
      <c r="F126" s="20"/>
      <c r="G126" s="20"/>
      <c r="H126" s="20"/>
      <c r="I126" s="20"/>
      <c r="J126" s="20"/>
      <c r="K126" s="20"/>
      <c r="L126" s="20" t="str">
        <f t="shared" si="1"/>
        <v/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>
      <c r="A127" s="22"/>
      <c r="B127" s="20"/>
      <c r="C127" s="20" t="str">
        <f>IFERROR(__xludf.DUMMYFUNCTION("IF(ISBLANK(B127),,IFERROR(array_constrain(FILTER('Leetcode分类顺序表'!B:J,'Leetcode分类顺序表'!A:A = B127), 1, 10000000),IFERROR(FILTER(Algoexpert.io!B:D,Algoexpert.io!A:A = B127),FILTER('Leetcode List'!B:J,'Leetcode List'!A:A = B127))))"),"")</f>
        <v/>
      </c>
      <c r="D127" s="20"/>
      <c r="E127" s="20"/>
      <c r="F127" s="20"/>
      <c r="G127" s="20"/>
      <c r="H127" s="20"/>
      <c r="I127" s="20"/>
      <c r="J127" s="20"/>
      <c r="K127" s="20"/>
      <c r="L127" s="20" t="str">
        <f t="shared" si="1"/>
        <v/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>
      <c r="A128" s="22"/>
      <c r="B128" s="20"/>
      <c r="C128" s="20" t="str">
        <f>IFERROR(__xludf.DUMMYFUNCTION("IF(ISBLANK(B128),,IFERROR(array_constrain(FILTER('Leetcode分类顺序表'!B:J,'Leetcode分类顺序表'!A:A = B128), 1, 10000000),IFERROR(FILTER(Algoexpert.io!B:D,Algoexpert.io!A:A = B128),FILTER('Leetcode List'!B:J,'Leetcode List'!A:A = B128))))"),"")</f>
        <v/>
      </c>
      <c r="D128" s="20"/>
      <c r="E128" s="20"/>
      <c r="F128" s="20"/>
      <c r="G128" s="20"/>
      <c r="H128" s="20"/>
      <c r="I128" s="20"/>
      <c r="J128" s="20"/>
      <c r="K128" s="20"/>
      <c r="L128" s="20" t="str">
        <f t="shared" si="1"/>
        <v/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>
      <c r="A129" s="22"/>
      <c r="B129" s="20"/>
      <c r="C129" s="20" t="str">
        <f>IFERROR(__xludf.DUMMYFUNCTION("IF(ISBLANK(B129),,IFERROR(array_constrain(FILTER('Leetcode分类顺序表'!B:J,'Leetcode分类顺序表'!A:A = B129), 1, 10000000),IFERROR(FILTER(Algoexpert.io!B:D,Algoexpert.io!A:A = B129),FILTER('Leetcode List'!B:J,'Leetcode List'!A:A = B129))))"),"")</f>
        <v/>
      </c>
      <c r="D129" s="20"/>
      <c r="E129" s="20"/>
      <c r="F129" s="20"/>
      <c r="G129" s="20"/>
      <c r="H129" s="20"/>
      <c r="I129" s="20"/>
      <c r="J129" s="20"/>
      <c r="K129" s="20"/>
      <c r="L129" s="20" t="str">
        <f t="shared" si="1"/>
        <v/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>
      <c r="A130" s="22"/>
      <c r="B130" s="20"/>
      <c r="C130" s="20" t="str">
        <f>IFERROR(__xludf.DUMMYFUNCTION("IF(ISBLANK(B130),,IFERROR(array_constrain(FILTER('Leetcode分类顺序表'!B:J,'Leetcode分类顺序表'!A:A = B130), 1, 10000000),IFERROR(FILTER(Algoexpert.io!B:D,Algoexpert.io!A:A = B130),FILTER('Leetcode List'!B:J,'Leetcode List'!A:A = B130))))"),"")</f>
        <v/>
      </c>
      <c r="D130" s="20"/>
      <c r="E130" s="20"/>
      <c r="F130" s="20"/>
      <c r="G130" s="20"/>
      <c r="H130" s="20"/>
      <c r="I130" s="20"/>
      <c r="J130" s="20"/>
      <c r="K130" s="20"/>
      <c r="L130" s="20" t="str">
        <f t="shared" si="1"/>
        <v/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>
      <c r="A131" s="22"/>
      <c r="B131" s="20"/>
      <c r="C131" s="20" t="str">
        <f>IFERROR(__xludf.DUMMYFUNCTION("IF(ISBLANK(B131),,IFERROR(array_constrain(FILTER('Leetcode分类顺序表'!B:J,'Leetcode分类顺序表'!A:A = B131), 1, 10000000),IFERROR(FILTER(Algoexpert.io!B:D,Algoexpert.io!A:A = B131),FILTER('Leetcode List'!B:J,'Leetcode List'!A:A = B131))))"),"")</f>
        <v/>
      </c>
      <c r="D131" s="20"/>
      <c r="E131" s="20"/>
      <c r="F131" s="20"/>
      <c r="G131" s="20"/>
      <c r="H131" s="20"/>
      <c r="I131" s="20"/>
      <c r="J131" s="20"/>
      <c r="K131" s="20"/>
      <c r="L131" s="20" t="str">
        <f t="shared" si="1"/>
        <v/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>
      <c r="A132" s="22"/>
      <c r="B132" s="20"/>
      <c r="C132" s="20" t="str">
        <f>IFERROR(__xludf.DUMMYFUNCTION("IF(ISBLANK(B132),,IFERROR(array_constrain(FILTER('Leetcode分类顺序表'!B:J,'Leetcode分类顺序表'!A:A = B132), 1, 10000000),IFERROR(FILTER(Algoexpert.io!B:D,Algoexpert.io!A:A = B132),FILTER('Leetcode List'!B:J,'Leetcode List'!A:A = B132))))"),"")</f>
        <v/>
      </c>
      <c r="D132" s="20"/>
      <c r="E132" s="20"/>
      <c r="F132" s="20"/>
      <c r="G132" s="20"/>
      <c r="H132" s="20"/>
      <c r="I132" s="20"/>
      <c r="J132" s="20"/>
      <c r="K132" s="20"/>
      <c r="L132" s="20" t="str">
        <f t="shared" si="1"/>
        <v/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>
      <c r="A133" s="22"/>
      <c r="B133" s="20"/>
      <c r="C133" s="20" t="str">
        <f>IFERROR(__xludf.DUMMYFUNCTION("IF(ISBLANK(B133),,IFERROR(array_constrain(FILTER('Leetcode分类顺序表'!B:J,'Leetcode分类顺序表'!A:A = B133), 1, 10000000),IFERROR(FILTER(Algoexpert.io!B:D,Algoexpert.io!A:A = B133),FILTER('Leetcode List'!B:J,'Leetcode List'!A:A = B133))))"),"")</f>
        <v/>
      </c>
      <c r="D133" s="20"/>
      <c r="E133" s="20"/>
      <c r="F133" s="20"/>
      <c r="G133" s="20"/>
      <c r="H133" s="20"/>
      <c r="I133" s="20"/>
      <c r="J133" s="20"/>
      <c r="K133" s="20"/>
      <c r="L133" s="20" t="str">
        <f t="shared" si="1"/>
        <v/>
      </c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>
      <c r="A134" s="22"/>
      <c r="B134" s="20"/>
      <c r="C134" s="20" t="str">
        <f>IFERROR(__xludf.DUMMYFUNCTION("IF(ISBLANK(B134),,IFERROR(array_constrain(FILTER('Leetcode分类顺序表'!B:J,'Leetcode分类顺序表'!A:A = B134), 1, 10000000),IFERROR(FILTER(Algoexpert.io!B:D,Algoexpert.io!A:A = B134),FILTER('Leetcode List'!B:J,'Leetcode List'!A:A = B134))))"),"")</f>
        <v/>
      </c>
      <c r="D134" s="20"/>
      <c r="E134" s="20"/>
      <c r="F134" s="20"/>
      <c r="G134" s="20"/>
      <c r="H134" s="20"/>
      <c r="I134" s="20"/>
      <c r="J134" s="20"/>
      <c r="K134" s="20"/>
      <c r="L134" s="20" t="str">
        <f t="shared" si="1"/>
        <v/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>
      <c r="A135" s="22"/>
      <c r="B135" s="20"/>
      <c r="C135" s="20" t="str">
        <f>IFERROR(__xludf.DUMMYFUNCTION("IF(ISBLANK(B135),,IFERROR(array_constrain(FILTER('Leetcode分类顺序表'!B:J,'Leetcode分类顺序表'!A:A = B135), 1, 10000000),IFERROR(FILTER(Algoexpert.io!B:D,Algoexpert.io!A:A = B135),FILTER('Leetcode List'!B:J,'Leetcode List'!A:A = B135))))"),"")</f>
        <v/>
      </c>
      <c r="D135" s="20"/>
      <c r="E135" s="20"/>
      <c r="F135" s="20"/>
      <c r="G135" s="20"/>
      <c r="H135" s="20"/>
      <c r="I135" s="20"/>
      <c r="J135" s="20"/>
      <c r="K135" s="20"/>
      <c r="L135" s="20" t="str">
        <f t="shared" si="1"/>
        <v/>
      </c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>
      <c r="A136" s="22"/>
      <c r="B136" s="20"/>
      <c r="C136" s="20" t="str">
        <f>IFERROR(__xludf.DUMMYFUNCTION("IF(ISBLANK(B136),,IFERROR(array_constrain(FILTER('Leetcode分类顺序表'!B:J,'Leetcode分类顺序表'!A:A = B136), 1, 10000000),IFERROR(FILTER(Algoexpert.io!B:D,Algoexpert.io!A:A = B136),FILTER('Leetcode List'!B:J,'Leetcode List'!A:A = B136))))"),"")</f>
        <v/>
      </c>
      <c r="D136" s="20"/>
      <c r="E136" s="20"/>
      <c r="F136" s="20"/>
      <c r="G136" s="20"/>
      <c r="H136" s="20"/>
      <c r="I136" s="20"/>
      <c r="J136" s="20"/>
      <c r="K136" s="20"/>
      <c r="L136" s="20" t="str">
        <f t="shared" si="1"/>
        <v/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>
      <c r="A137" s="22"/>
      <c r="B137" s="20"/>
      <c r="C137" s="20" t="str">
        <f>IFERROR(__xludf.DUMMYFUNCTION("IF(ISBLANK(B137),,IFERROR(array_constrain(FILTER('Leetcode分类顺序表'!B:J,'Leetcode分类顺序表'!A:A = B137), 1, 10000000),IFERROR(FILTER(Algoexpert.io!B:D,Algoexpert.io!A:A = B137),FILTER('Leetcode List'!B:J,'Leetcode List'!A:A = B137))))"),"")</f>
        <v/>
      </c>
      <c r="D137" s="20"/>
      <c r="E137" s="20"/>
      <c r="F137" s="20"/>
      <c r="G137" s="20"/>
      <c r="H137" s="20"/>
      <c r="I137" s="20"/>
      <c r="J137" s="20"/>
      <c r="K137" s="20"/>
      <c r="L137" s="20" t="str">
        <f t="shared" si="1"/>
        <v/>
      </c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>
      <c r="A138" s="22"/>
      <c r="B138" s="20"/>
      <c r="C138" s="20" t="str">
        <f>IFERROR(__xludf.DUMMYFUNCTION("IF(ISBLANK(B138),,IFERROR(array_constrain(FILTER('Leetcode分类顺序表'!B:J,'Leetcode分类顺序表'!A:A = B138), 1, 10000000),IFERROR(FILTER(Algoexpert.io!B:D,Algoexpert.io!A:A = B138),FILTER('Leetcode List'!B:J,'Leetcode List'!A:A = B138))))"),"")</f>
        <v/>
      </c>
      <c r="D138" s="20"/>
      <c r="E138" s="20"/>
      <c r="F138" s="20"/>
      <c r="G138" s="20"/>
      <c r="H138" s="20"/>
      <c r="I138" s="20"/>
      <c r="J138" s="20"/>
      <c r="K138" s="20"/>
      <c r="L138" s="20" t="str">
        <f t="shared" si="1"/>
        <v/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>
      <c r="A139" s="22"/>
      <c r="B139" s="20"/>
      <c r="C139" s="20" t="str">
        <f>IFERROR(__xludf.DUMMYFUNCTION("IF(ISBLANK(B139),,IFERROR(array_constrain(FILTER('Leetcode分类顺序表'!B:J,'Leetcode分类顺序表'!A:A = B139), 1, 10000000),IFERROR(FILTER(Algoexpert.io!B:D,Algoexpert.io!A:A = B139),FILTER('Leetcode List'!B:J,'Leetcode List'!A:A = B139))))"),"")</f>
        <v/>
      </c>
      <c r="D139" s="20"/>
      <c r="E139" s="20"/>
      <c r="F139" s="20"/>
      <c r="G139" s="20"/>
      <c r="H139" s="20"/>
      <c r="I139" s="20"/>
      <c r="J139" s="20"/>
      <c r="K139" s="20"/>
      <c r="L139" s="20" t="str">
        <f t="shared" si="1"/>
        <v/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>
      <c r="A140" s="22"/>
      <c r="B140" s="20"/>
      <c r="C140" s="20" t="str">
        <f>IFERROR(__xludf.DUMMYFUNCTION("IF(ISBLANK(B140),,IFERROR(array_constrain(FILTER('Leetcode分类顺序表'!B:J,'Leetcode分类顺序表'!A:A = B140), 1, 10000000),IFERROR(FILTER(Algoexpert.io!B:D,Algoexpert.io!A:A = B140),FILTER('Leetcode List'!B:J,'Leetcode List'!A:A = B140))))"),"")</f>
        <v/>
      </c>
      <c r="D140" s="20"/>
      <c r="E140" s="20"/>
      <c r="F140" s="20"/>
      <c r="G140" s="20"/>
      <c r="H140" s="20"/>
      <c r="I140" s="20"/>
      <c r="J140" s="20"/>
      <c r="K140" s="20"/>
      <c r="L140" s="20" t="str">
        <f t="shared" si="1"/>
        <v/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>
      <c r="A141" s="22"/>
      <c r="B141" s="20"/>
      <c r="C141" s="20" t="str">
        <f>IFERROR(__xludf.DUMMYFUNCTION("IF(ISBLANK(B141),,IFERROR(array_constrain(FILTER('Leetcode分类顺序表'!B:J,'Leetcode分类顺序表'!A:A = B141), 1, 10000000),IFERROR(FILTER(Algoexpert.io!B:D,Algoexpert.io!A:A = B141),FILTER('Leetcode List'!B:J,'Leetcode List'!A:A = B141))))"),"")</f>
        <v/>
      </c>
      <c r="D141" s="20"/>
      <c r="E141" s="20"/>
      <c r="F141" s="20"/>
      <c r="G141" s="20"/>
      <c r="H141" s="20"/>
      <c r="I141" s="20"/>
      <c r="J141" s="20"/>
      <c r="K141" s="20"/>
      <c r="L141" s="20" t="str">
        <f t="shared" si="1"/>
        <v/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>
      <c r="A142" s="22"/>
      <c r="B142" s="20"/>
      <c r="C142" s="20" t="str">
        <f>IFERROR(__xludf.DUMMYFUNCTION("IF(ISBLANK(B142),,IFERROR(array_constrain(FILTER('Leetcode分类顺序表'!B:J,'Leetcode分类顺序表'!A:A = B142), 1, 10000000),IFERROR(FILTER(Algoexpert.io!B:D,Algoexpert.io!A:A = B142),FILTER('Leetcode List'!B:J,'Leetcode List'!A:A = B142))))"),"")</f>
        <v/>
      </c>
      <c r="D142" s="20"/>
      <c r="E142" s="20"/>
      <c r="F142" s="20"/>
      <c r="G142" s="20"/>
      <c r="H142" s="20"/>
      <c r="I142" s="20"/>
      <c r="J142" s="20"/>
      <c r="K142" s="20"/>
      <c r="L142" s="20" t="str">
        <f t="shared" si="1"/>
        <v/>
      </c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>
      <c r="A143" s="22"/>
      <c r="B143" s="20"/>
      <c r="C143" s="20" t="str">
        <f>IFERROR(__xludf.DUMMYFUNCTION("IF(ISBLANK(B143),,IFERROR(array_constrain(FILTER('Leetcode分类顺序表'!B:J,'Leetcode分类顺序表'!A:A = B143), 1, 10000000),IFERROR(FILTER(Algoexpert.io!B:D,Algoexpert.io!A:A = B143),FILTER('Leetcode List'!B:J,'Leetcode List'!A:A = B143))))"),"")</f>
        <v/>
      </c>
      <c r="D143" s="20"/>
      <c r="E143" s="20"/>
      <c r="F143" s="20"/>
      <c r="G143" s="20"/>
      <c r="H143" s="20"/>
      <c r="I143" s="20"/>
      <c r="J143" s="20"/>
      <c r="K143" s="20"/>
      <c r="L143" s="20" t="str">
        <f t="shared" si="1"/>
        <v/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>
      <c r="A144" s="22"/>
      <c r="B144" s="20"/>
      <c r="C144" s="20" t="str">
        <f>IFERROR(__xludf.DUMMYFUNCTION("IF(ISBLANK(B144),,IFERROR(array_constrain(FILTER('Leetcode分类顺序表'!B:J,'Leetcode分类顺序表'!A:A = B144), 1, 10000000),IFERROR(FILTER(Algoexpert.io!B:D,Algoexpert.io!A:A = B144),FILTER('Leetcode List'!B:J,'Leetcode List'!A:A = B144))))"),"")</f>
        <v/>
      </c>
      <c r="D144" s="20"/>
      <c r="E144" s="20"/>
      <c r="F144" s="20"/>
      <c r="G144" s="20"/>
      <c r="H144" s="20"/>
      <c r="I144" s="20"/>
      <c r="J144" s="20"/>
      <c r="K144" s="20"/>
      <c r="L144" s="20" t="str">
        <f t="shared" si="1"/>
        <v/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>
      <c r="A145" s="22"/>
      <c r="B145" s="20"/>
      <c r="C145" s="20" t="str">
        <f>IFERROR(__xludf.DUMMYFUNCTION("IF(ISBLANK(B145),,IFERROR(array_constrain(FILTER('Leetcode分类顺序表'!B:J,'Leetcode分类顺序表'!A:A = B145), 1, 10000000),IFERROR(FILTER(Algoexpert.io!B:D,Algoexpert.io!A:A = B145),FILTER('Leetcode List'!B:J,'Leetcode List'!A:A = B145))))"),"")</f>
        <v/>
      </c>
      <c r="D145" s="20"/>
      <c r="E145" s="20"/>
      <c r="F145" s="20"/>
      <c r="G145" s="20"/>
      <c r="H145" s="20"/>
      <c r="I145" s="20"/>
      <c r="J145" s="20"/>
      <c r="K145" s="20"/>
      <c r="L145" s="20" t="str">
        <f t="shared" si="1"/>
        <v/>
      </c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>
      <c r="A146" s="22"/>
      <c r="B146" s="20"/>
      <c r="C146" s="20" t="str">
        <f>IFERROR(__xludf.DUMMYFUNCTION("IF(ISBLANK(B146),,IFERROR(array_constrain(FILTER('Leetcode分类顺序表'!B:J,'Leetcode分类顺序表'!A:A = B146), 1, 10000000),IFERROR(FILTER(Algoexpert.io!B:D,Algoexpert.io!A:A = B146),FILTER('Leetcode List'!B:J,'Leetcode List'!A:A = B146))))"),"")</f>
        <v/>
      </c>
      <c r="D146" s="20"/>
      <c r="E146" s="20"/>
      <c r="F146" s="20"/>
      <c r="G146" s="20"/>
      <c r="H146" s="20"/>
      <c r="I146" s="20"/>
      <c r="J146" s="20"/>
      <c r="K146" s="20"/>
      <c r="L146" s="20" t="str">
        <f t="shared" si="1"/>
        <v/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>
      <c r="A147" s="22"/>
      <c r="B147" s="20"/>
      <c r="C147" s="20" t="str">
        <f>IFERROR(__xludf.DUMMYFUNCTION("IF(ISBLANK(B147),,IFERROR(array_constrain(FILTER('Leetcode分类顺序表'!B:J,'Leetcode分类顺序表'!A:A = B147), 1, 10000000),IFERROR(FILTER(Algoexpert.io!B:D,Algoexpert.io!A:A = B147),FILTER('Leetcode List'!B:J,'Leetcode List'!A:A = B147))))"),"")</f>
        <v/>
      </c>
      <c r="D147" s="20"/>
      <c r="E147" s="20"/>
      <c r="F147" s="20"/>
      <c r="G147" s="20"/>
      <c r="H147" s="20"/>
      <c r="I147" s="20"/>
      <c r="J147" s="20"/>
      <c r="K147" s="20"/>
      <c r="L147" s="20" t="str">
        <f t="shared" si="1"/>
        <v/>
      </c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>
      <c r="A148" s="22"/>
      <c r="B148" s="20"/>
      <c r="C148" s="20" t="str">
        <f>IFERROR(__xludf.DUMMYFUNCTION("IF(ISBLANK(B148),,IFERROR(array_constrain(FILTER('Leetcode分类顺序表'!B:J,'Leetcode分类顺序表'!A:A = B148), 1, 10000000),IFERROR(FILTER(Algoexpert.io!B:D,Algoexpert.io!A:A = B148),FILTER('Leetcode List'!B:J,'Leetcode List'!A:A = B148))))"),"")</f>
        <v/>
      </c>
      <c r="D148" s="20"/>
      <c r="E148" s="20"/>
      <c r="F148" s="20"/>
      <c r="G148" s="20"/>
      <c r="H148" s="20"/>
      <c r="I148" s="20"/>
      <c r="J148" s="20"/>
      <c r="K148" s="20"/>
      <c r="L148" s="20" t="str">
        <f t="shared" si="1"/>
        <v/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>
      <c r="A149" s="22"/>
      <c r="B149" s="20"/>
      <c r="C149" s="20" t="str">
        <f>IFERROR(__xludf.DUMMYFUNCTION("IF(ISBLANK(B149),,IFERROR(array_constrain(FILTER('Leetcode分类顺序表'!B:J,'Leetcode分类顺序表'!A:A = B149), 1, 10000000),IFERROR(FILTER(Algoexpert.io!B:D,Algoexpert.io!A:A = B149),FILTER('Leetcode List'!B:J,'Leetcode List'!A:A = B149))))"),"")</f>
        <v/>
      </c>
      <c r="D149" s="20"/>
      <c r="E149" s="20"/>
      <c r="F149" s="20"/>
      <c r="G149" s="20"/>
      <c r="H149" s="20"/>
      <c r="I149" s="20"/>
      <c r="J149" s="20"/>
      <c r="K149" s="20"/>
      <c r="L149" s="20" t="str">
        <f t="shared" si="1"/>
        <v/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>
      <c r="A150" s="22"/>
      <c r="B150" s="20"/>
      <c r="C150" s="20" t="str">
        <f>IFERROR(__xludf.DUMMYFUNCTION("IF(ISBLANK(B150),,IFERROR(array_constrain(FILTER('Leetcode分类顺序表'!B:J,'Leetcode分类顺序表'!A:A = B150), 1, 10000000),IFERROR(FILTER(Algoexpert.io!B:D,Algoexpert.io!A:A = B150),FILTER('Leetcode List'!B:J,'Leetcode List'!A:A = B150))))"),"")</f>
        <v/>
      </c>
      <c r="D150" s="20"/>
      <c r="E150" s="20"/>
      <c r="F150" s="20"/>
      <c r="G150" s="20"/>
      <c r="H150" s="20"/>
      <c r="I150" s="20"/>
      <c r="J150" s="20"/>
      <c r="K150" s="20"/>
      <c r="L150" s="20" t="str">
        <f t="shared" si="1"/>
        <v/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>
      <c r="A151" s="22"/>
      <c r="B151" s="20"/>
      <c r="C151" s="20" t="str">
        <f>IFERROR(__xludf.DUMMYFUNCTION("IF(ISBLANK(B151),,IFERROR(array_constrain(FILTER('Leetcode分类顺序表'!B:J,'Leetcode分类顺序表'!A:A = B151), 1, 10000000),IFERROR(FILTER(Algoexpert.io!B:D,Algoexpert.io!A:A = B151),FILTER('Leetcode List'!B:J,'Leetcode List'!A:A = B151))))"),"")</f>
        <v/>
      </c>
      <c r="D151" s="20"/>
      <c r="E151" s="20"/>
      <c r="F151" s="20"/>
      <c r="G151" s="20"/>
      <c r="H151" s="20"/>
      <c r="I151" s="20"/>
      <c r="J151" s="20"/>
      <c r="K151" s="20"/>
      <c r="L151" s="20" t="str">
        <f t="shared" si="1"/>
        <v/>
      </c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>
      <c r="A152" s="22"/>
      <c r="B152" s="20"/>
      <c r="C152" s="20" t="str">
        <f>IFERROR(__xludf.DUMMYFUNCTION("IF(ISBLANK(B152),,IFERROR(array_constrain(FILTER('Leetcode分类顺序表'!B:J,'Leetcode分类顺序表'!A:A = B152), 1, 10000000),IFERROR(FILTER(Algoexpert.io!B:D,Algoexpert.io!A:A = B152),FILTER('Leetcode List'!B:J,'Leetcode List'!A:A = B152))))"),"")</f>
        <v/>
      </c>
      <c r="D152" s="20"/>
      <c r="E152" s="20"/>
      <c r="F152" s="20"/>
      <c r="G152" s="20"/>
      <c r="H152" s="20"/>
      <c r="I152" s="20"/>
      <c r="J152" s="20"/>
      <c r="K152" s="20"/>
      <c r="L152" s="20" t="str">
        <f t="shared" si="1"/>
        <v/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>
      <c r="A153" s="22"/>
      <c r="B153" s="20"/>
      <c r="C153" s="20" t="str">
        <f>IFERROR(__xludf.DUMMYFUNCTION("IF(ISBLANK(B153),,IFERROR(array_constrain(FILTER('Leetcode分类顺序表'!B:J,'Leetcode分类顺序表'!A:A = B153), 1, 10000000),IFERROR(FILTER(Algoexpert.io!B:D,Algoexpert.io!A:A = B153),FILTER('Leetcode List'!B:J,'Leetcode List'!A:A = B153))))"),"")</f>
        <v/>
      </c>
      <c r="D153" s="20"/>
      <c r="E153" s="20"/>
      <c r="F153" s="20"/>
      <c r="G153" s="20"/>
      <c r="H153" s="20"/>
      <c r="I153" s="20"/>
      <c r="J153" s="20"/>
      <c r="K153" s="20"/>
      <c r="L153" s="20" t="str">
        <f t="shared" si="1"/>
        <v/>
      </c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>
      <c r="A154" s="22"/>
      <c r="B154" s="20"/>
      <c r="C154" s="20" t="str">
        <f>IFERROR(__xludf.DUMMYFUNCTION("IF(ISBLANK(B154),,IFERROR(array_constrain(FILTER('Leetcode分类顺序表'!B:J,'Leetcode分类顺序表'!A:A = B154), 1, 10000000),IFERROR(FILTER(Algoexpert.io!B:D,Algoexpert.io!A:A = B154),FILTER('Leetcode List'!B:J,'Leetcode List'!A:A = B154))))"),"")</f>
        <v/>
      </c>
      <c r="D154" s="20"/>
      <c r="E154" s="20"/>
      <c r="F154" s="20"/>
      <c r="G154" s="20"/>
      <c r="H154" s="20"/>
      <c r="I154" s="20"/>
      <c r="J154" s="20"/>
      <c r="K154" s="20"/>
      <c r="L154" s="20" t="str">
        <f t="shared" si="1"/>
        <v/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>
      <c r="A155" s="22"/>
      <c r="B155" s="20"/>
      <c r="C155" s="20" t="str">
        <f>IFERROR(__xludf.DUMMYFUNCTION("IF(ISBLANK(B155),,IFERROR(array_constrain(FILTER('Leetcode分类顺序表'!B:J,'Leetcode分类顺序表'!A:A = B155), 1, 10000000),IFERROR(FILTER(Algoexpert.io!B:D,Algoexpert.io!A:A = B155),FILTER('Leetcode List'!B:J,'Leetcode List'!A:A = B155))))"),"")</f>
        <v/>
      </c>
      <c r="D155" s="20"/>
      <c r="E155" s="20"/>
      <c r="F155" s="20"/>
      <c r="G155" s="20"/>
      <c r="H155" s="20"/>
      <c r="I155" s="20"/>
      <c r="J155" s="20"/>
      <c r="K155" s="20"/>
      <c r="L155" s="20" t="str">
        <f t="shared" si="1"/>
        <v/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>
      <c r="A156" s="22"/>
      <c r="B156" s="20"/>
      <c r="C156" s="20" t="str">
        <f>IFERROR(__xludf.DUMMYFUNCTION("IF(ISBLANK(B156),,IFERROR(array_constrain(FILTER('Leetcode分类顺序表'!B:J,'Leetcode分类顺序表'!A:A = B156), 1, 10000000),IFERROR(FILTER(Algoexpert.io!B:D,Algoexpert.io!A:A = B156),FILTER('Leetcode List'!B:J,'Leetcode List'!A:A = B156))))"),"")</f>
        <v/>
      </c>
      <c r="D156" s="20"/>
      <c r="E156" s="20"/>
      <c r="F156" s="20"/>
      <c r="G156" s="20"/>
      <c r="H156" s="20"/>
      <c r="I156" s="20"/>
      <c r="J156" s="20"/>
      <c r="K156" s="20"/>
      <c r="L156" s="20" t="str">
        <f t="shared" si="1"/>
        <v/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>
      <c r="A157" s="22"/>
      <c r="B157" s="20"/>
      <c r="C157" s="20" t="str">
        <f>IFERROR(__xludf.DUMMYFUNCTION("IF(ISBLANK(B157),,IFERROR(array_constrain(FILTER('Leetcode分类顺序表'!B:J,'Leetcode分类顺序表'!A:A = B157), 1, 10000000),IFERROR(FILTER(Algoexpert.io!B:D,Algoexpert.io!A:A = B157),FILTER('Leetcode List'!B:J,'Leetcode List'!A:A = B157))))"),"")</f>
        <v/>
      </c>
      <c r="D157" s="20"/>
      <c r="E157" s="20"/>
      <c r="F157" s="20"/>
      <c r="G157" s="20"/>
      <c r="H157" s="20"/>
      <c r="I157" s="20"/>
      <c r="J157" s="20"/>
      <c r="K157" s="20"/>
      <c r="L157" s="20" t="str">
        <f t="shared" si="1"/>
        <v/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>
      <c r="A158" s="22"/>
      <c r="B158" s="20"/>
      <c r="C158" s="20" t="str">
        <f>IFERROR(__xludf.DUMMYFUNCTION("IF(ISBLANK(B158),,IFERROR(array_constrain(FILTER('Leetcode分类顺序表'!B:J,'Leetcode分类顺序表'!A:A = B158), 1, 10000000),IFERROR(FILTER(Algoexpert.io!B:D,Algoexpert.io!A:A = B158),FILTER('Leetcode List'!B:J,'Leetcode List'!A:A = B158))))"),"")</f>
        <v/>
      </c>
      <c r="D158" s="20"/>
      <c r="E158" s="20"/>
      <c r="F158" s="20"/>
      <c r="G158" s="20"/>
      <c r="H158" s="20"/>
      <c r="I158" s="20"/>
      <c r="J158" s="20"/>
      <c r="K158" s="20"/>
      <c r="L158" s="20" t="str">
        <f t="shared" si="1"/>
        <v/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>
      <c r="A159" s="22"/>
      <c r="B159" s="20"/>
      <c r="C159" s="20" t="str">
        <f>IFERROR(__xludf.DUMMYFUNCTION("IF(ISBLANK(B159),,IFERROR(array_constrain(FILTER('Leetcode分类顺序表'!B:J,'Leetcode分类顺序表'!A:A = B159), 1, 10000000),IFERROR(FILTER(Algoexpert.io!B:D,Algoexpert.io!A:A = B159),FILTER('Leetcode List'!B:J,'Leetcode List'!A:A = B159))))"),"")</f>
        <v/>
      </c>
      <c r="D159" s="20"/>
      <c r="E159" s="20"/>
      <c r="F159" s="20"/>
      <c r="G159" s="20"/>
      <c r="H159" s="20"/>
      <c r="I159" s="20"/>
      <c r="J159" s="20"/>
      <c r="K159" s="20"/>
      <c r="L159" s="20" t="str">
        <f t="shared" si="1"/>
        <v/>
      </c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>
      <c r="A160" s="22"/>
      <c r="B160" s="20"/>
      <c r="C160" s="20" t="str">
        <f>IFERROR(__xludf.DUMMYFUNCTION("IF(ISBLANK(B160),,IFERROR(array_constrain(FILTER('Leetcode分类顺序表'!B:J,'Leetcode分类顺序表'!A:A = B160), 1, 10000000),IFERROR(FILTER(Algoexpert.io!B:D,Algoexpert.io!A:A = B160),FILTER('Leetcode List'!B:J,'Leetcode List'!A:A = B160))))"),"")</f>
        <v/>
      </c>
      <c r="D160" s="20"/>
      <c r="E160" s="20"/>
      <c r="F160" s="20"/>
      <c r="G160" s="20"/>
      <c r="H160" s="20"/>
      <c r="I160" s="20"/>
      <c r="J160" s="20"/>
      <c r="K160" s="20"/>
      <c r="L160" s="20" t="str">
        <f t="shared" si="1"/>
        <v/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>
      <c r="A161" s="22"/>
      <c r="B161" s="20"/>
      <c r="C161" s="20" t="str">
        <f>IFERROR(__xludf.DUMMYFUNCTION("IF(ISBLANK(B161),,IFERROR(array_constrain(FILTER('Leetcode分类顺序表'!B:J,'Leetcode分类顺序表'!A:A = B161), 1, 10000000),IFERROR(FILTER(Algoexpert.io!B:D,Algoexpert.io!A:A = B161),FILTER('Leetcode List'!B:J,'Leetcode List'!A:A = B161))))"),"")</f>
        <v/>
      </c>
      <c r="D161" s="20"/>
      <c r="E161" s="20"/>
      <c r="F161" s="20"/>
      <c r="G161" s="20"/>
      <c r="H161" s="20"/>
      <c r="I161" s="20"/>
      <c r="J161" s="20"/>
      <c r="K161" s="20"/>
      <c r="L161" s="20" t="str">
        <f t="shared" si="1"/>
        <v/>
      </c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>
      <c r="A162" s="22"/>
      <c r="B162" s="20"/>
      <c r="C162" s="20" t="str">
        <f>IFERROR(__xludf.DUMMYFUNCTION("IF(ISBLANK(B162),,IFERROR(array_constrain(FILTER('Leetcode分类顺序表'!B:J,'Leetcode分类顺序表'!A:A = B162), 1, 10000000),IFERROR(FILTER(Algoexpert.io!B:D,Algoexpert.io!A:A = B162),FILTER('Leetcode List'!B:J,'Leetcode List'!A:A = B162))))"),"")</f>
        <v/>
      </c>
      <c r="D162" s="20"/>
      <c r="E162" s="20"/>
      <c r="F162" s="20"/>
      <c r="G162" s="20"/>
      <c r="H162" s="20"/>
      <c r="I162" s="20"/>
      <c r="J162" s="20"/>
      <c r="K162" s="20"/>
      <c r="L162" s="20" t="str">
        <f t="shared" si="1"/>
        <v/>
      </c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>
      <c r="A163" s="22"/>
      <c r="B163" s="20"/>
      <c r="C163" s="20" t="str">
        <f>IFERROR(__xludf.DUMMYFUNCTION("IF(ISBLANK(B163),,IFERROR(array_constrain(FILTER('Leetcode分类顺序表'!B:J,'Leetcode分类顺序表'!A:A = B163), 1, 10000000),IFERROR(FILTER(Algoexpert.io!B:D,Algoexpert.io!A:A = B163),FILTER('Leetcode List'!B:J,'Leetcode List'!A:A = B163))))"),"")</f>
        <v/>
      </c>
      <c r="D163" s="20"/>
      <c r="E163" s="20"/>
      <c r="F163" s="20"/>
      <c r="G163" s="20"/>
      <c r="H163" s="20"/>
      <c r="I163" s="20"/>
      <c r="J163" s="20"/>
      <c r="K163" s="20"/>
      <c r="L163" s="20" t="str">
        <f t="shared" si="1"/>
        <v/>
      </c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>
      <c r="A164" s="22"/>
      <c r="B164" s="20"/>
      <c r="C164" s="20" t="str">
        <f>IFERROR(__xludf.DUMMYFUNCTION("IF(ISBLANK(B164),,IFERROR(array_constrain(FILTER('Leetcode分类顺序表'!B:J,'Leetcode分类顺序表'!A:A = B164), 1, 10000000),IFERROR(FILTER(Algoexpert.io!B:D,Algoexpert.io!A:A = B164),FILTER('Leetcode List'!B:J,'Leetcode List'!A:A = B164))))"),"")</f>
        <v/>
      </c>
      <c r="D164" s="20"/>
      <c r="E164" s="20"/>
      <c r="F164" s="20"/>
      <c r="G164" s="20"/>
      <c r="H164" s="20"/>
      <c r="I164" s="20"/>
      <c r="J164" s="20"/>
      <c r="K164" s="20"/>
      <c r="L164" s="20" t="str">
        <f t="shared" si="1"/>
        <v/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>
      <c r="A165" s="22"/>
      <c r="B165" s="20"/>
      <c r="C165" s="20" t="str">
        <f>IFERROR(__xludf.DUMMYFUNCTION("IF(ISBLANK(B165),,IFERROR(array_constrain(FILTER('Leetcode分类顺序表'!B:J,'Leetcode分类顺序表'!A:A = B165), 1, 10000000),IFERROR(FILTER(Algoexpert.io!B:D,Algoexpert.io!A:A = B165),FILTER('Leetcode List'!B:J,'Leetcode List'!A:A = B165))))"),"")</f>
        <v/>
      </c>
      <c r="D165" s="20"/>
      <c r="E165" s="20"/>
      <c r="F165" s="20"/>
      <c r="G165" s="20"/>
      <c r="H165" s="20"/>
      <c r="I165" s="20"/>
      <c r="J165" s="20"/>
      <c r="K165" s="20"/>
      <c r="L165" s="20" t="str">
        <f t="shared" si="1"/>
        <v/>
      </c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>
      <c r="A166" s="22"/>
      <c r="B166" s="20"/>
      <c r="C166" s="20" t="str">
        <f>IFERROR(__xludf.DUMMYFUNCTION("IF(ISBLANK(B166),,IFERROR(array_constrain(FILTER('Leetcode分类顺序表'!B:J,'Leetcode分类顺序表'!A:A = B166), 1, 10000000),IFERROR(FILTER(Algoexpert.io!B:D,Algoexpert.io!A:A = B166),FILTER('Leetcode List'!B:J,'Leetcode List'!A:A = B166))))"),"")</f>
        <v/>
      </c>
      <c r="D166" s="20"/>
      <c r="E166" s="20"/>
      <c r="F166" s="20"/>
      <c r="G166" s="20"/>
      <c r="H166" s="20"/>
      <c r="I166" s="20"/>
      <c r="J166" s="20"/>
      <c r="K166" s="20"/>
      <c r="L166" s="20" t="str">
        <f t="shared" si="1"/>
        <v/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>
      <c r="A167" s="22"/>
      <c r="B167" s="20"/>
      <c r="C167" s="20" t="str">
        <f>IFERROR(__xludf.DUMMYFUNCTION("IF(ISBLANK(B167),,IFERROR(array_constrain(FILTER('Leetcode分类顺序表'!B:J,'Leetcode分类顺序表'!A:A = B167), 1, 10000000),IFERROR(FILTER(Algoexpert.io!B:D,Algoexpert.io!A:A = B167),FILTER('Leetcode List'!B:J,'Leetcode List'!A:A = B167))))"),"")</f>
        <v/>
      </c>
      <c r="D167" s="20"/>
      <c r="E167" s="20"/>
      <c r="F167" s="20"/>
      <c r="G167" s="20"/>
      <c r="H167" s="20"/>
      <c r="I167" s="20"/>
      <c r="J167" s="20"/>
      <c r="K167" s="20"/>
      <c r="L167" s="20" t="str">
        <f t="shared" si="1"/>
        <v/>
      </c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>
      <c r="A168" s="22"/>
      <c r="B168" s="20"/>
      <c r="C168" s="20" t="str">
        <f>IFERROR(__xludf.DUMMYFUNCTION("IF(ISBLANK(B168),,IFERROR(array_constrain(FILTER('Leetcode分类顺序表'!B:J,'Leetcode分类顺序表'!A:A = B168), 1, 10000000),IFERROR(FILTER(Algoexpert.io!B:D,Algoexpert.io!A:A = B168),FILTER('Leetcode List'!B:J,'Leetcode List'!A:A = B168))))"),"")</f>
        <v/>
      </c>
      <c r="D168" s="20"/>
      <c r="E168" s="20"/>
      <c r="F168" s="20"/>
      <c r="G168" s="20"/>
      <c r="H168" s="20"/>
      <c r="I168" s="20"/>
      <c r="J168" s="20"/>
      <c r="K168" s="20"/>
      <c r="L168" s="20" t="str">
        <f t="shared" si="1"/>
        <v/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>
      <c r="A169" s="22"/>
      <c r="B169" s="20"/>
      <c r="C169" s="20" t="str">
        <f>IFERROR(__xludf.DUMMYFUNCTION("IF(ISBLANK(B169),,IFERROR(array_constrain(FILTER('Leetcode分类顺序表'!B:J,'Leetcode分类顺序表'!A:A = B169), 1, 10000000),IFERROR(FILTER(Algoexpert.io!B:D,Algoexpert.io!A:A = B169),FILTER('Leetcode List'!B:J,'Leetcode List'!A:A = B169))))"),"")</f>
        <v/>
      </c>
      <c r="D169" s="20"/>
      <c r="E169" s="20"/>
      <c r="F169" s="20"/>
      <c r="G169" s="20"/>
      <c r="H169" s="20"/>
      <c r="I169" s="20"/>
      <c r="J169" s="20"/>
      <c r="K169" s="20"/>
      <c r="L169" s="20" t="str">
        <f t="shared" si="1"/>
        <v/>
      </c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>
      <c r="A170" s="22"/>
      <c r="B170" s="20"/>
      <c r="C170" s="20" t="str">
        <f>IFERROR(__xludf.DUMMYFUNCTION("IF(ISBLANK(B170),,IFERROR(array_constrain(FILTER('Leetcode分类顺序表'!B:J,'Leetcode分类顺序表'!A:A = B170), 1, 10000000),IFERROR(FILTER(Algoexpert.io!B:D,Algoexpert.io!A:A = B170),FILTER('Leetcode List'!B:J,'Leetcode List'!A:A = B170))))"),"")</f>
        <v/>
      </c>
      <c r="D170" s="20"/>
      <c r="E170" s="20"/>
      <c r="F170" s="20"/>
      <c r="G170" s="20"/>
      <c r="H170" s="20"/>
      <c r="I170" s="20"/>
      <c r="J170" s="20"/>
      <c r="K170" s="20"/>
      <c r="L170" s="20" t="str">
        <f t="shared" si="1"/>
        <v/>
      </c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>
      <c r="A171" s="22"/>
      <c r="B171" s="20"/>
      <c r="C171" s="20" t="str">
        <f>IFERROR(__xludf.DUMMYFUNCTION("IF(ISBLANK(B171),,IFERROR(array_constrain(FILTER('Leetcode分类顺序表'!B:J,'Leetcode分类顺序表'!A:A = B171), 1, 10000000),IFERROR(FILTER(Algoexpert.io!B:D,Algoexpert.io!A:A = B171),FILTER('Leetcode List'!B:J,'Leetcode List'!A:A = B171))))"),"")</f>
        <v/>
      </c>
      <c r="D171" s="20"/>
      <c r="E171" s="20"/>
      <c r="F171" s="20"/>
      <c r="G171" s="20"/>
      <c r="H171" s="20"/>
      <c r="I171" s="20"/>
      <c r="J171" s="20"/>
      <c r="K171" s="20"/>
      <c r="L171" s="20" t="str">
        <f t="shared" si="1"/>
        <v/>
      </c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>
      <c r="A172" s="22"/>
      <c r="B172" s="20"/>
      <c r="C172" s="20" t="str">
        <f>IFERROR(__xludf.DUMMYFUNCTION("IF(ISBLANK(B172),,IFERROR(array_constrain(FILTER('Leetcode分类顺序表'!B:J,'Leetcode分类顺序表'!A:A = B172), 1, 10000000),IFERROR(FILTER(Algoexpert.io!B:D,Algoexpert.io!A:A = B172),FILTER('Leetcode List'!B:J,'Leetcode List'!A:A = B172))))"),"")</f>
        <v/>
      </c>
      <c r="D172" s="20"/>
      <c r="E172" s="20"/>
      <c r="F172" s="20"/>
      <c r="G172" s="20"/>
      <c r="H172" s="20"/>
      <c r="I172" s="20"/>
      <c r="J172" s="20"/>
      <c r="K172" s="20"/>
      <c r="L172" s="20" t="str">
        <f t="shared" si="1"/>
        <v/>
      </c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>
      <c r="A173" s="22"/>
      <c r="B173" s="20"/>
      <c r="C173" s="20" t="str">
        <f>IFERROR(__xludf.DUMMYFUNCTION("IF(ISBLANK(B173),,IFERROR(array_constrain(FILTER('Leetcode分类顺序表'!B:J,'Leetcode分类顺序表'!A:A = B173), 1, 10000000),IFERROR(FILTER(Algoexpert.io!B:D,Algoexpert.io!A:A = B173),FILTER('Leetcode List'!B:J,'Leetcode List'!A:A = B173))))"),"")</f>
        <v/>
      </c>
      <c r="D173" s="20"/>
      <c r="E173" s="20"/>
      <c r="F173" s="20"/>
      <c r="G173" s="20"/>
      <c r="H173" s="20"/>
      <c r="I173" s="20"/>
      <c r="J173" s="20"/>
      <c r="K173" s="20"/>
      <c r="L173" s="20" t="str">
        <f t="shared" si="1"/>
        <v/>
      </c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>
      <c r="A174" s="22"/>
      <c r="B174" s="20"/>
      <c r="C174" s="20" t="str">
        <f>IFERROR(__xludf.DUMMYFUNCTION("IF(ISBLANK(B174),,IFERROR(array_constrain(FILTER('Leetcode分类顺序表'!B:J,'Leetcode分类顺序表'!A:A = B174), 1, 10000000),IFERROR(FILTER(Algoexpert.io!B:D,Algoexpert.io!A:A = B174),FILTER('Leetcode List'!B:J,'Leetcode List'!A:A = B174))))"),"")</f>
        <v/>
      </c>
      <c r="D174" s="20"/>
      <c r="E174" s="20"/>
      <c r="F174" s="20"/>
      <c r="G174" s="20"/>
      <c r="H174" s="20"/>
      <c r="I174" s="20"/>
      <c r="J174" s="20"/>
      <c r="K174" s="20"/>
      <c r="L174" s="20" t="str">
        <f t="shared" si="1"/>
        <v/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>
      <c r="A175" s="22"/>
      <c r="B175" s="20"/>
      <c r="C175" s="20" t="str">
        <f>IFERROR(__xludf.DUMMYFUNCTION("IF(ISBLANK(B175),,IFERROR(array_constrain(FILTER('Leetcode分类顺序表'!B:J,'Leetcode分类顺序表'!A:A = B175), 1, 10000000),IFERROR(FILTER(Algoexpert.io!B:D,Algoexpert.io!A:A = B175),FILTER('Leetcode List'!B:J,'Leetcode List'!A:A = B175))))"),"")</f>
        <v/>
      </c>
      <c r="D175" s="20"/>
      <c r="E175" s="20"/>
      <c r="F175" s="20"/>
      <c r="G175" s="20"/>
      <c r="H175" s="20"/>
      <c r="I175" s="20"/>
      <c r="J175" s="20"/>
      <c r="K175" s="20"/>
      <c r="L175" s="20" t="str">
        <f t="shared" si="1"/>
        <v/>
      </c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>
      <c r="A176" s="22"/>
      <c r="B176" s="20"/>
      <c r="C176" s="20" t="str">
        <f>IFERROR(__xludf.DUMMYFUNCTION("IF(ISBLANK(B176),,IFERROR(array_constrain(FILTER('Leetcode分类顺序表'!B:J,'Leetcode分类顺序表'!A:A = B176), 1, 10000000),IFERROR(FILTER(Algoexpert.io!B:D,Algoexpert.io!A:A = B176),FILTER('Leetcode List'!B:J,'Leetcode List'!A:A = B176))))"),"")</f>
        <v/>
      </c>
      <c r="D176" s="20"/>
      <c r="E176" s="20"/>
      <c r="F176" s="20"/>
      <c r="G176" s="20"/>
      <c r="H176" s="20"/>
      <c r="I176" s="20"/>
      <c r="J176" s="20"/>
      <c r="K176" s="20"/>
      <c r="L176" s="20" t="str">
        <f t="shared" si="1"/>
        <v/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>
      <c r="A177" s="22"/>
      <c r="B177" s="20"/>
      <c r="C177" s="20" t="str">
        <f>IFERROR(__xludf.DUMMYFUNCTION("IF(ISBLANK(B177),,IFERROR(array_constrain(FILTER('Leetcode分类顺序表'!B:J,'Leetcode分类顺序表'!A:A = B177), 1, 10000000),IFERROR(FILTER(Algoexpert.io!B:D,Algoexpert.io!A:A = B177),FILTER('Leetcode List'!B:J,'Leetcode List'!A:A = B177))))"),"")</f>
        <v/>
      </c>
      <c r="D177" s="20"/>
      <c r="E177" s="20"/>
      <c r="F177" s="20"/>
      <c r="G177" s="20"/>
      <c r="H177" s="20"/>
      <c r="I177" s="20"/>
      <c r="J177" s="20"/>
      <c r="K177" s="20"/>
      <c r="L177" s="20" t="str">
        <f t="shared" si="1"/>
        <v/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>
      <c r="A178" s="22"/>
      <c r="B178" s="20"/>
      <c r="C178" s="20" t="str">
        <f>IFERROR(__xludf.DUMMYFUNCTION("IF(ISBLANK(B178),,IFERROR(array_constrain(FILTER('Leetcode分类顺序表'!B:J,'Leetcode分类顺序表'!A:A = B178), 1, 10000000),IFERROR(FILTER(Algoexpert.io!B:D,Algoexpert.io!A:A = B178),FILTER('Leetcode List'!B:J,'Leetcode List'!A:A = B178))))"),"")</f>
        <v/>
      </c>
      <c r="D178" s="20"/>
      <c r="E178" s="20"/>
      <c r="F178" s="20"/>
      <c r="G178" s="20"/>
      <c r="H178" s="20"/>
      <c r="I178" s="20"/>
      <c r="J178" s="20"/>
      <c r="K178" s="20"/>
      <c r="L178" s="20" t="str">
        <f t="shared" si="1"/>
        <v/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>
      <c r="A179" s="22"/>
      <c r="B179" s="20"/>
      <c r="C179" s="20" t="str">
        <f>IFERROR(__xludf.DUMMYFUNCTION("IF(ISBLANK(B179),,IFERROR(array_constrain(FILTER('Leetcode分类顺序表'!B:J,'Leetcode分类顺序表'!A:A = B179), 1, 10000000),IFERROR(FILTER(Algoexpert.io!B:D,Algoexpert.io!A:A = B179),FILTER('Leetcode List'!B:J,'Leetcode List'!A:A = B179))))"),"")</f>
        <v/>
      </c>
      <c r="D179" s="20"/>
      <c r="E179" s="20"/>
      <c r="F179" s="20"/>
      <c r="G179" s="20"/>
      <c r="H179" s="20"/>
      <c r="I179" s="20"/>
      <c r="J179" s="20"/>
      <c r="K179" s="20"/>
      <c r="L179" s="20" t="str">
        <f t="shared" si="1"/>
        <v/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>
      <c r="A180" s="22"/>
      <c r="B180" s="20"/>
      <c r="C180" s="20" t="str">
        <f>IFERROR(__xludf.DUMMYFUNCTION("IF(ISBLANK(B180),,IFERROR(array_constrain(FILTER('Leetcode分类顺序表'!B:J,'Leetcode分类顺序表'!A:A = B180), 1, 10000000),IFERROR(FILTER(Algoexpert.io!B:D,Algoexpert.io!A:A = B180),FILTER('Leetcode List'!B:J,'Leetcode List'!A:A = B180))))"),"")</f>
        <v/>
      </c>
      <c r="D180" s="20"/>
      <c r="E180" s="20"/>
      <c r="F180" s="20"/>
      <c r="G180" s="20"/>
      <c r="H180" s="20"/>
      <c r="I180" s="20"/>
      <c r="J180" s="20"/>
      <c r="K180" s="20"/>
      <c r="L180" s="20" t="str">
        <f t="shared" si="1"/>
        <v/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>
      <c r="A181" s="22"/>
      <c r="B181" s="20"/>
      <c r="C181" s="20" t="str">
        <f>IFERROR(__xludf.DUMMYFUNCTION("IF(ISBLANK(B181),,IFERROR(array_constrain(FILTER('Leetcode分类顺序表'!B:J,'Leetcode分类顺序表'!A:A = B181), 1, 10000000),IFERROR(FILTER(Algoexpert.io!B:D,Algoexpert.io!A:A = B181),FILTER('Leetcode List'!B:J,'Leetcode List'!A:A = B181))))"),"")</f>
        <v/>
      </c>
      <c r="D181" s="20"/>
      <c r="E181" s="20"/>
      <c r="F181" s="20"/>
      <c r="G181" s="20"/>
      <c r="H181" s="20"/>
      <c r="I181" s="20"/>
      <c r="J181" s="20"/>
      <c r="K181" s="20"/>
      <c r="L181" s="20" t="str">
        <f t="shared" si="1"/>
        <v/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>
      <c r="A182" s="22"/>
      <c r="B182" s="20"/>
      <c r="C182" s="20" t="str">
        <f>IFERROR(__xludf.DUMMYFUNCTION("IF(ISBLANK(B182),,IFERROR(array_constrain(FILTER('Leetcode分类顺序表'!B:J,'Leetcode分类顺序表'!A:A = B182), 1, 10000000),IFERROR(FILTER(Algoexpert.io!B:D,Algoexpert.io!A:A = B182),FILTER('Leetcode List'!B:J,'Leetcode List'!A:A = B182))))"),"")</f>
        <v/>
      </c>
      <c r="D182" s="20"/>
      <c r="E182" s="20"/>
      <c r="F182" s="20"/>
      <c r="G182" s="20"/>
      <c r="H182" s="20"/>
      <c r="I182" s="20"/>
      <c r="J182" s="20"/>
      <c r="K182" s="20"/>
      <c r="L182" s="20" t="str">
        <f t="shared" si="1"/>
        <v/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>
      <c r="A183" s="22"/>
      <c r="B183" s="20"/>
      <c r="C183" s="20" t="str">
        <f>IFERROR(__xludf.DUMMYFUNCTION("IF(ISBLANK(B183),,IFERROR(array_constrain(FILTER('Leetcode分类顺序表'!B:J,'Leetcode分类顺序表'!A:A = B183), 1, 10000000),IFERROR(FILTER(Algoexpert.io!B:D,Algoexpert.io!A:A = B183),FILTER('Leetcode List'!B:J,'Leetcode List'!A:A = B183))))"),"")</f>
        <v/>
      </c>
      <c r="D183" s="20"/>
      <c r="E183" s="20"/>
      <c r="F183" s="20"/>
      <c r="G183" s="20"/>
      <c r="H183" s="20"/>
      <c r="I183" s="20"/>
      <c r="J183" s="20"/>
      <c r="K183" s="20"/>
      <c r="L183" s="20" t="str">
        <f t="shared" si="1"/>
        <v/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>
      <c r="A184" s="22"/>
      <c r="B184" s="20"/>
      <c r="C184" s="20" t="str">
        <f>IFERROR(__xludf.DUMMYFUNCTION("IF(ISBLANK(B184),,IFERROR(array_constrain(FILTER('Leetcode分类顺序表'!B:J,'Leetcode分类顺序表'!A:A = B184), 1, 10000000),IFERROR(FILTER(Algoexpert.io!B:D,Algoexpert.io!A:A = B184),FILTER('Leetcode List'!B:J,'Leetcode List'!A:A = B184))))"),"")</f>
        <v/>
      </c>
      <c r="D184" s="20"/>
      <c r="E184" s="20"/>
      <c r="F184" s="20"/>
      <c r="G184" s="20"/>
      <c r="H184" s="20"/>
      <c r="I184" s="20"/>
      <c r="J184" s="20"/>
      <c r="K184" s="20"/>
      <c r="L184" s="20" t="str">
        <f t="shared" si="1"/>
        <v/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>
      <c r="A185" s="22"/>
      <c r="B185" s="20"/>
      <c r="C185" s="20" t="str">
        <f>IFERROR(__xludf.DUMMYFUNCTION("IF(ISBLANK(B185),,IFERROR(array_constrain(FILTER('Leetcode分类顺序表'!B:J,'Leetcode分类顺序表'!A:A = B185), 1, 10000000),IFERROR(FILTER(Algoexpert.io!B:D,Algoexpert.io!A:A = B185),FILTER('Leetcode List'!B:J,'Leetcode List'!A:A = B185))))"),"")</f>
        <v/>
      </c>
      <c r="D185" s="20"/>
      <c r="E185" s="20"/>
      <c r="F185" s="20"/>
      <c r="G185" s="20"/>
      <c r="H185" s="20"/>
      <c r="I185" s="20"/>
      <c r="J185" s="20"/>
      <c r="K185" s="20"/>
      <c r="L185" s="20" t="str">
        <f t="shared" si="1"/>
        <v/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>
      <c r="A186" s="22"/>
      <c r="B186" s="20"/>
      <c r="C186" s="20" t="str">
        <f>IFERROR(__xludf.DUMMYFUNCTION("IF(ISBLANK(B186),,IFERROR(array_constrain(FILTER('Leetcode分类顺序表'!B:J,'Leetcode分类顺序表'!A:A = B186), 1, 10000000),IFERROR(FILTER(Algoexpert.io!B:D,Algoexpert.io!A:A = B186),FILTER('Leetcode List'!B:J,'Leetcode List'!A:A = B186))))"),"")</f>
        <v/>
      </c>
      <c r="D186" s="20"/>
      <c r="E186" s="20"/>
      <c r="F186" s="20"/>
      <c r="G186" s="20"/>
      <c r="H186" s="20"/>
      <c r="I186" s="20"/>
      <c r="J186" s="20"/>
      <c r="K186" s="20"/>
      <c r="L186" s="20" t="str">
        <f t="shared" si="1"/>
        <v/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>
      <c r="A187" s="22"/>
      <c r="B187" s="20"/>
      <c r="C187" s="20" t="str">
        <f>IFERROR(__xludf.DUMMYFUNCTION("IF(ISBLANK(B187),,IFERROR(array_constrain(FILTER('Leetcode分类顺序表'!B:J,'Leetcode分类顺序表'!A:A = B187), 1, 10000000),IFERROR(FILTER(Algoexpert.io!B:D,Algoexpert.io!A:A = B187),FILTER('Leetcode List'!B:J,'Leetcode List'!A:A = B187))))"),"")</f>
        <v/>
      </c>
      <c r="D187" s="20"/>
      <c r="E187" s="20"/>
      <c r="F187" s="20"/>
      <c r="G187" s="20"/>
      <c r="H187" s="20"/>
      <c r="I187" s="20"/>
      <c r="J187" s="20"/>
      <c r="K187" s="20"/>
      <c r="L187" s="20" t="str">
        <f t="shared" si="1"/>
        <v/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>
      <c r="A188" s="22"/>
      <c r="B188" s="20"/>
      <c r="C188" s="20" t="str">
        <f>IFERROR(__xludf.DUMMYFUNCTION("IF(ISBLANK(B188),,IFERROR(array_constrain(FILTER('Leetcode分类顺序表'!B:J,'Leetcode分类顺序表'!A:A = B188), 1, 10000000),IFERROR(FILTER(Algoexpert.io!B:D,Algoexpert.io!A:A = B188),FILTER('Leetcode List'!B:J,'Leetcode List'!A:A = B188))))"),"")</f>
        <v/>
      </c>
      <c r="D188" s="20"/>
      <c r="E188" s="20"/>
      <c r="F188" s="20"/>
      <c r="G188" s="20"/>
      <c r="H188" s="20"/>
      <c r="I188" s="20"/>
      <c r="J188" s="20"/>
      <c r="K188" s="20"/>
      <c r="L188" s="20" t="str">
        <f t="shared" si="1"/>
        <v/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>
      <c r="A189" s="22"/>
      <c r="B189" s="20"/>
      <c r="C189" s="20" t="str">
        <f>IFERROR(__xludf.DUMMYFUNCTION("IF(ISBLANK(B189),,IFERROR(array_constrain(FILTER('Leetcode分类顺序表'!B:J,'Leetcode分类顺序表'!A:A = B189), 1, 10000000),IFERROR(FILTER(Algoexpert.io!B:D,Algoexpert.io!A:A = B189),FILTER('Leetcode List'!B:J,'Leetcode List'!A:A = B189))))"),"")</f>
        <v/>
      </c>
      <c r="D189" s="20"/>
      <c r="E189" s="20"/>
      <c r="F189" s="20"/>
      <c r="G189" s="20"/>
      <c r="H189" s="20"/>
      <c r="I189" s="20"/>
      <c r="J189" s="20"/>
      <c r="K189" s="20"/>
      <c r="L189" s="20" t="str">
        <f t="shared" si="1"/>
        <v/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>
      <c r="A190" s="22"/>
      <c r="B190" s="20"/>
      <c r="C190" s="20" t="str">
        <f>IFERROR(__xludf.DUMMYFUNCTION("IF(ISBLANK(B190),,IFERROR(array_constrain(FILTER('Leetcode分类顺序表'!B:J,'Leetcode分类顺序表'!A:A = B190), 1, 10000000),IFERROR(FILTER(Algoexpert.io!B:D,Algoexpert.io!A:A = B190),FILTER('Leetcode List'!B:J,'Leetcode List'!A:A = B190))))"),"")</f>
        <v/>
      </c>
      <c r="D190" s="20"/>
      <c r="E190" s="20"/>
      <c r="F190" s="20"/>
      <c r="G190" s="20"/>
      <c r="H190" s="20"/>
      <c r="I190" s="20"/>
      <c r="J190" s="20"/>
      <c r="K190" s="20"/>
      <c r="L190" s="20" t="str">
        <f t="shared" si="1"/>
        <v/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>
      <c r="A191" s="22"/>
      <c r="B191" s="20"/>
      <c r="C191" s="20" t="str">
        <f>IFERROR(__xludf.DUMMYFUNCTION("IF(ISBLANK(B191),,IFERROR(array_constrain(FILTER('Leetcode分类顺序表'!B:J,'Leetcode分类顺序表'!A:A = B191), 1, 10000000),IFERROR(FILTER(Algoexpert.io!B:D,Algoexpert.io!A:A = B191),FILTER('Leetcode List'!B:J,'Leetcode List'!A:A = B191))))"),"")</f>
        <v/>
      </c>
      <c r="D191" s="20"/>
      <c r="E191" s="20"/>
      <c r="F191" s="20"/>
      <c r="G191" s="20"/>
      <c r="H191" s="20"/>
      <c r="I191" s="20"/>
      <c r="J191" s="20"/>
      <c r="K191" s="20"/>
      <c r="L191" s="20" t="str">
        <f t="shared" si="1"/>
        <v/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>
      <c r="A192" s="22"/>
      <c r="B192" s="20"/>
      <c r="C192" s="20" t="str">
        <f>IFERROR(__xludf.DUMMYFUNCTION("IF(ISBLANK(B192),,IFERROR(array_constrain(FILTER('Leetcode分类顺序表'!B:J,'Leetcode分类顺序表'!A:A = B192), 1, 10000000),IFERROR(FILTER(Algoexpert.io!B:D,Algoexpert.io!A:A = B192),FILTER('Leetcode List'!B:J,'Leetcode List'!A:A = B192))))"),"")</f>
        <v/>
      </c>
      <c r="D192" s="20"/>
      <c r="E192" s="20"/>
      <c r="F192" s="20"/>
      <c r="G192" s="20"/>
      <c r="H192" s="20"/>
      <c r="I192" s="20"/>
      <c r="J192" s="20"/>
      <c r="K192" s="20"/>
      <c r="L192" s="20" t="str">
        <f t="shared" si="1"/>
        <v/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>
      <c r="A193" s="22"/>
      <c r="B193" s="20"/>
      <c r="C193" s="20" t="str">
        <f>IFERROR(__xludf.DUMMYFUNCTION("IF(ISBLANK(B193),,IFERROR(array_constrain(FILTER('Leetcode分类顺序表'!B:J,'Leetcode分类顺序表'!A:A = B193), 1, 10000000),IFERROR(FILTER(Algoexpert.io!B:D,Algoexpert.io!A:A = B193),FILTER('Leetcode List'!B:J,'Leetcode List'!A:A = B193))))"),"")</f>
        <v/>
      </c>
      <c r="D193" s="20"/>
      <c r="E193" s="20"/>
      <c r="F193" s="20"/>
      <c r="G193" s="20"/>
      <c r="H193" s="20"/>
      <c r="I193" s="20"/>
      <c r="J193" s="20"/>
      <c r="K193" s="20"/>
      <c r="L193" s="20" t="str">
        <f t="shared" si="1"/>
        <v/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>
      <c r="A194" s="22"/>
      <c r="B194" s="20"/>
      <c r="C194" s="20" t="str">
        <f>IFERROR(__xludf.DUMMYFUNCTION("IF(ISBLANK(B194),,IFERROR(array_constrain(FILTER('Leetcode分类顺序表'!B:J,'Leetcode分类顺序表'!A:A = B194), 1, 10000000),IFERROR(FILTER(Algoexpert.io!B:D,Algoexpert.io!A:A = B194),FILTER('Leetcode List'!B:J,'Leetcode List'!A:A = B194))))"),"")</f>
        <v/>
      </c>
      <c r="D194" s="20"/>
      <c r="E194" s="20"/>
      <c r="F194" s="20"/>
      <c r="G194" s="20"/>
      <c r="H194" s="20"/>
      <c r="I194" s="20"/>
      <c r="J194" s="20"/>
      <c r="K194" s="20"/>
      <c r="L194" s="20" t="str">
        <f t="shared" si="1"/>
        <v/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>
      <c r="A195" s="22"/>
      <c r="B195" s="20"/>
      <c r="C195" s="20" t="str">
        <f>IFERROR(__xludf.DUMMYFUNCTION("IF(ISBLANK(B195),,IFERROR(array_constrain(FILTER('Leetcode分类顺序表'!B:J,'Leetcode分类顺序表'!A:A = B195), 1, 10000000),IFERROR(FILTER(Algoexpert.io!B:D,Algoexpert.io!A:A = B195),FILTER('Leetcode List'!B:J,'Leetcode List'!A:A = B195))))"),"")</f>
        <v/>
      </c>
      <c r="D195" s="20"/>
      <c r="E195" s="20"/>
      <c r="F195" s="20"/>
      <c r="G195" s="20"/>
      <c r="H195" s="20"/>
      <c r="I195" s="20"/>
      <c r="J195" s="20"/>
      <c r="K195" s="20"/>
      <c r="L195" s="20" t="str">
        <f t="shared" si="1"/>
        <v/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>
      <c r="A196" s="22"/>
      <c r="B196" s="20"/>
      <c r="C196" s="20" t="str">
        <f>IFERROR(__xludf.DUMMYFUNCTION("IF(ISBLANK(B196),,IFERROR(array_constrain(FILTER('Leetcode分类顺序表'!B:J,'Leetcode分类顺序表'!A:A = B196), 1, 10000000),IFERROR(FILTER(Algoexpert.io!B:D,Algoexpert.io!A:A = B196),FILTER('Leetcode List'!B:J,'Leetcode List'!A:A = B196))))"),"")</f>
        <v/>
      </c>
      <c r="D196" s="20"/>
      <c r="E196" s="20"/>
      <c r="F196" s="20"/>
      <c r="G196" s="20"/>
      <c r="H196" s="20"/>
      <c r="I196" s="20"/>
      <c r="J196" s="20"/>
      <c r="K196" s="20"/>
      <c r="L196" s="20" t="str">
        <f t="shared" si="1"/>
        <v/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>
      <c r="A197" s="22"/>
      <c r="B197" s="20"/>
      <c r="C197" s="20" t="str">
        <f>IFERROR(__xludf.DUMMYFUNCTION("IF(ISBLANK(B197),,IFERROR(array_constrain(FILTER('Leetcode分类顺序表'!B:J,'Leetcode分类顺序表'!A:A = B197), 1, 10000000),IFERROR(FILTER(Algoexpert.io!B:D,Algoexpert.io!A:A = B197),FILTER('Leetcode List'!B:J,'Leetcode List'!A:A = B197))))"),"")</f>
        <v/>
      </c>
      <c r="D197" s="20"/>
      <c r="E197" s="20"/>
      <c r="F197" s="20"/>
      <c r="G197" s="20"/>
      <c r="H197" s="20"/>
      <c r="I197" s="20"/>
      <c r="J197" s="20"/>
      <c r="K197" s="20"/>
      <c r="L197" s="20" t="str">
        <f t="shared" si="1"/>
        <v/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>
      <c r="A198" s="22"/>
      <c r="B198" s="20"/>
      <c r="C198" s="20" t="str">
        <f>IFERROR(__xludf.DUMMYFUNCTION("IF(ISBLANK(B198),,IFERROR(array_constrain(FILTER('Leetcode分类顺序表'!B:J,'Leetcode分类顺序表'!A:A = B198), 1, 10000000),IFERROR(FILTER(Algoexpert.io!B:D,Algoexpert.io!A:A = B198),FILTER('Leetcode List'!B:J,'Leetcode List'!A:A = B198))))"),"")</f>
        <v/>
      </c>
      <c r="D198" s="20"/>
      <c r="E198" s="20"/>
      <c r="F198" s="20"/>
      <c r="G198" s="20"/>
      <c r="H198" s="20"/>
      <c r="I198" s="20"/>
      <c r="J198" s="20"/>
      <c r="K198" s="20"/>
      <c r="L198" s="20" t="str">
        <f t="shared" si="1"/>
        <v/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>
      <c r="A199" s="22"/>
      <c r="B199" s="20"/>
      <c r="C199" s="20" t="str">
        <f>IFERROR(__xludf.DUMMYFUNCTION("IF(ISBLANK(B199),,IFERROR(array_constrain(FILTER('Leetcode分类顺序表'!B:J,'Leetcode分类顺序表'!A:A = B199), 1, 10000000),IFERROR(FILTER(Algoexpert.io!B:D,Algoexpert.io!A:A = B199),FILTER('Leetcode List'!B:J,'Leetcode List'!A:A = B199))))"),"")</f>
        <v/>
      </c>
      <c r="D199" s="20"/>
      <c r="E199" s="20"/>
      <c r="F199" s="20"/>
      <c r="G199" s="20"/>
      <c r="H199" s="20"/>
      <c r="I199" s="20"/>
      <c r="J199" s="20"/>
      <c r="K199" s="20"/>
      <c r="L199" s="20" t="str">
        <f t="shared" si="1"/>
        <v/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>
      <c r="A200" s="22"/>
      <c r="B200" s="20"/>
      <c r="C200" s="20" t="str">
        <f>IFERROR(__xludf.DUMMYFUNCTION("IF(ISBLANK(B200),,IFERROR(array_constrain(FILTER('Leetcode分类顺序表'!B:J,'Leetcode分类顺序表'!A:A = B200), 1, 10000000),IFERROR(FILTER(Algoexpert.io!B:D,Algoexpert.io!A:A = B200),FILTER('Leetcode List'!B:J,'Leetcode List'!A:A = B200))))"),"")</f>
        <v/>
      </c>
      <c r="D200" s="20"/>
      <c r="E200" s="20"/>
      <c r="F200" s="20"/>
      <c r="G200" s="20"/>
      <c r="H200" s="20"/>
      <c r="I200" s="20"/>
      <c r="J200" s="20"/>
      <c r="K200" s="20"/>
      <c r="L200" s="20" t="str">
        <f t="shared" si="1"/>
        <v/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>
      <c r="A201" s="22"/>
      <c r="B201" s="20"/>
      <c r="C201" s="20" t="str">
        <f>IFERROR(__xludf.DUMMYFUNCTION("IF(ISBLANK(B201),,IFERROR(array_constrain(FILTER('Leetcode分类顺序表'!B:J,'Leetcode分类顺序表'!A:A = B201), 1, 10000000),IFERROR(FILTER(Algoexpert.io!B:D,Algoexpert.io!A:A = B201),FILTER('Leetcode List'!B:J,'Leetcode List'!A:A = B201))))"),"")</f>
        <v/>
      </c>
      <c r="D201" s="20"/>
      <c r="E201" s="20"/>
      <c r="F201" s="20"/>
      <c r="G201" s="20"/>
      <c r="H201" s="20"/>
      <c r="I201" s="20"/>
      <c r="J201" s="20"/>
      <c r="K201" s="20"/>
      <c r="L201" s="20" t="str">
        <f t="shared" si="1"/>
        <v/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>
      <c r="A202" s="22"/>
      <c r="B202" s="20"/>
      <c r="C202" s="20" t="str">
        <f>IFERROR(__xludf.DUMMYFUNCTION("IF(ISBLANK(B202),,IFERROR(array_constrain(FILTER('Leetcode分类顺序表'!B:J,'Leetcode分类顺序表'!A:A = B202), 1, 10000000),IFERROR(FILTER(Algoexpert.io!B:D,Algoexpert.io!A:A = B202),FILTER('Leetcode List'!B:J,'Leetcode List'!A:A = B202))))"),"")</f>
        <v/>
      </c>
      <c r="D202" s="20"/>
      <c r="E202" s="20"/>
      <c r="F202" s="20"/>
      <c r="G202" s="20"/>
      <c r="H202" s="20"/>
      <c r="I202" s="20"/>
      <c r="J202" s="20"/>
      <c r="K202" s="20"/>
      <c r="L202" s="20" t="str">
        <f t="shared" si="1"/>
        <v/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>
      <c r="A203" s="22"/>
      <c r="B203" s="20"/>
      <c r="C203" s="20" t="str">
        <f>IFERROR(__xludf.DUMMYFUNCTION("IF(ISBLANK(B203),,IFERROR(array_constrain(FILTER('Leetcode分类顺序表'!B:J,'Leetcode分类顺序表'!A:A = B203), 1, 10000000),IFERROR(FILTER(Algoexpert.io!B:D,Algoexpert.io!A:A = B203),FILTER('Leetcode List'!B:J,'Leetcode List'!A:A = B203))))"),"")</f>
        <v/>
      </c>
      <c r="D203" s="20"/>
      <c r="E203" s="20"/>
      <c r="F203" s="20"/>
      <c r="G203" s="20"/>
      <c r="H203" s="20"/>
      <c r="I203" s="20"/>
      <c r="J203" s="20"/>
      <c r="K203" s="20"/>
      <c r="L203" s="20" t="str">
        <f t="shared" si="1"/>
        <v/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>
      <c r="A204" s="22"/>
      <c r="B204" s="20"/>
      <c r="C204" s="20" t="str">
        <f>IFERROR(__xludf.DUMMYFUNCTION("IF(ISBLANK(B204),,IFERROR(array_constrain(FILTER('Leetcode分类顺序表'!B:J,'Leetcode分类顺序表'!A:A = B204), 1, 10000000),IFERROR(FILTER(Algoexpert.io!B:D,Algoexpert.io!A:A = B204),FILTER('Leetcode List'!B:J,'Leetcode List'!A:A = B204))))"),"")</f>
        <v/>
      </c>
      <c r="D204" s="20"/>
      <c r="E204" s="20"/>
      <c r="F204" s="20"/>
      <c r="G204" s="20"/>
      <c r="H204" s="20"/>
      <c r="I204" s="20"/>
      <c r="J204" s="20"/>
      <c r="K204" s="20"/>
      <c r="L204" s="20" t="str">
        <f t="shared" si="1"/>
        <v/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>
      <c r="A205" s="22"/>
      <c r="B205" s="20"/>
      <c r="C205" s="20" t="str">
        <f>IFERROR(__xludf.DUMMYFUNCTION("IF(ISBLANK(B205),,IFERROR(array_constrain(FILTER('Leetcode分类顺序表'!B:J,'Leetcode分类顺序表'!A:A = B205), 1, 10000000),IFERROR(FILTER(Algoexpert.io!B:D,Algoexpert.io!A:A = B205),FILTER('Leetcode List'!B:J,'Leetcode List'!A:A = B205))))"),"")</f>
        <v/>
      </c>
      <c r="D205" s="20"/>
      <c r="E205" s="20"/>
      <c r="F205" s="20"/>
      <c r="G205" s="20"/>
      <c r="H205" s="20"/>
      <c r="I205" s="20"/>
      <c r="J205" s="20"/>
      <c r="K205" s="20"/>
      <c r="L205" s="20" t="str">
        <f t="shared" si="1"/>
        <v/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>
      <c r="A206" s="22"/>
      <c r="B206" s="20"/>
      <c r="C206" s="20" t="str">
        <f>IFERROR(__xludf.DUMMYFUNCTION("IF(ISBLANK(B206),,IFERROR(array_constrain(FILTER('Leetcode分类顺序表'!B:J,'Leetcode分类顺序表'!A:A = B206), 1, 10000000),IFERROR(FILTER(Algoexpert.io!B:D,Algoexpert.io!A:A = B206),FILTER('Leetcode List'!B:J,'Leetcode List'!A:A = B206))))"),"")</f>
        <v/>
      </c>
      <c r="D206" s="20"/>
      <c r="E206" s="20"/>
      <c r="F206" s="20"/>
      <c r="G206" s="20"/>
      <c r="H206" s="20"/>
      <c r="I206" s="20"/>
      <c r="J206" s="20"/>
      <c r="K206" s="20"/>
      <c r="L206" s="20" t="str">
        <f t="shared" si="1"/>
        <v/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>
      <c r="A207" s="22"/>
      <c r="B207" s="20"/>
      <c r="C207" s="20" t="str">
        <f>IFERROR(__xludf.DUMMYFUNCTION("IF(ISBLANK(B207),,IFERROR(array_constrain(FILTER('Leetcode分类顺序表'!B:J,'Leetcode分类顺序表'!A:A = B207), 1, 10000000),IFERROR(FILTER(Algoexpert.io!B:D,Algoexpert.io!A:A = B207),FILTER('Leetcode List'!B:J,'Leetcode List'!A:A = B207))))"),"")</f>
        <v/>
      </c>
      <c r="D207" s="20"/>
      <c r="E207" s="20"/>
      <c r="F207" s="20"/>
      <c r="G207" s="20"/>
      <c r="H207" s="20"/>
      <c r="I207" s="20"/>
      <c r="J207" s="20"/>
      <c r="K207" s="20"/>
      <c r="L207" s="20" t="str">
        <f t="shared" si="1"/>
        <v/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>
      <c r="A208" s="22"/>
      <c r="B208" s="20"/>
      <c r="C208" s="20" t="str">
        <f>IFERROR(__xludf.DUMMYFUNCTION("IF(ISBLANK(B208),,IFERROR(array_constrain(FILTER('Leetcode分类顺序表'!B:J,'Leetcode分类顺序表'!A:A = B208), 1, 10000000),IFERROR(FILTER(Algoexpert.io!B:D,Algoexpert.io!A:A = B208),FILTER('Leetcode List'!B:J,'Leetcode List'!A:A = B208))))"),"")</f>
        <v/>
      </c>
      <c r="D208" s="20"/>
      <c r="E208" s="20"/>
      <c r="F208" s="20"/>
      <c r="G208" s="20"/>
      <c r="H208" s="20"/>
      <c r="I208" s="20"/>
      <c r="J208" s="20"/>
      <c r="K208" s="20"/>
      <c r="L208" s="20" t="str">
        <f t="shared" si="1"/>
        <v/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>
      <c r="A209" s="22"/>
      <c r="B209" s="20"/>
      <c r="C209" s="20" t="str">
        <f>IFERROR(__xludf.DUMMYFUNCTION("IF(ISBLANK(B209),,IFERROR(array_constrain(FILTER('Leetcode分类顺序表'!B:J,'Leetcode分类顺序表'!A:A = B209), 1, 10000000),IFERROR(FILTER(Algoexpert.io!B:D,Algoexpert.io!A:A = B209),FILTER('Leetcode List'!B:J,'Leetcode List'!A:A = B209))))"),"")</f>
        <v/>
      </c>
      <c r="D209" s="20"/>
      <c r="E209" s="20"/>
      <c r="F209" s="20"/>
      <c r="G209" s="20"/>
      <c r="H209" s="20"/>
      <c r="I209" s="20"/>
      <c r="J209" s="20"/>
      <c r="K209" s="20"/>
      <c r="L209" s="20" t="str">
        <f t="shared" si="1"/>
        <v/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>
      <c r="A210" s="22"/>
      <c r="B210" s="20"/>
      <c r="C210" s="20" t="str">
        <f>IFERROR(__xludf.DUMMYFUNCTION("IF(ISBLANK(B210),,IFERROR(array_constrain(FILTER('Leetcode分类顺序表'!B:J,'Leetcode分类顺序表'!A:A = B210), 1, 10000000),IFERROR(FILTER(Algoexpert.io!B:D,Algoexpert.io!A:A = B210),FILTER('Leetcode List'!B:J,'Leetcode List'!A:A = B210))))"),"")</f>
        <v/>
      </c>
      <c r="D210" s="20"/>
      <c r="E210" s="20"/>
      <c r="F210" s="20"/>
      <c r="G210" s="20"/>
      <c r="H210" s="20"/>
      <c r="I210" s="20"/>
      <c r="J210" s="20"/>
      <c r="K210" s="20"/>
      <c r="L210" s="20" t="str">
        <f t="shared" si="1"/>
        <v/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>
      <c r="A211" s="22"/>
      <c r="B211" s="20"/>
      <c r="C211" s="20" t="str">
        <f>IFERROR(__xludf.DUMMYFUNCTION("IF(ISBLANK(B211),,IFERROR(array_constrain(FILTER('Leetcode分类顺序表'!B:J,'Leetcode分类顺序表'!A:A = B211), 1, 10000000),IFERROR(FILTER(Algoexpert.io!B:D,Algoexpert.io!A:A = B211),FILTER('Leetcode List'!B:J,'Leetcode List'!A:A = B211))))"),"")</f>
        <v/>
      </c>
      <c r="D211" s="20"/>
      <c r="E211" s="20"/>
      <c r="F211" s="20"/>
      <c r="G211" s="20"/>
      <c r="H211" s="20"/>
      <c r="I211" s="20"/>
      <c r="J211" s="20"/>
      <c r="K211" s="20"/>
      <c r="L211" s="20" t="str">
        <f t="shared" si="1"/>
        <v/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>
      <c r="A212" s="22"/>
      <c r="B212" s="20"/>
      <c r="C212" s="20" t="str">
        <f>IFERROR(__xludf.DUMMYFUNCTION("IF(ISBLANK(B212),,IFERROR(array_constrain(FILTER('Leetcode分类顺序表'!B:J,'Leetcode分类顺序表'!A:A = B212), 1, 10000000),IFERROR(FILTER(Algoexpert.io!B:D,Algoexpert.io!A:A = B212),FILTER('Leetcode List'!B:J,'Leetcode List'!A:A = B212))))"),"")</f>
        <v/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>
      <c r="A213" s="22"/>
      <c r="B213" s="20"/>
      <c r="C213" s="20" t="str">
        <f>IFERROR(__xludf.DUMMYFUNCTION("IF(ISBLANK(B213),,IFERROR(array_constrain(FILTER('Leetcode分类顺序表'!B:J,'Leetcode分类顺序表'!A:A = B213), 1, 10000000),IFERROR(FILTER(Algoexpert.io!B:D,Algoexpert.io!A:A = B213),FILTER('Leetcode List'!B:J,'Leetcode List'!A:A = B213))))"),"")</f>
        <v/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>
      <c r="A214" s="22"/>
      <c r="B214" s="20"/>
      <c r="C214" s="20" t="str">
        <f>IFERROR(__xludf.DUMMYFUNCTION("IF(ISBLANK(B214),,IFERROR(array_constrain(FILTER('Leetcode分类顺序表'!B:J,'Leetcode分类顺序表'!A:A = B214), 1, 10000000),IFERROR(FILTER(Algoexpert.io!B:D,Algoexpert.io!A:A = B214),FILTER('Leetcode List'!B:J,'Leetcode List'!A:A = B214))))"),"")</f>
        <v/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>
      <c r="A215" s="22"/>
      <c r="B215" s="20"/>
      <c r="C215" s="20" t="str">
        <f>IFERROR(__xludf.DUMMYFUNCTION("IF(ISBLANK(B215),,IFERROR(array_constrain(FILTER('Leetcode分类顺序表'!B:J,'Leetcode分类顺序表'!A:A = B215), 1, 10000000),IFERROR(FILTER(Algoexpert.io!B:D,Algoexpert.io!A:A = B215),FILTER('Leetcode List'!B:J,'Leetcode List'!A:A = B215))))"),"")</f>
        <v/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>
      <c r="A216" s="22"/>
      <c r="B216" s="20"/>
      <c r="C216" s="20" t="str">
        <f>IFERROR(__xludf.DUMMYFUNCTION("IF(ISBLANK(B216),,IFERROR(array_constrain(FILTER('Leetcode分类顺序表'!B:J,'Leetcode分类顺序表'!A:A = B216), 1, 10000000),IFERROR(FILTER(Algoexpert.io!B:D,Algoexpert.io!A:A = B216),FILTER('Leetcode List'!B:J,'Leetcode List'!A:A = B216))))"),"")</f>
        <v/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>
      <c r="A217" s="22"/>
      <c r="B217" s="20"/>
      <c r="C217" s="20" t="str">
        <f>IFERROR(__xludf.DUMMYFUNCTION("IF(ISBLANK(B217),,IFERROR(array_constrain(FILTER('Leetcode分类顺序表'!B:J,'Leetcode分类顺序表'!A:A = B217), 1, 10000000),IFERROR(FILTER(Algoexpert.io!B:D,Algoexpert.io!A:A = B217),FILTER('Leetcode List'!B:J,'Leetcode List'!A:A = B217))))"),"")</f>
        <v/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>
      <c r="A218" s="22"/>
      <c r="B218" s="20"/>
      <c r="C218" s="20" t="str">
        <f>IFERROR(__xludf.DUMMYFUNCTION("IF(ISBLANK(B218),,IFERROR(array_constrain(FILTER('Leetcode分类顺序表'!B:J,'Leetcode分类顺序表'!A:A = B218), 1, 10000000),IFERROR(FILTER(Algoexpert.io!B:D,Algoexpert.io!A:A = B218),FILTER('Leetcode List'!B:J,'Leetcode List'!A:A = B218))))"),"")</f>
        <v/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>
      <c r="A219" s="22"/>
      <c r="B219" s="20"/>
      <c r="C219" s="20" t="str">
        <f>IFERROR(__xludf.DUMMYFUNCTION("IF(ISBLANK(B219),,IFERROR(array_constrain(FILTER('Leetcode分类顺序表'!B:J,'Leetcode分类顺序表'!A:A = B219), 1, 10000000),IFERROR(FILTER(Algoexpert.io!B:D,Algoexpert.io!A:A = B219),FILTER('Leetcode List'!B:J,'Leetcode List'!A:A = B219))))"),"")</f>
        <v/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>
      <c r="A220" s="22"/>
      <c r="B220" s="20"/>
      <c r="C220" s="20" t="str">
        <f>IFERROR(__xludf.DUMMYFUNCTION("IF(ISBLANK(B220),,IFERROR(array_constrain(FILTER('Leetcode分类顺序表'!B:J,'Leetcode分类顺序表'!A:A = B220), 1, 10000000),IFERROR(FILTER(Algoexpert.io!B:D,Algoexpert.io!A:A = B220),FILTER('Leetcode List'!B:J,'Leetcode List'!A:A = B220))))"),"")</f>
        <v/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>
      <c r="A221" s="22"/>
      <c r="B221" s="20"/>
      <c r="C221" s="20" t="str">
        <f>IFERROR(__xludf.DUMMYFUNCTION("IF(ISBLANK(B221),,IFERROR(array_constrain(FILTER('Leetcode分类顺序表'!B:J,'Leetcode分类顺序表'!A:A = B221), 1, 10000000),IFERROR(FILTER(Algoexpert.io!B:D,Algoexpert.io!A:A = B221),FILTER('Leetcode List'!B:J,'Leetcode List'!A:A = B221))))"),"")</f>
        <v/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>
      <c r="A222" s="22"/>
      <c r="B222" s="20"/>
      <c r="C222" s="20" t="str">
        <f>IFERROR(__xludf.DUMMYFUNCTION("IF(ISBLANK(B222),,IFERROR(array_constrain(FILTER('Leetcode分类顺序表'!B:J,'Leetcode分类顺序表'!A:A = B222), 1, 10000000),IFERROR(FILTER(Algoexpert.io!B:D,Algoexpert.io!A:A = B222),FILTER('Leetcode List'!B:J,'Leetcode List'!A:A = B222))))"),"")</f>
        <v/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>
      <c r="A223" s="22"/>
      <c r="B223" s="20"/>
      <c r="C223" s="20" t="str">
        <f>IFERROR(__xludf.DUMMYFUNCTION("IF(ISBLANK(B223),,IFERROR(array_constrain(FILTER('Leetcode分类顺序表'!B:J,'Leetcode分类顺序表'!A:A = B223), 1, 10000000),IFERROR(FILTER(Algoexpert.io!B:D,Algoexpert.io!A:A = B223),FILTER('Leetcode List'!B:J,'Leetcode List'!A:A = B223))))"),"")</f>
        <v/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>
      <c r="A224" s="22"/>
      <c r="B224" s="20"/>
      <c r="C224" s="20" t="str">
        <f>IFERROR(__xludf.DUMMYFUNCTION("IF(ISBLANK(B224),,IFERROR(array_constrain(FILTER('Leetcode分类顺序表'!B:J,'Leetcode分类顺序表'!A:A = B224), 1, 10000000),IFERROR(FILTER(Algoexpert.io!B:D,Algoexpert.io!A:A = B224),FILTER('Leetcode List'!B:J,'Leetcode List'!A:A = B224))))"),"")</f>
        <v/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>
      <c r="A225" s="22"/>
      <c r="B225" s="20"/>
      <c r="C225" s="20" t="str">
        <f>IFERROR(__xludf.DUMMYFUNCTION("IF(ISBLANK(B225),,IFERROR(array_constrain(FILTER('Leetcode分类顺序表'!B:J,'Leetcode分类顺序表'!A:A = B225), 1, 10000000),IFERROR(FILTER(Algoexpert.io!B:D,Algoexpert.io!A:A = B225),FILTER('Leetcode List'!B:J,'Leetcode List'!A:A = B225))))"),"")</f>
        <v/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>
      <c r="A226" s="22"/>
      <c r="B226" s="20"/>
      <c r="C226" s="20" t="str">
        <f>IFERROR(__xludf.DUMMYFUNCTION("IF(ISBLANK(B226),,IFERROR(array_constrain(FILTER('Leetcode分类顺序表'!B:J,'Leetcode分类顺序表'!A:A = B226), 1, 10000000),IFERROR(FILTER(Algoexpert.io!B:D,Algoexpert.io!A:A = B226),FILTER('Leetcode List'!B:J,'Leetcode List'!A:A = B226))))"),"")</f>
        <v/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>
      <c r="A227" s="22"/>
      <c r="B227" s="20"/>
      <c r="C227" s="20" t="str">
        <f>IFERROR(__xludf.DUMMYFUNCTION("IF(ISBLANK(B227),,IFERROR(array_constrain(FILTER('Leetcode分类顺序表'!B:J,'Leetcode分类顺序表'!A:A = B227), 1, 10000000),IFERROR(FILTER(Algoexpert.io!B:D,Algoexpert.io!A:A = B227),FILTER('Leetcode List'!B:J,'Leetcode List'!A:A = B227))))"),"")</f>
        <v/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>
      <c r="A228" s="22"/>
      <c r="B228" s="20"/>
      <c r="C228" s="20" t="str">
        <f>IFERROR(__xludf.DUMMYFUNCTION("IF(ISBLANK(B228),,IFERROR(array_constrain(FILTER('Leetcode分类顺序表'!B:J,'Leetcode分类顺序表'!A:A = B228), 1, 10000000),IFERROR(FILTER(Algoexpert.io!B:D,Algoexpert.io!A:A = B228),FILTER('Leetcode List'!B:J,'Leetcode List'!A:A = B228))))"),"")</f>
        <v/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>
      <c r="A229" s="22"/>
      <c r="B229" s="20"/>
      <c r="C229" s="20" t="str">
        <f>IFERROR(__xludf.DUMMYFUNCTION("IF(ISBLANK(B229),,IFERROR(array_constrain(FILTER('Leetcode分类顺序表'!B:J,'Leetcode分类顺序表'!A:A = B229), 1, 10000000),IFERROR(FILTER(Algoexpert.io!B:D,Algoexpert.io!A:A = B229),FILTER('Leetcode List'!B:J,'Leetcode List'!A:A = B229))))"),"")</f>
        <v/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>
      <c r="A230" s="22"/>
      <c r="B230" s="20"/>
      <c r="C230" s="20" t="str">
        <f>IFERROR(__xludf.DUMMYFUNCTION("IF(ISBLANK(B230),,IFERROR(array_constrain(FILTER('Leetcode分类顺序表'!B:J,'Leetcode分类顺序表'!A:A = B230), 1, 10000000),IFERROR(FILTER(Algoexpert.io!B:D,Algoexpert.io!A:A = B230),FILTER('Leetcode List'!B:J,'Leetcode List'!A:A = B230))))"),"")</f>
        <v/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>
      <c r="A231" s="22"/>
      <c r="B231" s="20"/>
      <c r="C231" s="20" t="str">
        <f>IFERROR(__xludf.DUMMYFUNCTION("IF(ISBLANK(B231),,IFERROR(array_constrain(FILTER('Leetcode分类顺序表'!B:J,'Leetcode分类顺序表'!A:A = B231), 1, 10000000),IFERROR(FILTER(Algoexpert.io!B:D,Algoexpert.io!A:A = B231),FILTER('Leetcode List'!B:J,'Leetcode List'!A:A = B231))))"),"")</f>
        <v/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>
      <c r="A232" s="22"/>
      <c r="B232" s="20"/>
      <c r="C232" s="20" t="str">
        <f>IFERROR(__xludf.DUMMYFUNCTION("IF(ISBLANK(B232),,IFERROR(array_constrain(FILTER('Leetcode分类顺序表'!B:J,'Leetcode分类顺序表'!A:A = B232), 1, 10000000),IFERROR(FILTER(Algoexpert.io!B:D,Algoexpert.io!A:A = B232),FILTER('Leetcode List'!B:J,'Leetcode List'!A:A = B232))))"),"")</f>
        <v/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>
      <c r="A233" s="22"/>
      <c r="B233" s="20"/>
      <c r="C233" s="20" t="str">
        <f>IFERROR(__xludf.DUMMYFUNCTION("IF(ISBLANK(B233),,IFERROR(array_constrain(FILTER('Leetcode分类顺序表'!B:J,'Leetcode分类顺序表'!A:A = B233), 1, 10000000),IFERROR(FILTER(Algoexpert.io!B:D,Algoexpert.io!A:A = B233),FILTER('Leetcode List'!B:J,'Leetcode List'!A:A = B233))))"),"")</f>
        <v/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>
      <c r="A234" s="22"/>
      <c r="B234" s="20"/>
      <c r="C234" s="20" t="str">
        <f>IFERROR(__xludf.DUMMYFUNCTION("IF(ISBLANK(B234),,IFERROR(array_constrain(FILTER('Leetcode分类顺序表'!B:J,'Leetcode分类顺序表'!A:A = B234), 1, 10000000),IFERROR(FILTER(Algoexpert.io!B:D,Algoexpert.io!A:A = B234),FILTER('Leetcode List'!B:J,'Leetcode List'!A:A = B234))))"),"")</f>
        <v/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>
      <c r="A235" s="22"/>
      <c r="B235" s="20"/>
      <c r="C235" s="20" t="str">
        <f>IFERROR(__xludf.DUMMYFUNCTION("IF(ISBLANK(B235),,IFERROR(array_constrain(FILTER('Leetcode分类顺序表'!B:J,'Leetcode分类顺序表'!A:A = B235), 1, 10000000),IFERROR(FILTER(Algoexpert.io!B:D,Algoexpert.io!A:A = B235),FILTER('Leetcode List'!B:J,'Leetcode List'!A:A = B235))))"),"")</f>
        <v/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>
      <c r="A236" s="22"/>
      <c r="B236" s="20"/>
      <c r="C236" s="20" t="str">
        <f>IFERROR(__xludf.DUMMYFUNCTION("IF(ISBLANK(B236),,IFERROR(array_constrain(FILTER('Leetcode分类顺序表'!B:J,'Leetcode分类顺序表'!A:A = B236), 1, 10000000),IFERROR(FILTER(Algoexpert.io!B:D,Algoexpert.io!A:A = B236),FILTER('Leetcode List'!B:J,'Leetcode List'!A:A = B236))))"),"")</f>
        <v/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>
      <c r="A237" s="22"/>
      <c r="B237" s="20"/>
      <c r="C237" s="20" t="str">
        <f>IFERROR(__xludf.DUMMYFUNCTION("IF(ISBLANK(B237),,IFERROR(array_constrain(FILTER('Leetcode分类顺序表'!B:J,'Leetcode分类顺序表'!A:A = B237), 1, 10000000),IFERROR(FILTER(Algoexpert.io!B:D,Algoexpert.io!A:A = B237),FILTER('Leetcode List'!B:J,'Leetcode List'!A:A = B237))))"),"")</f>
        <v/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>
      <c r="A238" s="22"/>
      <c r="B238" s="20"/>
      <c r="C238" s="20" t="str">
        <f>IFERROR(__xludf.DUMMYFUNCTION("IF(ISBLANK(B238),,IFERROR(array_constrain(FILTER('Leetcode分类顺序表'!B:J,'Leetcode分类顺序表'!A:A = B238), 1, 10000000),IFERROR(FILTER(Algoexpert.io!B:D,Algoexpert.io!A:A = B238),FILTER('Leetcode List'!B:J,'Leetcode List'!A:A = B238))))"),"")</f>
        <v/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>
      <c r="A239" s="22"/>
      <c r="B239" s="20"/>
      <c r="C239" s="20" t="str">
        <f>IFERROR(__xludf.DUMMYFUNCTION("IF(ISBLANK(B239),,IFERROR(array_constrain(FILTER('Leetcode分类顺序表'!B:J,'Leetcode分类顺序表'!A:A = B239), 1, 10000000),IFERROR(FILTER(Algoexpert.io!B:D,Algoexpert.io!A:A = B239),FILTER('Leetcode List'!B:J,'Leetcode List'!A:A = B239))))"),"")</f>
        <v/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>
      <c r="A240" s="22"/>
      <c r="B240" s="20"/>
      <c r="C240" s="20" t="str">
        <f>IFERROR(__xludf.DUMMYFUNCTION("IF(ISBLANK(B240),,IFERROR(array_constrain(FILTER('Leetcode分类顺序表'!B:J,'Leetcode分类顺序表'!A:A = B240), 1, 10000000),IFERROR(FILTER(Algoexpert.io!B:D,Algoexpert.io!A:A = B240),FILTER('Leetcode List'!B:J,'Leetcode List'!A:A = B240))))"),"")</f>
        <v/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>
      <c r="A241" s="22"/>
      <c r="B241" s="20"/>
      <c r="C241" s="20" t="str">
        <f>IFERROR(__xludf.DUMMYFUNCTION("IF(ISBLANK(B241),,IFERROR(array_constrain(FILTER('Leetcode分类顺序表'!B:J,'Leetcode分类顺序表'!A:A = B241), 1, 10000000),IFERROR(FILTER(Algoexpert.io!B:D,Algoexpert.io!A:A = B241),FILTER('Leetcode List'!B:J,'Leetcode List'!A:A = B241))))"),"")</f>
        <v/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>
      <c r="A242" s="22"/>
      <c r="B242" s="20"/>
      <c r="C242" s="20" t="str">
        <f>IFERROR(__xludf.DUMMYFUNCTION("IF(ISBLANK(B242),,IFERROR(array_constrain(FILTER('Leetcode分类顺序表'!B:J,'Leetcode分类顺序表'!A:A = B242), 1, 10000000),IFERROR(FILTER(Algoexpert.io!B:D,Algoexpert.io!A:A = B242),FILTER('Leetcode List'!B:J,'Leetcode List'!A:A = B242))))"),"")</f>
        <v/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>
      <c r="A243" s="22"/>
      <c r="B243" s="20"/>
      <c r="C243" s="20" t="str">
        <f>IFERROR(__xludf.DUMMYFUNCTION("IF(ISBLANK(B243),,IFERROR(array_constrain(FILTER('Leetcode分类顺序表'!B:J,'Leetcode分类顺序表'!A:A = B243), 1, 10000000),IFERROR(FILTER(Algoexpert.io!B:D,Algoexpert.io!A:A = B243),FILTER('Leetcode List'!B:J,'Leetcode List'!A:A = B243))))"),"")</f>
        <v/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>
      <c r="A244" s="22"/>
      <c r="B244" s="20"/>
      <c r="C244" s="20" t="str">
        <f>IFERROR(__xludf.DUMMYFUNCTION("IF(ISBLANK(B244),,IFERROR(array_constrain(FILTER('Leetcode分类顺序表'!B:J,'Leetcode分类顺序表'!A:A = B244), 1, 10000000),IFERROR(FILTER(Algoexpert.io!B:D,Algoexpert.io!A:A = B244),FILTER('Leetcode List'!B:J,'Leetcode List'!A:A = B244))))"),"")</f>
        <v/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>
      <c r="A245" s="22"/>
      <c r="B245" s="20"/>
      <c r="C245" s="20" t="str">
        <f>IFERROR(__xludf.DUMMYFUNCTION("IF(ISBLANK(B245),,IFERROR(array_constrain(FILTER('Leetcode分类顺序表'!B:J,'Leetcode分类顺序表'!A:A = B245), 1, 10000000),IFERROR(FILTER(Algoexpert.io!B:D,Algoexpert.io!A:A = B245),FILTER('Leetcode List'!B:J,'Leetcode List'!A:A = B245))))"),"")</f>
        <v/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>
      <c r="A246" s="22"/>
      <c r="B246" s="20"/>
      <c r="C246" s="20" t="str">
        <f>IFERROR(__xludf.DUMMYFUNCTION("IF(ISBLANK(B246),,IFERROR(array_constrain(FILTER('Leetcode分类顺序表'!B:J,'Leetcode分类顺序表'!A:A = B246), 1, 10000000),IFERROR(FILTER(Algoexpert.io!B:D,Algoexpert.io!A:A = B246),FILTER('Leetcode List'!B:J,'Leetcode List'!A:A = B246))))"),"")</f>
        <v/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>
      <c r="A247" s="22"/>
      <c r="B247" s="20"/>
      <c r="C247" s="20" t="str">
        <f>IFERROR(__xludf.DUMMYFUNCTION("IF(ISBLANK(B247),,IFERROR(array_constrain(FILTER('Leetcode分类顺序表'!B:J,'Leetcode分类顺序表'!A:A = B247), 1, 10000000),IFERROR(FILTER(Algoexpert.io!B:D,Algoexpert.io!A:A = B247),FILTER('Leetcode List'!B:J,'Leetcode List'!A:A = B247))))"),"")</f>
        <v/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>
      <c r="A248" s="22"/>
      <c r="B248" s="20"/>
      <c r="C248" s="20" t="str">
        <f>IFERROR(__xludf.DUMMYFUNCTION("IF(ISBLANK(B248),,IFERROR(array_constrain(FILTER('Leetcode分类顺序表'!B:J,'Leetcode分类顺序表'!A:A = B248), 1, 10000000),IFERROR(FILTER(Algoexpert.io!B:D,Algoexpert.io!A:A = B248),FILTER('Leetcode List'!B:J,'Leetcode List'!A:A = B248))))"),"")</f>
        <v/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>
      <c r="A249" s="22"/>
      <c r="B249" s="20"/>
      <c r="C249" s="20" t="str">
        <f>IFERROR(__xludf.DUMMYFUNCTION("IF(ISBLANK(B249),,IFERROR(array_constrain(FILTER('Leetcode分类顺序表'!B:J,'Leetcode分类顺序表'!A:A = B249), 1, 10000000),IFERROR(FILTER(Algoexpert.io!B:D,Algoexpert.io!A:A = B249),FILTER('Leetcode List'!B:J,'Leetcode List'!A:A = B249))))"),"")</f>
        <v/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>
      <c r="A250" s="22"/>
      <c r="B250" s="20"/>
      <c r="C250" s="20" t="str">
        <f>IFERROR(__xludf.DUMMYFUNCTION("IF(ISBLANK(B250),,IFERROR(array_constrain(FILTER('Leetcode分类顺序表'!B:J,'Leetcode分类顺序表'!A:A = B250), 1, 10000000),IFERROR(FILTER(Algoexpert.io!B:D,Algoexpert.io!A:A = B250),FILTER('Leetcode List'!B:J,'Leetcode List'!A:A = B250))))"),"")</f>
        <v/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>
      <c r="A251" s="22"/>
      <c r="B251" s="20"/>
      <c r="C251" s="20" t="str">
        <f>IFERROR(__xludf.DUMMYFUNCTION("IF(ISBLANK(B251),,IFERROR(array_constrain(FILTER('Leetcode分类顺序表'!B:J,'Leetcode分类顺序表'!A:A = B251), 1, 10000000),IFERROR(FILTER(Algoexpert.io!B:D,Algoexpert.io!A:A = B251),FILTER('Leetcode List'!B:J,'Leetcode List'!A:A = B251))))"),"")</f>
        <v/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>
      <c r="A252" s="22"/>
      <c r="B252" s="20"/>
      <c r="C252" s="20" t="str">
        <f>IFERROR(__xludf.DUMMYFUNCTION("IF(ISBLANK(B252),,IFERROR(array_constrain(FILTER('Leetcode分类顺序表'!B:J,'Leetcode分类顺序表'!A:A = B252), 1, 10000000),IFERROR(FILTER(Algoexpert.io!B:D,Algoexpert.io!A:A = B252),FILTER('Leetcode List'!B:J,'Leetcode List'!A:A = B252))))"),"")</f>
        <v/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>
      <c r="A253" s="22"/>
      <c r="B253" s="20"/>
      <c r="C253" s="20" t="str">
        <f>IFERROR(__xludf.DUMMYFUNCTION("IF(ISBLANK(B253),,IFERROR(array_constrain(FILTER('Leetcode分类顺序表'!B:J,'Leetcode分类顺序表'!A:A = B253), 1, 10000000),IFERROR(FILTER(Algoexpert.io!B:D,Algoexpert.io!A:A = B253),FILTER('Leetcode List'!B:J,'Leetcode List'!A:A = B253))))"),"")</f>
        <v/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>
      <c r="A254" s="22"/>
      <c r="B254" s="20"/>
      <c r="C254" s="20" t="str">
        <f>IFERROR(__xludf.DUMMYFUNCTION("IF(ISBLANK(B254),,IFERROR(array_constrain(FILTER('Leetcode分类顺序表'!B:J,'Leetcode分类顺序表'!A:A = B254), 1, 10000000),IFERROR(FILTER(Algoexpert.io!B:D,Algoexpert.io!A:A = B254),FILTER('Leetcode List'!B:J,'Leetcode List'!A:A = B254))))"),"")</f>
        <v/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>
      <c r="A255" s="22"/>
      <c r="B255" s="20"/>
      <c r="C255" s="20" t="str">
        <f>IFERROR(__xludf.DUMMYFUNCTION("IF(ISBLANK(B255),,IFERROR(array_constrain(FILTER('Leetcode分类顺序表'!B:J,'Leetcode分类顺序表'!A:A = B255), 1, 10000000),IFERROR(FILTER(Algoexpert.io!B:D,Algoexpert.io!A:A = B255),FILTER('Leetcode List'!B:J,'Leetcode List'!A:A = B255))))"),"")</f>
        <v/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>
      <c r="A256" s="22"/>
      <c r="B256" s="20"/>
      <c r="C256" s="20" t="str">
        <f>IFERROR(__xludf.DUMMYFUNCTION("IF(ISBLANK(B256),,IFERROR(array_constrain(FILTER('Leetcode分类顺序表'!B:J,'Leetcode分类顺序表'!A:A = B256), 1, 10000000),IFERROR(FILTER(Algoexpert.io!B:D,Algoexpert.io!A:A = B256),FILTER('Leetcode List'!B:J,'Leetcode List'!A:A = B256))))"),"")</f>
        <v/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>
      <c r="A257" s="22"/>
      <c r="B257" s="20"/>
      <c r="C257" s="20" t="str">
        <f>IFERROR(__xludf.DUMMYFUNCTION("IF(ISBLANK(B257),,IFERROR(array_constrain(FILTER('Leetcode分类顺序表'!B:J,'Leetcode分类顺序表'!A:A = B257), 1, 10000000),IFERROR(FILTER(Algoexpert.io!B:D,Algoexpert.io!A:A = B257),FILTER('Leetcode List'!B:J,'Leetcode List'!A:A = B257))))"),"")</f>
        <v/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>
      <c r="A258" s="22"/>
      <c r="B258" s="20"/>
      <c r="C258" s="20" t="str">
        <f>IFERROR(__xludf.DUMMYFUNCTION("IF(ISBLANK(B258),,IFERROR(array_constrain(FILTER('Leetcode分类顺序表'!B:J,'Leetcode分类顺序表'!A:A = B258), 1, 10000000),IFERROR(FILTER(Algoexpert.io!B:D,Algoexpert.io!A:A = B258),FILTER('Leetcode List'!B:J,'Leetcode List'!A:A = B258))))"),"")</f>
        <v/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>
      <c r="A259" s="22"/>
      <c r="B259" s="20"/>
      <c r="C259" s="20" t="str">
        <f>IFERROR(__xludf.DUMMYFUNCTION("IF(ISBLANK(B259),,IFERROR(array_constrain(FILTER('Leetcode分类顺序表'!B:J,'Leetcode分类顺序表'!A:A = B259), 1, 10000000),IFERROR(FILTER(Algoexpert.io!B:D,Algoexpert.io!A:A = B259),FILTER('Leetcode List'!B:J,'Leetcode List'!A:A = B259))))"),"")</f>
        <v/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>
      <c r="A260" s="22"/>
      <c r="B260" s="20"/>
      <c r="C260" s="20" t="str">
        <f>IFERROR(__xludf.DUMMYFUNCTION("IF(ISBLANK(B260),,IFERROR(array_constrain(FILTER('Leetcode分类顺序表'!B:J,'Leetcode分类顺序表'!A:A = B260), 1, 10000000),IFERROR(FILTER(Algoexpert.io!B:D,Algoexpert.io!A:A = B260),FILTER('Leetcode List'!B:J,'Leetcode List'!A:A = B260))))"),"")</f>
        <v/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>
      <c r="A261" s="22"/>
      <c r="B261" s="20"/>
      <c r="C261" s="20" t="str">
        <f>IFERROR(__xludf.DUMMYFUNCTION("IF(ISBLANK(B261),,IFERROR(array_constrain(FILTER('Leetcode分类顺序表'!B:J,'Leetcode分类顺序表'!A:A = B261), 1, 10000000),IFERROR(FILTER(Algoexpert.io!B:D,Algoexpert.io!A:A = B261),FILTER('Leetcode List'!B:J,'Leetcode List'!A:A = B261))))"),"")</f>
        <v/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>
      <c r="A262" s="22"/>
      <c r="B262" s="20"/>
      <c r="C262" s="20" t="str">
        <f>IFERROR(__xludf.DUMMYFUNCTION("IF(ISBLANK(B262),,IFERROR(array_constrain(FILTER('Leetcode分类顺序表'!B:J,'Leetcode分类顺序表'!A:A = B262), 1, 10000000),IFERROR(FILTER(Algoexpert.io!B:D,Algoexpert.io!A:A = B262),FILTER('Leetcode List'!B:J,'Leetcode List'!A:A = B262))))"),"")</f>
        <v/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>
      <c r="A263" s="22"/>
      <c r="B263" s="20"/>
      <c r="C263" s="20" t="str">
        <f>IFERROR(__xludf.DUMMYFUNCTION("IF(ISBLANK(B263),,IFERROR(array_constrain(FILTER('Leetcode分类顺序表'!B:J,'Leetcode分类顺序表'!A:A = B263), 1, 10000000),IFERROR(FILTER(Algoexpert.io!B:D,Algoexpert.io!A:A = B263),FILTER('Leetcode List'!B:J,'Leetcode List'!A:A = B263))))"),"")</f>
        <v/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>
      <c r="A264" s="22"/>
      <c r="B264" s="20"/>
      <c r="C264" s="20" t="str">
        <f>IFERROR(__xludf.DUMMYFUNCTION("IF(ISBLANK(B264),,IFERROR(array_constrain(FILTER('Leetcode分类顺序表'!B:J,'Leetcode分类顺序表'!A:A = B264), 1, 10000000),IFERROR(FILTER(Algoexpert.io!B:D,Algoexpert.io!A:A = B264),FILTER('Leetcode List'!B:J,'Leetcode List'!A:A = B264))))"),"")</f>
        <v/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>
      <c r="A265" s="22"/>
      <c r="B265" s="20"/>
      <c r="C265" s="20" t="str">
        <f>IFERROR(__xludf.DUMMYFUNCTION("IF(ISBLANK(B265),,IFERROR(array_constrain(FILTER('Leetcode分类顺序表'!B:J,'Leetcode分类顺序表'!A:A = B265), 1, 10000000),IFERROR(FILTER(Algoexpert.io!B:D,Algoexpert.io!A:A = B265),FILTER('Leetcode List'!B:J,'Leetcode List'!A:A = B265))))"),"")</f>
        <v/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>
      <c r="A266" s="22"/>
      <c r="B266" s="20"/>
      <c r="C266" s="20" t="str">
        <f>IFERROR(__xludf.DUMMYFUNCTION("IF(ISBLANK(B266),,IFERROR(array_constrain(FILTER('Leetcode分类顺序表'!B:J,'Leetcode分类顺序表'!A:A = B266), 1, 10000000),IFERROR(FILTER(Algoexpert.io!B:D,Algoexpert.io!A:A = B266),FILTER('Leetcode List'!B:J,'Leetcode List'!A:A = B266))))"),"")</f>
        <v/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>
      <c r="A267" s="22"/>
      <c r="B267" s="20"/>
      <c r="C267" s="20" t="str">
        <f>IFERROR(__xludf.DUMMYFUNCTION("IF(ISBLANK(B267),,IFERROR(array_constrain(FILTER('Leetcode分类顺序表'!B:J,'Leetcode分类顺序表'!A:A = B267), 1, 10000000),IFERROR(FILTER(Algoexpert.io!B:D,Algoexpert.io!A:A = B267),FILTER('Leetcode List'!B:J,'Leetcode List'!A:A = B267))))"),"")</f>
        <v/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>
      <c r="A268" s="22"/>
      <c r="B268" s="20"/>
      <c r="C268" s="20" t="str">
        <f>IFERROR(__xludf.DUMMYFUNCTION("IF(ISBLANK(B268),,IFERROR(array_constrain(FILTER('Leetcode分类顺序表'!B:J,'Leetcode分类顺序表'!A:A = B268), 1, 10000000),IFERROR(FILTER(Algoexpert.io!B:D,Algoexpert.io!A:A = B268),FILTER('Leetcode List'!B:J,'Leetcode List'!A:A = B268))))"),"")</f>
        <v/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>
      <c r="A269" s="22"/>
      <c r="B269" s="20"/>
      <c r="C269" s="20" t="str">
        <f>IFERROR(__xludf.DUMMYFUNCTION("IF(ISBLANK(B269),,IFERROR(array_constrain(FILTER('Leetcode分类顺序表'!B:J,'Leetcode分类顺序表'!A:A = B269), 1, 10000000),IFERROR(FILTER(Algoexpert.io!B:D,Algoexpert.io!A:A = B269),FILTER('Leetcode List'!B:J,'Leetcode List'!A:A = B269))))"),"")</f>
        <v/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>
      <c r="A270" s="22"/>
      <c r="B270" s="20"/>
      <c r="C270" s="20" t="str">
        <f>IFERROR(__xludf.DUMMYFUNCTION("IF(ISBLANK(B270),,IFERROR(array_constrain(FILTER('Leetcode分类顺序表'!B:J,'Leetcode分类顺序表'!A:A = B270), 1, 10000000),IFERROR(FILTER(Algoexpert.io!B:D,Algoexpert.io!A:A = B270),FILTER('Leetcode List'!B:J,'Leetcode List'!A:A = B270))))"),"")</f>
        <v/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>
      <c r="A271" s="22"/>
      <c r="B271" s="20"/>
      <c r="C271" s="20" t="str">
        <f>IFERROR(__xludf.DUMMYFUNCTION("IF(ISBLANK(B271),,IFERROR(array_constrain(FILTER('Leetcode分类顺序表'!B:J,'Leetcode分类顺序表'!A:A = B271), 1, 10000000),IFERROR(FILTER(Algoexpert.io!B:D,Algoexpert.io!A:A = B271),FILTER('Leetcode List'!B:J,'Leetcode List'!A:A = B271))))"),"")</f>
        <v/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>
      <c r="A272" s="22"/>
      <c r="B272" s="20"/>
      <c r="C272" s="20" t="str">
        <f>IFERROR(__xludf.DUMMYFUNCTION("IF(ISBLANK(B272),,IFERROR(array_constrain(FILTER('Leetcode分类顺序表'!B:J,'Leetcode分类顺序表'!A:A = B272), 1, 10000000),IFERROR(FILTER(Algoexpert.io!B:D,Algoexpert.io!A:A = B272),FILTER('Leetcode List'!B:J,'Leetcode List'!A:A = B272))))"),"")</f>
        <v/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>
      <c r="A273" s="22"/>
      <c r="B273" s="20"/>
      <c r="C273" s="20" t="str">
        <f>IFERROR(__xludf.DUMMYFUNCTION("IF(ISBLANK(B273),,IFERROR(array_constrain(FILTER('Leetcode分类顺序表'!B:J,'Leetcode分类顺序表'!A:A = B273), 1, 10000000),IFERROR(FILTER(Algoexpert.io!B:D,Algoexpert.io!A:A = B273),FILTER('Leetcode List'!B:J,'Leetcode List'!A:A = B273))))"),"")</f>
        <v/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>
      <c r="A274" s="22"/>
      <c r="B274" s="20"/>
      <c r="C274" s="20" t="str">
        <f>IFERROR(__xludf.DUMMYFUNCTION("IF(ISBLANK(B274),,IFERROR(array_constrain(FILTER('Leetcode分类顺序表'!B:J,'Leetcode分类顺序表'!A:A = B274), 1, 10000000),IFERROR(FILTER(Algoexpert.io!B:D,Algoexpert.io!A:A = B274),FILTER('Leetcode List'!B:J,'Leetcode List'!A:A = B274))))"),"")</f>
        <v/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>
      <c r="A275" s="22"/>
      <c r="B275" s="20"/>
      <c r="C275" s="20" t="str">
        <f>IFERROR(__xludf.DUMMYFUNCTION("IF(ISBLANK(B275),,IFERROR(array_constrain(FILTER('Leetcode分类顺序表'!B:J,'Leetcode分类顺序表'!A:A = B275), 1, 10000000),IFERROR(FILTER(Algoexpert.io!B:D,Algoexpert.io!A:A = B275),FILTER('Leetcode List'!B:J,'Leetcode List'!A:A = B275))))"),"")</f>
        <v/>
      </c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>
      <c r="A276" s="22"/>
      <c r="B276" s="20"/>
      <c r="C276" s="20" t="str">
        <f>IFERROR(__xludf.DUMMYFUNCTION("IF(ISBLANK(B276),,IFERROR(array_constrain(FILTER('Leetcode分类顺序表'!B:J,'Leetcode分类顺序表'!A:A = B276), 1, 10000000),IFERROR(FILTER(Algoexpert.io!B:D,Algoexpert.io!A:A = B276),FILTER('Leetcode List'!B:J,'Leetcode List'!A:A = B276))))"),"")</f>
        <v/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>
      <c r="A277" s="22"/>
      <c r="B277" s="20"/>
      <c r="C277" s="20" t="str">
        <f>IFERROR(__xludf.DUMMYFUNCTION("IF(ISBLANK(B277),,IFERROR(array_constrain(FILTER('Leetcode分类顺序表'!B:J,'Leetcode分类顺序表'!A:A = B277), 1, 10000000),IFERROR(FILTER(Algoexpert.io!B:D,Algoexpert.io!A:A = B277),FILTER('Leetcode List'!B:J,'Leetcode List'!A:A = B277))))"),"")</f>
        <v/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>
      <c r="A278" s="22"/>
      <c r="B278" s="20"/>
      <c r="C278" s="20" t="str">
        <f>IFERROR(__xludf.DUMMYFUNCTION("IF(ISBLANK(B278),,IFERROR(array_constrain(FILTER('Leetcode分类顺序表'!B:J,'Leetcode分类顺序表'!A:A = B278), 1, 10000000),IFERROR(FILTER(Algoexpert.io!B:D,Algoexpert.io!A:A = B278),FILTER('Leetcode List'!B:J,'Leetcode List'!A:A = B278))))"),"")</f>
        <v/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>
      <c r="A279" s="22"/>
      <c r="B279" s="20"/>
      <c r="C279" s="20" t="str">
        <f>IFERROR(__xludf.DUMMYFUNCTION("IF(ISBLANK(B279),,IFERROR(array_constrain(FILTER('Leetcode分类顺序表'!B:J,'Leetcode分类顺序表'!A:A = B279), 1, 10000000),IFERROR(FILTER(Algoexpert.io!B:D,Algoexpert.io!A:A = B279),FILTER('Leetcode List'!B:J,'Leetcode List'!A:A = B279))))"),"")</f>
        <v/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>
      <c r="A280" s="22"/>
      <c r="B280" s="20"/>
      <c r="C280" s="20" t="str">
        <f>IFERROR(__xludf.DUMMYFUNCTION("IF(ISBLANK(B280),,IFERROR(array_constrain(FILTER('Leetcode分类顺序表'!B:J,'Leetcode分类顺序表'!A:A = B280), 1, 10000000),IFERROR(FILTER(Algoexpert.io!B:D,Algoexpert.io!A:A = B280),FILTER('Leetcode List'!B:J,'Leetcode List'!A:A = B280))))"),"")</f>
        <v/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>
      <c r="A281" s="22"/>
      <c r="B281" s="20"/>
      <c r="C281" s="20" t="str">
        <f>IFERROR(__xludf.DUMMYFUNCTION("IF(ISBLANK(B281),,IFERROR(array_constrain(FILTER('Leetcode分类顺序表'!B:J,'Leetcode分类顺序表'!A:A = B281), 1, 10000000),IFERROR(FILTER(Algoexpert.io!B:D,Algoexpert.io!A:A = B281),FILTER('Leetcode List'!B:J,'Leetcode List'!A:A = B281))))"),"")</f>
        <v/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>
      <c r="A282" s="22"/>
      <c r="B282" s="20"/>
      <c r="C282" s="20" t="str">
        <f>IFERROR(__xludf.DUMMYFUNCTION("IF(ISBLANK(B282),,IFERROR(array_constrain(FILTER('Leetcode分类顺序表'!B:J,'Leetcode分类顺序表'!A:A = B282), 1, 10000000),IFERROR(FILTER(Algoexpert.io!B:D,Algoexpert.io!A:A = B282),FILTER('Leetcode List'!B:J,'Leetcode List'!A:A = B282))))"),"")</f>
        <v/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>
      <c r="A283" s="22"/>
      <c r="B283" s="20"/>
      <c r="C283" s="20" t="str">
        <f>IFERROR(__xludf.DUMMYFUNCTION("IF(ISBLANK(B283),,IFERROR(array_constrain(FILTER('Leetcode分类顺序表'!B:J,'Leetcode分类顺序表'!A:A = B283), 1, 10000000),IFERROR(FILTER(Algoexpert.io!B:D,Algoexpert.io!A:A = B283),FILTER('Leetcode List'!B:J,'Leetcode List'!A:A = B283))))"),"")</f>
        <v/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>
      <c r="A284" s="22"/>
      <c r="B284" s="20"/>
      <c r="C284" s="20" t="str">
        <f>IFERROR(__xludf.DUMMYFUNCTION("IF(ISBLANK(B284),,IFERROR(array_constrain(FILTER('Leetcode分类顺序表'!B:J,'Leetcode分类顺序表'!A:A = B284), 1, 10000000),IFERROR(FILTER(Algoexpert.io!B:D,Algoexpert.io!A:A = B284),FILTER('Leetcode List'!B:J,'Leetcode List'!A:A = B284))))"),"")</f>
        <v/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>
      <c r="A285" s="22"/>
      <c r="B285" s="20"/>
      <c r="C285" s="20" t="str">
        <f>IFERROR(__xludf.DUMMYFUNCTION("IF(ISBLANK(B285),,IFERROR(array_constrain(FILTER('Leetcode分类顺序表'!B:J,'Leetcode分类顺序表'!A:A = B285), 1, 10000000),IFERROR(FILTER(Algoexpert.io!B:D,Algoexpert.io!A:A = B285),FILTER('Leetcode List'!B:J,'Leetcode List'!A:A = B285))))"),"")</f>
        <v/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>
      <c r="A286" s="22"/>
      <c r="B286" s="20"/>
      <c r="C286" s="20" t="str">
        <f>IFERROR(__xludf.DUMMYFUNCTION("IF(ISBLANK(B286),,IFERROR(array_constrain(FILTER('Leetcode分类顺序表'!B:J,'Leetcode分类顺序表'!A:A = B286), 1, 10000000),IFERROR(FILTER(Algoexpert.io!B:D,Algoexpert.io!A:A = B286),FILTER('Leetcode List'!B:J,'Leetcode List'!A:A = B286))))"),"")</f>
        <v/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>
      <c r="A287" s="22"/>
      <c r="B287" s="20"/>
      <c r="C287" s="20" t="str">
        <f>IFERROR(__xludf.DUMMYFUNCTION("IF(ISBLANK(B287),,IFERROR(array_constrain(FILTER('Leetcode分类顺序表'!B:J,'Leetcode分类顺序表'!A:A = B287), 1, 10000000),IFERROR(FILTER(Algoexpert.io!B:D,Algoexpert.io!A:A = B287),FILTER('Leetcode List'!B:J,'Leetcode List'!A:A = B287))))"),"")</f>
        <v/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>
      <c r="A288" s="22"/>
      <c r="B288" s="20"/>
      <c r="C288" s="20" t="str">
        <f>IFERROR(__xludf.DUMMYFUNCTION("IF(ISBLANK(B288),,IFERROR(array_constrain(FILTER('Leetcode分类顺序表'!B:J,'Leetcode分类顺序表'!A:A = B288), 1, 10000000),IFERROR(FILTER(Algoexpert.io!B:D,Algoexpert.io!A:A = B288),FILTER('Leetcode List'!B:J,'Leetcode List'!A:A = B288))))"),"")</f>
        <v/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>
      <c r="A289" s="22"/>
      <c r="B289" s="20"/>
      <c r="C289" s="20" t="str">
        <f>IFERROR(__xludf.DUMMYFUNCTION("IF(ISBLANK(B289),,IFERROR(array_constrain(FILTER('Leetcode分类顺序表'!B:J,'Leetcode分类顺序表'!A:A = B289), 1, 10000000),IFERROR(FILTER(Algoexpert.io!B:D,Algoexpert.io!A:A = B289),FILTER('Leetcode List'!B:J,'Leetcode List'!A:A = B289))))"),"")</f>
        <v/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>
      <c r="A290" s="22"/>
      <c r="B290" s="20"/>
      <c r="C290" s="20" t="str">
        <f>IFERROR(__xludf.DUMMYFUNCTION("IF(ISBLANK(B290),,IFERROR(array_constrain(FILTER('Leetcode分类顺序表'!B:J,'Leetcode分类顺序表'!A:A = B290), 1, 10000000),IFERROR(FILTER(Algoexpert.io!B:D,Algoexpert.io!A:A = B290),FILTER('Leetcode List'!B:J,'Leetcode List'!A:A = B290))))"),"")</f>
        <v/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>
      <c r="A291" s="22"/>
      <c r="B291" s="20"/>
      <c r="C291" s="20" t="str">
        <f>IFERROR(__xludf.DUMMYFUNCTION("IF(ISBLANK(B291),,IFERROR(array_constrain(FILTER('Leetcode分类顺序表'!B:J,'Leetcode分类顺序表'!A:A = B291), 1, 10000000),IFERROR(FILTER(Algoexpert.io!B:D,Algoexpert.io!A:A = B291),FILTER('Leetcode List'!B:J,'Leetcode List'!A:A = B291))))"),"")</f>
        <v/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>
      <c r="A292" s="22"/>
      <c r="B292" s="20"/>
      <c r="C292" s="20" t="str">
        <f>IFERROR(__xludf.DUMMYFUNCTION("IF(ISBLANK(B292),,IFERROR(array_constrain(FILTER('Leetcode分类顺序表'!B:J,'Leetcode分类顺序表'!A:A = B292), 1, 10000000),IFERROR(FILTER(Algoexpert.io!B:D,Algoexpert.io!A:A = B292),FILTER('Leetcode List'!B:J,'Leetcode List'!A:A = B292))))"),"")</f>
        <v/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>
      <c r="A293" s="22"/>
      <c r="B293" s="20"/>
      <c r="C293" s="20" t="str">
        <f>IFERROR(__xludf.DUMMYFUNCTION("IF(ISBLANK(B293),,IFERROR(array_constrain(FILTER('Leetcode分类顺序表'!B:J,'Leetcode分类顺序表'!A:A = B293), 1, 10000000),IFERROR(FILTER(Algoexpert.io!B:D,Algoexpert.io!A:A = B293),FILTER('Leetcode List'!B:J,'Leetcode List'!A:A = B293))))"),"")</f>
        <v/>
      </c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>
      <c r="A294" s="22"/>
      <c r="B294" s="20"/>
      <c r="C294" s="20" t="str">
        <f>IFERROR(__xludf.DUMMYFUNCTION("IF(ISBLANK(B294),,IFERROR(array_constrain(FILTER('Leetcode分类顺序表'!B:J,'Leetcode分类顺序表'!A:A = B294), 1, 10000000),IFERROR(FILTER(Algoexpert.io!B:D,Algoexpert.io!A:A = B294),FILTER('Leetcode List'!B:J,'Leetcode List'!A:A = B294))))"),"")</f>
        <v/>
      </c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>
      <c r="A295" s="22"/>
      <c r="B295" s="20"/>
      <c r="C295" s="20" t="str">
        <f>IFERROR(__xludf.DUMMYFUNCTION("IF(ISBLANK(B295),,IFERROR(array_constrain(FILTER('Leetcode分类顺序表'!B:J,'Leetcode分类顺序表'!A:A = B295), 1, 10000000),IFERROR(FILTER(Algoexpert.io!B:D,Algoexpert.io!A:A = B295),FILTER('Leetcode List'!B:J,'Leetcode List'!A:A = B295))))"),"")</f>
        <v/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>
      <c r="A296" s="22"/>
      <c r="B296" s="20"/>
      <c r="C296" s="20" t="str">
        <f>IFERROR(__xludf.DUMMYFUNCTION("IF(ISBLANK(B296),,IFERROR(array_constrain(FILTER('Leetcode分类顺序表'!B:J,'Leetcode分类顺序表'!A:A = B296), 1, 10000000),IFERROR(FILTER(Algoexpert.io!B:D,Algoexpert.io!A:A = B296),FILTER('Leetcode List'!B:J,'Leetcode List'!A:A = B296))))"),"")</f>
        <v/>
      </c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>
      <c r="A297" s="22"/>
      <c r="B297" s="20"/>
      <c r="C297" s="20" t="str">
        <f>IFERROR(__xludf.DUMMYFUNCTION("IF(ISBLANK(B297),,IFERROR(array_constrain(FILTER('Leetcode分类顺序表'!B:J,'Leetcode分类顺序表'!A:A = B297), 1, 10000000),IFERROR(FILTER(Algoexpert.io!B:D,Algoexpert.io!A:A = B297),FILTER('Leetcode List'!B:J,'Leetcode List'!A:A = B297))))"),"")</f>
        <v/>
      </c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>
      <c r="A298" s="22"/>
      <c r="B298" s="20"/>
      <c r="C298" s="20" t="str">
        <f>IFERROR(__xludf.DUMMYFUNCTION("IF(ISBLANK(B298),,IFERROR(array_constrain(FILTER('Leetcode分类顺序表'!B:J,'Leetcode分类顺序表'!A:A = B298), 1, 10000000),IFERROR(FILTER(Algoexpert.io!B:D,Algoexpert.io!A:A = B298),FILTER('Leetcode List'!B:J,'Leetcode List'!A:A = B298))))"),"")</f>
        <v/>
      </c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>
      <c r="A299" s="22"/>
      <c r="B299" s="20"/>
      <c r="C299" s="20" t="str">
        <f>IFERROR(__xludf.DUMMYFUNCTION("IF(ISBLANK(B299),,IFERROR(array_constrain(FILTER('Leetcode分类顺序表'!B:J,'Leetcode分类顺序表'!A:A = B299), 1, 10000000),IFERROR(FILTER(Algoexpert.io!B:D,Algoexpert.io!A:A = B299),FILTER('Leetcode List'!B:J,'Leetcode List'!A:A = B299))))"),"")</f>
        <v/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>
      <c r="A300" s="22"/>
      <c r="B300" s="20"/>
      <c r="C300" s="20" t="str">
        <f>IFERROR(__xludf.DUMMYFUNCTION("IF(ISBLANK(B300),,IFERROR(array_constrain(FILTER('Leetcode分类顺序表'!B:J,'Leetcode分类顺序表'!A:A = B300), 1, 10000000),IFERROR(FILTER(Algoexpert.io!B:D,Algoexpert.io!A:A = B300),FILTER('Leetcode List'!B:J,'Leetcode List'!A:A = B300))))"),"")</f>
        <v/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>
      <c r="A301" s="22"/>
      <c r="B301" s="20"/>
      <c r="C301" s="20" t="str">
        <f>IFERROR(__xludf.DUMMYFUNCTION("IF(ISBLANK(B301),,IFERROR(array_constrain(FILTER('Leetcode分类顺序表'!B:J,'Leetcode分类顺序表'!A:A = B301), 1, 10000000),IFERROR(FILTER(Algoexpert.io!B:D,Algoexpert.io!A:A = B301),FILTER('Leetcode List'!B:J,'Leetcode List'!A:A = B301))))"),"")</f>
        <v/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>
      <c r="A302" s="22"/>
      <c r="B302" s="20"/>
      <c r="C302" s="20" t="str">
        <f>IFERROR(__xludf.DUMMYFUNCTION("IF(ISBLANK(B302),,IFERROR(array_constrain(FILTER('Leetcode分类顺序表'!B:J,'Leetcode分类顺序表'!A:A = B302), 1, 10000000),IFERROR(FILTER(Algoexpert.io!B:D,Algoexpert.io!A:A = B302),FILTER('Leetcode List'!B:J,'Leetcode List'!A:A = B302))))"),"")</f>
        <v/>
      </c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>
      <c r="A303" s="22"/>
      <c r="B303" s="20"/>
      <c r="C303" s="20" t="str">
        <f>IFERROR(__xludf.DUMMYFUNCTION("IF(ISBLANK(B303),,IFERROR(array_constrain(FILTER('Leetcode分类顺序表'!B:J,'Leetcode分类顺序表'!A:A = B303), 1, 10000000),IFERROR(FILTER(Algoexpert.io!B:D,Algoexpert.io!A:A = B303),FILTER('Leetcode List'!B:J,'Leetcode List'!A:A = B303))))"),"")</f>
        <v/>
      </c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>
      <c r="A304" s="22"/>
      <c r="B304" s="20"/>
      <c r="C304" s="20" t="str">
        <f>IFERROR(__xludf.DUMMYFUNCTION("IF(ISBLANK(B304),,IFERROR(array_constrain(FILTER('Leetcode分类顺序表'!B:J,'Leetcode分类顺序表'!A:A = B304), 1, 10000000),IFERROR(FILTER(Algoexpert.io!B:D,Algoexpert.io!A:A = B304),FILTER('Leetcode List'!B:J,'Leetcode List'!A:A = B304))))"),"")</f>
        <v/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>
      <c r="A305" s="22"/>
      <c r="B305" s="20"/>
      <c r="C305" s="20" t="str">
        <f>IFERROR(__xludf.DUMMYFUNCTION("IF(ISBLANK(B305),,IFERROR(array_constrain(FILTER('Leetcode分类顺序表'!B:J,'Leetcode分类顺序表'!A:A = B305), 1, 10000000),IFERROR(FILTER(Algoexpert.io!B:D,Algoexpert.io!A:A = B305),FILTER('Leetcode List'!B:J,'Leetcode List'!A:A = B305))))"),"")</f>
        <v/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>
      <c r="A306" s="22"/>
      <c r="B306" s="20"/>
      <c r="C306" s="20" t="str">
        <f>IFERROR(__xludf.DUMMYFUNCTION("IF(ISBLANK(B306),,IFERROR(array_constrain(FILTER('Leetcode分类顺序表'!B:J,'Leetcode分类顺序表'!A:A = B306), 1, 10000000),IFERROR(FILTER(Algoexpert.io!B:D,Algoexpert.io!A:A = B306),FILTER('Leetcode List'!B:J,'Leetcode List'!A:A = B306))))"),"")</f>
        <v/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>
      <c r="A307" s="22"/>
      <c r="B307" s="20"/>
      <c r="C307" s="20" t="str">
        <f>IFERROR(__xludf.DUMMYFUNCTION("IF(ISBLANK(B307),,IFERROR(array_constrain(FILTER('Leetcode分类顺序表'!B:J,'Leetcode分类顺序表'!A:A = B307), 1, 10000000),IFERROR(FILTER(Algoexpert.io!B:D,Algoexpert.io!A:A = B307),FILTER('Leetcode List'!B:J,'Leetcode List'!A:A = B307))))"),"")</f>
        <v/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>
      <c r="A308" s="22"/>
      <c r="B308" s="20"/>
      <c r="C308" s="20" t="str">
        <f>IFERROR(__xludf.DUMMYFUNCTION("IF(ISBLANK(B308),,IFERROR(array_constrain(FILTER('Leetcode分类顺序表'!B:J,'Leetcode分类顺序表'!A:A = B308), 1, 10000000),IFERROR(FILTER(Algoexpert.io!B:D,Algoexpert.io!A:A = B308),FILTER('Leetcode List'!B:J,'Leetcode List'!A:A = B308))))"),"")</f>
        <v/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>
      <c r="A309" s="22"/>
      <c r="B309" s="20"/>
      <c r="C309" s="20" t="str">
        <f>IFERROR(__xludf.DUMMYFUNCTION("IF(ISBLANK(B309),,IFERROR(array_constrain(FILTER('Leetcode分类顺序表'!B:J,'Leetcode分类顺序表'!A:A = B309), 1, 10000000),IFERROR(FILTER(Algoexpert.io!B:D,Algoexpert.io!A:A = B309),FILTER('Leetcode List'!B:J,'Leetcode List'!A:A = B309))))"),"")</f>
        <v/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>
      <c r="A310" s="22"/>
      <c r="B310" s="20"/>
      <c r="C310" s="20" t="str">
        <f>IFERROR(__xludf.DUMMYFUNCTION("IF(ISBLANK(B310),,IFERROR(array_constrain(FILTER('Leetcode分类顺序表'!B:J,'Leetcode分类顺序表'!A:A = B310), 1, 10000000),IFERROR(FILTER(Algoexpert.io!B:D,Algoexpert.io!A:A = B310),FILTER('Leetcode List'!B:J,'Leetcode List'!A:A = B310))))"),"")</f>
        <v/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>
      <c r="A311" s="22"/>
      <c r="B311" s="20"/>
      <c r="C311" s="20" t="str">
        <f>IFERROR(__xludf.DUMMYFUNCTION("IF(ISBLANK(B311),,IFERROR(array_constrain(FILTER('Leetcode分类顺序表'!B:J,'Leetcode分类顺序表'!A:A = B311), 1, 10000000),IFERROR(FILTER(Algoexpert.io!B:D,Algoexpert.io!A:A = B311),FILTER('Leetcode List'!B:J,'Leetcode List'!A:A = B311))))"),"")</f>
        <v/>
      </c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>
      <c r="A312" s="22"/>
      <c r="B312" s="20"/>
      <c r="C312" s="20" t="str">
        <f>IFERROR(__xludf.DUMMYFUNCTION("IF(ISBLANK(B312),,IFERROR(array_constrain(FILTER('Leetcode分类顺序表'!B:J,'Leetcode分类顺序表'!A:A = B312), 1, 10000000),IFERROR(FILTER(Algoexpert.io!B:D,Algoexpert.io!A:A = B312),FILTER('Leetcode List'!B:J,'Leetcode List'!A:A = B312))))"),"")</f>
        <v/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>
      <c r="A313" s="22"/>
      <c r="B313" s="20"/>
      <c r="C313" s="20" t="str">
        <f>IFERROR(__xludf.DUMMYFUNCTION("IF(ISBLANK(B313),,IFERROR(array_constrain(FILTER('Leetcode分类顺序表'!B:J,'Leetcode分类顺序表'!A:A = B313), 1, 10000000),IFERROR(FILTER(Algoexpert.io!B:D,Algoexpert.io!A:A = B313),FILTER('Leetcode List'!B:J,'Leetcode List'!A:A = B313))))"),"")</f>
        <v/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>
      <c r="A314" s="22"/>
      <c r="B314" s="20"/>
      <c r="C314" s="20" t="str">
        <f>IFERROR(__xludf.DUMMYFUNCTION("IF(ISBLANK(B314),,IFERROR(array_constrain(FILTER('Leetcode分类顺序表'!B:J,'Leetcode分类顺序表'!A:A = B314), 1, 10000000),IFERROR(FILTER(Algoexpert.io!B:D,Algoexpert.io!A:A = B314),FILTER('Leetcode List'!B:J,'Leetcode List'!A:A = B314))))"),"")</f>
        <v/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>
      <c r="A315" s="22"/>
      <c r="B315" s="20"/>
      <c r="C315" s="20" t="str">
        <f>IFERROR(__xludf.DUMMYFUNCTION("IF(ISBLANK(B315),,IFERROR(array_constrain(FILTER('Leetcode分类顺序表'!B:J,'Leetcode分类顺序表'!A:A = B315), 1, 10000000),IFERROR(FILTER(Algoexpert.io!B:D,Algoexpert.io!A:A = B315),FILTER('Leetcode List'!B:J,'Leetcode List'!A:A = B315))))"),"")</f>
        <v/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>
      <c r="A316" s="22"/>
      <c r="B316" s="20"/>
      <c r="C316" s="20" t="str">
        <f>IFERROR(__xludf.DUMMYFUNCTION("IF(ISBLANK(B316),,IFERROR(array_constrain(FILTER('Leetcode分类顺序表'!B:J,'Leetcode分类顺序表'!A:A = B316), 1, 10000000),IFERROR(FILTER(Algoexpert.io!B:D,Algoexpert.io!A:A = B316),FILTER('Leetcode List'!B:J,'Leetcode List'!A:A = B316))))"),"")</f>
        <v/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>
      <c r="A317" s="22"/>
      <c r="B317" s="20"/>
      <c r="C317" s="20" t="str">
        <f>IFERROR(__xludf.DUMMYFUNCTION("IF(ISBLANK(B317),,IFERROR(array_constrain(FILTER('Leetcode分类顺序表'!B:J,'Leetcode分类顺序表'!A:A = B317), 1, 10000000),IFERROR(FILTER(Algoexpert.io!B:D,Algoexpert.io!A:A = B317),FILTER('Leetcode List'!B:J,'Leetcode List'!A:A = B317))))"),"")</f>
        <v/>
      </c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>
      <c r="A318" s="22"/>
      <c r="B318" s="20"/>
      <c r="C318" s="20" t="str">
        <f>IFERROR(__xludf.DUMMYFUNCTION("IF(ISBLANK(B318),,IFERROR(array_constrain(FILTER('Leetcode分类顺序表'!B:J,'Leetcode分类顺序表'!A:A = B318), 1, 10000000),IFERROR(FILTER(Algoexpert.io!B:D,Algoexpert.io!A:A = B318),FILTER('Leetcode List'!B:J,'Leetcode List'!A:A = B318))))"),"")</f>
        <v/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>
      <c r="A319" s="22"/>
      <c r="B319" s="20"/>
      <c r="C319" s="20" t="str">
        <f>IFERROR(__xludf.DUMMYFUNCTION("IF(ISBLANK(B319),,IFERROR(array_constrain(FILTER('Leetcode分类顺序表'!B:J,'Leetcode分类顺序表'!A:A = B319), 1, 10000000),IFERROR(FILTER(Algoexpert.io!B:D,Algoexpert.io!A:A = B319),FILTER('Leetcode List'!B:J,'Leetcode List'!A:A = B319))))"),"")</f>
        <v/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>
      <c r="A320" s="22"/>
      <c r="B320" s="20"/>
      <c r="C320" s="20" t="str">
        <f>IFERROR(__xludf.DUMMYFUNCTION("IF(ISBLANK(B320),,IFERROR(array_constrain(FILTER('Leetcode分类顺序表'!B:J,'Leetcode分类顺序表'!A:A = B320), 1, 10000000),IFERROR(FILTER(Algoexpert.io!B:D,Algoexpert.io!A:A = B320),FILTER('Leetcode List'!B:J,'Leetcode List'!A:A = B320))))"),"")</f>
        <v/>
      </c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>
      <c r="A321" s="22"/>
      <c r="B321" s="20"/>
      <c r="C321" s="20" t="str">
        <f>IFERROR(__xludf.DUMMYFUNCTION("IF(ISBLANK(B321),,IFERROR(array_constrain(FILTER('Leetcode分类顺序表'!B:J,'Leetcode分类顺序表'!A:A = B321), 1, 10000000),IFERROR(FILTER(Algoexpert.io!B:D,Algoexpert.io!A:A = B321),FILTER('Leetcode List'!B:J,'Leetcode List'!A:A = B321))))"),"")</f>
        <v/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>
      <c r="A322" s="22"/>
      <c r="B322" s="20"/>
      <c r="C322" s="20" t="str">
        <f>IFERROR(__xludf.DUMMYFUNCTION("IF(ISBLANK(B322),,IFERROR(array_constrain(FILTER('Leetcode分类顺序表'!B:J,'Leetcode分类顺序表'!A:A = B322), 1, 10000000),IFERROR(FILTER(Algoexpert.io!B:D,Algoexpert.io!A:A = B322),FILTER('Leetcode List'!B:J,'Leetcode List'!A:A = B322))))"),"")</f>
        <v/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>
      <c r="A323" s="22"/>
      <c r="B323" s="20"/>
      <c r="C323" s="20" t="str">
        <f>IFERROR(__xludf.DUMMYFUNCTION("IF(ISBLANK(B323),,IFERROR(array_constrain(FILTER('Leetcode分类顺序表'!B:J,'Leetcode分类顺序表'!A:A = B323), 1, 10000000),IFERROR(FILTER(Algoexpert.io!B:D,Algoexpert.io!A:A = B323),FILTER('Leetcode List'!B:J,'Leetcode List'!A:A = B323))))"),"")</f>
        <v/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>
      <c r="A324" s="22"/>
      <c r="B324" s="20"/>
      <c r="C324" s="20" t="str">
        <f>IFERROR(__xludf.DUMMYFUNCTION("IF(ISBLANK(B324),,IFERROR(array_constrain(FILTER('Leetcode分类顺序表'!B:J,'Leetcode分类顺序表'!A:A = B324), 1, 10000000),IFERROR(FILTER(Algoexpert.io!B:D,Algoexpert.io!A:A = B324),FILTER('Leetcode List'!B:J,'Leetcode List'!A:A = B324))))"),"")</f>
        <v/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>
      <c r="A325" s="22"/>
      <c r="B325" s="20"/>
      <c r="C325" s="20" t="str">
        <f>IFERROR(__xludf.DUMMYFUNCTION("IF(ISBLANK(B325),,IFERROR(array_constrain(FILTER('Leetcode分类顺序表'!B:J,'Leetcode分类顺序表'!A:A = B325), 1, 10000000),IFERROR(FILTER(Algoexpert.io!B:D,Algoexpert.io!A:A = B325),FILTER('Leetcode List'!B:J,'Leetcode List'!A:A = B325))))"),"")</f>
        <v/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>
      <c r="A326" s="22"/>
      <c r="B326" s="20"/>
      <c r="C326" s="20" t="str">
        <f>IFERROR(__xludf.DUMMYFUNCTION("IF(ISBLANK(B326),,IFERROR(array_constrain(FILTER('Leetcode分类顺序表'!B:J,'Leetcode分类顺序表'!A:A = B326), 1, 10000000),IFERROR(FILTER(Algoexpert.io!B:D,Algoexpert.io!A:A = B326),FILTER('Leetcode List'!B:J,'Leetcode List'!A:A = B326))))"),"")</f>
        <v/>
      </c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>
      <c r="A327" s="22"/>
      <c r="B327" s="20"/>
      <c r="C327" s="20" t="str">
        <f>IFERROR(__xludf.DUMMYFUNCTION("IF(ISBLANK(B327),,IFERROR(array_constrain(FILTER('Leetcode分类顺序表'!B:J,'Leetcode分类顺序表'!A:A = B327), 1, 10000000),IFERROR(FILTER(Algoexpert.io!B:D,Algoexpert.io!A:A = B327),FILTER('Leetcode List'!B:J,'Leetcode List'!A:A = B327))))"),"")</f>
        <v/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>
      <c r="A328" s="22"/>
      <c r="B328" s="20"/>
      <c r="C328" s="20" t="str">
        <f>IFERROR(__xludf.DUMMYFUNCTION("IF(ISBLANK(B328),,IFERROR(array_constrain(FILTER('Leetcode分类顺序表'!B:J,'Leetcode分类顺序表'!A:A = B328), 1, 10000000),IFERROR(FILTER(Algoexpert.io!B:D,Algoexpert.io!A:A = B328),FILTER('Leetcode List'!B:J,'Leetcode List'!A:A = B328))))"),"")</f>
        <v/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>
      <c r="A329" s="22"/>
      <c r="B329" s="20"/>
      <c r="C329" s="20" t="str">
        <f>IFERROR(__xludf.DUMMYFUNCTION("IF(ISBLANK(B329),,IFERROR(array_constrain(FILTER('Leetcode分类顺序表'!B:J,'Leetcode分类顺序表'!A:A = B329), 1, 10000000),IFERROR(FILTER(Algoexpert.io!B:D,Algoexpert.io!A:A = B329),FILTER('Leetcode List'!B:J,'Leetcode List'!A:A = B329))))"),"")</f>
        <v/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>
      <c r="A330" s="22"/>
      <c r="B330" s="20"/>
      <c r="C330" s="20" t="str">
        <f>IFERROR(__xludf.DUMMYFUNCTION("IF(ISBLANK(B330),,IFERROR(array_constrain(FILTER('Leetcode分类顺序表'!B:J,'Leetcode分类顺序表'!A:A = B330), 1, 10000000),IFERROR(FILTER(Algoexpert.io!B:D,Algoexpert.io!A:A = B330),FILTER('Leetcode List'!B:J,'Leetcode List'!A:A = B330))))"),"")</f>
        <v/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>
      <c r="A331" s="22"/>
      <c r="B331" s="20"/>
      <c r="C331" s="20" t="str">
        <f>IFERROR(__xludf.DUMMYFUNCTION("IF(ISBLANK(B331),,IFERROR(array_constrain(FILTER('Leetcode分类顺序表'!B:J,'Leetcode分类顺序表'!A:A = B331), 1, 10000000),IFERROR(FILTER(Algoexpert.io!B:D,Algoexpert.io!A:A = B331),FILTER('Leetcode List'!B:J,'Leetcode List'!A:A = B331))))"),"")</f>
        <v/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>
      <c r="A332" s="22"/>
      <c r="B332" s="20"/>
      <c r="C332" s="20" t="str">
        <f>IFERROR(__xludf.DUMMYFUNCTION("IF(ISBLANK(B332),,IFERROR(array_constrain(FILTER('Leetcode分类顺序表'!B:J,'Leetcode分类顺序表'!A:A = B332), 1, 10000000),IFERROR(FILTER(Algoexpert.io!B:D,Algoexpert.io!A:A = B332),FILTER('Leetcode List'!B:J,'Leetcode List'!A:A = B332))))"),"")</f>
        <v/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>
      <c r="A333" s="22"/>
      <c r="B333" s="20"/>
      <c r="C333" s="20" t="str">
        <f>IFERROR(__xludf.DUMMYFUNCTION("IF(ISBLANK(B333),,IFERROR(array_constrain(FILTER('Leetcode分类顺序表'!B:J,'Leetcode分类顺序表'!A:A = B333), 1, 10000000),IFERROR(FILTER(Algoexpert.io!B:D,Algoexpert.io!A:A = B333),FILTER('Leetcode List'!B:J,'Leetcode List'!A:A = B333))))"),"")</f>
        <v/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>
      <c r="A334" s="22"/>
      <c r="B334" s="20"/>
      <c r="C334" s="20" t="str">
        <f>IFERROR(__xludf.DUMMYFUNCTION("IF(ISBLANK(B334),,IFERROR(array_constrain(FILTER('Leetcode分类顺序表'!B:J,'Leetcode分类顺序表'!A:A = B334), 1, 10000000),IFERROR(FILTER(Algoexpert.io!B:D,Algoexpert.io!A:A = B334),FILTER('Leetcode List'!B:J,'Leetcode List'!A:A = B334))))"),"")</f>
        <v/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>
      <c r="A335" s="22"/>
      <c r="B335" s="20"/>
      <c r="C335" s="20" t="str">
        <f>IFERROR(__xludf.DUMMYFUNCTION("IF(ISBLANK(B335),,IFERROR(array_constrain(FILTER('Leetcode分类顺序表'!B:J,'Leetcode分类顺序表'!A:A = B335), 1, 10000000),IFERROR(FILTER(Algoexpert.io!B:D,Algoexpert.io!A:A = B335),FILTER('Leetcode List'!B:J,'Leetcode List'!A:A = B335))))"),"")</f>
        <v/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>
      <c r="A336" s="22"/>
      <c r="B336" s="20"/>
      <c r="C336" s="20" t="str">
        <f>IFERROR(__xludf.DUMMYFUNCTION("IF(ISBLANK(B336),,IFERROR(array_constrain(FILTER('Leetcode分类顺序表'!B:J,'Leetcode分类顺序表'!A:A = B336), 1, 10000000),IFERROR(FILTER(Algoexpert.io!B:D,Algoexpert.io!A:A = B336),FILTER('Leetcode List'!B:J,'Leetcode List'!A:A = B336))))"),"")</f>
        <v/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>
      <c r="A337" s="22"/>
      <c r="B337" s="20"/>
      <c r="C337" s="20" t="str">
        <f>IFERROR(__xludf.DUMMYFUNCTION("IF(ISBLANK(B337),,IFERROR(array_constrain(FILTER('Leetcode分类顺序表'!B:J,'Leetcode分类顺序表'!A:A = B337), 1, 10000000),IFERROR(FILTER(Algoexpert.io!B:D,Algoexpert.io!A:A = B337),FILTER('Leetcode List'!B:J,'Leetcode List'!A:A = B337))))"),"")</f>
        <v/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>
      <c r="A338" s="22"/>
      <c r="B338" s="20"/>
      <c r="C338" s="20" t="str">
        <f>IFERROR(__xludf.DUMMYFUNCTION("IF(ISBLANK(B338),,IFERROR(array_constrain(FILTER('Leetcode分类顺序表'!B:J,'Leetcode分类顺序表'!A:A = B338), 1, 10000000),IFERROR(FILTER(Algoexpert.io!B:D,Algoexpert.io!A:A = B338),FILTER('Leetcode List'!B:J,'Leetcode List'!A:A = B338))))"),"")</f>
        <v/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>
      <c r="A339" s="22"/>
      <c r="B339" s="20"/>
      <c r="C339" s="20" t="str">
        <f>IFERROR(__xludf.DUMMYFUNCTION("IF(ISBLANK(B339),,IFERROR(array_constrain(FILTER('Leetcode分类顺序表'!B:J,'Leetcode分类顺序表'!A:A = B339), 1, 10000000),IFERROR(FILTER(Algoexpert.io!B:D,Algoexpert.io!A:A = B339),FILTER('Leetcode List'!B:J,'Leetcode List'!A:A = B339))))"),"")</f>
        <v/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>
      <c r="A340" s="22"/>
      <c r="B340" s="20"/>
      <c r="C340" s="20" t="str">
        <f>IFERROR(__xludf.DUMMYFUNCTION("IF(ISBLANK(B340),,IFERROR(array_constrain(FILTER('Leetcode分类顺序表'!B:J,'Leetcode分类顺序表'!A:A = B340), 1, 10000000),IFERROR(FILTER(Algoexpert.io!B:D,Algoexpert.io!A:A = B340),FILTER('Leetcode List'!B:J,'Leetcode List'!A:A = B340))))"),"")</f>
        <v/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>
      <c r="A341" s="22"/>
      <c r="B341" s="20"/>
      <c r="C341" s="20" t="str">
        <f>IFERROR(__xludf.DUMMYFUNCTION("IF(ISBLANK(B341),,IFERROR(array_constrain(FILTER('Leetcode分类顺序表'!B:J,'Leetcode分类顺序表'!A:A = B341), 1, 10000000),IFERROR(FILTER(Algoexpert.io!B:D,Algoexpert.io!A:A = B341),FILTER('Leetcode List'!B:J,'Leetcode List'!A:A = B341))))"),"")</f>
        <v/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>
      <c r="A342" s="22"/>
      <c r="B342" s="20"/>
      <c r="C342" s="20" t="str">
        <f>IFERROR(__xludf.DUMMYFUNCTION("IF(ISBLANK(B342),,IFERROR(array_constrain(FILTER('Leetcode分类顺序表'!B:J,'Leetcode分类顺序表'!A:A = B342), 1, 10000000),IFERROR(FILTER(Algoexpert.io!B:D,Algoexpert.io!A:A = B342),FILTER('Leetcode List'!B:J,'Leetcode List'!A:A = B342))))"),"")</f>
        <v/>
      </c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>
      <c r="A343" s="22"/>
      <c r="B343" s="20"/>
      <c r="C343" s="20" t="str">
        <f>IFERROR(__xludf.DUMMYFUNCTION("IF(ISBLANK(B343),,IFERROR(array_constrain(FILTER('Leetcode分类顺序表'!B:J,'Leetcode分类顺序表'!A:A = B343), 1, 10000000),IFERROR(FILTER(Algoexpert.io!B:D,Algoexpert.io!A:A = B343),FILTER('Leetcode List'!B:J,'Leetcode List'!A:A = B343))))"),"")</f>
        <v/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>
      <c r="A344" s="22"/>
      <c r="B344" s="20"/>
      <c r="C344" s="20" t="str">
        <f>IFERROR(__xludf.DUMMYFUNCTION("IF(ISBLANK(B344),,IFERROR(array_constrain(FILTER('Leetcode分类顺序表'!B:J,'Leetcode分类顺序表'!A:A = B344), 1, 10000000),IFERROR(FILTER(Algoexpert.io!B:D,Algoexpert.io!A:A = B344),FILTER('Leetcode List'!B:J,'Leetcode List'!A:A = B344))))"),"")</f>
        <v/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>
      <c r="A345" s="22"/>
      <c r="B345" s="20"/>
      <c r="C345" s="20" t="str">
        <f>IFERROR(__xludf.DUMMYFUNCTION("IF(ISBLANK(B345),,IFERROR(array_constrain(FILTER('Leetcode分类顺序表'!B:J,'Leetcode分类顺序表'!A:A = B345), 1, 10000000),IFERROR(FILTER(Algoexpert.io!B:D,Algoexpert.io!A:A = B345),FILTER('Leetcode List'!B:J,'Leetcode List'!A:A = B345))))"),"")</f>
        <v/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>
      <c r="A346" s="22"/>
      <c r="B346" s="20"/>
      <c r="C346" s="20" t="str">
        <f>IFERROR(__xludf.DUMMYFUNCTION("IF(ISBLANK(B346),,IFERROR(array_constrain(FILTER('Leetcode分类顺序表'!B:J,'Leetcode分类顺序表'!A:A = B346), 1, 10000000),IFERROR(FILTER(Algoexpert.io!B:D,Algoexpert.io!A:A = B346),FILTER('Leetcode List'!B:J,'Leetcode List'!A:A = B346))))"),"")</f>
        <v/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>
      <c r="A347" s="22"/>
      <c r="B347" s="20"/>
      <c r="C347" s="20" t="str">
        <f>IFERROR(__xludf.DUMMYFUNCTION("IF(ISBLANK(B347),,IFERROR(array_constrain(FILTER('Leetcode分类顺序表'!B:J,'Leetcode分类顺序表'!A:A = B347), 1, 10000000),IFERROR(FILTER(Algoexpert.io!B:D,Algoexpert.io!A:A = B347),FILTER('Leetcode List'!B:J,'Leetcode List'!A:A = B347))))"),"")</f>
        <v/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>
      <c r="A348" s="22"/>
      <c r="B348" s="20"/>
      <c r="C348" s="20" t="str">
        <f>IFERROR(__xludf.DUMMYFUNCTION("IF(ISBLANK(B348),,IFERROR(array_constrain(FILTER('Leetcode分类顺序表'!B:J,'Leetcode分类顺序表'!A:A = B348), 1, 10000000),IFERROR(FILTER(Algoexpert.io!B:D,Algoexpert.io!A:A = B348),FILTER('Leetcode List'!B:J,'Leetcode List'!A:A = B348))))"),"")</f>
        <v/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>
      <c r="A349" s="22"/>
      <c r="B349" s="20"/>
      <c r="C349" s="20" t="str">
        <f>IFERROR(__xludf.DUMMYFUNCTION("IF(ISBLANK(B349),,IFERROR(array_constrain(FILTER('Leetcode分类顺序表'!B:J,'Leetcode分类顺序表'!A:A = B349), 1, 10000000),IFERROR(FILTER(Algoexpert.io!B:D,Algoexpert.io!A:A = B349),FILTER('Leetcode List'!B:J,'Leetcode List'!A:A = B349))))"),"")</f>
        <v/>
      </c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>
      <c r="A350" s="22"/>
      <c r="B350" s="20"/>
      <c r="C350" s="20" t="str">
        <f>IFERROR(__xludf.DUMMYFUNCTION("IF(ISBLANK(B350),,IFERROR(array_constrain(FILTER('Leetcode分类顺序表'!B:J,'Leetcode分类顺序表'!A:A = B350), 1, 10000000),IFERROR(FILTER(Algoexpert.io!B:D,Algoexpert.io!A:A = B350),FILTER('Leetcode List'!B:J,'Leetcode List'!A:A = B350))))"),"")</f>
        <v/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>
      <c r="A351" s="22"/>
      <c r="B351" s="20"/>
      <c r="C351" s="20" t="str">
        <f>IFERROR(__xludf.DUMMYFUNCTION("IF(ISBLANK(B351),,IFERROR(array_constrain(FILTER('Leetcode分类顺序表'!B:J,'Leetcode分类顺序表'!A:A = B351), 1, 10000000),IFERROR(FILTER(Algoexpert.io!B:D,Algoexpert.io!A:A = B351),FILTER('Leetcode List'!B:J,'Leetcode List'!A:A = B351))))"),"")</f>
        <v/>
      </c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>
      <c r="A352" s="22"/>
      <c r="B352" s="20"/>
      <c r="C352" s="20" t="str">
        <f>IFERROR(__xludf.DUMMYFUNCTION("IF(ISBLANK(B352),,IFERROR(array_constrain(FILTER('Leetcode分类顺序表'!B:J,'Leetcode分类顺序表'!A:A = B352), 1, 10000000),IFERROR(FILTER(Algoexpert.io!B:D,Algoexpert.io!A:A = B352),FILTER('Leetcode List'!B:J,'Leetcode List'!A:A = B352))))"),"")</f>
        <v/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>
      <c r="A353" s="22"/>
      <c r="B353" s="20"/>
      <c r="C353" s="20" t="str">
        <f>IFERROR(__xludf.DUMMYFUNCTION("IF(ISBLANK(B353),,IFERROR(array_constrain(FILTER('Leetcode分类顺序表'!B:J,'Leetcode分类顺序表'!A:A = B353), 1, 10000000),IFERROR(FILTER(Algoexpert.io!B:D,Algoexpert.io!A:A = B353),FILTER('Leetcode List'!B:J,'Leetcode List'!A:A = B353))))"),"")</f>
        <v/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>
      <c r="A354" s="22"/>
      <c r="B354" s="20"/>
      <c r="C354" s="20" t="str">
        <f>IFERROR(__xludf.DUMMYFUNCTION("IF(ISBLANK(B354),,IFERROR(array_constrain(FILTER('Leetcode分类顺序表'!B:J,'Leetcode分类顺序表'!A:A = B354), 1, 10000000),IFERROR(FILTER(Algoexpert.io!B:D,Algoexpert.io!A:A = B354),FILTER('Leetcode List'!B:J,'Leetcode List'!A:A = B354))))"),"")</f>
        <v/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>
      <c r="A355" s="22"/>
      <c r="B355" s="20"/>
      <c r="C355" s="20" t="str">
        <f>IFERROR(__xludf.DUMMYFUNCTION("IF(ISBLANK(B355),,IFERROR(array_constrain(FILTER('Leetcode分类顺序表'!B:J,'Leetcode分类顺序表'!A:A = B355), 1, 10000000),IFERROR(FILTER(Algoexpert.io!B:D,Algoexpert.io!A:A = B355),FILTER('Leetcode List'!B:J,'Leetcode List'!A:A = B355))))"),"")</f>
        <v/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>
      <c r="A356" s="22"/>
      <c r="B356" s="20"/>
      <c r="C356" s="20" t="str">
        <f>IFERROR(__xludf.DUMMYFUNCTION("IF(ISBLANK(B356),,IFERROR(array_constrain(FILTER('Leetcode分类顺序表'!B:J,'Leetcode分类顺序表'!A:A = B356), 1, 10000000),IFERROR(FILTER(Algoexpert.io!B:D,Algoexpert.io!A:A = B356),FILTER('Leetcode List'!B:J,'Leetcode List'!A:A = B356))))"),"")</f>
        <v/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>
      <c r="A357" s="22"/>
      <c r="B357" s="20"/>
      <c r="C357" s="20" t="str">
        <f>IFERROR(__xludf.DUMMYFUNCTION("IF(ISBLANK(B357),,IFERROR(array_constrain(FILTER('Leetcode分类顺序表'!B:J,'Leetcode分类顺序表'!A:A = B357), 1, 10000000),IFERROR(FILTER(Algoexpert.io!B:D,Algoexpert.io!A:A = B357),FILTER('Leetcode List'!B:J,'Leetcode List'!A:A = B357))))"),"")</f>
        <v/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>
      <c r="A358" s="22"/>
      <c r="B358" s="20"/>
      <c r="C358" s="20" t="str">
        <f>IFERROR(__xludf.DUMMYFUNCTION("IF(ISBLANK(B358),,IFERROR(array_constrain(FILTER('Leetcode分类顺序表'!B:J,'Leetcode分类顺序表'!A:A = B358), 1, 10000000),IFERROR(FILTER(Algoexpert.io!B:D,Algoexpert.io!A:A = B358),FILTER('Leetcode List'!B:J,'Leetcode List'!A:A = B358))))"),"")</f>
        <v/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>
      <c r="A359" s="22"/>
      <c r="B359" s="20"/>
      <c r="C359" s="20" t="str">
        <f>IFERROR(__xludf.DUMMYFUNCTION("IF(ISBLANK(B359),,IFERROR(array_constrain(FILTER('Leetcode分类顺序表'!B:J,'Leetcode分类顺序表'!A:A = B359), 1, 10000000),IFERROR(FILTER(Algoexpert.io!B:D,Algoexpert.io!A:A = B359),FILTER('Leetcode List'!B:J,'Leetcode List'!A:A = B359))))"),"")</f>
        <v/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>
      <c r="A360" s="22"/>
      <c r="B360" s="20"/>
      <c r="C360" s="20" t="str">
        <f>IFERROR(__xludf.DUMMYFUNCTION("IF(ISBLANK(B360),,IFERROR(array_constrain(FILTER('Leetcode分类顺序表'!B:J,'Leetcode分类顺序表'!A:A = B360), 1, 10000000),IFERROR(FILTER(Algoexpert.io!B:D,Algoexpert.io!A:A = B360),FILTER('Leetcode List'!B:J,'Leetcode List'!A:A = B360))))"),"")</f>
        <v/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>
      <c r="A361" s="22"/>
      <c r="B361" s="20"/>
      <c r="C361" s="20" t="str">
        <f>IFERROR(__xludf.DUMMYFUNCTION("IF(ISBLANK(B361),,IFERROR(array_constrain(FILTER('Leetcode分类顺序表'!B:J,'Leetcode分类顺序表'!A:A = B361), 1, 10000000),IFERROR(FILTER(Algoexpert.io!B:D,Algoexpert.io!A:A = B361),FILTER('Leetcode List'!B:J,'Leetcode List'!A:A = B361))))"),"")</f>
        <v/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>
      <c r="A362" s="22"/>
      <c r="B362" s="20"/>
      <c r="C362" s="20" t="str">
        <f>IFERROR(__xludf.DUMMYFUNCTION("IF(ISBLANK(B362),,IFERROR(array_constrain(FILTER('Leetcode分类顺序表'!B:J,'Leetcode分类顺序表'!A:A = B362), 1, 10000000),IFERROR(FILTER(Algoexpert.io!B:D,Algoexpert.io!A:A = B362),FILTER('Leetcode List'!B:J,'Leetcode List'!A:A = B362))))"),"")</f>
        <v/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>
      <c r="A363" s="22"/>
      <c r="B363" s="20"/>
      <c r="C363" s="20" t="str">
        <f>IFERROR(__xludf.DUMMYFUNCTION("IF(ISBLANK(B363),,IFERROR(array_constrain(FILTER('Leetcode分类顺序表'!B:J,'Leetcode分类顺序表'!A:A = B363), 1, 10000000),IFERROR(FILTER(Algoexpert.io!B:D,Algoexpert.io!A:A = B363),FILTER('Leetcode List'!B:J,'Leetcode List'!A:A = B363))))"),"")</f>
        <v/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>
      <c r="A364" s="22"/>
      <c r="B364" s="20"/>
      <c r="C364" s="20" t="str">
        <f>IFERROR(__xludf.DUMMYFUNCTION("IF(ISBLANK(B364),,IFERROR(array_constrain(FILTER('Leetcode分类顺序表'!B:J,'Leetcode分类顺序表'!A:A = B364), 1, 10000000),IFERROR(FILTER(Algoexpert.io!B:D,Algoexpert.io!A:A = B364),FILTER('Leetcode List'!B:J,'Leetcode List'!A:A = B364))))"),"")</f>
        <v/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>
      <c r="A365" s="22"/>
      <c r="B365" s="20"/>
      <c r="C365" s="20" t="str">
        <f>IFERROR(__xludf.DUMMYFUNCTION("IF(ISBLANK(B365),,IFERROR(array_constrain(FILTER('Leetcode分类顺序表'!B:J,'Leetcode分类顺序表'!A:A = B365), 1, 10000000),IFERROR(FILTER(Algoexpert.io!B:D,Algoexpert.io!A:A = B365),FILTER('Leetcode List'!B:J,'Leetcode List'!A:A = B365))))"),"")</f>
        <v/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>
      <c r="A366" s="22"/>
      <c r="B366" s="20"/>
      <c r="C366" s="20" t="str">
        <f>IFERROR(__xludf.DUMMYFUNCTION("IF(ISBLANK(B366),,IFERROR(array_constrain(FILTER('Leetcode分类顺序表'!B:J,'Leetcode分类顺序表'!A:A = B366), 1, 10000000),IFERROR(FILTER(Algoexpert.io!B:D,Algoexpert.io!A:A = B366),FILTER('Leetcode List'!B:J,'Leetcode List'!A:A = B366))))"),"")</f>
        <v/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>
      <c r="A367" s="22"/>
      <c r="B367" s="20"/>
      <c r="C367" s="20" t="str">
        <f>IFERROR(__xludf.DUMMYFUNCTION("IF(ISBLANK(B367),,IFERROR(array_constrain(FILTER('Leetcode分类顺序表'!B:J,'Leetcode分类顺序表'!A:A = B367), 1, 10000000),IFERROR(FILTER(Algoexpert.io!B:D,Algoexpert.io!A:A = B367),FILTER('Leetcode List'!B:J,'Leetcode List'!A:A = B367))))"),"")</f>
        <v/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>
      <c r="A368" s="22"/>
      <c r="B368" s="20"/>
      <c r="C368" s="20" t="str">
        <f>IFERROR(__xludf.DUMMYFUNCTION("IF(ISBLANK(B368),,IFERROR(array_constrain(FILTER('Leetcode分类顺序表'!B:J,'Leetcode分类顺序表'!A:A = B368), 1, 10000000),IFERROR(FILTER(Algoexpert.io!B:D,Algoexpert.io!A:A = B368),FILTER('Leetcode List'!B:J,'Leetcode List'!A:A = B368))))"),"")</f>
        <v/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>
      <c r="A369" s="22"/>
      <c r="B369" s="20"/>
      <c r="C369" s="20" t="str">
        <f>IFERROR(__xludf.DUMMYFUNCTION("IF(ISBLANK(B369),,IFERROR(array_constrain(FILTER('Leetcode分类顺序表'!B:J,'Leetcode分类顺序表'!A:A = B369), 1, 10000000),IFERROR(FILTER(Algoexpert.io!B:D,Algoexpert.io!A:A = B369),FILTER('Leetcode List'!B:J,'Leetcode List'!A:A = B369))))"),"")</f>
        <v/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>
      <c r="A370" s="22"/>
      <c r="B370" s="20"/>
      <c r="C370" s="20" t="str">
        <f>IFERROR(__xludf.DUMMYFUNCTION("IF(ISBLANK(B370),,IFERROR(array_constrain(FILTER('Leetcode分类顺序表'!B:J,'Leetcode分类顺序表'!A:A = B370), 1, 10000000),IFERROR(FILTER(Algoexpert.io!B:D,Algoexpert.io!A:A = B370),FILTER('Leetcode List'!B:J,'Leetcode List'!A:A = B370))))"),"")</f>
        <v/>
      </c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>
      <c r="A371" s="22"/>
      <c r="B371" s="20"/>
      <c r="C371" s="20" t="str">
        <f>IFERROR(__xludf.DUMMYFUNCTION("IF(ISBLANK(B371),,IFERROR(array_constrain(FILTER('Leetcode分类顺序表'!B:J,'Leetcode分类顺序表'!A:A = B371), 1, 10000000),IFERROR(FILTER(Algoexpert.io!B:D,Algoexpert.io!A:A = B371),FILTER('Leetcode List'!B:J,'Leetcode List'!A:A = B371))))"),"")</f>
        <v/>
      </c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>
      <c r="A372" s="22"/>
      <c r="B372" s="20"/>
      <c r="C372" s="20" t="str">
        <f>IFERROR(__xludf.DUMMYFUNCTION("IF(ISBLANK(B372),,IFERROR(array_constrain(FILTER('Leetcode分类顺序表'!B:J,'Leetcode分类顺序表'!A:A = B372), 1, 10000000),IFERROR(FILTER(Algoexpert.io!B:D,Algoexpert.io!A:A = B372),FILTER('Leetcode List'!B:J,'Leetcode List'!A:A = B372))))"),"")</f>
        <v/>
      </c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>
      <c r="A373" s="22"/>
      <c r="B373" s="20"/>
      <c r="C373" s="20" t="str">
        <f>IFERROR(__xludf.DUMMYFUNCTION("IF(ISBLANK(B373),,IFERROR(array_constrain(FILTER('Leetcode分类顺序表'!B:J,'Leetcode分类顺序表'!A:A = B373), 1, 10000000),IFERROR(FILTER(Algoexpert.io!B:D,Algoexpert.io!A:A = B373),FILTER('Leetcode List'!B:J,'Leetcode List'!A:A = B373))))"),"")</f>
        <v/>
      </c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>
      <c r="A374" s="22"/>
      <c r="B374" s="20"/>
      <c r="C374" s="20" t="str">
        <f>IFERROR(__xludf.DUMMYFUNCTION("IF(ISBLANK(B374),,IFERROR(array_constrain(FILTER('Leetcode分类顺序表'!B:J,'Leetcode分类顺序表'!A:A = B374), 1, 10000000),IFERROR(FILTER(Algoexpert.io!B:D,Algoexpert.io!A:A = B374),FILTER('Leetcode List'!B:J,'Leetcode List'!A:A = B374))))"),"")</f>
        <v/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>
      <c r="A375" s="22"/>
      <c r="B375" s="20"/>
      <c r="C375" s="20" t="str">
        <f>IFERROR(__xludf.DUMMYFUNCTION("IF(ISBLANK(B375),,IFERROR(array_constrain(FILTER('Leetcode分类顺序表'!B:J,'Leetcode分类顺序表'!A:A = B375), 1, 10000000),IFERROR(FILTER(Algoexpert.io!B:D,Algoexpert.io!A:A = B375),FILTER('Leetcode List'!B:J,'Leetcode List'!A:A = B375))))"),"")</f>
        <v/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>
      <c r="A376" s="22"/>
      <c r="B376" s="20"/>
      <c r="C376" s="20" t="str">
        <f>IFERROR(__xludf.DUMMYFUNCTION("IF(ISBLANK(B376),,IFERROR(array_constrain(FILTER('Leetcode分类顺序表'!B:J,'Leetcode分类顺序表'!A:A = B376), 1, 10000000),IFERROR(FILTER(Algoexpert.io!B:D,Algoexpert.io!A:A = B376),FILTER('Leetcode List'!B:J,'Leetcode List'!A:A = B376))))"),"")</f>
        <v/>
      </c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>
      <c r="A377" s="22"/>
      <c r="B377" s="20"/>
      <c r="C377" s="20" t="str">
        <f>IFERROR(__xludf.DUMMYFUNCTION("IF(ISBLANK(B377),,IFERROR(array_constrain(FILTER('Leetcode分类顺序表'!B:J,'Leetcode分类顺序表'!A:A = B377), 1, 10000000),IFERROR(FILTER(Algoexpert.io!B:D,Algoexpert.io!A:A = B377),FILTER('Leetcode List'!B:J,'Leetcode List'!A:A = B377))))"),"")</f>
        <v/>
      </c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>
      <c r="A378" s="22"/>
      <c r="B378" s="20"/>
      <c r="C378" s="20" t="str">
        <f>IFERROR(__xludf.DUMMYFUNCTION("IF(ISBLANK(B378),,IFERROR(array_constrain(FILTER('Leetcode分类顺序表'!B:J,'Leetcode分类顺序表'!A:A = B378), 1, 10000000),IFERROR(FILTER(Algoexpert.io!B:D,Algoexpert.io!A:A = B378),FILTER('Leetcode List'!B:J,'Leetcode List'!A:A = B378))))"),"")</f>
        <v/>
      </c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>
      <c r="A379" s="22"/>
      <c r="B379" s="20"/>
      <c r="C379" s="20" t="str">
        <f>IFERROR(__xludf.DUMMYFUNCTION("IF(ISBLANK(B379),,IFERROR(array_constrain(FILTER('Leetcode分类顺序表'!B:J,'Leetcode分类顺序表'!A:A = B379), 1, 10000000),IFERROR(FILTER(Algoexpert.io!B:D,Algoexpert.io!A:A = B379),FILTER('Leetcode List'!B:J,'Leetcode List'!A:A = B379))))"),"")</f>
        <v/>
      </c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>
      <c r="A380" s="22"/>
      <c r="B380" s="20"/>
      <c r="C380" s="20" t="str">
        <f>IFERROR(__xludf.DUMMYFUNCTION("IF(ISBLANK(B380),,IFERROR(array_constrain(FILTER('Leetcode分类顺序表'!B:J,'Leetcode分类顺序表'!A:A = B380), 1, 10000000),IFERROR(FILTER(Algoexpert.io!B:D,Algoexpert.io!A:A = B380),FILTER('Leetcode List'!B:J,'Leetcode List'!A:A = B380))))"),"")</f>
        <v/>
      </c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>
      <c r="A381" s="22"/>
      <c r="B381" s="20"/>
      <c r="C381" s="20" t="str">
        <f>IFERROR(__xludf.DUMMYFUNCTION("IF(ISBLANK(B381),,IFERROR(array_constrain(FILTER('Leetcode分类顺序表'!B:J,'Leetcode分类顺序表'!A:A = B381), 1, 10000000),IFERROR(FILTER(Algoexpert.io!B:D,Algoexpert.io!A:A = B381),FILTER('Leetcode List'!B:J,'Leetcode List'!A:A = B381))))"),"")</f>
        <v/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>
      <c r="A382" s="22"/>
      <c r="B382" s="20"/>
      <c r="C382" s="20" t="str">
        <f>IFERROR(__xludf.DUMMYFUNCTION("IF(ISBLANK(B382),,IFERROR(array_constrain(FILTER('Leetcode分类顺序表'!B:J,'Leetcode分类顺序表'!A:A = B382), 1, 10000000),IFERROR(FILTER(Algoexpert.io!B:D,Algoexpert.io!A:A = B382),FILTER('Leetcode List'!B:J,'Leetcode List'!A:A = B382))))"),"")</f>
        <v/>
      </c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>
      <c r="A383" s="22"/>
      <c r="B383" s="20"/>
      <c r="C383" s="20" t="str">
        <f>IFERROR(__xludf.DUMMYFUNCTION("IF(ISBLANK(B383),,IFERROR(array_constrain(FILTER('Leetcode分类顺序表'!B:J,'Leetcode分类顺序表'!A:A = B383), 1, 10000000),IFERROR(FILTER(Algoexpert.io!B:D,Algoexpert.io!A:A = B383),FILTER('Leetcode List'!B:J,'Leetcode List'!A:A = B383))))"),"")</f>
        <v/>
      </c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>
      <c r="A384" s="22"/>
      <c r="B384" s="20"/>
      <c r="C384" s="20" t="str">
        <f>IFERROR(__xludf.DUMMYFUNCTION("IF(ISBLANK(B384),,IFERROR(array_constrain(FILTER('Leetcode分类顺序表'!B:J,'Leetcode分类顺序表'!A:A = B384), 1, 10000000),IFERROR(FILTER(Algoexpert.io!B:D,Algoexpert.io!A:A = B384),FILTER('Leetcode List'!B:J,'Leetcode List'!A:A = B384))))"),"")</f>
        <v/>
      </c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>
      <c r="A385" s="22"/>
      <c r="B385" s="20"/>
      <c r="C385" s="20" t="str">
        <f>IFERROR(__xludf.DUMMYFUNCTION("IF(ISBLANK(B385),,IFERROR(array_constrain(FILTER('Leetcode分类顺序表'!B:J,'Leetcode分类顺序表'!A:A = B385), 1, 10000000),IFERROR(FILTER(Algoexpert.io!B:D,Algoexpert.io!A:A = B385),FILTER('Leetcode List'!B:J,'Leetcode List'!A:A = B385))))"),"")</f>
        <v/>
      </c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>
      <c r="A386" s="22"/>
      <c r="B386" s="20"/>
      <c r="C386" s="20" t="str">
        <f>IFERROR(__xludf.DUMMYFUNCTION("IF(ISBLANK(B386),,IFERROR(array_constrain(FILTER('Leetcode分类顺序表'!B:J,'Leetcode分类顺序表'!A:A = B386), 1, 10000000),IFERROR(FILTER(Algoexpert.io!B:D,Algoexpert.io!A:A = B386),FILTER('Leetcode List'!B:J,'Leetcode List'!A:A = B386))))"),"")</f>
        <v/>
      </c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>
      <c r="A387" s="22"/>
      <c r="B387" s="20"/>
      <c r="C387" s="20" t="str">
        <f>IFERROR(__xludf.DUMMYFUNCTION("IF(ISBLANK(B387),,IFERROR(array_constrain(FILTER('Leetcode分类顺序表'!B:J,'Leetcode分类顺序表'!A:A = B387), 1, 10000000),IFERROR(FILTER(Algoexpert.io!B:D,Algoexpert.io!A:A = B387),FILTER('Leetcode List'!B:J,'Leetcode List'!A:A = B387))))"),"")</f>
        <v/>
      </c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>
      <c r="A388" s="22"/>
      <c r="B388" s="20"/>
      <c r="C388" s="20" t="str">
        <f>IFERROR(__xludf.DUMMYFUNCTION("IF(ISBLANK(B388),,IFERROR(array_constrain(FILTER('Leetcode分类顺序表'!B:J,'Leetcode分类顺序表'!A:A = B388), 1, 10000000),IFERROR(FILTER(Algoexpert.io!B:D,Algoexpert.io!A:A = B388),FILTER('Leetcode List'!B:J,'Leetcode List'!A:A = B388))))"),"")</f>
        <v/>
      </c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>
      <c r="A389" s="22"/>
      <c r="B389" s="20"/>
      <c r="C389" s="20" t="str">
        <f>IFERROR(__xludf.DUMMYFUNCTION("IF(ISBLANK(B389),,IFERROR(array_constrain(FILTER('Leetcode分类顺序表'!B:J,'Leetcode分类顺序表'!A:A = B389), 1, 10000000),IFERROR(FILTER(Algoexpert.io!B:D,Algoexpert.io!A:A = B389),FILTER('Leetcode List'!B:J,'Leetcode List'!A:A = B389))))"),"")</f>
        <v/>
      </c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>
      <c r="A390" s="22"/>
      <c r="B390" s="20"/>
      <c r="C390" s="20" t="str">
        <f>IFERROR(__xludf.DUMMYFUNCTION("IF(ISBLANK(B390),,IFERROR(array_constrain(FILTER('Leetcode分类顺序表'!B:J,'Leetcode分类顺序表'!A:A = B390), 1, 10000000),IFERROR(FILTER(Algoexpert.io!B:D,Algoexpert.io!A:A = B390),FILTER('Leetcode List'!B:J,'Leetcode List'!A:A = B390))))"),"")</f>
        <v/>
      </c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>
      <c r="A391" s="22"/>
      <c r="B391" s="20"/>
      <c r="C391" s="20" t="str">
        <f>IFERROR(__xludf.DUMMYFUNCTION("IF(ISBLANK(B391),,IFERROR(array_constrain(FILTER('Leetcode分类顺序表'!B:J,'Leetcode分类顺序表'!A:A = B391), 1, 10000000),IFERROR(FILTER(Algoexpert.io!B:D,Algoexpert.io!A:A = B391),FILTER('Leetcode List'!B:J,'Leetcode List'!A:A = B391))))"),"")</f>
        <v/>
      </c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>
      <c r="A392" s="22"/>
      <c r="B392" s="20"/>
      <c r="C392" s="20" t="str">
        <f>IFERROR(__xludf.DUMMYFUNCTION("IF(ISBLANK(B392),,IFERROR(array_constrain(FILTER('Leetcode分类顺序表'!B:J,'Leetcode分类顺序表'!A:A = B392), 1, 10000000),IFERROR(FILTER(Algoexpert.io!B:D,Algoexpert.io!A:A = B392),FILTER('Leetcode List'!B:J,'Leetcode List'!A:A = B392))))"),"")</f>
        <v/>
      </c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>
      <c r="A393" s="22"/>
      <c r="B393" s="20"/>
      <c r="C393" s="20" t="str">
        <f>IFERROR(__xludf.DUMMYFUNCTION("IF(ISBLANK(B393),,IFERROR(array_constrain(FILTER('Leetcode分类顺序表'!B:J,'Leetcode分类顺序表'!A:A = B393), 1, 10000000),IFERROR(FILTER(Algoexpert.io!B:D,Algoexpert.io!A:A = B393),FILTER('Leetcode List'!B:J,'Leetcode List'!A:A = B393))))"),"")</f>
        <v/>
      </c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>
      <c r="A394" s="22"/>
      <c r="B394" s="20"/>
      <c r="C394" s="20" t="str">
        <f>IFERROR(__xludf.DUMMYFUNCTION("IF(ISBLANK(B394),,IFERROR(array_constrain(FILTER('Leetcode分类顺序表'!B:J,'Leetcode分类顺序表'!A:A = B394), 1, 10000000),IFERROR(FILTER(Algoexpert.io!B:D,Algoexpert.io!A:A = B394),FILTER('Leetcode List'!B:J,'Leetcode List'!A:A = B394))))"),"")</f>
        <v/>
      </c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>
      <c r="A395" s="22"/>
      <c r="B395" s="20"/>
      <c r="C395" s="20" t="str">
        <f>IFERROR(__xludf.DUMMYFUNCTION("IF(ISBLANK(B395),,IFERROR(array_constrain(FILTER('Leetcode分类顺序表'!B:J,'Leetcode分类顺序表'!A:A = B395), 1, 10000000),IFERROR(FILTER(Algoexpert.io!B:D,Algoexpert.io!A:A = B395),FILTER('Leetcode List'!B:J,'Leetcode List'!A:A = B395))))"),"")</f>
        <v/>
      </c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>
      <c r="A396" s="22"/>
      <c r="B396" s="20"/>
      <c r="C396" s="20" t="str">
        <f>IFERROR(__xludf.DUMMYFUNCTION("IF(ISBLANK(B396),,IFERROR(array_constrain(FILTER('Leetcode分类顺序表'!B:J,'Leetcode分类顺序表'!A:A = B396), 1, 10000000),IFERROR(FILTER(Algoexpert.io!B:D,Algoexpert.io!A:A = B396),FILTER('Leetcode List'!B:J,'Leetcode List'!A:A = B396))))"),"")</f>
        <v/>
      </c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>
      <c r="A397" s="22"/>
      <c r="B397" s="20"/>
      <c r="C397" s="20" t="str">
        <f>IFERROR(__xludf.DUMMYFUNCTION("IF(ISBLANK(B397),,IFERROR(array_constrain(FILTER('Leetcode分类顺序表'!B:J,'Leetcode分类顺序表'!A:A = B397), 1, 10000000),IFERROR(FILTER(Algoexpert.io!B:D,Algoexpert.io!A:A = B397),FILTER('Leetcode List'!B:J,'Leetcode List'!A:A = B397))))"),"")</f>
        <v/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>
      <c r="A398" s="22"/>
      <c r="B398" s="20"/>
      <c r="C398" s="20" t="str">
        <f>IFERROR(__xludf.DUMMYFUNCTION("IF(ISBLANK(B398),,IFERROR(array_constrain(FILTER('Leetcode分类顺序表'!B:J,'Leetcode分类顺序表'!A:A = B398), 1, 10000000),IFERROR(FILTER(Algoexpert.io!B:D,Algoexpert.io!A:A = B398),FILTER('Leetcode List'!B:J,'Leetcode List'!A:A = B398))))"),"")</f>
        <v/>
      </c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>
      <c r="A399" s="22"/>
      <c r="B399" s="20"/>
      <c r="C399" s="20" t="str">
        <f>IFERROR(__xludf.DUMMYFUNCTION("IF(ISBLANK(B399),,IFERROR(array_constrain(FILTER('Leetcode分类顺序表'!B:J,'Leetcode分类顺序表'!A:A = B399), 1, 10000000),IFERROR(FILTER(Algoexpert.io!B:D,Algoexpert.io!A:A = B399),FILTER('Leetcode List'!B:J,'Leetcode List'!A:A = B399))))"),"")</f>
        <v/>
      </c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>
      <c r="A400" s="22"/>
      <c r="B400" s="20"/>
      <c r="C400" s="20" t="str">
        <f>IFERROR(__xludf.DUMMYFUNCTION("IF(ISBLANK(B400),,IFERROR(array_constrain(FILTER('Leetcode分类顺序表'!B:J,'Leetcode分类顺序表'!A:A = B400), 1, 10000000),IFERROR(FILTER(Algoexpert.io!B:D,Algoexpert.io!A:A = B400),FILTER('Leetcode List'!B:J,'Leetcode List'!A:A = B400))))"),"")</f>
        <v/>
      </c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>
      <c r="A401" s="22"/>
      <c r="B401" s="20"/>
      <c r="C401" s="20" t="str">
        <f>IFERROR(__xludf.DUMMYFUNCTION("IF(ISBLANK(B401),,IFERROR(array_constrain(FILTER('Leetcode分类顺序表'!B:J,'Leetcode分类顺序表'!A:A = B401), 1, 10000000),IFERROR(FILTER(Algoexpert.io!B:D,Algoexpert.io!A:A = B401),FILTER('Leetcode List'!B:J,'Leetcode List'!A:A = B401))))"),"")</f>
        <v/>
      </c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>
      <c r="A402" s="22"/>
      <c r="B402" s="20"/>
      <c r="C402" s="20" t="str">
        <f>IFERROR(__xludf.DUMMYFUNCTION("IF(ISBLANK(B402),,IFERROR(array_constrain(FILTER('Leetcode分类顺序表'!B:J,'Leetcode分类顺序表'!A:A = B402), 1, 10000000),IFERROR(FILTER(Algoexpert.io!B:D,Algoexpert.io!A:A = B402),FILTER('Leetcode List'!B:J,'Leetcode List'!A:A = B402))))"),"")</f>
        <v/>
      </c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>
      <c r="A403" s="22"/>
      <c r="B403" s="20"/>
      <c r="C403" s="20" t="str">
        <f>IFERROR(__xludf.DUMMYFUNCTION("IF(ISBLANK(B403),,IFERROR(array_constrain(FILTER('Leetcode分类顺序表'!B:J,'Leetcode分类顺序表'!A:A = B403), 1, 10000000),IFERROR(FILTER(Algoexpert.io!B:D,Algoexpert.io!A:A = B403),FILTER('Leetcode List'!B:J,'Leetcode List'!A:A = B403))))"),"")</f>
        <v/>
      </c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>
      <c r="A404" s="22"/>
      <c r="B404" s="20"/>
      <c r="C404" s="20" t="str">
        <f>IFERROR(__xludf.DUMMYFUNCTION("IF(ISBLANK(B404),,IFERROR(array_constrain(FILTER('Leetcode分类顺序表'!B:J,'Leetcode分类顺序表'!A:A = B404), 1, 10000000),IFERROR(FILTER(Algoexpert.io!B:D,Algoexpert.io!A:A = B404),FILTER('Leetcode List'!B:J,'Leetcode List'!A:A = B404))))"),"")</f>
        <v/>
      </c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>
      <c r="A405" s="22"/>
      <c r="B405" s="20"/>
      <c r="C405" s="20" t="str">
        <f>IFERROR(__xludf.DUMMYFUNCTION("IF(ISBLANK(B405),,IFERROR(array_constrain(FILTER('Leetcode分类顺序表'!B:J,'Leetcode分类顺序表'!A:A = B405), 1, 10000000),IFERROR(FILTER(Algoexpert.io!B:D,Algoexpert.io!A:A = B405),FILTER('Leetcode List'!B:J,'Leetcode List'!A:A = B405))))"),"")</f>
        <v/>
      </c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>
      <c r="A406" s="22"/>
      <c r="B406" s="20"/>
      <c r="C406" s="20" t="str">
        <f>IFERROR(__xludf.DUMMYFUNCTION("IF(ISBLANK(B406),,IFERROR(array_constrain(FILTER('Leetcode分类顺序表'!B:J,'Leetcode分类顺序表'!A:A = B406), 1, 10000000),IFERROR(FILTER(Algoexpert.io!B:D,Algoexpert.io!A:A = B406),FILTER('Leetcode List'!B:J,'Leetcode List'!A:A = B406))))"),"")</f>
        <v/>
      </c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>
      <c r="A407" s="22"/>
      <c r="B407" s="20"/>
      <c r="C407" s="20" t="str">
        <f>IFERROR(__xludf.DUMMYFUNCTION("IF(ISBLANK(B407),,IFERROR(array_constrain(FILTER('Leetcode分类顺序表'!B:J,'Leetcode分类顺序表'!A:A = B407), 1, 10000000),IFERROR(FILTER(Algoexpert.io!B:D,Algoexpert.io!A:A = B407),FILTER('Leetcode List'!B:J,'Leetcode List'!A:A = B407))))"),"")</f>
        <v/>
      </c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>
      <c r="A408" s="22"/>
      <c r="B408" s="20"/>
      <c r="C408" s="20" t="str">
        <f>IFERROR(__xludf.DUMMYFUNCTION("IF(ISBLANK(B408),,IFERROR(array_constrain(FILTER('Leetcode分类顺序表'!B:J,'Leetcode分类顺序表'!A:A = B408), 1, 10000000),IFERROR(FILTER(Algoexpert.io!B:D,Algoexpert.io!A:A = B408),FILTER('Leetcode List'!B:J,'Leetcode List'!A:A = B408))))"),"")</f>
        <v/>
      </c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>
      <c r="A409" s="22"/>
      <c r="B409" s="20"/>
      <c r="C409" s="20" t="str">
        <f>IFERROR(__xludf.DUMMYFUNCTION("IF(ISBLANK(B409),,IFERROR(array_constrain(FILTER('Leetcode分类顺序表'!B:J,'Leetcode分类顺序表'!A:A = B409), 1, 10000000),IFERROR(FILTER(Algoexpert.io!B:D,Algoexpert.io!A:A = B409),FILTER('Leetcode List'!B:J,'Leetcode List'!A:A = B409))))"),"")</f>
        <v/>
      </c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>
      <c r="A410" s="22"/>
      <c r="B410" s="20"/>
      <c r="C410" s="20" t="str">
        <f>IFERROR(__xludf.DUMMYFUNCTION("IF(ISBLANK(B410),,IFERROR(array_constrain(FILTER('Leetcode分类顺序表'!B:J,'Leetcode分类顺序表'!A:A = B410), 1, 10000000),IFERROR(FILTER(Algoexpert.io!B:D,Algoexpert.io!A:A = B410),FILTER('Leetcode List'!B:J,'Leetcode List'!A:A = B410))))"),"")</f>
        <v/>
      </c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>
      <c r="A411" s="22"/>
      <c r="B411" s="20"/>
      <c r="C411" s="20" t="str">
        <f>IFERROR(__xludf.DUMMYFUNCTION("IF(ISBLANK(B411),,IFERROR(array_constrain(FILTER('Leetcode分类顺序表'!B:J,'Leetcode分类顺序表'!A:A = B411), 1, 10000000),IFERROR(FILTER(Algoexpert.io!B:D,Algoexpert.io!A:A = B411),FILTER('Leetcode List'!B:J,'Leetcode List'!A:A = B411))))"),"")</f>
        <v/>
      </c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>
      <c r="A412" s="22"/>
      <c r="B412" s="20"/>
      <c r="C412" s="20" t="str">
        <f>IFERROR(__xludf.DUMMYFUNCTION("IF(ISBLANK(B412),,IFERROR(array_constrain(FILTER('Leetcode分类顺序表'!B:J,'Leetcode分类顺序表'!A:A = B412), 1, 10000000),IFERROR(FILTER(Algoexpert.io!B:D,Algoexpert.io!A:A = B412),FILTER('Leetcode List'!B:J,'Leetcode List'!A:A = B412))))"),"")</f>
        <v/>
      </c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>
      <c r="A413" s="22"/>
      <c r="B413" s="20"/>
      <c r="C413" s="20" t="str">
        <f>IFERROR(__xludf.DUMMYFUNCTION("IF(ISBLANK(B413),,IFERROR(array_constrain(FILTER('Leetcode分类顺序表'!B:J,'Leetcode分类顺序表'!A:A = B413), 1, 10000000),IFERROR(FILTER(Algoexpert.io!B:D,Algoexpert.io!A:A = B413),FILTER('Leetcode List'!B:J,'Leetcode List'!A:A = B413))))"),"")</f>
        <v/>
      </c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>
      <c r="A414" s="22"/>
      <c r="B414" s="20"/>
      <c r="C414" s="20" t="str">
        <f>IFERROR(__xludf.DUMMYFUNCTION("IF(ISBLANK(B414),,IFERROR(array_constrain(FILTER('Leetcode分类顺序表'!B:J,'Leetcode分类顺序表'!A:A = B414), 1, 10000000),IFERROR(FILTER(Algoexpert.io!B:D,Algoexpert.io!A:A = B414),FILTER('Leetcode List'!B:J,'Leetcode List'!A:A = B414))))"),"")</f>
        <v/>
      </c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>
      <c r="A415" s="22"/>
      <c r="B415" s="20"/>
      <c r="C415" s="20" t="str">
        <f>IFERROR(__xludf.DUMMYFUNCTION("IF(ISBLANK(B415),,IFERROR(array_constrain(FILTER('Leetcode分类顺序表'!B:J,'Leetcode分类顺序表'!A:A = B415), 1, 10000000),IFERROR(FILTER(Algoexpert.io!B:D,Algoexpert.io!A:A = B415),FILTER('Leetcode List'!B:J,'Leetcode List'!A:A = B415))))"),"")</f>
        <v/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>
      <c r="A416" s="22"/>
      <c r="B416" s="20"/>
      <c r="C416" s="20" t="str">
        <f>IFERROR(__xludf.DUMMYFUNCTION("IF(ISBLANK(B416),,IFERROR(array_constrain(FILTER('Leetcode分类顺序表'!B:J,'Leetcode分类顺序表'!A:A = B416), 1, 10000000),IFERROR(FILTER(Algoexpert.io!B:D,Algoexpert.io!A:A = B416),FILTER('Leetcode List'!B:J,'Leetcode List'!A:A = B416))))"),"")</f>
        <v/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>
      <c r="A417" s="22"/>
      <c r="B417" s="20"/>
      <c r="C417" s="20" t="str">
        <f>IFERROR(__xludf.DUMMYFUNCTION("IF(ISBLANK(B417),,IFERROR(array_constrain(FILTER('Leetcode分类顺序表'!B:J,'Leetcode分类顺序表'!A:A = B417), 1, 10000000),IFERROR(FILTER(Algoexpert.io!B:D,Algoexpert.io!A:A = B417),FILTER('Leetcode List'!B:J,'Leetcode List'!A:A = B417))))"),"")</f>
        <v/>
      </c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>
      <c r="A418" s="22"/>
      <c r="B418" s="20"/>
      <c r="C418" s="20" t="str">
        <f>IFERROR(__xludf.DUMMYFUNCTION("IF(ISBLANK(B418),,IFERROR(array_constrain(FILTER('Leetcode分类顺序表'!B:J,'Leetcode分类顺序表'!A:A = B418), 1, 10000000),IFERROR(FILTER(Algoexpert.io!B:D,Algoexpert.io!A:A = B418),FILTER('Leetcode List'!B:J,'Leetcode List'!A:A = B418))))"),"")</f>
        <v/>
      </c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>
      <c r="A419" s="22"/>
      <c r="B419" s="20"/>
      <c r="C419" s="20" t="str">
        <f>IFERROR(__xludf.DUMMYFUNCTION("IF(ISBLANK(B419),,IFERROR(array_constrain(FILTER('Leetcode分类顺序表'!B:J,'Leetcode分类顺序表'!A:A = B419), 1, 10000000),IFERROR(FILTER(Algoexpert.io!B:D,Algoexpert.io!A:A = B419),FILTER('Leetcode List'!B:J,'Leetcode List'!A:A = B419))))"),"")</f>
        <v/>
      </c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>
      <c r="A420" s="22"/>
      <c r="B420" s="20"/>
      <c r="C420" s="20" t="str">
        <f>IFERROR(__xludf.DUMMYFUNCTION("IF(ISBLANK(B420),,IFERROR(array_constrain(FILTER('Leetcode分类顺序表'!B:J,'Leetcode分类顺序表'!A:A = B420), 1, 10000000),IFERROR(FILTER(Algoexpert.io!B:D,Algoexpert.io!A:A = B420),FILTER('Leetcode List'!B:J,'Leetcode List'!A:A = B420))))"),"")</f>
        <v/>
      </c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>
      <c r="A421" s="22"/>
      <c r="B421" s="20"/>
      <c r="C421" s="20" t="str">
        <f>IFERROR(__xludf.DUMMYFUNCTION("IF(ISBLANK(B421),,IFERROR(array_constrain(FILTER('Leetcode分类顺序表'!B:J,'Leetcode分类顺序表'!A:A = B421), 1, 10000000),IFERROR(FILTER(Algoexpert.io!B:D,Algoexpert.io!A:A = B421),FILTER('Leetcode List'!B:J,'Leetcode List'!A:A = B421))))"),"")</f>
        <v/>
      </c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>
      <c r="A422" s="22"/>
      <c r="B422" s="20"/>
      <c r="C422" s="20" t="str">
        <f>IFERROR(__xludf.DUMMYFUNCTION("IF(ISBLANK(B422),,IFERROR(array_constrain(FILTER('Leetcode分类顺序表'!B:J,'Leetcode分类顺序表'!A:A = B422), 1, 10000000),IFERROR(FILTER(Algoexpert.io!B:D,Algoexpert.io!A:A = B422),FILTER('Leetcode List'!B:J,'Leetcode List'!A:A = B422))))"),"")</f>
        <v/>
      </c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>
      <c r="A423" s="22"/>
      <c r="B423" s="20"/>
      <c r="C423" s="20" t="str">
        <f>IFERROR(__xludf.DUMMYFUNCTION("IF(ISBLANK(B423),,IFERROR(array_constrain(FILTER('Leetcode分类顺序表'!B:J,'Leetcode分类顺序表'!A:A = B423), 1, 10000000),IFERROR(FILTER(Algoexpert.io!B:D,Algoexpert.io!A:A = B423),FILTER('Leetcode List'!B:J,'Leetcode List'!A:A = B423))))"),"")</f>
        <v/>
      </c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>
      <c r="A424" s="22"/>
      <c r="B424" s="20"/>
      <c r="C424" s="20" t="str">
        <f>IFERROR(__xludf.DUMMYFUNCTION("IF(ISBLANK(B424),,IFERROR(array_constrain(FILTER('Leetcode分类顺序表'!B:J,'Leetcode分类顺序表'!A:A = B424), 1, 10000000),IFERROR(FILTER(Algoexpert.io!B:D,Algoexpert.io!A:A = B424),FILTER('Leetcode List'!B:J,'Leetcode List'!A:A = B424))))"),"")</f>
        <v/>
      </c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>
      <c r="A425" s="22"/>
      <c r="B425" s="20"/>
      <c r="C425" s="20" t="str">
        <f>IFERROR(__xludf.DUMMYFUNCTION("IF(ISBLANK(B425),,IFERROR(array_constrain(FILTER('Leetcode分类顺序表'!B:J,'Leetcode分类顺序表'!A:A = B425), 1, 10000000),IFERROR(FILTER(Algoexpert.io!B:D,Algoexpert.io!A:A = B425),FILTER('Leetcode List'!B:J,'Leetcode List'!A:A = B425))))"),"")</f>
        <v/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>
      <c r="A426" s="22"/>
      <c r="B426" s="20"/>
      <c r="C426" s="20" t="str">
        <f>IFERROR(__xludf.DUMMYFUNCTION("IF(ISBLANK(B426),,IFERROR(array_constrain(FILTER('Leetcode分类顺序表'!B:J,'Leetcode分类顺序表'!A:A = B426), 1, 10000000),IFERROR(FILTER(Algoexpert.io!B:D,Algoexpert.io!A:A = B426),FILTER('Leetcode List'!B:J,'Leetcode List'!A:A = B426))))"),"")</f>
        <v/>
      </c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>
      <c r="A427" s="22"/>
      <c r="B427" s="20"/>
      <c r="C427" s="20" t="str">
        <f>IFERROR(__xludf.DUMMYFUNCTION("IF(ISBLANK(B427),,IFERROR(array_constrain(FILTER('Leetcode分类顺序表'!B:J,'Leetcode分类顺序表'!A:A = B427), 1, 10000000),IFERROR(FILTER(Algoexpert.io!B:D,Algoexpert.io!A:A = B427),FILTER('Leetcode List'!B:J,'Leetcode List'!A:A = B427))))"),"")</f>
        <v/>
      </c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>
      <c r="A428" s="22"/>
      <c r="B428" s="20"/>
      <c r="C428" s="20" t="str">
        <f>IFERROR(__xludf.DUMMYFUNCTION("IF(ISBLANK(B428),,IFERROR(array_constrain(FILTER('Leetcode分类顺序表'!B:J,'Leetcode分类顺序表'!A:A = B428), 1, 10000000),IFERROR(FILTER(Algoexpert.io!B:D,Algoexpert.io!A:A = B428),FILTER('Leetcode List'!B:J,'Leetcode List'!A:A = B428))))"),"")</f>
        <v/>
      </c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>
      <c r="A429" s="22"/>
      <c r="B429" s="20"/>
      <c r="C429" s="20" t="str">
        <f>IFERROR(__xludf.DUMMYFUNCTION("IF(ISBLANK(B429),,IFERROR(array_constrain(FILTER('Leetcode分类顺序表'!B:J,'Leetcode分类顺序表'!A:A = B429), 1, 10000000),IFERROR(FILTER(Algoexpert.io!B:D,Algoexpert.io!A:A = B429),FILTER('Leetcode List'!B:J,'Leetcode List'!A:A = B429))))"),"")</f>
        <v/>
      </c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>
      <c r="A430" s="22"/>
      <c r="B430" s="20"/>
      <c r="C430" s="20" t="str">
        <f>IFERROR(__xludf.DUMMYFUNCTION("IF(ISBLANK(B430),,IFERROR(array_constrain(FILTER('Leetcode分类顺序表'!B:J,'Leetcode分类顺序表'!A:A = B430), 1, 10000000),IFERROR(FILTER(Algoexpert.io!B:D,Algoexpert.io!A:A = B430),FILTER('Leetcode List'!B:J,'Leetcode List'!A:A = B430))))"),"")</f>
        <v/>
      </c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>
      <c r="A431" s="22"/>
      <c r="B431" s="20"/>
      <c r="C431" s="20" t="str">
        <f>IFERROR(__xludf.DUMMYFUNCTION("IF(ISBLANK(B431),,IFERROR(array_constrain(FILTER('Leetcode分类顺序表'!B:J,'Leetcode分类顺序表'!A:A = B431), 1, 10000000),IFERROR(FILTER(Algoexpert.io!B:D,Algoexpert.io!A:A = B431),FILTER('Leetcode List'!B:J,'Leetcode List'!A:A = B431))))"),"")</f>
        <v/>
      </c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>
      <c r="A432" s="22"/>
      <c r="B432" s="20"/>
      <c r="C432" s="20" t="str">
        <f>IFERROR(__xludf.DUMMYFUNCTION("IF(ISBLANK(B432),,IFERROR(array_constrain(FILTER('Leetcode分类顺序表'!B:J,'Leetcode分类顺序表'!A:A = B432), 1, 10000000),IFERROR(FILTER(Algoexpert.io!B:D,Algoexpert.io!A:A = B432),FILTER('Leetcode List'!B:J,'Leetcode List'!A:A = B432))))"),"")</f>
        <v/>
      </c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>
      <c r="A433" s="22"/>
      <c r="B433" s="20"/>
      <c r="C433" s="20" t="str">
        <f>IFERROR(__xludf.DUMMYFUNCTION("IF(ISBLANK(B433),,IFERROR(array_constrain(FILTER('Leetcode分类顺序表'!B:J,'Leetcode分类顺序表'!A:A = B433), 1, 10000000),IFERROR(FILTER(Algoexpert.io!B:D,Algoexpert.io!A:A = B433),FILTER('Leetcode List'!B:J,'Leetcode List'!A:A = B433))))"),"")</f>
        <v/>
      </c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>
      <c r="A434" s="22"/>
      <c r="B434" s="20"/>
      <c r="C434" s="20" t="str">
        <f>IFERROR(__xludf.DUMMYFUNCTION("IF(ISBLANK(B434),,IFERROR(array_constrain(FILTER('Leetcode分类顺序表'!B:J,'Leetcode分类顺序表'!A:A = B434), 1, 10000000),IFERROR(FILTER(Algoexpert.io!B:D,Algoexpert.io!A:A = B434),FILTER('Leetcode List'!B:J,'Leetcode List'!A:A = B434))))"),"")</f>
        <v/>
      </c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>
      <c r="A435" s="22"/>
      <c r="B435" s="20"/>
      <c r="C435" s="20" t="str">
        <f>IFERROR(__xludf.DUMMYFUNCTION("IF(ISBLANK(B435),,IFERROR(array_constrain(FILTER('Leetcode分类顺序表'!B:J,'Leetcode分类顺序表'!A:A = B435), 1, 10000000),IFERROR(FILTER(Algoexpert.io!B:D,Algoexpert.io!A:A = B435),FILTER('Leetcode List'!B:J,'Leetcode List'!A:A = B435))))"),"")</f>
        <v/>
      </c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>
      <c r="A436" s="22"/>
      <c r="B436" s="20"/>
      <c r="C436" s="20" t="str">
        <f>IFERROR(__xludf.DUMMYFUNCTION("IF(ISBLANK(B436),,IFERROR(array_constrain(FILTER('Leetcode分类顺序表'!B:J,'Leetcode分类顺序表'!A:A = B436), 1, 10000000),IFERROR(FILTER(Algoexpert.io!B:D,Algoexpert.io!A:A = B436),FILTER('Leetcode List'!B:J,'Leetcode List'!A:A = B436))))"),"")</f>
        <v/>
      </c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>
      <c r="A437" s="22"/>
      <c r="B437" s="20"/>
      <c r="C437" s="20" t="str">
        <f>IFERROR(__xludf.DUMMYFUNCTION("IF(ISBLANK(B437),,IFERROR(array_constrain(FILTER('Leetcode分类顺序表'!B:J,'Leetcode分类顺序表'!A:A = B437), 1, 10000000),IFERROR(FILTER(Algoexpert.io!B:D,Algoexpert.io!A:A = B437),FILTER('Leetcode List'!B:J,'Leetcode List'!A:A = B437))))"),"")</f>
        <v/>
      </c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>
      <c r="A438" s="22"/>
      <c r="B438" s="20"/>
      <c r="C438" s="20" t="str">
        <f>IFERROR(__xludf.DUMMYFUNCTION("IF(ISBLANK(B438),,IFERROR(array_constrain(FILTER('Leetcode分类顺序表'!B:J,'Leetcode分类顺序表'!A:A = B438), 1, 10000000),IFERROR(FILTER(Algoexpert.io!B:D,Algoexpert.io!A:A = B438),FILTER('Leetcode List'!B:J,'Leetcode List'!A:A = B438))))"),"")</f>
        <v/>
      </c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>
      <c r="A439" s="22"/>
      <c r="B439" s="20"/>
      <c r="C439" s="20" t="str">
        <f>IFERROR(__xludf.DUMMYFUNCTION("IF(ISBLANK(B439),,IFERROR(array_constrain(FILTER('Leetcode分类顺序表'!B:J,'Leetcode分类顺序表'!A:A = B439), 1, 10000000),IFERROR(FILTER(Algoexpert.io!B:D,Algoexpert.io!A:A = B439),FILTER('Leetcode List'!B:J,'Leetcode List'!A:A = B439))))"),"")</f>
        <v/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>
      <c r="A440" s="22"/>
      <c r="B440" s="20"/>
      <c r="C440" s="20" t="str">
        <f>IFERROR(__xludf.DUMMYFUNCTION("IF(ISBLANK(B440),,IFERROR(array_constrain(FILTER('Leetcode分类顺序表'!B:J,'Leetcode分类顺序表'!A:A = B440), 1, 10000000),IFERROR(FILTER(Algoexpert.io!B:D,Algoexpert.io!A:A = B440),FILTER('Leetcode List'!B:J,'Leetcode List'!A:A = B440))))"),"")</f>
        <v/>
      </c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>
      <c r="A441" s="22"/>
      <c r="B441" s="20"/>
      <c r="C441" s="20" t="str">
        <f>IFERROR(__xludf.DUMMYFUNCTION("IF(ISBLANK(B441),,IFERROR(array_constrain(FILTER('Leetcode分类顺序表'!B:J,'Leetcode分类顺序表'!A:A = B441), 1, 10000000),IFERROR(FILTER(Algoexpert.io!B:D,Algoexpert.io!A:A = B441),FILTER('Leetcode List'!B:J,'Leetcode List'!A:A = B441))))"),"")</f>
        <v/>
      </c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>
      <c r="A442" s="22"/>
      <c r="B442" s="20"/>
      <c r="C442" s="20" t="str">
        <f>IFERROR(__xludf.DUMMYFUNCTION("IF(ISBLANK(B442),,IFERROR(array_constrain(FILTER('Leetcode分类顺序表'!B:J,'Leetcode分类顺序表'!A:A = B442), 1, 10000000),IFERROR(FILTER(Algoexpert.io!B:D,Algoexpert.io!A:A = B442),FILTER('Leetcode List'!B:J,'Leetcode List'!A:A = B442))))"),"")</f>
        <v/>
      </c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>
      <c r="A443" s="22"/>
      <c r="B443" s="20"/>
      <c r="C443" s="20" t="str">
        <f>IFERROR(__xludf.DUMMYFUNCTION("IF(ISBLANK(B443),,IFERROR(array_constrain(FILTER('Leetcode分类顺序表'!B:J,'Leetcode分类顺序表'!A:A = B443), 1, 10000000),IFERROR(FILTER(Algoexpert.io!B:D,Algoexpert.io!A:A = B443),FILTER('Leetcode List'!B:J,'Leetcode List'!A:A = B443))))"),"")</f>
        <v/>
      </c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>
      <c r="A444" s="22"/>
      <c r="B444" s="20"/>
      <c r="C444" s="20" t="str">
        <f>IFERROR(__xludf.DUMMYFUNCTION("IF(ISBLANK(B444),,IFERROR(array_constrain(FILTER('Leetcode分类顺序表'!B:J,'Leetcode分类顺序表'!A:A = B444), 1, 10000000),IFERROR(FILTER(Algoexpert.io!B:D,Algoexpert.io!A:A = B444),FILTER('Leetcode List'!B:J,'Leetcode List'!A:A = B444))))"),"")</f>
        <v/>
      </c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>
      <c r="A445" s="22"/>
      <c r="B445" s="20"/>
      <c r="C445" s="20" t="str">
        <f>IFERROR(__xludf.DUMMYFUNCTION("IF(ISBLANK(B445),,IFERROR(array_constrain(FILTER('Leetcode分类顺序表'!B:J,'Leetcode分类顺序表'!A:A = B445), 1, 10000000),IFERROR(FILTER(Algoexpert.io!B:D,Algoexpert.io!A:A = B445),FILTER('Leetcode List'!B:J,'Leetcode List'!A:A = B445))))"),"")</f>
        <v/>
      </c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>
      <c r="A446" s="22"/>
      <c r="B446" s="20"/>
      <c r="C446" s="20" t="str">
        <f>IFERROR(__xludf.DUMMYFUNCTION("IF(ISBLANK(B446),,IFERROR(array_constrain(FILTER('Leetcode分类顺序表'!B:J,'Leetcode分类顺序表'!A:A = B446), 1, 10000000),IFERROR(FILTER(Algoexpert.io!B:D,Algoexpert.io!A:A = B446),FILTER('Leetcode List'!B:J,'Leetcode List'!A:A = B446))))"),"")</f>
        <v/>
      </c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>
      <c r="A447" s="22"/>
      <c r="B447" s="20"/>
      <c r="C447" s="20" t="str">
        <f>IFERROR(__xludf.DUMMYFUNCTION("IF(ISBLANK(B447),,IFERROR(array_constrain(FILTER('Leetcode分类顺序表'!B:J,'Leetcode分类顺序表'!A:A = B447), 1, 10000000),IFERROR(FILTER(Algoexpert.io!B:D,Algoexpert.io!A:A = B447),FILTER('Leetcode List'!B:J,'Leetcode List'!A:A = B447))))"),"")</f>
        <v/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>
      <c r="A448" s="22"/>
      <c r="B448" s="20"/>
      <c r="C448" s="20" t="str">
        <f>IFERROR(__xludf.DUMMYFUNCTION("IF(ISBLANK(B448),,IFERROR(array_constrain(FILTER('Leetcode分类顺序表'!B:J,'Leetcode分类顺序表'!A:A = B448), 1, 10000000),IFERROR(FILTER(Algoexpert.io!B:D,Algoexpert.io!A:A = B448),FILTER('Leetcode List'!B:J,'Leetcode List'!A:A = B448))))"),"")</f>
        <v/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>
      <c r="A449" s="22"/>
      <c r="B449" s="20"/>
      <c r="C449" s="20" t="str">
        <f>IFERROR(__xludf.DUMMYFUNCTION("IF(ISBLANK(B449),,IFERROR(array_constrain(FILTER('Leetcode分类顺序表'!B:J,'Leetcode分类顺序表'!A:A = B449), 1, 10000000),IFERROR(FILTER(Algoexpert.io!B:D,Algoexpert.io!A:A = B449),FILTER('Leetcode List'!B:J,'Leetcode List'!A:A = B449))))"),"")</f>
        <v/>
      </c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>
      <c r="A450" s="22"/>
      <c r="B450" s="20"/>
      <c r="C450" s="20" t="str">
        <f>IFERROR(__xludf.DUMMYFUNCTION("IF(ISBLANK(B450),,IFERROR(array_constrain(FILTER('Leetcode分类顺序表'!B:J,'Leetcode分类顺序表'!A:A = B450), 1, 10000000),IFERROR(FILTER(Algoexpert.io!B:D,Algoexpert.io!A:A = B450),FILTER('Leetcode List'!B:J,'Leetcode List'!A:A = B450))))"),"")</f>
        <v/>
      </c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>
      <c r="A451" s="22"/>
      <c r="B451" s="20"/>
      <c r="C451" s="20" t="str">
        <f>IFERROR(__xludf.DUMMYFUNCTION("IF(ISBLANK(B451),,IFERROR(array_constrain(FILTER('Leetcode分类顺序表'!B:J,'Leetcode分类顺序表'!A:A = B451), 1, 10000000),IFERROR(FILTER(Algoexpert.io!B:D,Algoexpert.io!A:A = B451),FILTER('Leetcode List'!B:J,'Leetcode List'!A:A = B451))))"),"")</f>
        <v/>
      </c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>
      <c r="A452" s="22"/>
      <c r="B452" s="20"/>
      <c r="C452" s="20" t="str">
        <f>IFERROR(__xludf.DUMMYFUNCTION("IF(ISBLANK(B452),,IFERROR(array_constrain(FILTER('Leetcode分类顺序表'!B:J,'Leetcode分类顺序表'!A:A = B452), 1, 10000000),IFERROR(FILTER(Algoexpert.io!B:D,Algoexpert.io!A:A = B452),FILTER('Leetcode List'!B:J,'Leetcode List'!A:A = B452))))"),"")</f>
        <v/>
      </c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>
      <c r="A453" s="22"/>
      <c r="B453" s="20"/>
      <c r="C453" s="20" t="str">
        <f>IFERROR(__xludf.DUMMYFUNCTION("IF(ISBLANK(B453),,IFERROR(array_constrain(FILTER('Leetcode分类顺序表'!B:J,'Leetcode分类顺序表'!A:A = B453), 1, 10000000),IFERROR(FILTER(Algoexpert.io!B:D,Algoexpert.io!A:A = B453),FILTER('Leetcode List'!B:J,'Leetcode List'!A:A = B453))))"),"")</f>
        <v/>
      </c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>
      <c r="A454" s="22"/>
      <c r="B454" s="20"/>
      <c r="C454" s="20" t="str">
        <f>IFERROR(__xludf.DUMMYFUNCTION("IF(ISBLANK(B454),,IFERROR(array_constrain(FILTER('Leetcode分类顺序表'!B:J,'Leetcode分类顺序表'!A:A = B454), 1, 10000000),IFERROR(FILTER(Algoexpert.io!B:D,Algoexpert.io!A:A = B454),FILTER('Leetcode List'!B:J,'Leetcode List'!A:A = B454))))"),"")</f>
        <v/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>
      <c r="A455" s="22"/>
      <c r="B455" s="20"/>
      <c r="C455" s="20" t="str">
        <f>IFERROR(__xludf.DUMMYFUNCTION("IF(ISBLANK(B455),,IFERROR(array_constrain(FILTER('Leetcode分类顺序表'!B:J,'Leetcode分类顺序表'!A:A = B455), 1, 10000000),IFERROR(FILTER(Algoexpert.io!B:D,Algoexpert.io!A:A = B455),FILTER('Leetcode List'!B:J,'Leetcode List'!A:A = B455))))"),"")</f>
        <v/>
      </c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>
      <c r="A456" s="22"/>
      <c r="B456" s="20"/>
      <c r="C456" s="20" t="str">
        <f>IFERROR(__xludf.DUMMYFUNCTION("IF(ISBLANK(B456),,IFERROR(array_constrain(FILTER('Leetcode分类顺序表'!B:J,'Leetcode分类顺序表'!A:A = B456), 1, 10000000),IFERROR(FILTER(Algoexpert.io!B:D,Algoexpert.io!A:A = B456),FILTER('Leetcode List'!B:J,'Leetcode List'!A:A = B456))))"),"")</f>
        <v/>
      </c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>
      <c r="A457" s="22"/>
      <c r="B457" s="20"/>
      <c r="C457" s="20" t="str">
        <f>IFERROR(__xludf.DUMMYFUNCTION("IF(ISBLANK(B457),,IFERROR(array_constrain(FILTER('Leetcode分类顺序表'!B:J,'Leetcode分类顺序表'!A:A = B457), 1, 10000000),IFERROR(FILTER(Algoexpert.io!B:D,Algoexpert.io!A:A = B457),FILTER('Leetcode List'!B:J,'Leetcode List'!A:A = B457))))"),"")</f>
        <v/>
      </c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>
      <c r="A458" s="22"/>
      <c r="B458" s="20"/>
      <c r="C458" s="20" t="str">
        <f>IFERROR(__xludf.DUMMYFUNCTION("IF(ISBLANK(B458),,IFERROR(array_constrain(FILTER('Leetcode分类顺序表'!B:J,'Leetcode分类顺序表'!A:A = B458), 1, 10000000),IFERROR(FILTER(Algoexpert.io!B:D,Algoexpert.io!A:A = B458),FILTER('Leetcode List'!B:J,'Leetcode List'!A:A = B458))))"),"")</f>
        <v/>
      </c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>
      <c r="A459" s="22"/>
      <c r="B459" s="20"/>
      <c r="C459" s="20" t="str">
        <f>IFERROR(__xludf.DUMMYFUNCTION("IF(ISBLANK(B459),,IFERROR(array_constrain(FILTER('Leetcode分类顺序表'!B:J,'Leetcode分类顺序表'!A:A = B459), 1, 10000000),IFERROR(FILTER(Algoexpert.io!B:D,Algoexpert.io!A:A = B459),FILTER('Leetcode List'!B:J,'Leetcode List'!A:A = B459))))"),"")</f>
        <v/>
      </c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>
      <c r="A460" s="22"/>
      <c r="B460" s="20"/>
      <c r="C460" s="20" t="str">
        <f>IFERROR(__xludf.DUMMYFUNCTION("IF(ISBLANK(B460),,IFERROR(array_constrain(FILTER('Leetcode分类顺序表'!B:J,'Leetcode分类顺序表'!A:A = B460), 1, 10000000),IFERROR(FILTER(Algoexpert.io!B:D,Algoexpert.io!A:A = B460),FILTER('Leetcode List'!B:J,'Leetcode List'!A:A = B460))))"),"")</f>
        <v/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>
      <c r="A461" s="22"/>
      <c r="B461" s="20"/>
      <c r="C461" s="20" t="str">
        <f>IFERROR(__xludf.DUMMYFUNCTION("IF(ISBLANK(B461),,IFERROR(array_constrain(FILTER('Leetcode分类顺序表'!B:J,'Leetcode分类顺序表'!A:A = B461), 1, 10000000),IFERROR(FILTER(Algoexpert.io!B:D,Algoexpert.io!A:A = B461),FILTER('Leetcode List'!B:J,'Leetcode List'!A:A = B461))))"),"")</f>
        <v/>
      </c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>
      <c r="A462" s="22"/>
      <c r="B462" s="20"/>
      <c r="C462" s="20" t="str">
        <f>IFERROR(__xludf.DUMMYFUNCTION("IF(ISBLANK(B462),,IFERROR(array_constrain(FILTER('Leetcode分类顺序表'!B:J,'Leetcode分类顺序表'!A:A = B462), 1, 10000000),IFERROR(FILTER(Algoexpert.io!B:D,Algoexpert.io!A:A = B462),FILTER('Leetcode List'!B:J,'Leetcode List'!A:A = B462))))"),"")</f>
        <v/>
      </c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>
      <c r="A463" s="22"/>
      <c r="B463" s="20"/>
      <c r="C463" s="20" t="str">
        <f>IFERROR(__xludf.DUMMYFUNCTION("IF(ISBLANK(B463),,IFERROR(array_constrain(FILTER('Leetcode分类顺序表'!B:J,'Leetcode分类顺序表'!A:A = B463), 1, 10000000),IFERROR(FILTER(Algoexpert.io!B:D,Algoexpert.io!A:A = B463),FILTER('Leetcode List'!B:J,'Leetcode List'!A:A = B463))))"),"")</f>
        <v/>
      </c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>
      <c r="A464" s="22"/>
      <c r="B464" s="20"/>
      <c r="C464" s="20" t="str">
        <f>IFERROR(__xludf.DUMMYFUNCTION("IF(ISBLANK(B464),,IFERROR(array_constrain(FILTER('Leetcode分类顺序表'!B:J,'Leetcode分类顺序表'!A:A = B464), 1, 10000000),IFERROR(FILTER(Algoexpert.io!B:D,Algoexpert.io!A:A = B464),FILTER('Leetcode List'!B:J,'Leetcode List'!A:A = B464))))"),"")</f>
        <v/>
      </c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>
      <c r="A465" s="22"/>
      <c r="B465" s="20"/>
      <c r="C465" s="20" t="str">
        <f>IFERROR(__xludf.DUMMYFUNCTION("IF(ISBLANK(B465),,IFERROR(array_constrain(FILTER('Leetcode分类顺序表'!B:J,'Leetcode分类顺序表'!A:A = B465), 1, 10000000),IFERROR(FILTER(Algoexpert.io!B:D,Algoexpert.io!A:A = B465),FILTER('Leetcode List'!B:J,'Leetcode List'!A:A = B465))))"),"")</f>
        <v/>
      </c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>
      <c r="A466" s="22"/>
      <c r="B466" s="20"/>
      <c r="C466" s="20" t="str">
        <f>IFERROR(__xludf.DUMMYFUNCTION("IF(ISBLANK(B466),,IFERROR(array_constrain(FILTER('Leetcode分类顺序表'!B:J,'Leetcode分类顺序表'!A:A = B466), 1, 10000000),IFERROR(FILTER(Algoexpert.io!B:D,Algoexpert.io!A:A = B466),FILTER('Leetcode List'!B:J,'Leetcode List'!A:A = B466))))"),"")</f>
        <v/>
      </c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>
      <c r="A467" s="22"/>
      <c r="B467" s="20"/>
      <c r="C467" s="20" t="str">
        <f>IFERROR(__xludf.DUMMYFUNCTION("IF(ISBLANK(B467),,IFERROR(array_constrain(FILTER('Leetcode分类顺序表'!B:J,'Leetcode分类顺序表'!A:A = B467), 1, 10000000),IFERROR(FILTER(Algoexpert.io!B:D,Algoexpert.io!A:A = B467),FILTER('Leetcode List'!B:J,'Leetcode List'!A:A = B467))))"),"")</f>
        <v/>
      </c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>
      <c r="A468" s="22"/>
      <c r="B468" s="20"/>
      <c r="C468" s="20" t="str">
        <f>IFERROR(__xludf.DUMMYFUNCTION("IF(ISBLANK(B468),,IFERROR(array_constrain(FILTER('Leetcode分类顺序表'!B:J,'Leetcode分类顺序表'!A:A = B468), 1, 10000000),IFERROR(FILTER(Algoexpert.io!B:D,Algoexpert.io!A:A = B468),FILTER('Leetcode List'!B:J,'Leetcode List'!A:A = B468))))"),"")</f>
        <v/>
      </c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>
      <c r="A469" s="22"/>
      <c r="B469" s="20"/>
      <c r="C469" s="20" t="str">
        <f>IFERROR(__xludf.DUMMYFUNCTION("IF(ISBLANK(B469),,IFERROR(array_constrain(FILTER('Leetcode分类顺序表'!B:J,'Leetcode分类顺序表'!A:A = B469), 1, 10000000),IFERROR(FILTER(Algoexpert.io!B:D,Algoexpert.io!A:A = B469),FILTER('Leetcode List'!B:J,'Leetcode List'!A:A = B469))))"),"")</f>
        <v/>
      </c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>
      <c r="A470" s="22"/>
      <c r="B470" s="20"/>
      <c r="C470" s="20" t="str">
        <f>IFERROR(__xludf.DUMMYFUNCTION("IF(ISBLANK(B470),,IFERROR(array_constrain(FILTER('Leetcode分类顺序表'!B:J,'Leetcode分类顺序表'!A:A = B470), 1, 10000000),IFERROR(FILTER(Algoexpert.io!B:D,Algoexpert.io!A:A = B470),FILTER('Leetcode List'!B:J,'Leetcode List'!A:A = B470))))"),"")</f>
        <v/>
      </c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>
      <c r="A471" s="22"/>
      <c r="B471" s="20"/>
      <c r="C471" s="20" t="str">
        <f>IFERROR(__xludf.DUMMYFUNCTION("IF(ISBLANK(B471),,IFERROR(array_constrain(FILTER('Leetcode分类顺序表'!B:J,'Leetcode分类顺序表'!A:A = B471), 1, 10000000),IFERROR(FILTER(Algoexpert.io!B:D,Algoexpert.io!A:A = B471),FILTER('Leetcode List'!B:J,'Leetcode List'!A:A = B471))))"),"")</f>
        <v/>
      </c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>
      <c r="A472" s="22"/>
      <c r="B472" s="20"/>
      <c r="C472" s="20" t="str">
        <f>IFERROR(__xludf.DUMMYFUNCTION("IF(ISBLANK(B472),,IFERROR(array_constrain(FILTER('Leetcode分类顺序表'!B:J,'Leetcode分类顺序表'!A:A = B472), 1, 10000000),IFERROR(FILTER(Algoexpert.io!B:D,Algoexpert.io!A:A = B472),FILTER('Leetcode List'!B:J,'Leetcode List'!A:A = B472))))"),"")</f>
        <v/>
      </c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>
      <c r="A473" s="22"/>
      <c r="B473" s="20"/>
      <c r="C473" s="20" t="str">
        <f>IFERROR(__xludf.DUMMYFUNCTION("IF(ISBLANK(B473),,IFERROR(array_constrain(FILTER('Leetcode分类顺序表'!B:J,'Leetcode分类顺序表'!A:A = B473), 1, 10000000),IFERROR(FILTER(Algoexpert.io!B:D,Algoexpert.io!A:A = B473),FILTER('Leetcode List'!B:J,'Leetcode List'!A:A = B473))))"),"")</f>
        <v/>
      </c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>
      <c r="A474" s="22"/>
      <c r="B474" s="20"/>
      <c r="C474" s="20" t="str">
        <f>IFERROR(__xludf.DUMMYFUNCTION("IF(ISBLANK(B474),,IFERROR(array_constrain(FILTER('Leetcode分类顺序表'!B:J,'Leetcode分类顺序表'!A:A = B474), 1, 10000000),IFERROR(FILTER(Algoexpert.io!B:D,Algoexpert.io!A:A = B474),FILTER('Leetcode List'!B:J,'Leetcode List'!A:A = B474))))"),"")</f>
        <v/>
      </c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>
      <c r="A475" s="22"/>
      <c r="B475" s="20"/>
      <c r="C475" s="20" t="str">
        <f>IFERROR(__xludf.DUMMYFUNCTION("IF(ISBLANK(B475),,IFERROR(array_constrain(FILTER('Leetcode分类顺序表'!B:J,'Leetcode分类顺序表'!A:A = B475), 1, 10000000),IFERROR(FILTER(Algoexpert.io!B:D,Algoexpert.io!A:A = B475),FILTER('Leetcode List'!B:J,'Leetcode List'!A:A = B475))))"),"")</f>
        <v/>
      </c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>
      <c r="A476" s="22"/>
      <c r="B476" s="20"/>
      <c r="C476" s="20" t="str">
        <f>IFERROR(__xludf.DUMMYFUNCTION("IF(ISBLANK(B476),,IFERROR(array_constrain(FILTER('Leetcode分类顺序表'!B:J,'Leetcode分类顺序表'!A:A = B476), 1, 10000000),IFERROR(FILTER(Algoexpert.io!B:D,Algoexpert.io!A:A = B476),FILTER('Leetcode List'!B:J,'Leetcode List'!A:A = B476))))"),"")</f>
        <v/>
      </c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>
      <c r="A477" s="22"/>
      <c r="B477" s="20"/>
      <c r="C477" s="20" t="str">
        <f>IFERROR(__xludf.DUMMYFUNCTION("IF(ISBLANK(B477),,IFERROR(array_constrain(FILTER('Leetcode分类顺序表'!B:J,'Leetcode分类顺序表'!A:A = B477), 1, 10000000),IFERROR(FILTER(Algoexpert.io!B:D,Algoexpert.io!A:A = B477),FILTER('Leetcode List'!B:J,'Leetcode List'!A:A = B477))))"),"")</f>
        <v/>
      </c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>
      <c r="A478" s="22"/>
      <c r="B478" s="20"/>
      <c r="C478" s="20" t="str">
        <f>IFERROR(__xludf.DUMMYFUNCTION("IF(ISBLANK(B478),,IFERROR(array_constrain(FILTER('Leetcode分类顺序表'!B:J,'Leetcode分类顺序表'!A:A = B478), 1, 10000000),IFERROR(FILTER(Algoexpert.io!B:D,Algoexpert.io!A:A = B478),FILTER('Leetcode List'!B:J,'Leetcode List'!A:A = B478))))"),"")</f>
        <v/>
      </c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>
      <c r="A479" s="22"/>
      <c r="B479" s="20"/>
      <c r="C479" s="20" t="str">
        <f>IFERROR(__xludf.DUMMYFUNCTION("IF(ISBLANK(B479),,IFERROR(array_constrain(FILTER('Leetcode分类顺序表'!B:J,'Leetcode分类顺序表'!A:A = B479), 1, 10000000),IFERROR(FILTER(Algoexpert.io!B:D,Algoexpert.io!A:A = B479),FILTER('Leetcode List'!B:J,'Leetcode List'!A:A = B479))))"),"")</f>
        <v/>
      </c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>
      <c r="A480" s="22"/>
      <c r="B480" s="20"/>
      <c r="C480" s="20" t="str">
        <f>IFERROR(__xludf.DUMMYFUNCTION("IF(ISBLANK(B480),,IFERROR(array_constrain(FILTER('Leetcode分类顺序表'!B:J,'Leetcode分类顺序表'!A:A = B480), 1, 10000000),IFERROR(FILTER(Algoexpert.io!B:D,Algoexpert.io!A:A = B480),FILTER('Leetcode List'!B:J,'Leetcode List'!A:A = B480))))"),"")</f>
        <v/>
      </c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>
      <c r="A481" s="22"/>
      <c r="B481" s="20"/>
      <c r="C481" s="20" t="str">
        <f>IFERROR(__xludf.DUMMYFUNCTION("IF(ISBLANK(B481),,IFERROR(array_constrain(FILTER('Leetcode分类顺序表'!B:J,'Leetcode分类顺序表'!A:A = B481), 1, 10000000),IFERROR(FILTER(Algoexpert.io!B:D,Algoexpert.io!A:A = B481),FILTER('Leetcode List'!B:J,'Leetcode List'!A:A = B481))))"),"")</f>
        <v/>
      </c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>
      <c r="A482" s="22"/>
      <c r="B482" s="20"/>
      <c r="C482" s="20" t="str">
        <f>IFERROR(__xludf.DUMMYFUNCTION("IF(ISBLANK(B482),,IFERROR(array_constrain(FILTER('Leetcode分类顺序表'!B:J,'Leetcode分类顺序表'!A:A = B482), 1, 10000000),IFERROR(FILTER(Algoexpert.io!B:D,Algoexpert.io!A:A = B482),FILTER('Leetcode List'!B:J,'Leetcode List'!A:A = B482))))"),"")</f>
        <v/>
      </c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>
      <c r="A483" s="22"/>
      <c r="B483" s="20"/>
      <c r="C483" s="20" t="str">
        <f>IFERROR(__xludf.DUMMYFUNCTION("IF(ISBLANK(B483),,IFERROR(array_constrain(FILTER('Leetcode分类顺序表'!B:J,'Leetcode分类顺序表'!A:A = B483), 1, 10000000),IFERROR(FILTER(Algoexpert.io!B:D,Algoexpert.io!A:A = B483),FILTER('Leetcode List'!B:J,'Leetcode List'!A:A = B483))))"),"")</f>
        <v/>
      </c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>
      <c r="A484" s="22"/>
      <c r="B484" s="20"/>
      <c r="C484" s="20" t="str">
        <f>IFERROR(__xludf.DUMMYFUNCTION("IF(ISBLANK(B484),,IFERROR(array_constrain(FILTER('Leetcode分类顺序表'!B:J,'Leetcode分类顺序表'!A:A = B484), 1, 10000000),IFERROR(FILTER(Algoexpert.io!B:D,Algoexpert.io!A:A = B484),FILTER('Leetcode List'!B:J,'Leetcode List'!A:A = B484))))"),"")</f>
        <v/>
      </c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>
      <c r="A485" s="22"/>
      <c r="B485" s="20"/>
      <c r="C485" s="20" t="str">
        <f>IFERROR(__xludf.DUMMYFUNCTION("IF(ISBLANK(B485),,IFERROR(array_constrain(FILTER('Leetcode分类顺序表'!B:J,'Leetcode分类顺序表'!A:A = B485), 1, 10000000),IFERROR(FILTER(Algoexpert.io!B:D,Algoexpert.io!A:A = B485),FILTER('Leetcode List'!B:J,'Leetcode List'!A:A = B485))))"),"")</f>
        <v/>
      </c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>
      <c r="A486" s="22"/>
      <c r="B486" s="20"/>
      <c r="C486" s="20" t="str">
        <f>IFERROR(__xludf.DUMMYFUNCTION("IF(ISBLANK(B486),,IFERROR(array_constrain(FILTER('Leetcode分类顺序表'!B:J,'Leetcode分类顺序表'!A:A = B486), 1, 10000000),IFERROR(FILTER(Algoexpert.io!B:D,Algoexpert.io!A:A = B486),FILTER('Leetcode List'!B:J,'Leetcode List'!A:A = B486))))"),"")</f>
        <v/>
      </c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>
      <c r="A487" s="22"/>
      <c r="B487" s="20"/>
      <c r="C487" s="20" t="str">
        <f>IFERROR(__xludf.DUMMYFUNCTION("IF(ISBLANK(B487),,IFERROR(array_constrain(FILTER('Leetcode分类顺序表'!B:J,'Leetcode分类顺序表'!A:A = B487), 1, 10000000),IFERROR(FILTER(Algoexpert.io!B:D,Algoexpert.io!A:A = B487),FILTER('Leetcode List'!B:J,'Leetcode List'!A:A = B487))))"),"")</f>
        <v/>
      </c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>
      <c r="A488" s="22"/>
      <c r="B488" s="20"/>
      <c r="C488" s="20" t="str">
        <f>IFERROR(__xludf.DUMMYFUNCTION("IF(ISBLANK(B488),,IFERROR(array_constrain(FILTER('Leetcode分类顺序表'!B:J,'Leetcode分类顺序表'!A:A = B488), 1, 10000000),IFERROR(FILTER(Algoexpert.io!B:D,Algoexpert.io!A:A = B488),FILTER('Leetcode List'!B:J,'Leetcode List'!A:A = B488))))"),"")</f>
        <v/>
      </c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>
      <c r="A489" s="22"/>
      <c r="B489" s="20"/>
      <c r="C489" s="20" t="str">
        <f>IFERROR(__xludf.DUMMYFUNCTION("IF(ISBLANK(B489),,IFERROR(array_constrain(FILTER('Leetcode分类顺序表'!B:J,'Leetcode分类顺序表'!A:A = B489), 1, 10000000),IFERROR(FILTER(Algoexpert.io!B:D,Algoexpert.io!A:A = B489),FILTER('Leetcode List'!B:J,'Leetcode List'!A:A = B489))))"),"")</f>
        <v/>
      </c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>
      <c r="A490" s="22"/>
      <c r="B490" s="20"/>
      <c r="C490" s="20" t="str">
        <f>IFERROR(__xludf.DUMMYFUNCTION("IF(ISBLANK(B490),,IFERROR(array_constrain(FILTER('Leetcode分类顺序表'!B:J,'Leetcode分类顺序表'!A:A = B490), 1, 10000000),IFERROR(FILTER(Algoexpert.io!B:D,Algoexpert.io!A:A = B490),FILTER('Leetcode List'!B:J,'Leetcode List'!A:A = B490))))"),"")</f>
        <v/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>
      <c r="A491" s="22"/>
      <c r="B491" s="20"/>
      <c r="C491" s="20" t="str">
        <f>IFERROR(__xludf.DUMMYFUNCTION("IF(ISBLANK(B491),,IFERROR(array_constrain(FILTER('Leetcode分类顺序表'!B:J,'Leetcode分类顺序表'!A:A = B491), 1, 10000000),IFERROR(FILTER(Algoexpert.io!B:D,Algoexpert.io!A:A = B491),FILTER('Leetcode List'!B:J,'Leetcode List'!A:A = B491))))"),"")</f>
        <v/>
      </c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>
      <c r="A492" s="22"/>
      <c r="B492" s="20"/>
      <c r="C492" s="20" t="str">
        <f>IFERROR(__xludf.DUMMYFUNCTION("IF(ISBLANK(B492),,IFERROR(array_constrain(FILTER('Leetcode分类顺序表'!B:J,'Leetcode分类顺序表'!A:A = B492), 1, 10000000),IFERROR(FILTER(Algoexpert.io!B:D,Algoexpert.io!A:A = B492),FILTER('Leetcode List'!B:J,'Leetcode List'!A:A = B492))))"),"")</f>
        <v/>
      </c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>
      <c r="A493" s="22"/>
      <c r="B493" s="20"/>
      <c r="C493" s="20" t="str">
        <f>IFERROR(__xludf.DUMMYFUNCTION("IF(ISBLANK(B493),,IFERROR(array_constrain(FILTER('Leetcode分类顺序表'!B:J,'Leetcode分类顺序表'!A:A = B493), 1, 10000000),IFERROR(FILTER(Algoexpert.io!B:D,Algoexpert.io!A:A = B493),FILTER('Leetcode List'!B:J,'Leetcode List'!A:A = B493))))"),"")</f>
        <v/>
      </c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>
      <c r="A494" s="22"/>
      <c r="B494" s="20"/>
      <c r="C494" s="20" t="str">
        <f>IFERROR(__xludf.DUMMYFUNCTION("IF(ISBLANK(B494),,IFERROR(array_constrain(FILTER('Leetcode分类顺序表'!B:J,'Leetcode分类顺序表'!A:A = B494), 1, 10000000),IFERROR(FILTER(Algoexpert.io!B:D,Algoexpert.io!A:A = B494),FILTER('Leetcode List'!B:J,'Leetcode List'!A:A = B494))))"),"")</f>
        <v/>
      </c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>
      <c r="A495" s="22"/>
      <c r="B495" s="20"/>
      <c r="C495" s="20" t="str">
        <f>IFERROR(__xludf.DUMMYFUNCTION("IF(ISBLANK(B495),,IFERROR(array_constrain(FILTER('Leetcode分类顺序表'!B:J,'Leetcode分类顺序表'!A:A = B495), 1, 10000000),IFERROR(FILTER(Algoexpert.io!B:D,Algoexpert.io!A:A = B495),FILTER('Leetcode List'!B:J,'Leetcode List'!A:A = B495))))"),"")</f>
        <v/>
      </c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>
      <c r="A496" s="22"/>
      <c r="B496" s="20"/>
      <c r="C496" s="20" t="str">
        <f>IFERROR(__xludf.DUMMYFUNCTION("IF(ISBLANK(B496),,IFERROR(array_constrain(FILTER('Leetcode分类顺序表'!B:J,'Leetcode分类顺序表'!A:A = B496), 1, 10000000),IFERROR(FILTER(Algoexpert.io!B:D,Algoexpert.io!A:A = B496),FILTER('Leetcode List'!B:J,'Leetcode List'!A:A = B496))))"),"")</f>
        <v/>
      </c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>
      <c r="A497" s="22"/>
      <c r="B497" s="20"/>
      <c r="C497" s="20" t="str">
        <f>IFERROR(__xludf.DUMMYFUNCTION("IF(ISBLANK(B497),,IFERROR(array_constrain(FILTER('Leetcode分类顺序表'!B:J,'Leetcode分类顺序表'!A:A = B497), 1, 10000000),IFERROR(FILTER(Algoexpert.io!B:D,Algoexpert.io!A:A = B497),FILTER('Leetcode List'!B:J,'Leetcode List'!A:A = B497))))"),"")</f>
        <v/>
      </c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>
      <c r="A498" s="22"/>
      <c r="B498" s="20"/>
      <c r="C498" s="20" t="str">
        <f>IFERROR(__xludf.DUMMYFUNCTION("IF(ISBLANK(B498),,IFERROR(array_constrain(FILTER('Leetcode分类顺序表'!B:J,'Leetcode分类顺序表'!A:A = B498), 1, 10000000),IFERROR(FILTER(Algoexpert.io!B:D,Algoexpert.io!A:A = B498),FILTER('Leetcode List'!B:J,'Leetcode List'!A:A = B498))))"),"")</f>
        <v/>
      </c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>
      <c r="A499" s="22"/>
      <c r="B499" s="20"/>
      <c r="C499" s="20" t="str">
        <f>IFERROR(__xludf.DUMMYFUNCTION("IF(ISBLANK(B499),,IFERROR(array_constrain(FILTER('Leetcode分类顺序表'!B:J,'Leetcode分类顺序表'!A:A = B499), 1, 10000000),IFERROR(FILTER(Algoexpert.io!B:D,Algoexpert.io!A:A = B499),FILTER('Leetcode List'!B:J,'Leetcode List'!A:A = B499))))"),"")</f>
        <v/>
      </c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>
      <c r="A500" s="22"/>
      <c r="B500" s="20"/>
      <c r="C500" s="20" t="str">
        <f>IFERROR(__xludf.DUMMYFUNCTION("IF(ISBLANK(B500),,IFERROR(array_constrain(FILTER('Leetcode分类顺序表'!B:J,'Leetcode分类顺序表'!A:A = B500), 1, 10000000),IFERROR(FILTER(Algoexpert.io!B:D,Algoexpert.io!A:A = B500),FILTER('Leetcode List'!B:J,'Leetcode List'!A:A = B500))))"),"")</f>
        <v/>
      </c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>
      <c r="A501" s="22"/>
      <c r="B501" s="20"/>
      <c r="C501" s="20" t="str">
        <f>IFERROR(__xludf.DUMMYFUNCTION("IF(ISBLANK(B501),,IFERROR(array_constrain(FILTER('Leetcode分类顺序表'!B:J,'Leetcode分类顺序表'!A:A = B501), 1, 10000000),IFERROR(FILTER(Algoexpert.io!B:D,Algoexpert.io!A:A = B501),FILTER('Leetcode List'!B:J,'Leetcode List'!A:A = B501))))"),"")</f>
        <v/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>
      <c r="A502" s="22"/>
      <c r="B502" s="20"/>
      <c r="C502" s="20" t="str">
        <f>IFERROR(__xludf.DUMMYFUNCTION("IF(ISBLANK(B502),,IFERROR(array_constrain(FILTER('Leetcode分类顺序表'!B:J,'Leetcode分类顺序表'!A:A = B502), 1, 10000000),IFERROR(FILTER(Algoexpert.io!B:D,Algoexpert.io!A:A = B502),FILTER('Leetcode List'!B:J,'Leetcode List'!A:A = B502))))"),"")</f>
        <v/>
      </c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>
      <c r="A503" s="22"/>
      <c r="B503" s="20"/>
      <c r="C503" s="20" t="str">
        <f>IFERROR(__xludf.DUMMYFUNCTION("IF(ISBLANK(B503),,IFERROR(array_constrain(FILTER('Leetcode分类顺序表'!B:J,'Leetcode分类顺序表'!A:A = B503), 1, 10000000),IFERROR(FILTER(Algoexpert.io!B:D,Algoexpert.io!A:A = B503),FILTER('Leetcode List'!B:J,'Leetcode List'!A:A = B503))))"),"")</f>
        <v/>
      </c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>
      <c r="A504" s="22"/>
      <c r="B504" s="20"/>
      <c r="C504" s="20" t="str">
        <f>IFERROR(__xludf.DUMMYFUNCTION("IF(ISBLANK(B504),,IFERROR(array_constrain(FILTER('Leetcode分类顺序表'!B:J,'Leetcode分类顺序表'!A:A = B504), 1, 10000000),IFERROR(FILTER(Algoexpert.io!B:D,Algoexpert.io!A:A = B504),FILTER('Leetcode List'!B:J,'Leetcode List'!A:A = B504))))"),"")</f>
        <v/>
      </c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>
      <c r="A505" s="22"/>
      <c r="B505" s="20"/>
      <c r="C505" s="20" t="str">
        <f>IFERROR(__xludf.DUMMYFUNCTION("IF(ISBLANK(B505),,IFERROR(array_constrain(FILTER('Leetcode分类顺序表'!B:J,'Leetcode分类顺序表'!A:A = B505), 1, 10000000),IFERROR(FILTER(Algoexpert.io!B:D,Algoexpert.io!A:A = B505),FILTER('Leetcode List'!B:J,'Leetcode List'!A:A = B505))))"),"")</f>
        <v/>
      </c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>
      <c r="A506" s="22"/>
      <c r="B506" s="20"/>
      <c r="C506" s="20" t="str">
        <f>IFERROR(__xludf.DUMMYFUNCTION("IF(ISBLANK(B506),,IFERROR(array_constrain(FILTER('Leetcode分类顺序表'!B:J,'Leetcode分类顺序表'!A:A = B506), 1, 10000000),IFERROR(FILTER(Algoexpert.io!B:D,Algoexpert.io!A:A = B506),FILTER('Leetcode List'!B:J,'Leetcode List'!A:A = B506))))"),"")</f>
        <v/>
      </c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>
      <c r="A507" s="22"/>
      <c r="B507" s="20"/>
      <c r="C507" s="20" t="str">
        <f>IFERROR(__xludf.DUMMYFUNCTION("IF(ISBLANK(B507),,IFERROR(array_constrain(FILTER('Leetcode分类顺序表'!B:J,'Leetcode分类顺序表'!A:A = B507), 1, 10000000),IFERROR(FILTER(Algoexpert.io!B:D,Algoexpert.io!A:A = B507),FILTER('Leetcode List'!B:J,'Leetcode List'!A:A = B507))))"),"")</f>
        <v/>
      </c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>
      <c r="A508" s="22"/>
      <c r="B508" s="20"/>
      <c r="C508" s="20" t="str">
        <f>IFERROR(__xludf.DUMMYFUNCTION("IF(ISBLANK(B508),,IFERROR(array_constrain(FILTER('Leetcode分类顺序表'!B:J,'Leetcode分类顺序表'!A:A = B508), 1, 10000000),IFERROR(FILTER(Algoexpert.io!B:D,Algoexpert.io!A:A = B508),FILTER('Leetcode List'!B:J,'Leetcode List'!A:A = B508))))"),"")</f>
        <v/>
      </c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>
      <c r="A509" s="22"/>
      <c r="B509" s="20"/>
      <c r="C509" s="20" t="str">
        <f>IFERROR(__xludf.DUMMYFUNCTION("IF(ISBLANK(B509),,IFERROR(array_constrain(FILTER('Leetcode分类顺序表'!B:J,'Leetcode分类顺序表'!A:A = B509), 1, 10000000),IFERROR(FILTER(Algoexpert.io!B:D,Algoexpert.io!A:A = B509),FILTER('Leetcode List'!B:J,'Leetcode List'!A:A = B509))))"),"")</f>
        <v/>
      </c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>
      <c r="A510" s="22"/>
      <c r="B510" s="20"/>
      <c r="C510" s="20" t="str">
        <f>IFERROR(__xludf.DUMMYFUNCTION("IF(ISBLANK(B510),,IFERROR(array_constrain(FILTER('Leetcode分类顺序表'!B:J,'Leetcode分类顺序表'!A:A = B510), 1, 10000000),IFERROR(FILTER(Algoexpert.io!B:D,Algoexpert.io!A:A = B510),FILTER('Leetcode List'!B:J,'Leetcode List'!A:A = B510))))"),"")</f>
        <v/>
      </c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>
      <c r="A511" s="22"/>
      <c r="B511" s="20"/>
      <c r="C511" s="20" t="str">
        <f>IFERROR(__xludf.DUMMYFUNCTION("IF(ISBLANK(B511),,IFERROR(array_constrain(FILTER('Leetcode分类顺序表'!B:J,'Leetcode分类顺序表'!A:A = B511), 1, 10000000),IFERROR(FILTER(Algoexpert.io!B:D,Algoexpert.io!A:A = B511),FILTER('Leetcode List'!B:J,'Leetcode List'!A:A = B511))))"),"")</f>
        <v/>
      </c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>
      <c r="A512" s="22"/>
      <c r="B512" s="20"/>
      <c r="C512" s="20" t="str">
        <f>IFERROR(__xludf.DUMMYFUNCTION("IF(ISBLANK(B512),,IFERROR(array_constrain(FILTER('Leetcode分类顺序表'!B:J,'Leetcode分类顺序表'!A:A = B512), 1, 10000000),IFERROR(FILTER(Algoexpert.io!B:D,Algoexpert.io!A:A = B512),FILTER('Leetcode List'!B:J,'Leetcode List'!A:A = B512))))"),"")</f>
        <v/>
      </c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>
      <c r="A513" s="22"/>
      <c r="B513" s="20"/>
      <c r="C513" s="20" t="str">
        <f>IFERROR(__xludf.DUMMYFUNCTION("IF(ISBLANK(B513),,IFERROR(array_constrain(FILTER('Leetcode分类顺序表'!B:J,'Leetcode分类顺序表'!A:A = B513), 1, 10000000),IFERROR(FILTER(Algoexpert.io!B:D,Algoexpert.io!A:A = B513),FILTER('Leetcode List'!B:J,'Leetcode List'!A:A = B513))))"),"")</f>
        <v/>
      </c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>
      <c r="A514" s="22"/>
      <c r="B514" s="20"/>
      <c r="C514" s="20" t="str">
        <f>IFERROR(__xludf.DUMMYFUNCTION("IF(ISBLANK(B514),,IFERROR(array_constrain(FILTER('Leetcode分类顺序表'!B:J,'Leetcode分类顺序表'!A:A = B514), 1, 10000000),IFERROR(FILTER(Algoexpert.io!B:D,Algoexpert.io!A:A = B514),FILTER('Leetcode List'!B:J,'Leetcode List'!A:A = B514))))"),"")</f>
        <v/>
      </c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>
      <c r="A515" s="22"/>
      <c r="B515" s="20"/>
      <c r="C515" s="20" t="str">
        <f>IFERROR(__xludf.DUMMYFUNCTION("IF(ISBLANK(B515),,IFERROR(array_constrain(FILTER('Leetcode分类顺序表'!B:J,'Leetcode分类顺序表'!A:A = B515), 1, 10000000),IFERROR(FILTER(Algoexpert.io!B:D,Algoexpert.io!A:A = B515),FILTER('Leetcode List'!B:J,'Leetcode List'!A:A = B515))))"),"")</f>
        <v/>
      </c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>
      <c r="A516" s="22"/>
      <c r="B516" s="20"/>
      <c r="C516" s="20" t="str">
        <f>IFERROR(__xludf.DUMMYFUNCTION("IF(ISBLANK(B516),,IFERROR(array_constrain(FILTER('Leetcode分类顺序表'!B:J,'Leetcode分类顺序表'!A:A = B516), 1, 10000000),IFERROR(FILTER(Algoexpert.io!B:D,Algoexpert.io!A:A = B516),FILTER('Leetcode List'!B:J,'Leetcode List'!A:A = B516))))"),"")</f>
        <v/>
      </c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>
      <c r="A517" s="22"/>
      <c r="B517" s="20"/>
      <c r="C517" s="20" t="str">
        <f>IFERROR(__xludf.DUMMYFUNCTION("IF(ISBLANK(B517),,IFERROR(array_constrain(FILTER('Leetcode分类顺序表'!B:J,'Leetcode分类顺序表'!A:A = B517), 1, 10000000),IFERROR(FILTER(Algoexpert.io!B:D,Algoexpert.io!A:A = B517),FILTER('Leetcode List'!B:J,'Leetcode List'!A:A = B517))))"),"")</f>
        <v/>
      </c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>
      <c r="A518" s="22"/>
      <c r="B518" s="20"/>
      <c r="C518" s="20" t="str">
        <f>IFERROR(__xludf.DUMMYFUNCTION("IF(ISBLANK(B518),,IFERROR(array_constrain(FILTER('Leetcode分类顺序表'!B:J,'Leetcode分类顺序表'!A:A = B518), 1, 10000000),IFERROR(FILTER(Algoexpert.io!B:D,Algoexpert.io!A:A = B518),FILTER('Leetcode List'!B:J,'Leetcode List'!A:A = B518))))"),"")</f>
        <v/>
      </c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>
      <c r="A519" s="22"/>
      <c r="B519" s="20"/>
      <c r="C519" s="20" t="str">
        <f>IFERROR(__xludf.DUMMYFUNCTION("IF(ISBLANK(B519),,IFERROR(array_constrain(FILTER('Leetcode分类顺序表'!B:J,'Leetcode分类顺序表'!A:A = B519), 1, 10000000),IFERROR(FILTER(Algoexpert.io!B:D,Algoexpert.io!A:A = B519),FILTER('Leetcode List'!B:J,'Leetcode List'!A:A = B519))))"),"")</f>
        <v/>
      </c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>
      <c r="A520" s="22"/>
      <c r="B520" s="20"/>
      <c r="C520" s="20" t="str">
        <f>IFERROR(__xludf.DUMMYFUNCTION("IF(ISBLANK(B520),,IFERROR(array_constrain(FILTER('Leetcode分类顺序表'!B:J,'Leetcode分类顺序表'!A:A = B520), 1, 10000000),IFERROR(FILTER(Algoexpert.io!B:D,Algoexpert.io!A:A = B520),FILTER('Leetcode List'!B:J,'Leetcode List'!A:A = B520))))"),"")</f>
        <v/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>
      <c r="A521" s="22"/>
      <c r="B521" s="20"/>
      <c r="C521" s="20" t="str">
        <f>IFERROR(__xludf.DUMMYFUNCTION("IF(ISBLANK(B521),,IFERROR(array_constrain(FILTER('Leetcode分类顺序表'!B:J,'Leetcode分类顺序表'!A:A = B521), 1, 10000000),IFERROR(FILTER(Algoexpert.io!B:D,Algoexpert.io!A:A = B521),FILTER('Leetcode List'!B:J,'Leetcode List'!A:A = B521))))"),"")</f>
        <v/>
      </c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>
      <c r="A522" s="22"/>
      <c r="B522" s="20"/>
      <c r="C522" s="20" t="str">
        <f>IFERROR(__xludf.DUMMYFUNCTION("IF(ISBLANK(B522),,IFERROR(array_constrain(FILTER('Leetcode分类顺序表'!B:J,'Leetcode分类顺序表'!A:A = B522), 1, 10000000),IFERROR(FILTER(Algoexpert.io!B:D,Algoexpert.io!A:A = B522),FILTER('Leetcode List'!B:J,'Leetcode List'!A:A = B522))))"),"")</f>
        <v/>
      </c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>
      <c r="A523" s="22"/>
      <c r="B523" s="20"/>
      <c r="C523" s="20" t="str">
        <f>IFERROR(__xludf.DUMMYFUNCTION("IF(ISBLANK(B523),,IFERROR(array_constrain(FILTER('Leetcode分类顺序表'!B:J,'Leetcode分类顺序表'!A:A = B523), 1, 10000000),IFERROR(FILTER(Algoexpert.io!B:D,Algoexpert.io!A:A = B523),FILTER('Leetcode List'!B:J,'Leetcode List'!A:A = B523))))"),"")</f>
        <v/>
      </c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>
      <c r="A524" s="22"/>
      <c r="B524" s="20"/>
      <c r="C524" s="20" t="str">
        <f>IFERROR(__xludf.DUMMYFUNCTION("IF(ISBLANK(B524),,IFERROR(array_constrain(FILTER('Leetcode分类顺序表'!B:J,'Leetcode分类顺序表'!A:A = B524), 1, 10000000),IFERROR(FILTER(Algoexpert.io!B:D,Algoexpert.io!A:A = B524),FILTER('Leetcode List'!B:J,'Leetcode List'!A:A = B524))))"),"")</f>
        <v/>
      </c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>
      <c r="A525" s="22"/>
      <c r="B525" s="20"/>
      <c r="C525" s="20" t="str">
        <f>IFERROR(__xludf.DUMMYFUNCTION("IF(ISBLANK(B525),,IFERROR(array_constrain(FILTER('Leetcode分类顺序表'!B:J,'Leetcode分类顺序表'!A:A = B525), 1, 10000000),IFERROR(FILTER(Algoexpert.io!B:D,Algoexpert.io!A:A = B525),FILTER('Leetcode List'!B:J,'Leetcode List'!A:A = B525))))"),"")</f>
        <v/>
      </c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>
      <c r="A526" s="22"/>
      <c r="B526" s="20"/>
      <c r="C526" s="20" t="str">
        <f>IFERROR(__xludf.DUMMYFUNCTION("IF(ISBLANK(B526),,IFERROR(array_constrain(FILTER('Leetcode分类顺序表'!B:J,'Leetcode分类顺序表'!A:A = B526), 1, 10000000),IFERROR(FILTER(Algoexpert.io!B:D,Algoexpert.io!A:A = B526),FILTER('Leetcode List'!B:J,'Leetcode List'!A:A = B526))))"),"")</f>
        <v/>
      </c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>
      <c r="A527" s="22"/>
      <c r="B527" s="20"/>
      <c r="C527" s="20" t="str">
        <f>IFERROR(__xludf.DUMMYFUNCTION("IF(ISBLANK(B527),,IFERROR(array_constrain(FILTER('Leetcode分类顺序表'!B:J,'Leetcode分类顺序表'!A:A = B527), 1, 10000000),IFERROR(FILTER(Algoexpert.io!B:D,Algoexpert.io!A:A = B527),FILTER('Leetcode List'!B:J,'Leetcode List'!A:A = B527))))"),"")</f>
        <v/>
      </c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>
      <c r="A528" s="22"/>
      <c r="B528" s="20"/>
      <c r="C528" s="20" t="str">
        <f>IFERROR(__xludf.DUMMYFUNCTION("IF(ISBLANK(B528),,IFERROR(array_constrain(FILTER('Leetcode分类顺序表'!B:J,'Leetcode分类顺序表'!A:A = B528), 1, 10000000),IFERROR(FILTER(Algoexpert.io!B:D,Algoexpert.io!A:A = B528),FILTER('Leetcode List'!B:J,'Leetcode List'!A:A = B528))))"),"")</f>
        <v/>
      </c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>
      <c r="A529" s="22"/>
      <c r="B529" s="20"/>
      <c r="C529" s="20" t="str">
        <f>IFERROR(__xludf.DUMMYFUNCTION("IF(ISBLANK(B529),,IFERROR(array_constrain(FILTER('Leetcode分类顺序表'!B:J,'Leetcode分类顺序表'!A:A = B529), 1, 10000000),IFERROR(FILTER(Algoexpert.io!B:D,Algoexpert.io!A:A = B529),FILTER('Leetcode List'!B:J,'Leetcode List'!A:A = B529))))"),"")</f>
        <v/>
      </c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>
      <c r="A530" s="22"/>
      <c r="B530" s="20"/>
      <c r="C530" s="20" t="str">
        <f>IFERROR(__xludf.DUMMYFUNCTION("IF(ISBLANK(B530),,IFERROR(array_constrain(FILTER('Leetcode分类顺序表'!B:J,'Leetcode分类顺序表'!A:A = B530), 1, 10000000),IFERROR(FILTER(Algoexpert.io!B:D,Algoexpert.io!A:A = B530),FILTER('Leetcode List'!B:J,'Leetcode List'!A:A = B530))))"),"")</f>
        <v/>
      </c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>
      <c r="A531" s="22"/>
      <c r="B531" s="20"/>
      <c r="C531" s="20" t="str">
        <f>IFERROR(__xludf.DUMMYFUNCTION("IF(ISBLANK(B531),,IFERROR(array_constrain(FILTER('Leetcode分类顺序表'!B:J,'Leetcode分类顺序表'!A:A = B531), 1, 10000000),IFERROR(FILTER(Algoexpert.io!B:D,Algoexpert.io!A:A = B531),FILTER('Leetcode List'!B:J,'Leetcode List'!A:A = B531))))"),"")</f>
        <v/>
      </c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>
      <c r="A532" s="22"/>
      <c r="B532" s="20"/>
      <c r="C532" s="20" t="str">
        <f>IFERROR(__xludf.DUMMYFUNCTION("IF(ISBLANK(B532),,IFERROR(array_constrain(FILTER('Leetcode分类顺序表'!B:J,'Leetcode分类顺序表'!A:A = B532), 1, 10000000),IFERROR(FILTER(Algoexpert.io!B:D,Algoexpert.io!A:A = B532),FILTER('Leetcode List'!B:J,'Leetcode List'!A:A = B532))))"),"")</f>
        <v/>
      </c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>
      <c r="A533" s="22"/>
      <c r="B533" s="20"/>
      <c r="C533" s="20" t="str">
        <f>IFERROR(__xludf.DUMMYFUNCTION("IF(ISBLANK(B533),,IFERROR(array_constrain(FILTER('Leetcode分类顺序表'!B:J,'Leetcode分类顺序表'!A:A = B533), 1, 10000000),IFERROR(FILTER(Algoexpert.io!B:D,Algoexpert.io!A:A = B533),FILTER('Leetcode List'!B:J,'Leetcode List'!A:A = B533))))"),"")</f>
        <v/>
      </c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>
      <c r="A534" s="22"/>
      <c r="B534" s="20"/>
      <c r="C534" s="20" t="str">
        <f>IFERROR(__xludf.DUMMYFUNCTION("IF(ISBLANK(B534),,IFERROR(array_constrain(FILTER('Leetcode分类顺序表'!B:J,'Leetcode分类顺序表'!A:A = B534), 1, 10000000),IFERROR(FILTER(Algoexpert.io!B:D,Algoexpert.io!A:A = B534),FILTER('Leetcode List'!B:J,'Leetcode List'!A:A = B534))))"),"")</f>
        <v/>
      </c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>
      <c r="A535" s="22"/>
      <c r="B535" s="20"/>
      <c r="C535" s="20" t="str">
        <f>IFERROR(__xludf.DUMMYFUNCTION("IF(ISBLANK(B535),,IFERROR(array_constrain(FILTER('Leetcode分类顺序表'!B:J,'Leetcode分类顺序表'!A:A = B535), 1, 10000000),IFERROR(FILTER(Algoexpert.io!B:D,Algoexpert.io!A:A = B535),FILTER('Leetcode List'!B:J,'Leetcode List'!A:A = B535))))"),"")</f>
        <v/>
      </c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>
      <c r="A536" s="22"/>
      <c r="B536" s="20"/>
      <c r="C536" s="20" t="str">
        <f>IFERROR(__xludf.DUMMYFUNCTION("IF(ISBLANK(B536),,IFERROR(array_constrain(FILTER('Leetcode分类顺序表'!B:J,'Leetcode分类顺序表'!A:A = B536), 1, 10000000),IFERROR(FILTER(Algoexpert.io!B:D,Algoexpert.io!A:A = B536),FILTER('Leetcode List'!B:J,'Leetcode List'!A:A = B536))))"),"")</f>
        <v/>
      </c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>
      <c r="A537" s="22"/>
      <c r="B537" s="20"/>
      <c r="C537" s="20" t="str">
        <f>IFERROR(__xludf.DUMMYFUNCTION("IF(ISBLANK(B537),,IFERROR(array_constrain(FILTER('Leetcode分类顺序表'!B:J,'Leetcode分类顺序表'!A:A = B537), 1, 10000000),IFERROR(FILTER(Algoexpert.io!B:D,Algoexpert.io!A:A = B537),FILTER('Leetcode List'!B:J,'Leetcode List'!A:A = B537))))"),"")</f>
        <v/>
      </c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>
      <c r="A538" s="22"/>
      <c r="B538" s="20"/>
      <c r="C538" s="20" t="str">
        <f>IFERROR(__xludf.DUMMYFUNCTION("IF(ISBLANK(B538),,IFERROR(array_constrain(FILTER('Leetcode分类顺序表'!B:J,'Leetcode分类顺序表'!A:A = B538), 1, 10000000),IFERROR(FILTER(Algoexpert.io!B:D,Algoexpert.io!A:A = B538),FILTER('Leetcode List'!B:J,'Leetcode List'!A:A = B538))))"),"")</f>
        <v/>
      </c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>
      <c r="A539" s="22"/>
      <c r="B539" s="20"/>
      <c r="C539" s="20" t="str">
        <f>IFERROR(__xludf.DUMMYFUNCTION("IF(ISBLANK(B539),,IFERROR(array_constrain(FILTER('Leetcode分类顺序表'!B:J,'Leetcode分类顺序表'!A:A = B539), 1, 10000000),IFERROR(FILTER(Algoexpert.io!B:D,Algoexpert.io!A:A = B539),FILTER('Leetcode List'!B:J,'Leetcode List'!A:A = B539))))"),"")</f>
        <v/>
      </c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>
      <c r="A540" s="22"/>
      <c r="B540" s="20"/>
      <c r="C540" s="20" t="str">
        <f>IFERROR(__xludf.DUMMYFUNCTION("IF(ISBLANK(B540),,IFERROR(array_constrain(FILTER('Leetcode分类顺序表'!B:J,'Leetcode分类顺序表'!A:A = B540), 1, 10000000),IFERROR(FILTER(Algoexpert.io!B:D,Algoexpert.io!A:A = B540),FILTER('Leetcode List'!B:J,'Leetcode List'!A:A = B540))))"),"")</f>
        <v/>
      </c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>
      <c r="A541" s="22"/>
      <c r="B541" s="20"/>
      <c r="C541" s="20" t="str">
        <f>IFERROR(__xludf.DUMMYFUNCTION("IF(ISBLANK(B541),,IFERROR(array_constrain(FILTER('Leetcode分类顺序表'!B:J,'Leetcode分类顺序表'!A:A = B541), 1, 10000000),IFERROR(FILTER(Algoexpert.io!B:D,Algoexpert.io!A:A = B541),FILTER('Leetcode List'!B:J,'Leetcode List'!A:A = B541))))"),"")</f>
        <v/>
      </c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>
      <c r="A542" s="22"/>
      <c r="B542" s="20"/>
      <c r="C542" s="20" t="str">
        <f>IFERROR(__xludf.DUMMYFUNCTION("IF(ISBLANK(B542),,IFERROR(array_constrain(FILTER('Leetcode分类顺序表'!B:J,'Leetcode分类顺序表'!A:A = B542), 1, 10000000),IFERROR(FILTER(Algoexpert.io!B:D,Algoexpert.io!A:A = B542),FILTER('Leetcode List'!B:J,'Leetcode List'!A:A = B542))))"),"")</f>
        <v/>
      </c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>
      <c r="A543" s="22"/>
      <c r="B543" s="20"/>
      <c r="C543" s="20" t="str">
        <f>IFERROR(__xludf.DUMMYFUNCTION("IF(ISBLANK(B543),,IFERROR(array_constrain(FILTER('Leetcode分类顺序表'!B:J,'Leetcode分类顺序表'!A:A = B543), 1, 10000000),IFERROR(FILTER(Algoexpert.io!B:D,Algoexpert.io!A:A = B543),FILTER('Leetcode List'!B:J,'Leetcode List'!A:A = B543))))"),"")</f>
        <v/>
      </c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>
      <c r="A544" s="22"/>
      <c r="B544" s="20"/>
      <c r="C544" s="20" t="str">
        <f>IFERROR(__xludf.DUMMYFUNCTION("IF(ISBLANK(B544),,IFERROR(array_constrain(FILTER('Leetcode分类顺序表'!B:J,'Leetcode分类顺序表'!A:A = B544), 1, 10000000),IFERROR(FILTER(Algoexpert.io!B:D,Algoexpert.io!A:A = B544),FILTER('Leetcode List'!B:J,'Leetcode List'!A:A = B544))))"),"")</f>
        <v/>
      </c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>
      <c r="A545" s="22"/>
      <c r="B545" s="20"/>
      <c r="C545" s="20" t="str">
        <f>IFERROR(__xludf.DUMMYFUNCTION("IF(ISBLANK(B545),,IFERROR(array_constrain(FILTER('Leetcode分类顺序表'!B:J,'Leetcode分类顺序表'!A:A = B545), 1, 10000000),IFERROR(FILTER(Algoexpert.io!B:D,Algoexpert.io!A:A = B545),FILTER('Leetcode List'!B:J,'Leetcode List'!A:A = B545))))"),"")</f>
        <v/>
      </c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>
      <c r="A546" s="22"/>
      <c r="B546" s="20"/>
      <c r="C546" s="20" t="str">
        <f>IFERROR(__xludf.DUMMYFUNCTION("IF(ISBLANK(B546),,IFERROR(array_constrain(FILTER('Leetcode分类顺序表'!B:J,'Leetcode分类顺序表'!A:A = B546), 1, 10000000),IFERROR(FILTER(Algoexpert.io!B:D,Algoexpert.io!A:A = B546),FILTER('Leetcode List'!B:J,'Leetcode List'!A:A = B546))))"),"")</f>
        <v/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>
      <c r="A547" s="22"/>
      <c r="B547" s="20"/>
      <c r="C547" s="20" t="str">
        <f>IFERROR(__xludf.DUMMYFUNCTION("IF(ISBLANK(B547),,IFERROR(array_constrain(FILTER('Leetcode分类顺序表'!B:J,'Leetcode分类顺序表'!A:A = B547), 1, 10000000),IFERROR(FILTER(Algoexpert.io!B:D,Algoexpert.io!A:A = B547),FILTER('Leetcode List'!B:J,'Leetcode List'!A:A = B547))))"),"")</f>
        <v/>
      </c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>
      <c r="A548" s="22"/>
      <c r="B548" s="20"/>
      <c r="C548" s="20" t="str">
        <f>IFERROR(__xludf.DUMMYFUNCTION("IF(ISBLANK(B548),,IFERROR(array_constrain(FILTER('Leetcode分类顺序表'!B:J,'Leetcode分类顺序表'!A:A = B548), 1, 10000000),IFERROR(FILTER(Algoexpert.io!B:D,Algoexpert.io!A:A = B548),FILTER('Leetcode List'!B:J,'Leetcode List'!A:A = B548))))"),"")</f>
        <v/>
      </c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>
      <c r="A549" s="22"/>
      <c r="B549" s="20"/>
      <c r="C549" s="20" t="str">
        <f>IFERROR(__xludf.DUMMYFUNCTION("IF(ISBLANK(B549),,IFERROR(array_constrain(FILTER('Leetcode分类顺序表'!B:J,'Leetcode分类顺序表'!A:A = B549), 1, 10000000),IFERROR(FILTER(Algoexpert.io!B:D,Algoexpert.io!A:A = B549),FILTER('Leetcode List'!B:J,'Leetcode List'!A:A = B549))))"),"")</f>
        <v/>
      </c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>
      <c r="A550" s="22"/>
      <c r="B550" s="20"/>
      <c r="C550" s="20" t="str">
        <f>IFERROR(__xludf.DUMMYFUNCTION("IF(ISBLANK(B550),,IFERROR(array_constrain(FILTER('Leetcode分类顺序表'!B:J,'Leetcode分类顺序表'!A:A = B550), 1, 10000000),IFERROR(FILTER(Algoexpert.io!B:D,Algoexpert.io!A:A = B550),FILTER('Leetcode List'!B:J,'Leetcode List'!A:A = B550))))"),"")</f>
        <v/>
      </c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>
      <c r="A551" s="22"/>
      <c r="B551" s="20"/>
      <c r="C551" s="20" t="str">
        <f>IFERROR(__xludf.DUMMYFUNCTION("IF(ISBLANK(B551),,IFERROR(array_constrain(FILTER('Leetcode分类顺序表'!B:J,'Leetcode分类顺序表'!A:A = B551), 1, 10000000),IFERROR(FILTER(Algoexpert.io!B:D,Algoexpert.io!A:A = B551),FILTER('Leetcode List'!B:J,'Leetcode List'!A:A = B551))))"),"")</f>
        <v/>
      </c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>
      <c r="A552" s="22"/>
      <c r="B552" s="20"/>
      <c r="C552" s="20" t="str">
        <f>IFERROR(__xludf.DUMMYFUNCTION("IF(ISBLANK(B552),,IFERROR(array_constrain(FILTER('Leetcode分类顺序表'!B:J,'Leetcode分类顺序表'!A:A = B552), 1, 10000000),IFERROR(FILTER(Algoexpert.io!B:D,Algoexpert.io!A:A = B552),FILTER('Leetcode List'!B:J,'Leetcode List'!A:A = B552))))"),"")</f>
        <v/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>
      <c r="A553" s="22"/>
      <c r="B553" s="20"/>
      <c r="C553" s="20" t="str">
        <f>IFERROR(__xludf.DUMMYFUNCTION("IF(ISBLANK(B553),,IFERROR(array_constrain(FILTER('Leetcode分类顺序表'!B:J,'Leetcode分类顺序表'!A:A = B553), 1, 10000000),IFERROR(FILTER(Algoexpert.io!B:D,Algoexpert.io!A:A = B553),FILTER('Leetcode List'!B:J,'Leetcode List'!A:A = B553))))"),"")</f>
        <v/>
      </c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>
      <c r="A554" s="22"/>
      <c r="B554" s="20"/>
      <c r="C554" s="20" t="str">
        <f>IFERROR(__xludf.DUMMYFUNCTION("IF(ISBLANK(B554),,IFERROR(array_constrain(FILTER('Leetcode分类顺序表'!B:J,'Leetcode分类顺序表'!A:A = B554), 1, 10000000),IFERROR(FILTER(Algoexpert.io!B:D,Algoexpert.io!A:A = B554),FILTER('Leetcode List'!B:J,'Leetcode List'!A:A = B554))))"),"")</f>
        <v/>
      </c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>
      <c r="A555" s="22"/>
      <c r="B555" s="20"/>
      <c r="C555" s="20" t="str">
        <f>IFERROR(__xludf.DUMMYFUNCTION("IF(ISBLANK(B555),,IFERROR(array_constrain(FILTER('Leetcode分类顺序表'!B:J,'Leetcode分类顺序表'!A:A = B555), 1, 10000000),IFERROR(FILTER(Algoexpert.io!B:D,Algoexpert.io!A:A = B555),FILTER('Leetcode List'!B:J,'Leetcode List'!A:A = B555))))"),"")</f>
        <v/>
      </c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>
      <c r="A556" s="22"/>
      <c r="B556" s="20"/>
      <c r="C556" s="20" t="str">
        <f>IFERROR(__xludf.DUMMYFUNCTION("IF(ISBLANK(B556),,IFERROR(array_constrain(FILTER('Leetcode分类顺序表'!B:J,'Leetcode分类顺序表'!A:A = B556), 1, 10000000),IFERROR(FILTER(Algoexpert.io!B:D,Algoexpert.io!A:A = B556),FILTER('Leetcode List'!B:J,'Leetcode List'!A:A = B556))))"),"")</f>
        <v/>
      </c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>
      <c r="A557" s="22"/>
      <c r="B557" s="20"/>
      <c r="C557" s="20" t="str">
        <f>IFERROR(__xludf.DUMMYFUNCTION("IF(ISBLANK(B557),,IFERROR(array_constrain(FILTER('Leetcode分类顺序表'!B:J,'Leetcode分类顺序表'!A:A = B557), 1, 10000000),IFERROR(FILTER(Algoexpert.io!B:D,Algoexpert.io!A:A = B557),FILTER('Leetcode List'!B:J,'Leetcode List'!A:A = B557))))"),"")</f>
        <v/>
      </c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>
      <c r="A558" s="22"/>
      <c r="B558" s="20"/>
      <c r="C558" s="20" t="str">
        <f>IFERROR(__xludf.DUMMYFUNCTION("IF(ISBLANK(B558),,IFERROR(array_constrain(FILTER('Leetcode分类顺序表'!B:J,'Leetcode分类顺序表'!A:A = B558), 1, 10000000),IFERROR(FILTER(Algoexpert.io!B:D,Algoexpert.io!A:A = B558),FILTER('Leetcode List'!B:J,'Leetcode List'!A:A = B558))))"),"")</f>
        <v/>
      </c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>
      <c r="A559" s="22"/>
      <c r="B559" s="20"/>
      <c r="C559" s="20" t="str">
        <f>IFERROR(__xludf.DUMMYFUNCTION("IF(ISBLANK(B559),,IFERROR(array_constrain(FILTER('Leetcode分类顺序表'!B:J,'Leetcode分类顺序表'!A:A = B559), 1, 10000000),IFERROR(FILTER(Algoexpert.io!B:D,Algoexpert.io!A:A = B559),FILTER('Leetcode List'!B:J,'Leetcode List'!A:A = B559))))"),"")</f>
        <v/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>
      <c r="A560" s="22"/>
      <c r="B560" s="20"/>
      <c r="C560" s="20" t="str">
        <f>IFERROR(__xludf.DUMMYFUNCTION("IF(ISBLANK(B560),,IFERROR(array_constrain(FILTER('Leetcode分类顺序表'!B:J,'Leetcode分类顺序表'!A:A = B560), 1, 10000000),IFERROR(FILTER(Algoexpert.io!B:D,Algoexpert.io!A:A = B560),FILTER('Leetcode List'!B:J,'Leetcode List'!A:A = B560))))"),"")</f>
        <v/>
      </c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>
      <c r="A561" s="22"/>
      <c r="B561" s="20"/>
      <c r="C561" s="20" t="str">
        <f>IFERROR(__xludf.DUMMYFUNCTION("IF(ISBLANK(B561),,IFERROR(array_constrain(FILTER('Leetcode分类顺序表'!B:J,'Leetcode分类顺序表'!A:A = B561), 1, 10000000),IFERROR(FILTER(Algoexpert.io!B:D,Algoexpert.io!A:A = B561),FILTER('Leetcode List'!B:J,'Leetcode List'!A:A = B561))))"),"")</f>
        <v/>
      </c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>
      <c r="A562" s="22"/>
      <c r="B562" s="20"/>
      <c r="C562" s="20" t="str">
        <f>IFERROR(__xludf.DUMMYFUNCTION("IF(ISBLANK(B562),,IFERROR(array_constrain(FILTER('Leetcode分类顺序表'!B:J,'Leetcode分类顺序表'!A:A = B562), 1, 10000000),IFERROR(FILTER(Algoexpert.io!B:D,Algoexpert.io!A:A = B562),FILTER('Leetcode List'!B:J,'Leetcode List'!A:A = B562))))"),"")</f>
        <v/>
      </c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>
      <c r="A563" s="22"/>
      <c r="B563" s="20"/>
      <c r="C563" s="20" t="str">
        <f>IFERROR(__xludf.DUMMYFUNCTION("IF(ISBLANK(B563),,IFERROR(array_constrain(FILTER('Leetcode分类顺序表'!B:J,'Leetcode分类顺序表'!A:A = B563), 1, 10000000),IFERROR(FILTER(Algoexpert.io!B:D,Algoexpert.io!A:A = B563),FILTER('Leetcode List'!B:J,'Leetcode List'!A:A = B563))))"),"")</f>
        <v/>
      </c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>
      <c r="A564" s="22"/>
      <c r="B564" s="20"/>
      <c r="C564" s="20" t="str">
        <f>IFERROR(__xludf.DUMMYFUNCTION("IF(ISBLANK(B564),,IFERROR(array_constrain(FILTER('Leetcode分类顺序表'!B:J,'Leetcode分类顺序表'!A:A = B564), 1, 10000000),IFERROR(FILTER(Algoexpert.io!B:D,Algoexpert.io!A:A = B564),FILTER('Leetcode List'!B:J,'Leetcode List'!A:A = B564))))"),"")</f>
        <v/>
      </c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>
      <c r="A565" s="22"/>
      <c r="B565" s="20"/>
      <c r="C565" s="20" t="str">
        <f>IFERROR(__xludf.DUMMYFUNCTION("IF(ISBLANK(B565),,IFERROR(array_constrain(FILTER('Leetcode分类顺序表'!B:J,'Leetcode分类顺序表'!A:A = B565), 1, 10000000),IFERROR(FILTER(Algoexpert.io!B:D,Algoexpert.io!A:A = B565),FILTER('Leetcode List'!B:J,'Leetcode List'!A:A = B565))))"),"")</f>
        <v/>
      </c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>
      <c r="A566" s="22"/>
      <c r="B566" s="20"/>
      <c r="C566" s="20" t="str">
        <f>IFERROR(__xludf.DUMMYFUNCTION("IF(ISBLANK(B566),,IFERROR(array_constrain(FILTER('Leetcode分类顺序表'!B:J,'Leetcode分类顺序表'!A:A = B566), 1, 10000000),IFERROR(FILTER(Algoexpert.io!B:D,Algoexpert.io!A:A = B566),FILTER('Leetcode List'!B:J,'Leetcode List'!A:A = B566))))"),"")</f>
        <v/>
      </c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>
      <c r="A567" s="22"/>
      <c r="B567" s="20"/>
      <c r="C567" s="20" t="str">
        <f>IFERROR(__xludf.DUMMYFUNCTION("IF(ISBLANK(B567),,IFERROR(array_constrain(FILTER('Leetcode分类顺序表'!B:J,'Leetcode分类顺序表'!A:A = B567), 1, 10000000),IFERROR(FILTER(Algoexpert.io!B:D,Algoexpert.io!A:A = B567),FILTER('Leetcode List'!B:J,'Leetcode List'!A:A = B567))))"),"")</f>
        <v/>
      </c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>
      <c r="A568" s="22"/>
      <c r="B568" s="20"/>
      <c r="C568" s="20" t="str">
        <f>IFERROR(__xludf.DUMMYFUNCTION("IF(ISBLANK(B568),,IFERROR(array_constrain(FILTER('Leetcode分类顺序表'!B:J,'Leetcode分类顺序表'!A:A = B568), 1, 10000000),IFERROR(FILTER(Algoexpert.io!B:D,Algoexpert.io!A:A = B568),FILTER('Leetcode List'!B:J,'Leetcode List'!A:A = B568))))"),"")</f>
        <v/>
      </c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>
      <c r="A569" s="22"/>
      <c r="B569" s="20"/>
      <c r="C569" s="20" t="str">
        <f>IFERROR(__xludf.DUMMYFUNCTION("IF(ISBLANK(B569),,IFERROR(array_constrain(FILTER('Leetcode分类顺序表'!B:J,'Leetcode分类顺序表'!A:A = B569), 1, 10000000),IFERROR(FILTER(Algoexpert.io!B:D,Algoexpert.io!A:A = B569),FILTER('Leetcode List'!B:J,'Leetcode List'!A:A = B569))))"),"")</f>
        <v/>
      </c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>
      <c r="A570" s="22"/>
      <c r="B570" s="20"/>
      <c r="C570" s="20" t="str">
        <f>IFERROR(__xludf.DUMMYFUNCTION("IF(ISBLANK(B570),,IFERROR(array_constrain(FILTER('Leetcode分类顺序表'!B:J,'Leetcode分类顺序表'!A:A = B570), 1, 10000000),IFERROR(FILTER(Algoexpert.io!B:D,Algoexpert.io!A:A = B570),FILTER('Leetcode List'!B:J,'Leetcode List'!A:A = B570))))"),"")</f>
        <v/>
      </c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>
      <c r="A571" s="22"/>
      <c r="B571" s="20"/>
      <c r="C571" s="20" t="str">
        <f>IFERROR(__xludf.DUMMYFUNCTION("IF(ISBLANK(B571),,IFERROR(array_constrain(FILTER('Leetcode分类顺序表'!B:J,'Leetcode分类顺序表'!A:A = B571), 1, 10000000),IFERROR(FILTER(Algoexpert.io!B:D,Algoexpert.io!A:A = B571),FILTER('Leetcode List'!B:J,'Leetcode List'!A:A = B571))))"),"")</f>
        <v/>
      </c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>
      <c r="A572" s="22"/>
      <c r="B572" s="20"/>
      <c r="C572" s="20" t="str">
        <f>IFERROR(__xludf.DUMMYFUNCTION("IF(ISBLANK(B572),,IFERROR(array_constrain(FILTER('Leetcode分类顺序表'!B:J,'Leetcode分类顺序表'!A:A = B572), 1, 10000000),IFERROR(FILTER(Algoexpert.io!B:D,Algoexpert.io!A:A = B572),FILTER('Leetcode List'!B:J,'Leetcode List'!A:A = B572))))"),"")</f>
        <v/>
      </c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>
      <c r="A573" s="22"/>
      <c r="B573" s="20"/>
      <c r="C573" s="20" t="str">
        <f>IFERROR(__xludf.DUMMYFUNCTION("IF(ISBLANK(B573),,IFERROR(array_constrain(FILTER('Leetcode分类顺序表'!B:J,'Leetcode分类顺序表'!A:A = B573), 1, 10000000),IFERROR(FILTER(Algoexpert.io!B:D,Algoexpert.io!A:A = B573),FILTER('Leetcode List'!B:J,'Leetcode List'!A:A = B573))))"),"")</f>
        <v/>
      </c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>
      <c r="A574" s="22"/>
      <c r="B574" s="20"/>
      <c r="C574" s="20" t="str">
        <f>IFERROR(__xludf.DUMMYFUNCTION("IF(ISBLANK(B574),,IFERROR(array_constrain(FILTER('Leetcode分类顺序表'!B:J,'Leetcode分类顺序表'!A:A = B574), 1, 10000000),IFERROR(FILTER(Algoexpert.io!B:D,Algoexpert.io!A:A = B574),FILTER('Leetcode List'!B:J,'Leetcode List'!A:A = B574))))"),"")</f>
        <v/>
      </c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>
      <c r="A575" s="22"/>
      <c r="B575" s="20"/>
      <c r="C575" s="20" t="str">
        <f>IFERROR(__xludf.DUMMYFUNCTION("IF(ISBLANK(B575),,IFERROR(array_constrain(FILTER('Leetcode分类顺序表'!B:J,'Leetcode分类顺序表'!A:A = B575), 1, 10000000),IFERROR(FILTER(Algoexpert.io!B:D,Algoexpert.io!A:A = B575),FILTER('Leetcode List'!B:J,'Leetcode List'!A:A = B575))))"),"")</f>
        <v/>
      </c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>
      <c r="A576" s="22"/>
      <c r="B576" s="20"/>
      <c r="C576" s="20" t="str">
        <f>IFERROR(__xludf.DUMMYFUNCTION("IF(ISBLANK(B576),,IFERROR(array_constrain(FILTER('Leetcode分类顺序表'!B:J,'Leetcode分类顺序表'!A:A = B576), 1, 10000000),IFERROR(FILTER(Algoexpert.io!B:D,Algoexpert.io!A:A = B576),FILTER('Leetcode List'!B:J,'Leetcode List'!A:A = B576))))"),"")</f>
        <v/>
      </c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>
      <c r="A577" s="22"/>
      <c r="B577" s="20"/>
      <c r="C577" s="20" t="str">
        <f>IFERROR(__xludf.DUMMYFUNCTION("IF(ISBLANK(B577),,IFERROR(array_constrain(FILTER('Leetcode分类顺序表'!B:J,'Leetcode分类顺序表'!A:A = B577), 1, 10000000),IFERROR(FILTER(Algoexpert.io!B:D,Algoexpert.io!A:A = B577),FILTER('Leetcode List'!B:J,'Leetcode List'!A:A = B577))))"),"")</f>
        <v/>
      </c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>
      <c r="A578" s="22"/>
      <c r="B578" s="20"/>
      <c r="C578" s="20" t="str">
        <f>IFERROR(__xludf.DUMMYFUNCTION("IF(ISBLANK(B578),,IFERROR(array_constrain(FILTER('Leetcode分类顺序表'!B:J,'Leetcode分类顺序表'!A:A = B578), 1, 10000000),IFERROR(FILTER(Algoexpert.io!B:D,Algoexpert.io!A:A = B578),FILTER('Leetcode List'!B:J,'Leetcode List'!A:A = B578))))"),"")</f>
        <v/>
      </c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>
      <c r="A579" s="22"/>
      <c r="B579" s="20"/>
      <c r="C579" s="20" t="str">
        <f>IFERROR(__xludf.DUMMYFUNCTION("IF(ISBLANK(B579),,IFERROR(array_constrain(FILTER('Leetcode分类顺序表'!B:J,'Leetcode分类顺序表'!A:A = B579), 1, 10000000),IFERROR(FILTER(Algoexpert.io!B:D,Algoexpert.io!A:A = B579),FILTER('Leetcode List'!B:J,'Leetcode List'!A:A = B579))))"),"")</f>
        <v/>
      </c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>
      <c r="A580" s="22"/>
      <c r="B580" s="20"/>
      <c r="C580" s="20" t="str">
        <f>IFERROR(__xludf.DUMMYFUNCTION("IF(ISBLANK(B580),,IFERROR(array_constrain(FILTER('Leetcode分类顺序表'!B:J,'Leetcode分类顺序表'!A:A = B580), 1, 10000000),IFERROR(FILTER(Algoexpert.io!B:D,Algoexpert.io!A:A = B580),FILTER('Leetcode List'!B:J,'Leetcode List'!A:A = B580))))"),"")</f>
        <v/>
      </c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>
      <c r="A581" s="22"/>
      <c r="B581" s="20"/>
      <c r="C581" s="20" t="str">
        <f>IFERROR(__xludf.DUMMYFUNCTION("IF(ISBLANK(B581),,IFERROR(array_constrain(FILTER('Leetcode分类顺序表'!B:J,'Leetcode分类顺序表'!A:A = B581), 1, 10000000),IFERROR(FILTER(Algoexpert.io!B:D,Algoexpert.io!A:A = B581),FILTER('Leetcode List'!B:J,'Leetcode List'!A:A = B581))))"),"")</f>
        <v/>
      </c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>
      <c r="A582" s="22"/>
      <c r="B582" s="20"/>
      <c r="C582" s="20" t="str">
        <f>IFERROR(__xludf.DUMMYFUNCTION("IF(ISBLANK(B582),,IFERROR(array_constrain(FILTER('Leetcode分类顺序表'!B:J,'Leetcode分类顺序表'!A:A = B582), 1, 10000000),IFERROR(FILTER(Algoexpert.io!B:D,Algoexpert.io!A:A = B582),FILTER('Leetcode List'!B:J,'Leetcode List'!A:A = B582))))"),"")</f>
        <v/>
      </c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>
      <c r="A583" s="22"/>
      <c r="B583" s="20"/>
      <c r="C583" s="20" t="str">
        <f>IFERROR(__xludf.DUMMYFUNCTION("IF(ISBLANK(B583),,IFERROR(array_constrain(FILTER('Leetcode分类顺序表'!B:J,'Leetcode分类顺序表'!A:A = B583), 1, 10000000),IFERROR(FILTER(Algoexpert.io!B:D,Algoexpert.io!A:A = B583),FILTER('Leetcode List'!B:J,'Leetcode List'!A:A = B583))))"),"")</f>
        <v/>
      </c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>
      <c r="A584" s="22"/>
      <c r="B584" s="20"/>
      <c r="C584" s="20" t="str">
        <f>IFERROR(__xludf.DUMMYFUNCTION("IF(ISBLANK(B584),,IFERROR(array_constrain(FILTER('Leetcode分类顺序表'!B:J,'Leetcode分类顺序表'!A:A = B584), 1, 10000000),IFERROR(FILTER(Algoexpert.io!B:D,Algoexpert.io!A:A = B584),FILTER('Leetcode List'!B:J,'Leetcode List'!A:A = B584))))"),"")</f>
        <v/>
      </c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>
      <c r="A585" s="22"/>
      <c r="B585" s="20"/>
      <c r="C585" s="20" t="str">
        <f>IFERROR(__xludf.DUMMYFUNCTION("IF(ISBLANK(B585),,IFERROR(array_constrain(FILTER('Leetcode分类顺序表'!B:J,'Leetcode分类顺序表'!A:A = B585), 1, 10000000),IFERROR(FILTER(Algoexpert.io!B:D,Algoexpert.io!A:A = B585),FILTER('Leetcode List'!B:J,'Leetcode List'!A:A = B585))))"),"")</f>
        <v/>
      </c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>
      <c r="A586" s="22"/>
      <c r="B586" s="20"/>
      <c r="C586" s="20" t="str">
        <f>IFERROR(__xludf.DUMMYFUNCTION("IF(ISBLANK(B586),,IFERROR(array_constrain(FILTER('Leetcode分类顺序表'!B:J,'Leetcode分类顺序表'!A:A = B586), 1, 10000000),IFERROR(FILTER(Algoexpert.io!B:D,Algoexpert.io!A:A = B586),FILTER('Leetcode List'!B:J,'Leetcode List'!A:A = B586))))"),"")</f>
        <v/>
      </c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>
      <c r="A587" s="22"/>
      <c r="B587" s="20"/>
      <c r="C587" s="20" t="str">
        <f>IFERROR(__xludf.DUMMYFUNCTION("IF(ISBLANK(B587),,IFERROR(array_constrain(FILTER('Leetcode分类顺序表'!B:J,'Leetcode分类顺序表'!A:A = B587), 1, 10000000),IFERROR(FILTER(Algoexpert.io!B:D,Algoexpert.io!A:A = B587),FILTER('Leetcode List'!B:J,'Leetcode List'!A:A = B587))))"),"")</f>
        <v/>
      </c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>
      <c r="A588" s="22"/>
      <c r="B588" s="20"/>
      <c r="C588" s="20" t="str">
        <f>IFERROR(__xludf.DUMMYFUNCTION("IF(ISBLANK(B588),,IFERROR(array_constrain(FILTER('Leetcode分类顺序表'!B:J,'Leetcode分类顺序表'!A:A = B588), 1, 10000000),IFERROR(FILTER(Algoexpert.io!B:D,Algoexpert.io!A:A = B588),FILTER('Leetcode List'!B:J,'Leetcode List'!A:A = B588))))"),"")</f>
        <v/>
      </c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>
      <c r="A589" s="22"/>
      <c r="B589" s="20"/>
      <c r="C589" s="20" t="str">
        <f>IFERROR(__xludf.DUMMYFUNCTION("IF(ISBLANK(B589),,IFERROR(array_constrain(FILTER('Leetcode分类顺序表'!B:J,'Leetcode分类顺序表'!A:A = B589), 1, 10000000),IFERROR(FILTER(Algoexpert.io!B:D,Algoexpert.io!A:A = B589),FILTER('Leetcode List'!B:J,'Leetcode List'!A:A = B589))))"),"")</f>
        <v/>
      </c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>
      <c r="A590" s="22"/>
      <c r="B590" s="20"/>
      <c r="C590" s="20" t="str">
        <f>IFERROR(__xludf.DUMMYFUNCTION("IF(ISBLANK(B590),,IFERROR(array_constrain(FILTER('Leetcode分类顺序表'!B:J,'Leetcode分类顺序表'!A:A = B590), 1, 10000000),IFERROR(FILTER(Algoexpert.io!B:D,Algoexpert.io!A:A = B590),FILTER('Leetcode List'!B:J,'Leetcode List'!A:A = B590))))"),"")</f>
        <v/>
      </c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>
      <c r="A591" s="22"/>
      <c r="B591" s="20"/>
      <c r="C591" s="20" t="str">
        <f>IFERROR(__xludf.DUMMYFUNCTION("IF(ISBLANK(B591),,IFERROR(array_constrain(FILTER('Leetcode分类顺序表'!B:J,'Leetcode分类顺序表'!A:A = B591), 1, 10000000),IFERROR(FILTER(Algoexpert.io!B:D,Algoexpert.io!A:A = B591),FILTER('Leetcode List'!B:J,'Leetcode List'!A:A = B591))))"),"")</f>
        <v/>
      </c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>
      <c r="A592" s="22"/>
      <c r="B592" s="20"/>
      <c r="C592" s="20" t="str">
        <f>IFERROR(__xludf.DUMMYFUNCTION("IF(ISBLANK(B592),,IFERROR(array_constrain(FILTER('Leetcode分类顺序表'!B:J,'Leetcode分类顺序表'!A:A = B592), 1, 10000000),IFERROR(FILTER(Algoexpert.io!B:D,Algoexpert.io!A:A = B592),FILTER('Leetcode List'!B:J,'Leetcode List'!A:A = B592))))"),"")</f>
        <v/>
      </c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>
      <c r="A593" s="22"/>
      <c r="B593" s="20"/>
      <c r="C593" s="20" t="str">
        <f>IFERROR(__xludf.DUMMYFUNCTION("IF(ISBLANK(B593),,IFERROR(array_constrain(FILTER('Leetcode分类顺序表'!B:J,'Leetcode分类顺序表'!A:A = B593), 1, 10000000),IFERROR(FILTER(Algoexpert.io!B:D,Algoexpert.io!A:A = B593),FILTER('Leetcode List'!B:J,'Leetcode List'!A:A = B593))))"),"")</f>
        <v/>
      </c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>
      <c r="A594" s="22"/>
      <c r="B594" s="20"/>
      <c r="C594" s="20" t="str">
        <f>IFERROR(__xludf.DUMMYFUNCTION("IF(ISBLANK(B594),,IFERROR(array_constrain(FILTER('Leetcode分类顺序表'!B:J,'Leetcode分类顺序表'!A:A = B594), 1, 10000000),IFERROR(FILTER(Algoexpert.io!B:D,Algoexpert.io!A:A = B594),FILTER('Leetcode List'!B:J,'Leetcode List'!A:A = B594))))"),"")</f>
        <v/>
      </c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>
      <c r="A595" s="22"/>
      <c r="B595" s="20"/>
      <c r="C595" s="20" t="str">
        <f>IFERROR(__xludf.DUMMYFUNCTION("IF(ISBLANK(B595),,IFERROR(array_constrain(FILTER('Leetcode分类顺序表'!B:J,'Leetcode分类顺序表'!A:A = B595), 1, 10000000),IFERROR(FILTER(Algoexpert.io!B:D,Algoexpert.io!A:A = B595),FILTER('Leetcode List'!B:J,'Leetcode List'!A:A = B595))))"),"")</f>
        <v/>
      </c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>
      <c r="A596" s="22"/>
      <c r="B596" s="20"/>
      <c r="C596" s="20" t="str">
        <f>IFERROR(__xludf.DUMMYFUNCTION("IF(ISBLANK(B596),,IFERROR(array_constrain(FILTER('Leetcode分类顺序表'!B:J,'Leetcode分类顺序表'!A:A = B596), 1, 10000000),IFERROR(FILTER(Algoexpert.io!B:D,Algoexpert.io!A:A = B596),FILTER('Leetcode List'!B:J,'Leetcode List'!A:A = B596))))"),"")</f>
        <v/>
      </c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>
      <c r="A597" s="22"/>
      <c r="B597" s="20"/>
      <c r="C597" s="20" t="str">
        <f>IFERROR(__xludf.DUMMYFUNCTION("IF(ISBLANK(B597),,IFERROR(array_constrain(FILTER('Leetcode分类顺序表'!B:J,'Leetcode分类顺序表'!A:A = B597), 1, 10000000),IFERROR(FILTER(Algoexpert.io!B:D,Algoexpert.io!A:A = B597),FILTER('Leetcode List'!B:J,'Leetcode List'!A:A = B597))))"),"")</f>
        <v/>
      </c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>
      <c r="A598" s="22"/>
      <c r="B598" s="20"/>
      <c r="C598" s="20" t="str">
        <f>IFERROR(__xludf.DUMMYFUNCTION("IF(ISBLANK(B598),,IFERROR(array_constrain(FILTER('Leetcode分类顺序表'!B:J,'Leetcode分类顺序表'!A:A = B598), 1, 10000000),IFERROR(FILTER(Algoexpert.io!B:D,Algoexpert.io!A:A = B598),FILTER('Leetcode List'!B:J,'Leetcode List'!A:A = B598))))"),"")</f>
        <v/>
      </c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>
      <c r="A599" s="22"/>
      <c r="B599" s="20"/>
      <c r="C599" s="20" t="str">
        <f>IFERROR(__xludf.DUMMYFUNCTION("IF(ISBLANK(B599),,IFERROR(array_constrain(FILTER('Leetcode分类顺序表'!B:J,'Leetcode分类顺序表'!A:A = B599), 1, 10000000),IFERROR(FILTER(Algoexpert.io!B:D,Algoexpert.io!A:A = B599),FILTER('Leetcode List'!B:J,'Leetcode List'!A:A = B599))))"),"")</f>
        <v/>
      </c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>
      <c r="A600" s="22"/>
      <c r="B600" s="20"/>
      <c r="C600" s="20" t="str">
        <f>IFERROR(__xludf.DUMMYFUNCTION("IF(ISBLANK(B600),,IFERROR(array_constrain(FILTER('Leetcode分类顺序表'!B:J,'Leetcode分类顺序表'!A:A = B600), 1, 10000000),IFERROR(FILTER(Algoexpert.io!B:D,Algoexpert.io!A:A = B600),FILTER('Leetcode List'!B:J,'Leetcode List'!A:A = B600))))"),"")</f>
        <v/>
      </c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>
      <c r="A601" s="22"/>
      <c r="B601" s="20"/>
      <c r="C601" s="20" t="str">
        <f>IFERROR(__xludf.DUMMYFUNCTION("IF(ISBLANK(B601),,IFERROR(array_constrain(FILTER('Leetcode分类顺序表'!B:J,'Leetcode分类顺序表'!A:A = B601), 1, 10000000),IFERROR(FILTER(Algoexpert.io!B:D,Algoexpert.io!A:A = B601),FILTER('Leetcode List'!B:J,'Leetcode List'!A:A = B601))))"),"")</f>
        <v/>
      </c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>
      <c r="A602" s="22"/>
      <c r="B602" s="20"/>
      <c r="C602" s="20" t="str">
        <f>IFERROR(__xludf.DUMMYFUNCTION("IF(ISBLANK(B602),,IFERROR(array_constrain(FILTER('Leetcode分类顺序表'!B:J,'Leetcode分类顺序表'!A:A = B602), 1, 10000000),IFERROR(FILTER(Algoexpert.io!B:D,Algoexpert.io!A:A = B602),FILTER('Leetcode List'!B:J,'Leetcode List'!A:A = B602))))"),"")</f>
        <v/>
      </c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>
      <c r="A603" s="22"/>
      <c r="B603" s="20"/>
      <c r="C603" s="20" t="str">
        <f>IFERROR(__xludf.DUMMYFUNCTION("IF(ISBLANK(B603),,IFERROR(array_constrain(FILTER('Leetcode分类顺序表'!B:J,'Leetcode分类顺序表'!A:A = B603), 1, 10000000),IFERROR(FILTER(Algoexpert.io!B:D,Algoexpert.io!A:A = B603),FILTER('Leetcode List'!B:J,'Leetcode List'!A:A = B603))))"),"")</f>
        <v/>
      </c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>
      <c r="A604" s="22"/>
      <c r="B604" s="20"/>
      <c r="C604" s="20" t="str">
        <f>IFERROR(__xludf.DUMMYFUNCTION("IF(ISBLANK(B604),,IFERROR(array_constrain(FILTER('Leetcode分类顺序表'!B:J,'Leetcode分类顺序表'!A:A = B604), 1, 10000000),IFERROR(FILTER(Algoexpert.io!B:D,Algoexpert.io!A:A = B604),FILTER('Leetcode List'!B:J,'Leetcode List'!A:A = B604))))"),"")</f>
        <v/>
      </c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>
      <c r="A605" s="22"/>
      <c r="B605" s="20"/>
      <c r="C605" s="20" t="str">
        <f>IFERROR(__xludf.DUMMYFUNCTION("IF(ISBLANK(B605),,IFERROR(array_constrain(FILTER('Leetcode分类顺序表'!B:J,'Leetcode分类顺序表'!A:A = B605), 1, 10000000),IFERROR(FILTER(Algoexpert.io!B:D,Algoexpert.io!A:A = B605),FILTER('Leetcode List'!B:J,'Leetcode List'!A:A = B605))))"),"")</f>
        <v/>
      </c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>
      <c r="A606" s="22"/>
      <c r="B606" s="20"/>
      <c r="C606" s="20" t="str">
        <f>IFERROR(__xludf.DUMMYFUNCTION("IF(ISBLANK(B606),,IFERROR(array_constrain(FILTER('Leetcode分类顺序表'!B:J,'Leetcode分类顺序表'!A:A = B606), 1, 10000000),IFERROR(FILTER(Algoexpert.io!B:D,Algoexpert.io!A:A = B606),FILTER('Leetcode List'!B:J,'Leetcode List'!A:A = B606))))"),"")</f>
        <v/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>
      <c r="A607" s="22"/>
      <c r="B607" s="20"/>
      <c r="C607" s="20" t="str">
        <f>IFERROR(__xludf.DUMMYFUNCTION("IF(ISBLANK(B607),,IFERROR(array_constrain(FILTER('Leetcode分类顺序表'!B:J,'Leetcode分类顺序表'!A:A = B607), 1, 10000000),IFERROR(FILTER(Algoexpert.io!B:D,Algoexpert.io!A:A = B607),FILTER('Leetcode List'!B:J,'Leetcode List'!A:A = B607))))"),"")</f>
        <v/>
      </c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>
      <c r="A608" s="22"/>
      <c r="B608" s="20"/>
      <c r="C608" s="20" t="str">
        <f>IFERROR(__xludf.DUMMYFUNCTION("IF(ISBLANK(B608),,IFERROR(array_constrain(FILTER('Leetcode分类顺序表'!B:J,'Leetcode分类顺序表'!A:A = B608), 1, 10000000),IFERROR(FILTER(Algoexpert.io!B:D,Algoexpert.io!A:A = B608),FILTER('Leetcode List'!B:J,'Leetcode List'!A:A = B608))))"),"")</f>
        <v/>
      </c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>
      <c r="A609" s="22"/>
      <c r="B609" s="20"/>
      <c r="C609" s="20" t="str">
        <f>IFERROR(__xludf.DUMMYFUNCTION("IF(ISBLANK(B609),,IFERROR(array_constrain(FILTER('Leetcode分类顺序表'!B:J,'Leetcode分类顺序表'!A:A = B609), 1, 10000000),IFERROR(FILTER(Algoexpert.io!B:D,Algoexpert.io!A:A = B609),FILTER('Leetcode List'!B:J,'Leetcode List'!A:A = B609))))"),"")</f>
        <v/>
      </c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>
      <c r="A610" s="22"/>
      <c r="B610" s="20"/>
      <c r="C610" s="20" t="str">
        <f>IFERROR(__xludf.DUMMYFUNCTION("IF(ISBLANK(B610),,IFERROR(array_constrain(FILTER('Leetcode分类顺序表'!B:J,'Leetcode分类顺序表'!A:A = B610), 1, 10000000),IFERROR(FILTER(Algoexpert.io!B:D,Algoexpert.io!A:A = B610),FILTER('Leetcode List'!B:J,'Leetcode List'!A:A = B610))))"),"")</f>
        <v/>
      </c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>
      <c r="A611" s="22"/>
      <c r="B611" s="20"/>
      <c r="C611" s="20" t="str">
        <f>IFERROR(__xludf.DUMMYFUNCTION("IF(ISBLANK(B611),,IFERROR(array_constrain(FILTER('Leetcode分类顺序表'!B:J,'Leetcode分类顺序表'!A:A = B611), 1, 10000000),IFERROR(FILTER(Algoexpert.io!B:D,Algoexpert.io!A:A = B611),FILTER('Leetcode List'!B:J,'Leetcode List'!A:A = B611))))"),"")</f>
        <v/>
      </c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>
      <c r="A612" s="22"/>
      <c r="B612" s="20"/>
      <c r="C612" s="20" t="str">
        <f>IFERROR(__xludf.DUMMYFUNCTION("IF(ISBLANK(B612),,IFERROR(array_constrain(FILTER('Leetcode分类顺序表'!B:J,'Leetcode分类顺序表'!A:A = B612), 1, 10000000),IFERROR(FILTER(Algoexpert.io!B:D,Algoexpert.io!A:A = B612),FILTER('Leetcode List'!B:J,'Leetcode List'!A:A = B612))))"),"")</f>
        <v/>
      </c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>
      <c r="A613" s="22"/>
      <c r="B613" s="20"/>
      <c r="C613" s="20" t="str">
        <f>IFERROR(__xludf.DUMMYFUNCTION("IF(ISBLANK(B613),,IFERROR(array_constrain(FILTER('Leetcode分类顺序表'!B:J,'Leetcode分类顺序表'!A:A = B613), 1, 10000000),IFERROR(FILTER(Algoexpert.io!B:D,Algoexpert.io!A:A = B613),FILTER('Leetcode List'!B:J,'Leetcode List'!A:A = B613))))"),"")</f>
        <v/>
      </c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>
      <c r="A614" s="22"/>
      <c r="B614" s="20"/>
      <c r="C614" s="20" t="str">
        <f>IFERROR(__xludf.DUMMYFUNCTION("IF(ISBLANK(B614),,IFERROR(array_constrain(FILTER('Leetcode分类顺序表'!B:J,'Leetcode分类顺序表'!A:A = B614), 1, 10000000),IFERROR(FILTER(Algoexpert.io!B:D,Algoexpert.io!A:A = B614),FILTER('Leetcode List'!B:J,'Leetcode List'!A:A = B614))))"),"")</f>
        <v/>
      </c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>
      <c r="A615" s="22"/>
      <c r="B615" s="20"/>
      <c r="C615" s="20" t="str">
        <f>IFERROR(__xludf.DUMMYFUNCTION("IF(ISBLANK(B615),,IFERROR(array_constrain(FILTER('Leetcode分类顺序表'!B:J,'Leetcode分类顺序表'!A:A = B615), 1, 10000000),IFERROR(FILTER(Algoexpert.io!B:D,Algoexpert.io!A:A = B615),FILTER('Leetcode List'!B:J,'Leetcode List'!A:A = B615))))"),"")</f>
        <v/>
      </c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>
      <c r="A616" s="22"/>
      <c r="B616" s="20"/>
      <c r="C616" s="20" t="str">
        <f>IFERROR(__xludf.DUMMYFUNCTION("IF(ISBLANK(B616),,IFERROR(array_constrain(FILTER('Leetcode分类顺序表'!B:J,'Leetcode分类顺序表'!A:A = B616), 1, 10000000),IFERROR(FILTER(Algoexpert.io!B:D,Algoexpert.io!A:A = B616),FILTER('Leetcode List'!B:J,'Leetcode List'!A:A = B616))))"),"")</f>
        <v/>
      </c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>
      <c r="A617" s="22"/>
      <c r="B617" s="20"/>
      <c r="C617" s="20" t="str">
        <f>IFERROR(__xludf.DUMMYFUNCTION("IF(ISBLANK(B617),,IFERROR(array_constrain(FILTER('Leetcode分类顺序表'!B:J,'Leetcode分类顺序表'!A:A = B617), 1, 10000000),IFERROR(FILTER(Algoexpert.io!B:D,Algoexpert.io!A:A = B617),FILTER('Leetcode List'!B:J,'Leetcode List'!A:A = B617))))"),"")</f>
        <v/>
      </c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>
      <c r="A618" s="22"/>
      <c r="B618" s="20"/>
      <c r="C618" s="20" t="str">
        <f>IFERROR(__xludf.DUMMYFUNCTION("IF(ISBLANK(B618),,IFERROR(array_constrain(FILTER('Leetcode分类顺序表'!B:J,'Leetcode分类顺序表'!A:A = B618), 1, 10000000),IFERROR(FILTER(Algoexpert.io!B:D,Algoexpert.io!A:A = B618),FILTER('Leetcode List'!B:J,'Leetcode List'!A:A = B618))))"),"")</f>
        <v/>
      </c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>
      <c r="A619" s="22"/>
      <c r="B619" s="20"/>
      <c r="C619" s="20" t="str">
        <f>IFERROR(__xludf.DUMMYFUNCTION("IF(ISBLANK(B619),,IFERROR(array_constrain(FILTER('Leetcode分类顺序表'!B:J,'Leetcode分类顺序表'!A:A = B619), 1, 10000000),IFERROR(FILTER(Algoexpert.io!B:D,Algoexpert.io!A:A = B619),FILTER('Leetcode List'!B:J,'Leetcode List'!A:A = B619))))"),"")</f>
        <v/>
      </c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>
      <c r="A620" s="22"/>
      <c r="B620" s="20"/>
      <c r="C620" s="20" t="str">
        <f>IFERROR(__xludf.DUMMYFUNCTION("IF(ISBLANK(B620),,IFERROR(array_constrain(FILTER('Leetcode分类顺序表'!B:J,'Leetcode分类顺序表'!A:A = B620), 1, 10000000),IFERROR(FILTER(Algoexpert.io!B:D,Algoexpert.io!A:A = B620),FILTER('Leetcode List'!B:J,'Leetcode List'!A:A = B620))))"),"")</f>
        <v/>
      </c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>
      <c r="A621" s="22"/>
      <c r="B621" s="20"/>
      <c r="C621" s="20" t="str">
        <f>IFERROR(__xludf.DUMMYFUNCTION("IF(ISBLANK(B621),,IFERROR(array_constrain(FILTER('Leetcode分类顺序表'!B:J,'Leetcode分类顺序表'!A:A = B621), 1, 10000000),IFERROR(FILTER(Algoexpert.io!B:D,Algoexpert.io!A:A = B621),FILTER('Leetcode List'!B:J,'Leetcode List'!A:A = B621))))"),"")</f>
        <v/>
      </c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>
      <c r="A622" s="22"/>
      <c r="B622" s="20"/>
      <c r="C622" s="20" t="str">
        <f>IFERROR(__xludf.DUMMYFUNCTION("IF(ISBLANK(B622),,IFERROR(array_constrain(FILTER('Leetcode分类顺序表'!B:J,'Leetcode分类顺序表'!A:A = B622), 1, 10000000),IFERROR(FILTER(Algoexpert.io!B:D,Algoexpert.io!A:A = B622),FILTER('Leetcode List'!B:J,'Leetcode List'!A:A = B622))))"),"")</f>
        <v/>
      </c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>
      <c r="A623" s="22"/>
      <c r="B623" s="20"/>
      <c r="C623" s="20" t="str">
        <f>IFERROR(__xludf.DUMMYFUNCTION("IF(ISBLANK(B623),,IFERROR(array_constrain(FILTER('Leetcode分类顺序表'!B:J,'Leetcode分类顺序表'!A:A = B623), 1, 10000000),IFERROR(FILTER(Algoexpert.io!B:D,Algoexpert.io!A:A = B623),FILTER('Leetcode List'!B:J,'Leetcode List'!A:A = B623))))"),"")</f>
        <v/>
      </c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>
      <c r="A624" s="22"/>
      <c r="B624" s="20"/>
      <c r="C624" s="20" t="str">
        <f>IFERROR(__xludf.DUMMYFUNCTION("IF(ISBLANK(B624),,IFERROR(array_constrain(FILTER('Leetcode分类顺序表'!B:J,'Leetcode分类顺序表'!A:A = B624), 1, 10000000),IFERROR(FILTER(Algoexpert.io!B:D,Algoexpert.io!A:A = B624),FILTER('Leetcode List'!B:J,'Leetcode List'!A:A = B624))))"),"")</f>
        <v/>
      </c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>
      <c r="A625" s="22"/>
      <c r="B625" s="20"/>
      <c r="C625" s="20" t="str">
        <f>IFERROR(__xludf.DUMMYFUNCTION("IF(ISBLANK(B625),,IFERROR(array_constrain(FILTER('Leetcode分类顺序表'!B:J,'Leetcode分类顺序表'!A:A = B625), 1, 10000000),IFERROR(FILTER(Algoexpert.io!B:D,Algoexpert.io!A:A = B625),FILTER('Leetcode List'!B:J,'Leetcode List'!A:A = B625))))"),"")</f>
        <v/>
      </c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>
      <c r="A626" s="22"/>
      <c r="B626" s="20"/>
      <c r="C626" s="20" t="str">
        <f>IFERROR(__xludf.DUMMYFUNCTION("IF(ISBLANK(B626),,IFERROR(array_constrain(FILTER('Leetcode分类顺序表'!B:J,'Leetcode分类顺序表'!A:A = B626), 1, 10000000),IFERROR(FILTER(Algoexpert.io!B:D,Algoexpert.io!A:A = B626),FILTER('Leetcode List'!B:J,'Leetcode List'!A:A = B626))))"),"")</f>
        <v/>
      </c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>
      <c r="A627" s="22"/>
      <c r="B627" s="20"/>
      <c r="C627" s="20" t="str">
        <f>IFERROR(__xludf.DUMMYFUNCTION("IF(ISBLANK(B627),,IFERROR(array_constrain(FILTER('Leetcode分类顺序表'!B:J,'Leetcode分类顺序表'!A:A = B627), 1, 10000000),IFERROR(FILTER(Algoexpert.io!B:D,Algoexpert.io!A:A = B627),FILTER('Leetcode List'!B:J,'Leetcode List'!A:A = B627))))"),"")</f>
        <v/>
      </c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>
      <c r="A628" s="22"/>
      <c r="B628" s="20"/>
      <c r="C628" s="20" t="str">
        <f>IFERROR(__xludf.DUMMYFUNCTION("IF(ISBLANK(B628),,IFERROR(array_constrain(FILTER('Leetcode分类顺序表'!B:J,'Leetcode分类顺序表'!A:A = B628), 1, 10000000),IFERROR(FILTER(Algoexpert.io!B:D,Algoexpert.io!A:A = B628),FILTER('Leetcode List'!B:J,'Leetcode List'!A:A = B628))))"),"")</f>
        <v/>
      </c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>
      <c r="A629" s="22"/>
      <c r="B629" s="20"/>
      <c r="C629" s="20" t="str">
        <f>IFERROR(__xludf.DUMMYFUNCTION("IF(ISBLANK(B629),,IFERROR(array_constrain(FILTER('Leetcode分类顺序表'!B:J,'Leetcode分类顺序表'!A:A = B629), 1, 10000000),IFERROR(FILTER(Algoexpert.io!B:D,Algoexpert.io!A:A = B629),FILTER('Leetcode List'!B:J,'Leetcode List'!A:A = B629))))"),"")</f>
        <v/>
      </c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>
      <c r="A630" s="22"/>
      <c r="B630" s="20"/>
      <c r="C630" s="20" t="str">
        <f>IFERROR(__xludf.DUMMYFUNCTION("IF(ISBLANK(B630),,IFERROR(array_constrain(FILTER('Leetcode分类顺序表'!B:J,'Leetcode分类顺序表'!A:A = B630), 1, 10000000),IFERROR(FILTER(Algoexpert.io!B:D,Algoexpert.io!A:A = B630),FILTER('Leetcode List'!B:J,'Leetcode List'!A:A = B630))))"),"")</f>
        <v/>
      </c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>
      <c r="A631" s="22"/>
      <c r="B631" s="20"/>
      <c r="C631" s="20" t="str">
        <f>IFERROR(__xludf.DUMMYFUNCTION("IF(ISBLANK(B631),,IFERROR(array_constrain(FILTER('Leetcode分类顺序表'!B:J,'Leetcode分类顺序表'!A:A = B631), 1, 10000000),IFERROR(FILTER(Algoexpert.io!B:D,Algoexpert.io!A:A = B631),FILTER('Leetcode List'!B:J,'Leetcode List'!A:A = B631))))"),"")</f>
        <v/>
      </c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>
      <c r="A632" s="22"/>
      <c r="B632" s="20"/>
      <c r="C632" s="20" t="str">
        <f>IFERROR(__xludf.DUMMYFUNCTION("IF(ISBLANK(B632),,IFERROR(array_constrain(FILTER('Leetcode分类顺序表'!B:J,'Leetcode分类顺序表'!A:A = B632), 1, 10000000),IFERROR(FILTER(Algoexpert.io!B:D,Algoexpert.io!A:A = B632),FILTER('Leetcode List'!B:J,'Leetcode List'!A:A = B632))))"),"")</f>
        <v/>
      </c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>
      <c r="A633" s="22"/>
      <c r="B633" s="20"/>
      <c r="C633" s="20" t="str">
        <f>IFERROR(__xludf.DUMMYFUNCTION("IF(ISBLANK(B633),,IFERROR(array_constrain(FILTER('Leetcode分类顺序表'!B:J,'Leetcode分类顺序表'!A:A = B633), 1, 10000000),IFERROR(FILTER(Algoexpert.io!B:D,Algoexpert.io!A:A = B633),FILTER('Leetcode List'!B:J,'Leetcode List'!A:A = B633))))"),"")</f>
        <v/>
      </c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>
      <c r="A634" s="22"/>
      <c r="B634" s="20"/>
      <c r="C634" s="20" t="str">
        <f>IFERROR(__xludf.DUMMYFUNCTION("IF(ISBLANK(B634),,IFERROR(array_constrain(FILTER('Leetcode分类顺序表'!B:J,'Leetcode分类顺序表'!A:A = B634), 1, 10000000),IFERROR(FILTER(Algoexpert.io!B:D,Algoexpert.io!A:A = B634),FILTER('Leetcode List'!B:J,'Leetcode List'!A:A = B634))))"),"")</f>
        <v/>
      </c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>
      <c r="A635" s="22"/>
      <c r="B635" s="20"/>
      <c r="C635" s="20" t="str">
        <f>IFERROR(__xludf.DUMMYFUNCTION("IF(ISBLANK(B635),,IFERROR(array_constrain(FILTER('Leetcode分类顺序表'!B:J,'Leetcode分类顺序表'!A:A = B635), 1, 10000000),IFERROR(FILTER(Algoexpert.io!B:D,Algoexpert.io!A:A = B635),FILTER('Leetcode List'!B:J,'Leetcode List'!A:A = B635))))"),"")</f>
        <v/>
      </c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>
      <c r="A636" s="22"/>
      <c r="B636" s="20"/>
      <c r="C636" s="20" t="str">
        <f>IFERROR(__xludf.DUMMYFUNCTION("IF(ISBLANK(B636),,IFERROR(array_constrain(FILTER('Leetcode分类顺序表'!B:J,'Leetcode分类顺序表'!A:A = B636), 1, 10000000),IFERROR(FILTER(Algoexpert.io!B:D,Algoexpert.io!A:A = B636),FILTER('Leetcode List'!B:J,'Leetcode List'!A:A = B636))))"),"")</f>
        <v/>
      </c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>
      <c r="A637" s="22"/>
      <c r="B637" s="20"/>
      <c r="C637" s="20" t="str">
        <f>IFERROR(__xludf.DUMMYFUNCTION("IF(ISBLANK(B637),,IFERROR(array_constrain(FILTER('Leetcode分类顺序表'!B:J,'Leetcode分类顺序表'!A:A = B637), 1, 10000000),IFERROR(FILTER(Algoexpert.io!B:D,Algoexpert.io!A:A = B637),FILTER('Leetcode List'!B:J,'Leetcode List'!A:A = B637))))"),"")</f>
        <v/>
      </c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>
      <c r="A638" s="22"/>
      <c r="B638" s="20"/>
      <c r="C638" s="20" t="str">
        <f>IFERROR(__xludf.DUMMYFUNCTION("IF(ISBLANK(B638),,IFERROR(array_constrain(FILTER('Leetcode分类顺序表'!B:J,'Leetcode分类顺序表'!A:A = B638), 1, 10000000),IFERROR(FILTER(Algoexpert.io!B:D,Algoexpert.io!A:A = B638),FILTER('Leetcode List'!B:J,'Leetcode List'!A:A = B638))))"),"")</f>
        <v/>
      </c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>
      <c r="A639" s="22"/>
      <c r="B639" s="20"/>
      <c r="C639" s="20" t="str">
        <f>IFERROR(__xludf.DUMMYFUNCTION("IF(ISBLANK(B639),,IFERROR(array_constrain(FILTER('Leetcode分类顺序表'!B:J,'Leetcode分类顺序表'!A:A = B639), 1, 10000000),IFERROR(FILTER(Algoexpert.io!B:D,Algoexpert.io!A:A = B639),FILTER('Leetcode List'!B:J,'Leetcode List'!A:A = B639))))"),"")</f>
        <v/>
      </c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>
      <c r="A640" s="22"/>
      <c r="B640" s="20"/>
      <c r="C640" s="20" t="str">
        <f>IFERROR(__xludf.DUMMYFUNCTION("IF(ISBLANK(B640),,IFERROR(array_constrain(FILTER('Leetcode分类顺序表'!B:J,'Leetcode分类顺序表'!A:A = B640), 1, 10000000),IFERROR(FILTER(Algoexpert.io!B:D,Algoexpert.io!A:A = B640),FILTER('Leetcode List'!B:J,'Leetcode List'!A:A = B640))))"),"")</f>
        <v/>
      </c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>
      <c r="A641" s="22"/>
      <c r="B641" s="20"/>
      <c r="C641" s="20" t="str">
        <f>IFERROR(__xludf.DUMMYFUNCTION("IF(ISBLANK(B641),,IFERROR(array_constrain(FILTER('Leetcode分类顺序表'!B:J,'Leetcode分类顺序表'!A:A = B641), 1, 10000000),IFERROR(FILTER(Algoexpert.io!B:D,Algoexpert.io!A:A = B641),FILTER('Leetcode List'!B:J,'Leetcode List'!A:A = B641))))"),"")</f>
        <v/>
      </c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>
      <c r="A642" s="22"/>
      <c r="B642" s="20"/>
      <c r="C642" s="20" t="str">
        <f>IFERROR(__xludf.DUMMYFUNCTION("IF(ISBLANK(B642),,IFERROR(array_constrain(FILTER('Leetcode分类顺序表'!B:J,'Leetcode分类顺序表'!A:A = B642), 1, 10000000),IFERROR(FILTER(Algoexpert.io!B:D,Algoexpert.io!A:A = B642),FILTER('Leetcode List'!B:J,'Leetcode List'!A:A = B642))))"),"")</f>
        <v/>
      </c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>
      <c r="A643" s="22"/>
      <c r="B643" s="20"/>
      <c r="C643" s="20" t="str">
        <f>IFERROR(__xludf.DUMMYFUNCTION("IF(ISBLANK(B643),,IFERROR(array_constrain(FILTER('Leetcode分类顺序表'!B:J,'Leetcode分类顺序表'!A:A = B643), 1, 10000000),IFERROR(FILTER(Algoexpert.io!B:D,Algoexpert.io!A:A = B643),FILTER('Leetcode List'!B:J,'Leetcode List'!A:A = B643))))"),"")</f>
        <v/>
      </c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>
      <c r="A644" s="22"/>
      <c r="B644" s="20"/>
      <c r="C644" s="20" t="str">
        <f>IFERROR(__xludf.DUMMYFUNCTION("IF(ISBLANK(B644),,IFERROR(array_constrain(FILTER('Leetcode分类顺序表'!B:J,'Leetcode分类顺序表'!A:A = B644), 1, 10000000),IFERROR(FILTER(Algoexpert.io!B:D,Algoexpert.io!A:A = B644),FILTER('Leetcode List'!B:J,'Leetcode List'!A:A = B644))))"),"")</f>
        <v/>
      </c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>
      <c r="A645" s="22"/>
      <c r="B645" s="20"/>
      <c r="C645" s="20" t="str">
        <f>IFERROR(__xludf.DUMMYFUNCTION("IF(ISBLANK(B645),,IFERROR(array_constrain(FILTER('Leetcode分类顺序表'!B:J,'Leetcode分类顺序表'!A:A = B645), 1, 10000000),IFERROR(FILTER(Algoexpert.io!B:D,Algoexpert.io!A:A = B645),FILTER('Leetcode List'!B:J,'Leetcode List'!A:A = B645))))"),"")</f>
        <v/>
      </c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>
      <c r="A646" s="22"/>
      <c r="B646" s="20"/>
      <c r="C646" s="20" t="str">
        <f>IFERROR(__xludf.DUMMYFUNCTION("IF(ISBLANK(B646),,IFERROR(array_constrain(FILTER('Leetcode分类顺序表'!B:J,'Leetcode分类顺序表'!A:A = B646), 1, 10000000),IFERROR(FILTER(Algoexpert.io!B:D,Algoexpert.io!A:A = B646),FILTER('Leetcode List'!B:J,'Leetcode List'!A:A = B646))))"),"")</f>
        <v/>
      </c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>
      <c r="A647" s="22"/>
      <c r="B647" s="20"/>
      <c r="C647" s="20" t="str">
        <f>IFERROR(__xludf.DUMMYFUNCTION("IF(ISBLANK(B647),,IFERROR(array_constrain(FILTER('Leetcode分类顺序表'!B:J,'Leetcode分类顺序表'!A:A = B647), 1, 10000000),IFERROR(FILTER(Algoexpert.io!B:D,Algoexpert.io!A:A = B647),FILTER('Leetcode List'!B:J,'Leetcode List'!A:A = B647))))"),"")</f>
        <v/>
      </c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>
      <c r="A648" s="22"/>
      <c r="B648" s="20"/>
      <c r="C648" s="20" t="str">
        <f>IFERROR(__xludf.DUMMYFUNCTION("IF(ISBLANK(B648),,IFERROR(array_constrain(FILTER('Leetcode分类顺序表'!B:J,'Leetcode分类顺序表'!A:A = B648), 1, 10000000),IFERROR(FILTER(Algoexpert.io!B:D,Algoexpert.io!A:A = B648),FILTER('Leetcode List'!B:J,'Leetcode List'!A:A = B648))))"),"")</f>
        <v/>
      </c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>
      <c r="A649" s="22"/>
      <c r="B649" s="20"/>
      <c r="C649" s="20" t="str">
        <f>IFERROR(__xludf.DUMMYFUNCTION("IF(ISBLANK(B649),,IFERROR(array_constrain(FILTER('Leetcode分类顺序表'!B:J,'Leetcode分类顺序表'!A:A = B649), 1, 10000000),IFERROR(FILTER(Algoexpert.io!B:D,Algoexpert.io!A:A = B649),FILTER('Leetcode List'!B:J,'Leetcode List'!A:A = B649))))"),"")</f>
        <v/>
      </c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>
      <c r="A650" s="22"/>
      <c r="B650" s="20"/>
      <c r="C650" s="20" t="str">
        <f>IFERROR(__xludf.DUMMYFUNCTION("IF(ISBLANK(B650),,IFERROR(array_constrain(FILTER('Leetcode分类顺序表'!B:J,'Leetcode分类顺序表'!A:A = B650), 1, 10000000),IFERROR(FILTER(Algoexpert.io!B:D,Algoexpert.io!A:A = B650),FILTER('Leetcode List'!B:J,'Leetcode List'!A:A = B650))))"),"")</f>
        <v/>
      </c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>
      <c r="A651" s="22"/>
      <c r="B651" s="20"/>
      <c r="C651" s="20" t="str">
        <f>IFERROR(__xludf.DUMMYFUNCTION("IF(ISBLANK(B651),,IFERROR(array_constrain(FILTER('Leetcode分类顺序表'!B:J,'Leetcode分类顺序表'!A:A = B651), 1, 10000000),IFERROR(FILTER(Algoexpert.io!B:D,Algoexpert.io!A:A = B651),FILTER('Leetcode List'!B:J,'Leetcode List'!A:A = B651))))"),"")</f>
        <v/>
      </c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>
      <c r="A652" s="22"/>
      <c r="B652" s="20"/>
      <c r="C652" s="20" t="str">
        <f>IFERROR(__xludf.DUMMYFUNCTION("IF(ISBLANK(B652),,IFERROR(array_constrain(FILTER('Leetcode分类顺序表'!B:J,'Leetcode分类顺序表'!A:A = B652), 1, 10000000),IFERROR(FILTER(Algoexpert.io!B:D,Algoexpert.io!A:A = B652),FILTER('Leetcode List'!B:J,'Leetcode List'!A:A = B652))))"),"")</f>
        <v/>
      </c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>
      <c r="A653" s="22"/>
      <c r="B653" s="20"/>
      <c r="C653" s="20" t="str">
        <f>IFERROR(__xludf.DUMMYFUNCTION("IF(ISBLANK(B653),,IFERROR(array_constrain(FILTER('Leetcode分类顺序表'!B:J,'Leetcode分类顺序表'!A:A = B653), 1, 10000000),IFERROR(FILTER(Algoexpert.io!B:D,Algoexpert.io!A:A = B653),FILTER('Leetcode List'!B:J,'Leetcode List'!A:A = B653))))"),"")</f>
        <v/>
      </c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>
      <c r="A654" s="22"/>
      <c r="B654" s="20"/>
      <c r="C654" s="20" t="str">
        <f>IFERROR(__xludf.DUMMYFUNCTION("IF(ISBLANK(B654),,IFERROR(array_constrain(FILTER('Leetcode分类顺序表'!B:J,'Leetcode分类顺序表'!A:A = B654), 1, 10000000),IFERROR(FILTER(Algoexpert.io!B:D,Algoexpert.io!A:A = B654),FILTER('Leetcode List'!B:J,'Leetcode List'!A:A = B654))))"),"")</f>
        <v/>
      </c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>
      <c r="A655" s="22"/>
      <c r="B655" s="20"/>
      <c r="C655" s="20" t="str">
        <f>IFERROR(__xludf.DUMMYFUNCTION("IF(ISBLANK(B655),,IFERROR(array_constrain(FILTER('Leetcode分类顺序表'!B:J,'Leetcode分类顺序表'!A:A = B655), 1, 10000000),IFERROR(FILTER(Algoexpert.io!B:D,Algoexpert.io!A:A = B655),FILTER('Leetcode List'!B:J,'Leetcode List'!A:A = B655))))"),"")</f>
        <v/>
      </c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>
      <c r="A656" s="22"/>
      <c r="B656" s="20"/>
      <c r="C656" s="20" t="str">
        <f>IFERROR(__xludf.DUMMYFUNCTION("IF(ISBLANK(B656),,IFERROR(array_constrain(FILTER('Leetcode分类顺序表'!B:J,'Leetcode分类顺序表'!A:A = B656), 1, 10000000),IFERROR(FILTER(Algoexpert.io!B:D,Algoexpert.io!A:A = B656),FILTER('Leetcode List'!B:J,'Leetcode List'!A:A = B656))))"),"")</f>
        <v/>
      </c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>
      <c r="A657" s="22"/>
      <c r="B657" s="20"/>
      <c r="C657" s="20" t="str">
        <f>IFERROR(__xludf.DUMMYFUNCTION("IF(ISBLANK(B657),,IFERROR(array_constrain(FILTER('Leetcode分类顺序表'!B:J,'Leetcode分类顺序表'!A:A = B657), 1, 10000000),IFERROR(FILTER(Algoexpert.io!B:D,Algoexpert.io!A:A = B657),FILTER('Leetcode List'!B:J,'Leetcode List'!A:A = B657))))"),"")</f>
        <v/>
      </c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>
      <c r="A658" s="22"/>
      <c r="B658" s="20"/>
      <c r="C658" s="20" t="str">
        <f>IFERROR(__xludf.DUMMYFUNCTION("IF(ISBLANK(B658),,IFERROR(array_constrain(FILTER('Leetcode分类顺序表'!B:J,'Leetcode分类顺序表'!A:A = B658), 1, 10000000),IFERROR(FILTER(Algoexpert.io!B:D,Algoexpert.io!A:A = B658),FILTER('Leetcode List'!B:J,'Leetcode List'!A:A = B658))))"),"")</f>
        <v/>
      </c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>
      <c r="A659" s="22"/>
      <c r="B659" s="20"/>
      <c r="C659" s="20" t="str">
        <f>IFERROR(__xludf.DUMMYFUNCTION("IF(ISBLANK(B659),,IFERROR(array_constrain(FILTER('Leetcode分类顺序表'!B:J,'Leetcode分类顺序表'!A:A = B659), 1, 10000000),IFERROR(FILTER(Algoexpert.io!B:D,Algoexpert.io!A:A = B659),FILTER('Leetcode List'!B:J,'Leetcode List'!A:A = B659))))"),"")</f>
        <v/>
      </c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>
      <c r="A660" s="22"/>
      <c r="B660" s="20"/>
      <c r="C660" s="20" t="str">
        <f>IFERROR(__xludf.DUMMYFUNCTION("IF(ISBLANK(B660),,IFERROR(array_constrain(FILTER('Leetcode分类顺序表'!B:J,'Leetcode分类顺序表'!A:A = B660), 1, 10000000),IFERROR(FILTER(Algoexpert.io!B:D,Algoexpert.io!A:A = B660),FILTER('Leetcode List'!B:J,'Leetcode List'!A:A = B660))))"),"")</f>
        <v/>
      </c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>
      <c r="A661" s="22"/>
      <c r="B661" s="20"/>
      <c r="C661" s="20" t="str">
        <f>IFERROR(__xludf.DUMMYFUNCTION("IF(ISBLANK(B661),,IFERROR(array_constrain(FILTER('Leetcode分类顺序表'!B:J,'Leetcode分类顺序表'!A:A = B661), 1, 10000000),IFERROR(FILTER(Algoexpert.io!B:D,Algoexpert.io!A:A = B661),FILTER('Leetcode List'!B:J,'Leetcode List'!A:A = B661))))"),"")</f>
        <v/>
      </c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>
      <c r="A662" s="22"/>
      <c r="B662" s="20"/>
      <c r="C662" s="20" t="str">
        <f>IFERROR(__xludf.DUMMYFUNCTION("IF(ISBLANK(B662),,IFERROR(array_constrain(FILTER('Leetcode分类顺序表'!B:J,'Leetcode分类顺序表'!A:A = B662), 1, 10000000),IFERROR(FILTER(Algoexpert.io!B:D,Algoexpert.io!A:A = B662),FILTER('Leetcode List'!B:J,'Leetcode List'!A:A = B662))))"),"")</f>
        <v/>
      </c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>
      <c r="A663" s="22"/>
      <c r="B663" s="20"/>
      <c r="C663" s="20" t="str">
        <f>IFERROR(__xludf.DUMMYFUNCTION("IF(ISBLANK(B663),,IFERROR(array_constrain(FILTER('Leetcode分类顺序表'!B:J,'Leetcode分类顺序表'!A:A = B663), 1, 10000000),IFERROR(FILTER(Algoexpert.io!B:D,Algoexpert.io!A:A = B663),FILTER('Leetcode List'!B:J,'Leetcode List'!A:A = B663))))"),"")</f>
        <v/>
      </c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>
      <c r="A664" s="22"/>
      <c r="B664" s="20"/>
      <c r="C664" s="20" t="str">
        <f>IFERROR(__xludf.DUMMYFUNCTION("IF(ISBLANK(B664),,IFERROR(array_constrain(FILTER('Leetcode分类顺序表'!B:J,'Leetcode分类顺序表'!A:A = B664), 1, 10000000),IFERROR(FILTER(Algoexpert.io!B:D,Algoexpert.io!A:A = B664),FILTER('Leetcode List'!B:J,'Leetcode List'!A:A = B664))))"),"")</f>
        <v/>
      </c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>
      <c r="A665" s="22"/>
      <c r="B665" s="20"/>
      <c r="C665" s="20" t="str">
        <f>IFERROR(__xludf.DUMMYFUNCTION("IF(ISBLANK(B665),,IFERROR(array_constrain(FILTER('Leetcode分类顺序表'!B:J,'Leetcode分类顺序表'!A:A = B665), 1, 10000000),IFERROR(FILTER(Algoexpert.io!B:D,Algoexpert.io!A:A = B665),FILTER('Leetcode List'!B:J,'Leetcode List'!A:A = B665))))"),"")</f>
        <v/>
      </c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>
      <c r="A666" s="22"/>
      <c r="B666" s="20"/>
      <c r="C666" s="20" t="str">
        <f>IFERROR(__xludf.DUMMYFUNCTION("IF(ISBLANK(B666),,IFERROR(array_constrain(FILTER('Leetcode分类顺序表'!B:J,'Leetcode分类顺序表'!A:A = B666), 1, 10000000),IFERROR(FILTER(Algoexpert.io!B:D,Algoexpert.io!A:A = B666),FILTER('Leetcode List'!B:J,'Leetcode List'!A:A = B666))))"),"")</f>
        <v/>
      </c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>
      <c r="A667" s="22"/>
      <c r="B667" s="20"/>
      <c r="C667" s="20" t="str">
        <f>IFERROR(__xludf.DUMMYFUNCTION("IF(ISBLANK(B667),,IFERROR(array_constrain(FILTER('Leetcode分类顺序表'!B:J,'Leetcode分类顺序表'!A:A = B667), 1, 10000000),IFERROR(FILTER(Algoexpert.io!B:D,Algoexpert.io!A:A = B667),FILTER('Leetcode List'!B:J,'Leetcode List'!A:A = B667))))"),"")</f>
        <v/>
      </c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>
      <c r="A668" s="22"/>
      <c r="B668" s="20"/>
      <c r="C668" s="20" t="str">
        <f>IFERROR(__xludf.DUMMYFUNCTION("IF(ISBLANK(B668),,IFERROR(array_constrain(FILTER('Leetcode分类顺序表'!B:J,'Leetcode分类顺序表'!A:A = B668), 1, 10000000),IFERROR(FILTER(Algoexpert.io!B:D,Algoexpert.io!A:A = B668),FILTER('Leetcode List'!B:J,'Leetcode List'!A:A = B668))))"),"")</f>
        <v/>
      </c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>
      <c r="A669" s="22"/>
      <c r="B669" s="20"/>
      <c r="C669" s="20" t="str">
        <f>IFERROR(__xludf.DUMMYFUNCTION("IF(ISBLANK(B669),,IFERROR(array_constrain(FILTER('Leetcode分类顺序表'!B:J,'Leetcode分类顺序表'!A:A = B669), 1, 10000000),IFERROR(FILTER(Algoexpert.io!B:D,Algoexpert.io!A:A = B669),FILTER('Leetcode List'!B:J,'Leetcode List'!A:A = B669))))"),"")</f>
        <v/>
      </c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>
      <c r="A670" s="22"/>
      <c r="B670" s="20"/>
      <c r="C670" s="20" t="str">
        <f>IFERROR(__xludf.DUMMYFUNCTION("IF(ISBLANK(B670),,IFERROR(array_constrain(FILTER('Leetcode分类顺序表'!B:J,'Leetcode分类顺序表'!A:A = B670), 1, 10000000),IFERROR(FILTER(Algoexpert.io!B:D,Algoexpert.io!A:A = B670),FILTER('Leetcode List'!B:J,'Leetcode List'!A:A = B670))))"),"")</f>
        <v/>
      </c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>
      <c r="A671" s="22"/>
      <c r="B671" s="20"/>
      <c r="C671" s="20" t="str">
        <f>IFERROR(__xludf.DUMMYFUNCTION("IF(ISBLANK(B671),,IFERROR(array_constrain(FILTER('Leetcode分类顺序表'!B:J,'Leetcode分类顺序表'!A:A = B671), 1, 10000000),IFERROR(FILTER(Algoexpert.io!B:D,Algoexpert.io!A:A = B671),FILTER('Leetcode List'!B:J,'Leetcode List'!A:A = B671))))"),"")</f>
        <v/>
      </c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>
      <c r="A672" s="22"/>
      <c r="B672" s="20"/>
      <c r="C672" s="20" t="str">
        <f>IFERROR(__xludf.DUMMYFUNCTION("IF(ISBLANK(B672),,IFERROR(array_constrain(FILTER('Leetcode分类顺序表'!B:J,'Leetcode分类顺序表'!A:A = B672), 1, 10000000),IFERROR(FILTER(Algoexpert.io!B:D,Algoexpert.io!A:A = B672),FILTER('Leetcode List'!B:J,'Leetcode List'!A:A = B672))))"),"")</f>
        <v/>
      </c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>
      <c r="A673" s="22"/>
      <c r="B673" s="20"/>
      <c r="C673" s="20" t="str">
        <f>IFERROR(__xludf.DUMMYFUNCTION("IF(ISBLANK(B673),,IFERROR(array_constrain(FILTER('Leetcode分类顺序表'!B:J,'Leetcode分类顺序表'!A:A = B673), 1, 10000000),IFERROR(FILTER(Algoexpert.io!B:D,Algoexpert.io!A:A = B673),FILTER('Leetcode List'!B:J,'Leetcode List'!A:A = B673))))"),"")</f>
        <v/>
      </c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>
      <c r="A674" s="22"/>
      <c r="B674" s="20"/>
      <c r="C674" s="20" t="str">
        <f>IFERROR(__xludf.DUMMYFUNCTION("IF(ISBLANK(B674),,IFERROR(array_constrain(FILTER('Leetcode分类顺序表'!B:J,'Leetcode分类顺序表'!A:A = B674), 1, 10000000),IFERROR(FILTER(Algoexpert.io!B:D,Algoexpert.io!A:A = B674),FILTER('Leetcode List'!B:J,'Leetcode List'!A:A = B674))))"),"")</f>
        <v/>
      </c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>
      <c r="A675" s="22"/>
      <c r="B675" s="20"/>
      <c r="C675" s="20" t="str">
        <f>IFERROR(__xludf.DUMMYFUNCTION("IF(ISBLANK(B675),,IFERROR(array_constrain(FILTER('Leetcode分类顺序表'!B:J,'Leetcode分类顺序表'!A:A = B675), 1, 10000000),IFERROR(FILTER(Algoexpert.io!B:D,Algoexpert.io!A:A = B675),FILTER('Leetcode List'!B:J,'Leetcode List'!A:A = B675))))"),"")</f>
        <v/>
      </c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>
      <c r="A676" s="22"/>
      <c r="B676" s="20"/>
      <c r="C676" s="20" t="str">
        <f>IFERROR(__xludf.DUMMYFUNCTION("IF(ISBLANK(B676),,IFERROR(array_constrain(FILTER('Leetcode分类顺序表'!B:J,'Leetcode分类顺序表'!A:A = B676), 1, 10000000),IFERROR(FILTER(Algoexpert.io!B:D,Algoexpert.io!A:A = B676),FILTER('Leetcode List'!B:J,'Leetcode List'!A:A = B676))))"),"")</f>
        <v/>
      </c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>
      <c r="A677" s="22"/>
      <c r="B677" s="20"/>
      <c r="C677" s="20" t="str">
        <f>IFERROR(__xludf.DUMMYFUNCTION("IF(ISBLANK(B677),,IFERROR(array_constrain(FILTER('Leetcode分类顺序表'!B:J,'Leetcode分类顺序表'!A:A = B677), 1, 10000000),IFERROR(FILTER(Algoexpert.io!B:D,Algoexpert.io!A:A = B677),FILTER('Leetcode List'!B:J,'Leetcode List'!A:A = B677))))"),"")</f>
        <v/>
      </c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>
      <c r="A678" s="22"/>
      <c r="B678" s="20"/>
      <c r="C678" s="20" t="str">
        <f>IFERROR(__xludf.DUMMYFUNCTION("IF(ISBLANK(B678),,IFERROR(array_constrain(FILTER('Leetcode分类顺序表'!B:J,'Leetcode分类顺序表'!A:A = B678), 1, 10000000),IFERROR(FILTER(Algoexpert.io!B:D,Algoexpert.io!A:A = B678),FILTER('Leetcode List'!B:J,'Leetcode List'!A:A = B678))))"),"")</f>
        <v/>
      </c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>
      <c r="A679" s="22"/>
      <c r="B679" s="20"/>
      <c r="C679" s="20" t="str">
        <f>IFERROR(__xludf.DUMMYFUNCTION("IF(ISBLANK(B679),,IFERROR(array_constrain(FILTER('Leetcode分类顺序表'!B:J,'Leetcode分类顺序表'!A:A = B679), 1, 10000000),IFERROR(FILTER(Algoexpert.io!B:D,Algoexpert.io!A:A = B679),FILTER('Leetcode List'!B:J,'Leetcode List'!A:A = B679))))"),"")</f>
        <v/>
      </c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>
      <c r="A680" s="22"/>
      <c r="B680" s="20"/>
      <c r="C680" s="20" t="str">
        <f>IFERROR(__xludf.DUMMYFUNCTION("IF(ISBLANK(B680),,IFERROR(array_constrain(FILTER('Leetcode分类顺序表'!B:J,'Leetcode分类顺序表'!A:A = B680), 1, 10000000),IFERROR(FILTER(Algoexpert.io!B:D,Algoexpert.io!A:A = B680),FILTER('Leetcode List'!B:J,'Leetcode List'!A:A = B680))))"),"")</f>
        <v/>
      </c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>
      <c r="A681" s="22"/>
      <c r="B681" s="20"/>
      <c r="C681" s="20" t="str">
        <f>IFERROR(__xludf.DUMMYFUNCTION("IF(ISBLANK(B681),,IFERROR(array_constrain(FILTER('Leetcode分类顺序表'!B:J,'Leetcode分类顺序表'!A:A = B681), 1, 10000000),IFERROR(FILTER(Algoexpert.io!B:D,Algoexpert.io!A:A = B681),FILTER('Leetcode List'!B:J,'Leetcode List'!A:A = B681))))"),"")</f>
        <v/>
      </c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>
      <c r="A682" s="22"/>
      <c r="B682" s="20"/>
      <c r="C682" s="20" t="str">
        <f>IFERROR(__xludf.DUMMYFUNCTION("IF(ISBLANK(B682),,IFERROR(array_constrain(FILTER('Leetcode分类顺序表'!B:J,'Leetcode分类顺序表'!A:A = B682), 1, 10000000),IFERROR(FILTER(Algoexpert.io!B:D,Algoexpert.io!A:A = B682),FILTER('Leetcode List'!B:J,'Leetcode List'!A:A = B682))))"),"")</f>
        <v/>
      </c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>
      <c r="A683" s="22"/>
      <c r="B683" s="20"/>
      <c r="C683" s="20" t="str">
        <f>IFERROR(__xludf.DUMMYFUNCTION("IF(ISBLANK(B683),,IFERROR(array_constrain(FILTER('Leetcode分类顺序表'!B:J,'Leetcode分类顺序表'!A:A = B683), 1, 10000000),IFERROR(FILTER(Algoexpert.io!B:D,Algoexpert.io!A:A = B683),FILTER('Leetcode List'!B:J,'Leetcode List'!A:A = B683))))"),"")</f>
        <v/>
      </c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>
      <c r="A684" s="22"/>
      <c r="B684" s="20"/>
      <c r="C684" s="20" t="str">
        <f>IFERROR(__xludf.DUMMYFUNCTION("IF(ISBLANK(B684),,IFERROR(array_constrain(FILTER('Leetcode分类顺序表'!B:J,'Leetcode分类顺序表'!A:A = B684), 1, 10000000),IFERROR(FILTER(Algoexpert.io!B:D,Algoexpert.io!A:A = B684),FILTER('Leetcode List'!B:J,'Leetcode List'!A:A = B684))))"),"")</f>
        <v/>
      </c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>
      <c r="A685" s="22"/>
      <c r="B685" s="20"/>
      <c r="C685" s="20" t="str">
        <f>IFERROR(__xludf.DUMMYFUNCTION("IF(ISBLANK(B685),,IFERROR(array_constrain(FILTER('Leetcode分类顺序表'!B:J,'Leetcode分类顺序表'!A:A = B685), 1, 10000000),IFERROR(FILTER(Algoexpert.io!B:D,Algoexpert.io!A:A = B685),FILTER('Leetcode List'!B:J,'Leetcode List'!A:A = B685))))"),"")</f>
        <v/>
      </c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>
      <c r="A686" s="22"/>
      <c r="B686" s="20"/>
      <c r="C686" s="20" t="str">
        <f>IFERROR(__xludf.DUMMYFUNCTION("IF(ISBLANK(B686),,IFERROR(array_constrain(FILTER('Leetcode分类顺序表'!B:J,'Leetcode分类顺序表'!A:A = B686), 1, 10000000),IFERROR(FILTER(Algoexpert.io!B:D,Algoexpert.io!A:A = B686),FILTER('Leetcode List'!B:J,'Leetcode List'!A:A = B686))))"),"")</f>
        <v/>
      </c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>
      <c r="A687" s="22"/>
      <c r="B687" s="20"/>
      <c r="C687" s="20" t="str">
        <f>IFERROR(__xludf.DUMMYFUNCTION("IF(ISBLANK(B687),,IFERROR(array_constrain(FILTER('Leetcode分类顺序表'!B:J,'Leetcode分类顺序表'!A:A = B687), 1, 10000000),IFERROR(FILTER(Algoexpert.io!B:D,Algoexpert.io!A:A = B687),FILTER('Leetcode List'!B:J,'Leetcode List'!A:A = B687))))"),"")</f>
        <v/>
      </c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>
      <c r="A688" s="22"/>
      <c r="B688" s="20"/>
      <c r="C688" s="20" t="str">
        <f>IFERROR(__xludf.DUMMYFUNCTION("IF(ISBLANK(B688),,IFERROR(array_constrain(FILTER('Leetcode分类顺序表'!B:J,'Leetcode分类顺序表'!A:A = B688), 1, 10000000),IFERROR(FILTER(Algoexpert.io!B:D,Algoexpert.io!A:A = B688),FILTER('Leetcode List'!B:J,'Leetcode List'!A:A = B688))))"),"")</f>
        <v/>
      </c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>
      <c r="A689" s="22"/>
      <c r="B689" s="20"/>
      <c r="C689" s="20" t="str">
        <f>IFERROR(__xludf.DUMMYFUNCTION("IF(ISBLANK(B689),,IFERROR(array_constrain(FILTER('Leetcode分类顺序表'!B:J,'Leetcode分类顺序表'!A:A = B689), 1, 10000000),IFERROR(FILTER(Algoexpert.io!B:D,Algoexpert.io!A:A = B689),FILTER('Leetcode List'!B:J,'Leetcode List'!A:A = B689))))"),"")</f>
        <v/>
      </c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>
      <c r="A690" s="22"/>
      <c r="B690" s="20"/>
      <c r="C690" s="20" t="str">
        <f>IFERROR(__xludf.DUMMYFUNCTION("IF(ISBLANK(B690),,IFERROR(array_constrain(FILTER('Leetcode分类顺序表'!B:J,'Leetcode分类顺序表'!A:A = B690), 1, 10000000),IFERROR(FILTER(Algoexpert.io!B:D,Algoexpert.io!A:A = B690),FILTER('Leetcode List'!B:J,'Leetcode List'!A:A = B690))))"),"")</f>
        <v/>
      </c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>
      <c r="A691" s="22"/>
      <c r="B691" s="20"/>
      <c r="C691" s="20" t="str">
        <f>IFERROR(__xludf.DUMMYFUNCTION("IF(ISBLANK(B691),,IFERROR(array_constrain(FILTER('Leetcode分类顺序表'!B:J,'Leetcode分类顺序表'!A:A = B691), 1, 10000000),IFERROR(FILTER(Algoexpert.io!B:D,Algoexpert.io!A:A = B691),FILTER('Leetcode List'!B:J,'Leetcode List'!A:A = B691))))"),"")</f>
        <v/>
      </c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>
      <c r="A692" s="22"/>
      <c r="B692" s="20"/>
      <c r="C692" s="20" t="str">
        <f>IFERROR(__xludf.DUMMYFUNCTION("IF(ISBLANK(B692),,IFERROR(array_constrain(FILTER('Leetcode分类顺序表'!B:J,'Leetcode分类顺序表'!A:A = B692), 1, 10000000),IFERROR(FILTER(Algoexpert.io!B:D,Algoexpert.io!A:A = B692),FILTER('Leetcode List'!B:J,'Leetcode List'!A:A = B692))))"),"")</f>
        <v/>
      </c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>
      <c r="A693" s="22"/>
      <c r="B693" s="20"/>
      <c r="C693" s="20" t="str">
        <f>IFERROR(__xludf.DUMMYFUNCTION("IF(ISBLANK(B693),,IFERROR(array_constrain(FILTER('Leetcode分类顺序表'!B:J,'Leetcode分类顺序表'!A:A = B693), 1, 10000000),IFERROR(FILTER(Algoexpert.io!B:D,Algoexpert.io!A:A = B693),FILTER('Leetcode List'!B:J,'Leetcode List'!A:A = B693))))"),"")</f>
        <v/>
      </c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>
      <c r="A694" s="22"/>
      <c r="B694" s="20"/>
      <c r="C694" s="20" t="str">
        <f>IFERROR(__xludf.DUMMYFUNCTION("IF(ISBLANK(B694),,IFERROR(array_constrain(FILTER('Leetcode分类顺序表'!B:J,'Leetcode分类顺序表'!A:A = B694), 1, 10000000),IFERROR(FILTER(Algoexpert.io!B:D,Algoexpert.io!A:A = B694),FILTER('Leetcode List'!B:J,'Leetcode List'!A:A = B694))))"),"")</f>
        <v/>
      </c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>
      <c r="A695" s="22"/>
      <c r="B695" s="20"/>
      <c r="C695" s="20" t="str">
        <f>IFERROR(__xludf.DUMMYFUNCTION("IF(ISBLANK(B695),,IFERROR(array_constrain(FILTER('Leetcode分类顺序表'!B:J,'Leetcode分类顺序表'!A:A = B695), 1, 10000000),IFERROR(FILTER(Algoexpert.io!B:D,Algoexpert.io!A:A = B695),FILTER('Leetcode List'!B:J,'Leetcode List'!A:A = B695))))"),"")</f>
        <v/>
      </c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>
      <c r="A696" s="22"/>
      <c r="B696" s="20"/>
      <c r="C696" s="20" t="str">
        <f>IFERROR(__xludf.DUMMYFUNCTION("IF(ISBLANK(B696),,IFERROR(array_constrain(FILTER('Leetcode分类顺序表'!B:J,'Leetcode分类顺序表'!A:A = B696), 1, 10000000),IFERROR(FILTER(Algoexpert.io!B:D,Algoexpert.io!A:A = B696),FILTER('Leetcode List'!B:J,'Leetcode List'!A:A = B696))))"),"")</f>
        <v/>
      </c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>
      <c r="A697" s="22"/>
      <c r="B697" s="20"/>
      <c r="C697" s="20" t="str">
        <f>IFERROR(__xludf.DUMMYFUNCTION("IF(ISBLANK(B697),,IFERROR(array_constrain(FILTER('Leetcode分类顺序表'!B:J,'Leetcode分类顺序表'!A:A = B697), 1, 10000000),IFERROR(FILTER(Algoexpert.io!B:D,Algoexpert.io!A:A = B697),FILTER('Leetcode List'!B:J,'Leetcode List'!A:A = B697))))"),"")</f>
        <v/>
      </c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>
      <c r="A698" s="22"/>
      <c r="B698" s="20"/>
      <c r="C698" s="20" t="str">
        <f>IFERROR(__xludf.DUMMYFUNCTION("IF(ISBLANK(B698),,IFERROR(array_constrain(FILTER('Leetcode分类顺序表'!B:J,'Leetcode分类顺序表'!A:A = B698), 1, 10000000),IFERROR(FILTER(Algoexpert.io!B:D,Algoexpert.io!A:A = B698),FILTER('Leetcode List'!B:J,'Leetcode List'!A:A = B698))))"),"")</f>
        <v/>
      </c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>
      <c r="A699" s="22"/>
      <c r="B699" s="20"/>
      <c r="C699" s="20" t="str">
        <f>IFERROR(__xludf.DUMMYFUNCTION("IF(ISBLANK(B699),,IFERROR(array_constrain(FILTER('Leetcode分类顺序表'!B:J,'Leetcode分类顺序表'!A:A = B699), 1, 10000000),IFERROR(FILTER(Algoexpert.io!B:D,Algoexpert.io!A:A = B699),FILTER('Leetcode List'!B:J,'Leetcode List'!A:A = B699))))"),"")</f>
        <v/>
      </c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>
      <c r="A700" s="22"/>
      <c r="B700" s="20"/>
      <c r="C700" s="20" t="str">
        <f>IFERROR(__xludf.DUMMYFUNCTION("IF(ISBLANK(B700),,IFERROR(array_constrain(FILTER('Leetcode分类顺序表'!B:J,'Leetcode分类顺序表'!A:A = B700), 1, 10000000),IFERROR(FILTER(Algoexpert.io!B:D,Algoexpert.io!A:A = B700),FILTER('Leetcode List'!B:J,'Leetcode List'!A:A = B700))))"),"")</f>
        <v/>
      </c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>
      <c r="A701" s="22"/>
      <c r="B701" s="20"/>
      <c r="C701" s="20" t="str">
        <f>IFERROR(__xludf.DUMMYFUNCTION("IF(ISBLANK(B701),,IFERROR(array_constrain(FILTER('Leetcode分类顺序表'!B:J,'Leetcode分类顺序表'!A:A = B701), 1, 10000000),IFERROR(FILTER(Algoexpert.io!B:D,Algoexpert.io!A:A = B701),FILTER('Leetcode List'!B:J,'Leetcode List'!A:A = B701))))"),"")</f>
        <v/>
      </c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>
      <c r="A702" s="22"/>
      <c r="B702" s="20"/>
      <c r="C702" s="20" t="str">
        <f>IFERROR(__xludf.DUMMYFUNCTION("IF(ISBLANK(B702),,IFERROR(array_constrain(FILTER('Leetcode分类顺序表'!B:J,'Leetcode分类顺序表'!A:A = B702), 1, 10000000),IFERROR(FILTER(Algoexpert.io!B:D,Algoexpert.io!A:A = B702),FILTER('Leetcode List'!B:J,'Leetcode List'!A:A = B702))))"),"")</f>
        <v/>
      </c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>
      <c r="A703" s="22"/>
      <c r="B703" s="20"/>
      <c r="C703" s="20" t="str">
        <f>IFERROR(__xludf.DUMMYFUNCTION("IF(ISBLANK(B703),,IFERROR(array_constrain(FILTER('Leetcode分类顺序表'!B:J,'Leetcode分类顺序表'!A:A = B703), 1, 10000000),IFERROR(FILTER(Algoexpert.io!B:D,Algoexpert.io!A:A = B703),FILTER('Leetcode List'!B:J,'Leetcode List'!A:A = B703))))"),"")</f>
        <v/>
      </c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>
      <c r="A704" s="22"/>
      <c r="B704" s="20"/>
      <c r="C704" s="20" t="str">
        <f>IFERROR(__xludf.DUMMYFUNCTION("IF(ISBLANK(B704),,IFERROR(array_constrain(FILTER('Leetcode分类顺序表'!B:J,'Leetcode分类顺序表'!A:A = B704), 1, 10000000),IFERROR(FILTER(Algoexpert.io!B:D,Algoexpert.io!A:A = B704),FILTER('Leetcode List'!B:J,'Leetcode List'!A:A = B704))))"),"")</f>
        <v/>
      </c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>
      <c r="A705" s="22"/>
      <c r="B705" s="20"/>
      <c r="C705" s="20" t="str">
        <f>IFERROR(__xludf.DUMMYFUNCTION("IF(ISBLANK(B705),,IFERROR(array_constrain(FILTER('Leetcode分类顺序表'!B:J,'Leetcode分类顺序表'!A:A = B705), 1, 10000000),IFERROR(FILTER(Algoexpert.io!B:D,Algoexpert.io!A:A = B705),FILTER('Leetcode List'!B:J,'Leetcode List'!A:A = B705))))"),"")</f>
        <v/>
      </c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>
      <c r="A706" s="22"/>
      <c r="B706" s="20"/>
      <c r="C706" s="20" t="str">
        <f>IFERROR(__xludf.DUMMYFUNCTION("IF(ISBLANK(B706),,IFERROR(array_constrain(FILTER('Leetcode分类顺序表'!B:J,'Leetcode分类顺序表'!A:A = B706), 1, 10000000),IFERROR(FILTER(Algoexpert.io!B:D,Algoexpert.io!A:A = B706),FILTER('Leetcode List'!B:J,'Leetcode List'!A:A = B706))))"),"")</f>
        <v/>
      </c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>
      <c r="A707" s="22"/>
      <c r="B707" s="20"/>
      <c r="C707" s="20" t="str">
        <f>IFERROR(__xludf.DUMMYFUNCTION("IF(ISBLANK(B707),,IFERROR(array_constrain(FILTER('Leetcode分类顺序表'!B:J,'Leetcode分类顺序表'!A:A = B707), 1, 10000000),IFERROR(FILTER(Algoexpert.io!B:D,Algoexpert.io!A:A = B707),FILTER('Leetcode List'!B:J,'Leetcode List'!A:A = B707))))"),"")</f>
        <v/>
      </c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>
      <c r="A708" s="22"/>
      <c r="B708" s="20"/>
      <c r="C708" s="20" t="str">
        <f>IFERROR(__xludf.DUMMYFUNCTION("IF(ISBLANK(B708),,IFERROR(array_constrain(FILTER('Leetcode分类顺序表'!B:J,'Leetcode分类顺序表'!A:A = B708), 1, 10000000),IFERROR(FILTER(Algoexpert.io!B:D,Algoexpert.io!A:A = B708),FILTER('Leetcode List'!B:J,'Leetcode List'!A:A = B708))))"),"")</f>
        <v/>
      </c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>
      <c r="A709" s="22"/>
      <c r="B709" s="20"/>
      <c r="C709" s="20" t="str">
        <f>IFERROR(__xludf.DUMMYFUNCTION("IF(ISBLANK(B709),,IFERROR(array_constrain(FILTER('Leetcode分类顺序表'!B:J,'Leetcode分类顺序表'!A:A = B709), 1, 10000000),IFERROR(FILTER(Algoexpert.io!B:D,Algoexpert.io!A:A = B709),FILTER('Leetcode List'!B:J,'Leetcode List'!A:A = B709))))"),"")</f>
        <v/>
      </c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>
      <c r="A710" s="22"/>
      <c r="B710" s="20"/>
      <c r="C710" s="20" t="str">
        <f>IFERROR(__xludf.DUMMYFUNCTION("IF(ISBLANK(B710),,IFERROR(array_constrain(FILTER('Leetcode分类顺序表'!B:J,'Leetcode分类顺序表'!A:A = B710), 1, 10000000),IFERROR(FILTER(Algoexpert.io!B:D,Algoexpert.io!A:A = B710),FILTER('Leetcode List'!B:J,'Leetcode List'!A:A = B710))))"),"")</f>
        <v/>
      </c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>
      <c r="A711" s="22"/>
      <c r="B711" s="20"/>
      <c r="C711" s="20" t="str">
        <f>IFERROR(__xludf.DUMMYFUNCTION("IF(ISBLANK(B711),,IFERROR(array_constrain(FILTER('Leetcode分类顺序表'!B:J,'Leetcode分类顺序表'!A:A = B711), 1, 10000000),IFERROR(FILTER(Algoexpert.io!B:D,Algoexpert.io!A:A = B711),FILTER('Leetcode List'!B:J,'Leetcode List'!A:A = B711))))"),"")</f>
        <v/>
      </c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>
      <c r="A712" s="22"/>
      <c r="B712" s="20"/>
      <c r="C712" s="20" t="str">
        <f>IFERROR(__xludf.DUMMYFUNCTION("IF(ISBLANK(B712),,IFERROR(array_constrain(FILTER('Leetcode分类顺序表'!B:J,'Leetcode分类顺序表'!A:A = B712), 1, 10000000),IFERROR(FILTER(Algoexpert.io!B:D,Algoexpert.io!A:A = B712),FILTER('Leetcode List'!B:J,'Leetcode List'!A:A = B712))))"),"")</f>
        <v/>
      </c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>
      <c r="A713" s="22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>
      <c r="A714" s="22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>
      <c r="A715" s="22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>
      <c r="A716" s="22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>
      <c r="A717" s="22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>
      <c r="A718" s="22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>
      <c r="A719" s="22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>
      <c r="A720" s="22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>
      <c r="A721" s="22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>
      <c r="A722" s="22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>
      <c r="A723" s="22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>
      <c r="A724" s="22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>
      <c r="A725" s="22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>
      <c r="A726" s="22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>
      <c r="A727" s="22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>
      <c r="A728" s="22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>
      <c r="A729" s="22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>
      <c r="A730" s="22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>
      <c r="A731" s="22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>
      <c r="A732" s="22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>
      <c r="A733" s="22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>
      <c r="A734" s="22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>
      <c r="A735" s="22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>
      <c r="A736" s="22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>
      <c r="A737" s="22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>
      <c r="A738" s="22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>
      <c r="A739" s="22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>
      <c r="A740" s="22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>
      <c r="A741" s="22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>
      <c r="A742" s="22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>
      <c r="A743" s="22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>
      <c r="A744" s="22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>
      <c r="A745" s="22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>
      <c r="A746" s="22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>
      <c r="A747" s="22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>
      <c r="A748" s="22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>
      <c r="A749" s="22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>
      <c r="A750" s="22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>
      <c r="A751" s="22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>
      <c r="A752" s="22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>
      <c r="A753" s="22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>
      <c r="A754" s="22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>
      <c r="A755" s="22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>
      <c r="A756" s="22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>
      <c r="A757" s="22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>
      <c r="A758" s="22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>
      <c r="A759" s="22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>
      <c r="A760" s="22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>
      <c r="A761" s="22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>
      <c r="A762" s="22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>
      <c r="A763" s="22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>
      <c r="A764" s="22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>
      <c r="A765" s="22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>
      <c r="A766" s="22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>
      <c r="A767" s="22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>
      <c r="A768" s="22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>
      <c r="A769" s="22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>
      <c r="A770" s="22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>
      <c r="A771" s="22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>
      <c r="A772" s="22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>
      <c r="A773" s="22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>
      <c r="A774" s="22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>
      <c r="A775" s="22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>
      <c r="A776" s="22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>
      <c r="A777" s="22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>
      <c r="A778" s="22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>
      <c r="A779" s="22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>
      <c r="A780" s="22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>
      <c r="A781" s="22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>
      <c r="A782" s="22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>
      <c r="A783" s="22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>
      <c r="A784" s="22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>
      <c r="A785" s="22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>
      <c r="A786" s="22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>
      <c r="A787" s="22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>
      <c r="A788" s="22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>
      <c r="A789" s="22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>
      <c r="A790" s="22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>
      <c r="A791" s="22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>
      <c r="A792" s="22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>
      <c r="A793" s="22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>
      <c r="A794" s="22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>
      <c r="A795" s="22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>
      <c r="A796" s="22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>
      <c r="A797" s="22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>
      <c r="A798" s="22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>
      <c r="A799" s="22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>
      <c r="A800" s="22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>
      <c r="A801" s="22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>
      <c r="A802" s="22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>
      <c r="A803" s="22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>
      <c r="A804" s="22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>
      <c r="A805" s="22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>
      <c r="A806" s="22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>
      <c r="A807" s="22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>
      <c r="A808" s="22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>
      <c r="A809" s="22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>
      <c r="A810" s="22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>
      <c r="A811" s="22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>
      <c r="A812" s="22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>
      <c r="A813" s="22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>
      <c r="A814" s="22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>
      <c r="A815" s="22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>
      <c r="A816" s="22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>
      <c r="A817" s="22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>
      <c r="A818" s="22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>
      <c r="A819" s="22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>
      <c r="A820" s="22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>
      <c r="A821" s="22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>
      <c r="A822" s="22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>
      <c r="A823" s="22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>
      <c r="A824" s="22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>
      <c r="A825" s="22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>
      <c r="A826" s="22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>
      <c r="A827" s="22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>
      <c r="A828" s="22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>
      <c r="A829" s="22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>
      <c r="A830" s="22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>
      <c r="A831" s="22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>
      <c r="A832" s="22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>
      <c r="A833" s="22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>
      <c r="A834" s="22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>
      <c r="A835" s="22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>
      <c r="A836" s="22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>
      <c r="A837" s="22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>
      <c r="A838" s="22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>
      <c r="A839" s="22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>
      <c r="A840" s="22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>
      <c r="A841" s="22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>
      <c r="A842" s="22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>
      <c r="A843" s="22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>
      <c r="A844" s="22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>
      <c r="A845" s="22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>
      <c r="A846" s="22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>
      <c r="A847" s="22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>
      <c r="A848" s="22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>
      <c r="A849" s="22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>
      <c r="A850" s="22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>
      <c r="A851" s="22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>
      <c r="A852" s="22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>
      <c r="A853" s="22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>
      <c r="A854" s="22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>
      <c r="A855" s="22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>
      <c r="A856" s="22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>
      <c r="A857" s="22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>
      <c r="A858" s="22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>
      <c r="A859" s="22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>
      <c r="A860" s="22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>
      <c r="A861" s="22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>
      <c r="A862" s="22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>
      <c r="A863" s="22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>
      <c r="A864" s="22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>
      <c r="A865" s="22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>
      <c r="A866" s="22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>
      <c r="A867" s="22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>
      <c r="A868" s="22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>
      <c r="A869" s="22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>
      <c r="A870" s="22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>
      <c r="A871" s="22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>
      <c r="A872" s="22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>
      <c r="A873" s="22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>
      <c r="A874" s="22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>
      <c r="A875" s="22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>
      <c r="A876" s="22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>
      <c r="A877" s="22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>
      <c r="A878" s="22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>
      <c r="A879" s="22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>
      <c r="A880" s="22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>
      <c r="A881" s="22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>
      <c r="A882" s="22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>
      <c r="A883" s="22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>
      <c r="A884" s="22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>
      <c r="A885" s="22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>
      <c r="A886" s="22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>
      <c r="A887" s="22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>
      <c r="A888" s="22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>
      <c r="A889" s="22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>
      <c r="A890" s="22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>
      <c r="A891" s="22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>
      <c r="A892" s="22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>
      <c r="A893" s="22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>
      <c r="A894" s="22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>
      <c r="A895" s="22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>
      <c r="A896" s="22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>
      <c r="A897" s="22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>
      <c r="A898" s="22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>
      <c r="A899" s="22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>
      <c r="A900" s="22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>
      <c r="A901" s="22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>
      <c r="A902" s="22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>
      <c r="A903" s="22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>
      <c r="A904" s="22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>
      <c r="A905" s="22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>
      <c r="A906" s="22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>
      <c r="A907" s="22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>
      <c r="A908" s="22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>
      <c r="A909" s="22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>
      <c r="A910" s="22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>
      <c r="A911" s="22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>
      <c r="A912" s="22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>
      <c r="A913" s="22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>
      <c r="A914" s="22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>
      <c r="A915" s="22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>
      <c r="A916" s="22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>
      <c r="A917" s="22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>
      <c r="A918" s="22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>
      <c r="A919" s="22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>
      <c r="A920" s="22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>
      <c r="A921" s="22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>
      <c r="A922" s="22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>
      <c r="A923" s="22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>
      <c r="A924" s="22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>
      <c r="A925" s="22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>
      <c r="A926" s="22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>
      <c r="A927" s="22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>
      <c r="A928" s="22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>
      <c r="A929" s="22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>
      <c r="A930" s="22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>
      <c r="A931" s="22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>
      <c r="A932" s="22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>
      <c r="A933" s="22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>
      <c r="A934" s="22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>
      <c r="A935" s="22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>
      <c r="A936" s="22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>
      <c r="A937" s="22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>
      <c r="A938" s="22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>
      <c r="A939" s="22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>
      <c r="A940" s="22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>
      <c r="A941" s="22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>
      <c r="A942" s="22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>
      <c r="A943" s="22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>
      <c r="A944" s="22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>
      <c r="A945" s="22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>
      <c r="A946" s="22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>
      <c r="A947" s="22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>
      <c r="A948" s="22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>
      <c r="A949" s="22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>
      <c r="A950" s="22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>
      <c r="A951" s="22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>
      <c r="A952" s="22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>
      <c r="A953" s="22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>
      <c r="A954" s="22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>
      <c r="A955" s="22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>
      <c r="A956" s="22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>
      <c r="A957" s="22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>
      <c r="A958" s="22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>
      <c r="A959" s="22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>
      <c r="A960" s="22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>
      <c r="A961" s="22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>
      <c r="A962" s="22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>
      <c r="A963" s="22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>
      <c r="A964" s="22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>
      <c r="A965" s="22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>
      <c r="A966" s="22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>
      <c r="A967" s="22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>
      <c r="A968" s="22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>
      <c r="A969" s="22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>
      <c r="A970" s="22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>
      <c r="A971" s="22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>
      <c r="A972" s="22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>
      <c r="A973" s="22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>
      <c r="A974" s="22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>
      <c r="A975" s="22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>
      <c r="A976" s="22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>
      <c r="A977" s="22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>
      <c r="A978" s="22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>
      <c r="A979" s="22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>
      <c r="A980" s="22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>
      <c r="A981" s="22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>
      <c r="A982" s="22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>
      <c r="A983" s="22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>
      <c r="A984" s="22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>
      <c r="A985" s="22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>
      <c r="A986" s="22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>
      <c r="A987" s="22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>
      <c r="A988" s="22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>
      <c r="A989" s="22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>
      <c r="A990" s="22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>
      <c r="A991" s="22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>
      <c r="A992" s="22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>
      <c r="A993" s="22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>
      <c r="A994" s="22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>
      <c r="A995" s="22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>
      <c r="A996" s="22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>
      <c r="A997" s="22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>
      <c r="A998" s="22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>
      <c r="A999" s="22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>
      <c r="A1000" s="22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conditionalFormatting sqref="C1:D1">
    <cfRule type="expression" dxfId="1" priority="1">
      <formula>AND(ISNUMBER($L2),$L2=0)</formula>
    </cfRule>
  </conditionalFormatting>
  <conditionalFormatting sqref="C1:D1">
    <cfRule type="expression" dxfId="3" priority="2">
      <formula>AND(ISNUMBER($L2),$L2&gt;0)</formula>
    </cfRule>
  </conditionalFormatting>
  <conditionalFormatting sqref="C1:D1">
    <cfRule type="expression" dxfId="2" priority="3">
      <formula>AND(ISNUMBER($L2),$L2&gt;3)</formula>
    </cfRule>
  </conditionalFormatting>
  <conditionalFormatting sqref="C31">
    <cfRule type="expression" dxfId="2" priority="4">
      <formula>AND(ISNUMBER($L29),$L29&gt;3)</formula>
    </cfRule>
  </conditionalFormatting>
  <conditionalFormatting sqref="C31">
    <cfRule type="expression" dxfId="3" priority="5">
      <formula>AND(ISNUMBER($L29),$L29&gt;0)</formula>
    </cfRule>
  </conditionalFormatting>
  <conditionalFormatting sqref="C31">
    <cfRule type="expression" dxfId="1" priority="6">
      <formula>AND(ISNUMBER($L29),$L29=0)</formula>
    </cfRule>
  </conditionalFormatting>
  <conditionalFormatting sqref="A1:C1000 E1:AH1000 D3:D1000">
    <cfRule type="expression" dxfId="2" priority="7">
      <formula>AND(ISNUMBER($L1),$L1&gt;3)</formula>
    </cfRule>
  </conditionalFormatting>
  <conditionalFormatting sqref="A1:C1000 E1:AH1000 D3:D1000">
    <cfRule type="expression" dxfId="3" priority="8">
      <formula>AND(ISNUMBER($L1),$L1&gt;0)</formula>
    </cfRule>
  </conditionalFormatting>
  <conditionalFormatting sqref="A1:C1000 E1:AH1000 D3:D1000">
    <cfRule type="expression" dxfId="1" priority="9">
      <formula>AND(ISNUMBER($L1),$L1=0)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75"/>
  <cols>
    <col customWidth="1" min="5" max="5" width="13.25"/>
  </cols>
  <sheetData>
    <row r="1">
      <c r="A1" s="23" t="s">
        <v>25</v>
      </c>
      <c r="B1" s="24"/>
      <c r="C1" s="24"/>
      <c r="D1" s="24"/>
      <c r="E1" s="24"/>
      <c r="F1" s="24"/>
      <c r="G1" s="25"/>
      <c r="H1" s="26"/>
    </row>
    <row r="2">
      <c r="A2" s="27"/>
      <c r="B2" s="28"/>
      <c r="C2" s="28"/>
      <c r="D2" s="28"/>
      <c r="E2" s="28"/>
      <c r="F2" s="28"/>
      <c r="G2" s="29"/>
      <c r="H2" s="26"/>
    </row>
    <row r="3">
      <c r="A3" s="30" t="s">
        <v>26</v>
      </c>
      <c r="B3" s="31" t="s">
        <v>27</v>
      </c>
      <c r="C3" s="32" t="s">
        <v>28</v>
      </c>
      <c r="D3" s="33" t="s">
        <v>29</v>
      </c>
      <c r="E3" s="32" t="s">
        <v>30</v>
      </c>
      <c r="F3" s="33" t="s">
        <v>31</v>
      </c>
      <c r="G3" s="34" t="s">
        <v>32</v>
      </c>
    </row>
    <row r="4">
      <c r="A4" s="35"/>
      <c r="B4" s="36" t="s">
        <v>33</v>
      </c>
      <c r="C4" s="37"/>
      <c r="D4" s="38" t="s">
        <v>34</v>
      </c>
      <c r="E4" s="37"/>
      <c r="F4" s="38" t="s">
        <v>35</v>
      </c>
      <c r="G4" s="39"/>
    </row>
    <row r="5">
      <c r="A5" s="40"/>
      <c r="B5" s="41" t="s">
        <v>36</v>
      </c>
      <c r="C5" s="42" t="s">
        <v>37</v>
      </c>
      <c r="D5" s="41" t="s">
        <v>38</v>
      </c>
      <c r="E5" s="43" t="s">
        <v>11</v>
      </c>
      <c r="F5" s="43" t="s">
        <v>39</v>
      </c>
      <c r="G5" s="44"/>
    </row>
    <row r="6">
      <c r="A6" s="7"/>
      <c r="B6" s="12"/>
    </row>
    <row r="7">
      <c r="D7" s="30" t="s">
        <v>40</v>
      </c>
      <c r="E7" s="45">
        <f>IFERROR(__xludf.DUMMYFUNCTION("COUNTUNIQUE(A:A)-4"),55.0)</f>
        <v>55</v>
      </c>
    </row>
    <row r="8" hidden="1">
      <c r="A8" s="46" t="s">
        <v>37</v>
      </c>
      <c r="B8" s="46" t="s">
        <v>41</v>
      </c>
      <c r="C8" s="47"/>
      <c r="D8" s="48"/>
      <c r="E8" s="49"/>
      <c r="F8" s="50"/>
      <c r="G8" s="51"/>
    </row>
    <row r="9" hidden="1">
      <c r="A9" s="49" t="s">
        <v>39</v>
      </c>
      <c r="B9" s="49" t="s">
        <v>42</v>
      </c>
      <c r="C9" s="50"/>
      <c r="D9" s="51"/>
      <c r="E9" s="52"/>
      <c r="F9" s="52"/>
      <c r="G9" s="52"/>
    </row>
    <row r="10">
      <c r="A10" s="48"/>
      <c r="B10" s="48"/>
      <c r="C10" s="50"/>
      <c r="D10" s="51"/>
      <c r="E10" s="51"/>
      <c r="F10" s="52"/>
      <c r="G10" s="52"/>
    </row>
    <row r="11">
      <c r="A11" s="49" t="s">
        <v>11</v>
      </c>
      <c r="B11" s="49" t="s">
        <v>43</v>
      </c>
      <c r="C11" s="50" t="s">
        <v>13</v>
      </c>
      <c r="D11" s="51" t="s">
        <v>44</v>
      </c>
      <c r="E11" s="51" t="s">
        <v>15</v>
      </c>
      <c r="F11" s="52" t="s">
        <v>21</v>
      </c>
      <c r="G11" s="52" t="s">
        <v>22</v>
      </c>
      <c r="H11" s="52" t="s">
        <v>23</v>
      </c>
      <c r="I11" s="52" t="s">
        <v>45</v>
      </c>
      <c r="J11" s="52" t="s">
        <v>17</v>
      </c>
    </row>
    <row r="12">
      <c r="A12" s="6">
        <f>IFERROR(__xludf.DUMMYFUNCTION("SORT(IF(LEN(TEXTJOIN(""|"",TRUE,C3,E3,G3,C4,E4,G4))=0,,IF(C5=""And"",FILTER('Leetcode List'!A:J,REGEXMATCH('Leetcode List'!E:E,""(?i)""&amp;C3),REGEXMATCH('Leetcode List'!E:E,""(?i)""&amp;E3),REGEXMATCH('Leetcode List'!E:E,""(?i)""&amp;G3),REGEXMATCH('Leetcode List'!"&amp;"E:E,""(?i)""&amp;C4),REGEXMATCH('Leetcode List'!E:E,""(?i)""&amp;E4),REGEXMATCH('Leetcode List'!E:E,""(?i)""&amp;G4)),FILTER('Leetcode List'!A:J,REGEXMATCH('Leetcode List'!E:E,""(?i)""&amp;TEXTJOIN(""|"",TRUE,C3,E3,G3,C4,E4,G4))))),Switch(E5,A11,1,B11,2,C11,3,D11,4,E11,5"&amp;",I11,6,J11,7),Switch(F5,A9,TRUE,B9,FALSE))"),1.0)</f>
        <v>1</v>
      </c>
      <c r="B12" s="53" t="str">
        <f>IFERROR(__xludf.DUMMYFUNCTION("""COMPUTED_VALUE"""),"Two Sum")</f>
        <v>Two Sum</v>
      </c>
      <c r="C12" s="6" t="str">
        <f>IFERROR(__xludf.DUMMYFUNCTION("""COMPUTED_VALUE"""),"Easy")</f>
        <v>Easy</v>
      </c>
      <c r="D12" s="6" t="str">
        <f>IFERROR(__xludf.DUMMYFUNCTION("""COMPUTED_VALUE"""),"Hash Table,Array")</f>
        <v>Hash Table,Array</v>
      </c>
      <c r="E12" s="6" t="str">
        <f>IFERROR(__xludf.DUMMYFUNCTION("""COMPUTED_VALUE"""),"Tcs,Directi,Hotstar,Accolite,Poshmark,PayTM,Infosys,Zulily,HBO,Cloudera,Citrix,Nagarro,Roblox,Audible,Splunk,ByteDance,FactSet,Twilio,Qualcomm,GE Digital,Capital One,EMC,Deutsche Bank,Tableau,Salesforce,Groupon,Zynga,Intel,Booking.com,Drawbridge,Visa,VMwa"&amp;"re,Box,Citadel,Quora,Affirm,Walmart Labs,Dropbox,GoDaddy,Snapchat,MAQ Software,Indeed,Radius,Works Applications,JPMorgan,Zillow,Paypal,Twitter,ServiceNow,Expedia,Wish,Yelp,Nvidia,Zoho,Oracle,NetEase,Spotify,Intuit,IBM,Lyft,Cisco,Mathworks,DiDi,Yandex,Huaw"&amp;"ei,EBay,BlackRock,Baidu,Valve,Apple,Airbnb,Uber,Yahoo,Samsung,Tencent,SAP,Morgan Stanley,Aetion,Bloomberg,Adobe,Facebook,Amazon,LinkedIn,Microsoft,Alibaba,Goldman Sachs,Google")</f>
        <v>Tcs,Directi,Hotstar,Accolite,Poshmark,PayTM,Infosys,Zulily,HBO,Cloudera,Citrix,Nagarro,Roblox,Audible,Splunk,ByteDance,FactSet,Twilio,Qualcomm,GE Digital,Capital One,EMC,Deutsche Bank,Tableau,Salesforce,Groupon,Zynga,Intel,Booking.com,Drawbridge,Visa,VMware,Box,Citadel,Quora,Affirm,Walmart Labs,Dropbox,GoDaddy,Snapchat,MAQ Software,Indeed,Radius,Works Applications,JPMorgan,Zillow,Paypal,Twitter,ServiceNow,Expedia,Wish,Yelp,Nvidia,Zoho,Oracle,NetEase,Spotify,Intuit,IBM,Lyft,Cisco,Mathworks,DiDi,Yandex,Huawei,EBay,BlackRock,Baidu,Valve,Apple,Airbnb,Uber,Yahoo,Samsung,Tencent,SAP,Morgan Stanley,Aetion,Bloomberg,Adobe,Facebook,Amazon,LinkedIn,Microsoft,Alibaba,Goldman Sachs,Google</v>
      </c>
      <c r="F12" s="6" t="str">
        <f>IFERROR(__xludf.DUMMYFUNCTION("""COMPUTED_VALUE"""),"Amazon,Google,Apple,Microsoft,Adobe,Bloomberg,Facebook,Oracle,Uber,Expedia,Twitter,Yahoo,Cisco,Nagarro,Goldman Sachs,SAP,Yandex,Intuit,Qualcomm,ByteDance,HBO,tcs")</f>
        <v>Amazon,Google,Apple,Microsoft,Adobe,Bloomberg,Facebook,Oracle,Uber,Expedia,Twitter,Yahoo,Cisco,Nagarro,Goldman Sachs,SAP,Yandex,Intuit,Qualcomm,ByteDance,HBO,tcs</v>
      </c>
      <c r="G12" s="6" t="str">
        <f>IFERROR(__xludf.DUMMYFUNCTION("""COMPUTED_VALUE"""),"eBay,Paypal,Walmart Labs,VMware,Samsung,ServiceNow,Infosys,Accolite,Alibaba,Airbnb,Citrix,Cloudera,Intel,Groupon,Salesforce,PayTM,Poshmark,Amazon,Google,Apple,Microsoft,Adobe,Bloomberg,Facebook,Oracle,Uber,Expedia,Twitter,Yahoo,Cisco,Nagarro,Goldman Sachs"&amp;",SAP,Yandex,Intuit,Qualcomm,ByteDance,HBO,tcs")</f>
        <v>eBay,Paypal,Walmart Labs,VMware,Samsung,ServiceNow,Infosys,Accolite,Alibaba,Airbnb,Citrix,Cloudera,Intel,Groupon,Salesforce,PayTM,Poshmark,Amazon,Google,Apple,Microsoft,Adobe,Bloomberg,Facebook,Oracle,Uber,Expedia,Twitter,Yahoo,Cisco,Nagarro,Goldman Sachs,SAP,Yandex,Intuit,Qualcomm,ByteDance,HBO,tcs</v>
      </c>
      <c r="H12" s="6" t="str">
        <f>IFERROR(__xludf.DUMMYFUNCTION("""COMPUTED_VALUE"""),"LinkedIn,Splunk,Huawei,Nvidia,Visa,Morgan Stanley,JPMorgan,FactSet,Hotstar,Tencent,Mathworks,IBM,Zillow,GoDaddy,Audible,Spotify,Zoho,Citadel,Tableau,Roblox,Zulily,Directi,Yelp,Dropbox,eBay,Paypal,Walmart Labs,VMware,Samsung,ServiceNow,Infosys,Accolite,Ali"&amp;"baba,Airbnb,Citrix,Cloudera,Intel,Groupon,Salesforce,PayTM,Poshmark,Amazon,Google,Apple,Microsoft,Adobe,Bloomberg,Facebook,Oracle,Uber,Expedia,Twitter,Yahoo,Cisco,Nagarro,Goldman Sachs,SAP,Yandex,Intuit,Qualcomm,ByteDance,HBO,tcs")</f>
        <v>LinkedIn,Splunk,Huawei,Nvidia,Visa,Morgan Stanley,JPMorgan,FactSet,Hotstar,Tencent,Mathworks,IBM,Zillow,GoDaddy,Audible,Spotify,Zoho,Citadel,Tableau,Roblox,Zulily,Directi,Yelp,Dropbox,eBay,Paypal,Walmart Labs,VMware,Samsung,ServiceNow,Infosys,Accolite,Alibaba,Airbnb,Citrix,Cloudera,Intel,Groupon,Salesforce,PayTM,Poshmark,Amazon,Google,Apple,Microsoft,Adobe,Bloomberg,Facebook,Oracle,Uber,Expedia,Twitter,Yahoo,Cisco,Nagarro,Goldman Sachs,SAP,Yandex,Intuit,Qualcomm,ByteDance,HBO,tcs</v>
      </c>
      <c r="I12" s="6">
        <f>IFERROR(__xludf.DUMMYFUNCTION("""COMPUTED_VALUE"""),46.59)</f>
        <v>46.59</v>
      </c>
      <c r="J12" s="6" t="str">
        <f>IFERROR(__xludf.DUMMYFUNCTION("""COMPUTED_VALUE"""),"算法")</f>
        <v>算法</v>
      </c>
    </row>
    <row r="13">
      <c r="A13" s="6">
        <f>IFERROR(__xludf.DUMMYFUNCTION("""COMPUTED_VALUE"""),2.0)</f>
        <v>2</v>
      </c>
      <c r="B13" s="53" t="str">
        <f>IFERROR(__xludf.DUMMYFUNCTION("""COMPUTED_VALUE"""),"Add Two Numbers")</f>
        <v>Add Two Numbers</v>
      </c>
      <c r="C13" s="6" t="str">
        <f>IFERROR(__xludf.DUMMYFUNCTION("""COMPUTED_VALUE"""),"Medium")</f>
        <v>Medium</v>
      </c>
      <c r="D13" s="6" t="str">
        <f>IFERROR(__xludf.DUMMYFUNCTION("""COMPUTED_VALUE"""),"Recursion,Math,Linked List")</f>
        <v>Recursion,Math,Linked List</v>
      </c>
      <c r="E13" s="6" t="str">
        <f>IFERROR(__xludf.DUMMYFUNCTION("""COMPUTED_VALUE"""),"Coupang,Docusign,Tcs,PayTM,Walmart Labs,Dell,Redfin,Flipkart,Grab,ByteDance,Qualcomm,Capital One,Salesforce,Intel,VMware,GoDaddy,Paypal,ServiceNow,Wish,Nvidia,Zoho,Oracle,IBM,Lyft,Cisco,Mathworks,Yandex,Huawei,EBay,Baidu,Apple,Airbnb,Uber,Yahoo,SAP,Aetion"&amp;",Bloomberg,Adobe,Facebook,Amazon,Microsoft,Alibaba,Google")</f>
        <v>Coupang,Docusign,Tcs,PayTM,Walmart Labs,Dell,Redfin,Flipkart,Grab,ByteDance,Qualcomm,Capital One,Salesforce,Intel,VMware,GoDaddy,Paypal,ServiceNow,Wish,Nvidia,Zoho,Oracle,IBM,Lyft,Cisco,Mathworks,Yandex,Huawei,EBay,Baidu,Apple,Airbnb,Uber,Yahoo,SAP,Aetion,Bloomberg,Adobe,Facebook,Amazon,Microsoft,Alibaba,Google</v>
      </c>
      <c r="F13" s="6" t="str">
        <f>IFERROR(__xludf.DUMMYFUNCTION("""COMPUTED_VALUE"""),"Bloomberg,Microsoft,Amazon,Adobe,Facebook,Apple,Google,Uber,Oracle,Coupang,VMware,Paypal")</f>
        <v>Bloomberg,Microsoft,Amazon,Adobe,Facebook,Apple,Google,Uber,Oracle,Coupang,VMware,Paypal</v>
      </c>
      <c r="G13" s="6" t="str">
        <f>IFERROR(__xludf.DUMMYFUNCTION("""COMPUTED_VALUE"""),"Yahoo,Docusign,ByteDance,eBay,Walmart Labs,tcs,Bloomberg,Microsoft,Amazon,Adobe,Facebook,Apple,Google,Uber,Oracle,Coupang,VMware,Paypal")</f>
        <v>Yahoo,Docusign,ByteDance,eBay,Walmart Labs,tcs,Bloomberg,Microsoft,Amazon,Adobe,Facebook,Apple,Google,Uber,Oracle,Coupang,VMware,Paypal</v>
      </c>
      <c r="H13" s="6" t="str">
        <f>IFERROR(__xludf.DUMMYFUNCTION("""COMPUTED_VALUE"""),"Cisco,Yandex,ServiceNow,Qualcomm,Zoho,Huawei,Salesforce,Lyft,Capital One,Grab,PayTM,Airbnb,Yahoo,Docusign,ByteDance,eBay,Walmart Labs,tcs,Bloomberg,Microsoft,Amazon,Adobe,Facebook,Apple,Google,Uber,Oracle,Coupang,VMware,Paypal")</f>
        <v>Cisco,Yandex,ServiceNow,Qualcomm,Zoho,Huawei,Salesforce,Lyft,Capital One,Grab,PayTM,Airbnb,Yahoo,Docusign,ByteDance,eBay,Walmart Labs,tcs,Bloomberg,Microsoft,Amazon,Adobe,Facebook,Apple,Google,Uber,Oracle,Coupang,VMware,Paypal</v>
      </c>
      <c r="I13" s="6">
        <f>IFERROR(__xludf.DUMMYFUNCTION("""COMPUTED_VALUE"""),35.59)</f>
        <v>35.59</v>
      </c>
      <c r="J13" s="6" t="str">
        <f>IFERROR(__xludf.DUMMYFUNCTION("""COMPUTED_VALUE"""),"算法")</f>
        <v>算法</v>
      </c>
    </row>
    <row r="14">
      <c r="A14" s="6">
        <f>IFERROR(__xludf.DUMMYFUNCTION("""COMPUTED_VALUE"""),7.0)</f>
        <v>7</v>
      </c>
      <c r="B14" s="53" t="str">
        <f>IFERROR(__xludf.DUMMYFUNCTION("""COMPUTED_VALUE"""),"Reverse Integer")</f>
        <v>Reverse Integer</v>
      </c>
      <c r="C14" s="6" t="str">
        <f>IFERROR(__xludf.DUMMYFUNCTION("""COMPUTED_VALUE"""),"Easy")</f>
        <v>Easy</v>
      </c>
      <c r="D14" s="6" t="str">
        <f>IFERROR(__xludf.DUMMYFUNCTION("""COMPUTED_VALUE"""),"Math")</f>
        <v>Math</v>
      </c>
      <c r="E14" s="6" t="str">
        <f>IFERROR(__xludf.DUMMYFUNCTION("""COMPUTED_VALUE"""),"American Express,ByteDance,EBay,Barclays,JPMorgan,Oracle,NetEase,Lyft,Cisco,Apple,Uber,Yahoo,Bloomberg,Adobe,Facebook,Amazon,Microsoft,Google")</f>
        <v>American Express,ByteDance,EBay,Barclays,JPMorgan,Oracle,NetEase,Lyft,Cisco,Apple,Uber,Yahoo,Bloomberg,Adobe,Facebook,Amazon,Microsoft,Google</v>
      </c>
      <c r="F14" s="6" t="str">
        <f>IFERROR(__xludf.DUMMYFUNCTION("""COMPUTED_VALUE"""),"Amazon,Google,Facebook,Apple,American Express,Microsoft,Adobe,Uber,Bloomberg")</f>
        <v>Amazon,Google,Facebook,Apple,American Express,Microsoft,Adobe,Uber,Bloomberg</v>
      </c>
      <c r="G14" s="6" t="str">
        <f>IFERROR(__xludf.DUMMYFUNCTION("""COMPUTED_VALUE"""),"Yahoo,ByteDance,Amazon,Google,Facebook,Apple,American Express,Microsoft,Adobe,Uber,Bloomberg")</f>
        <v>Yahoo,ByteDance,Amazon,Google,Facebook,Apple,American Express,Microsoft,Adobe,Uber,Bloomberg</v>
      </c>
      <c r="H14" s="6" t="str">
        <f>IFERROR(__xludf.DUMMYFUNCTION("""COMPUTED_VALUE"""),"Oracle,eBay,Lyft,Cisco,Yahoo,ByteDance,Amazon,Google,Facebook,Apple,American Express,Microsoft,Adobe,Uber,Bloomberg")</f>
        <v>Oracle,eBay,Lyft,Cisco,Yahoo,ByteDance,Amazon,Google,Facebook,Apple,American Express,Microsoft,Adobe,Uber,Bloomberg</v>
      </c>
      <c r="I14" s="6">
        <f>IFERROR(__xludf.DUMMYFUNCTION("""COMPUTED_VALUE"""),25.93)</f>
        <v>25.93</v>
      </c>
      <c r="J14" s="6" t="str">
        <f>IFERROR(__xludf.DUMMYFUNCTION("""COMPUTED_VALUE"""),"算法")</f>
        <v>算法</v>
      </c>
    </row>
    <row r="15">
      <c r="A15" s="6">
        <f>IFERROR(__xludf.DUMMYFUNCTION("""COMPUTED_VALUE"""),10.0)</f>
        <v>10</v>
      </c>
      <c r="B15" s="53" t="str">
        <f>IFERROR(__xludf.DUMMYFUNCTION("""COMPUTED_VALUE"""),"Regular Expression Matching")</f>
        <v>Regular Expression Matching</v>
      </c>
      <c r="C15" s="6" t="str">
        <f>IFERROR(__xludf.DUMMYFUNCTION("""COMPUTED_VALUE"""),"Hard")</f>
        <v>Hard</v>
      </c>
      <c r="D15" s="6" t="str">
        <f>IFERROR(__xludf.DUMMYFUNCTION("""COMPUTED_VALUE"""),"Backtracking,Dynamic Programming,String")</f>
        <v>Backtracking,Dynamic Programming,String</v>
      </c>
      <c r="E15" s="6" t="str">
        <f>IFERROR(__xludf.DUMMYFUNCTION("""COMPUTED_VALUE"""),"Cloudera,Goldman Sachs,Databricks,Pocket Gems,Palantir Technologies,Coursera,Cruise Automation,Zulily,Houzz,Flipkart,ByteDance,Twitter,Oracle,Lyft,EBay,Apple,Airbnb,Uber,Bloomberg,Adobe,Facebook,Amazon,Microsoft,Alibaba,Google")</f>
        <v>Cloudera,Goldman Sachs,Databricks,Pocket Gems,Palantir Technologies,Coursera,Cruise Automation,Zulily,Houzz,Flipkart,ByteDance,Twitter,Oracle,Lyft,EBay,Apple,Airbnb,Uber,Bloomberg,Adobe,Facebook,Amazon,Microsoft,Alibaba,Google</v>
      </c>
      <c r="F15" s="6" t="str">
        <f>IFERROR(__xludf.DUMMYFUNCTION("""COMPUTED_VALUE"""),"Facebook,Amazon,Coursera,Microsoft,Apple,Google,Adobe,Goldman Sachs")</f>
        <v>Facebook,Amazon,Coursera,Microsoft,Apple,Google,Adobe,Goldman Sachs</v>
      </c>
      <c r="G15" s="6" t="str">
        <f>IFERROR(__xludf.DUMMYFUNCTION("""COMPUTED_VALUE"""),"Bloomberg,Uber,eBay,Databricks,Facebook,Amazon,Coursera,Microsoft,Apple,Google,Adobe,Goldman Sachs")</f>
        <v>Bloomberg,Uber,eBay,Databricks,Facebook,Amazon,Coursera,Microsoft,Apple,Google,Adobe,Goldman Sachs</v>
      </c>
      <c r="H15" s="6" t="str">
        <f>IFERROR(__xludf.DUMMYFUNCTION("""COMPUTED_VALUE"""),"Lyft,Oracle,Twitter,Pocket Gems,Cloudera,Airbnb,Bloomberg,Uber,eBay,Databricks,Facebook,Amazon,Coursera,Microsoft,Apple,Google,Adobe,Goldman Sachs")</f>
        <v>Lyft,Oracle,Twitter,Pocket Gems,Cloudera,Airbnb,Bloomberg,Uber,eBay,Databricks,Facebook,Amazon,Coursera,Microsoft,Apple,Google,Adobe,Goldman Sachs</v>
      </c>
      <c r="I15" s="6">
        <f>IFERROR(__xludf.DUMMYFUNCTION("""COMPUTED_VALUE"""),27.39)</f>
        <v>27.39</v>
      </c>
      <c r="J15" s="6" t="str">
        <f>IFERROR(__xludf.DUMMYFUNCTION("""COMPUTED_VALUE"""),"算法")</f>
        <v>算法</v>
      </c>
    </row>
    <row r="16">
      <c r="A16" s="6">
        <f>IFERROR(__xludf.DUMMYFUNCTION("""COMPUTED_VALUE"""),11.0)</f>
        <v>11</v>
      </c>
      <c r="B16" s="53" t="str">
        <f>IFERROR(__xludf.DUMMYFUNCTION("""COMPUTED_VALUE"""),"Container With Most Water")</f>
        <v>Container With Most Water</v>
      </c>
      <c r="C16" s="6" t="str">
        <f>IFERROR(__xludf.DUMMYFUNCTION("""COMPUTED_VALUE"""),"Medium")</f>
        <v>Medium</v>
      </c>
      <c r="D16" s="6" t="str">
        <f>IFERROR(__xludf.DUMMYFUNCTION("""COMPUTED_VALUE"""),"Two Pointers,Array")</f>
        <v>Two Pointers,Array</v>
      </c>
      <c r="E16" s="6" t="str">
        <f>IFERROR(__xludf.DUMMYFUNCTION("""COMPUTED_VALUE"""),"Flipkart,Tcs,Salesforce,Walmart Labs,ByteDance,VMware,Oracle,Lyft,Apple,Airbnb,Uber,Yahoo,Bloomberg,Adobe,Facebook,Amazon,Microsoft,Goldman Sachs,Google")</f>
        <v>Flipkart,Tcs,Salesforce,Walmart Labs,ByteDance,VMware,Oracle,Lyft,Apple,Airbnb,Uber,Yahoo,Bloomberg,Adobe,Facebook,Amazon,Microsoft,Goldman Sachs,Google</v>
      </c>
      <c r="F16" s="6" t="str">
        <f>IFERROR(__xludf.DUMMYFUNCTION("""COMPUTED_VALUE"""),"Amazon,Facebook,Microsoft,Goldman Sachs,Adobe,Google,Apple,Yahoo,Salesforce,tcs")</f>
        <v>Amazon,Facebook,Microsoft,Goldman Sachs,Adobe,Google,Apple,Yahoo,Salesforce,tcs</v>
      </c>
      <c r="G16" s="6" t="str">
        <f>IFERROR(__xludf.DUMMYFUNCTION("""COMPUTED_VALUE"""),"Walmart Labs,ByteDance,Flipkart,Bloomberg,Amazon,Facebook,Microsoft,Goldman Sachs,Adobe,Google,Apple,Yahoo,Salesforce,tcs")</f>
        <v>Walmart Labs,ByteDance,Flipkart,Bloomberg,Amazon,Facebook,Microsoft,Goldman Sachs,Adobe,Google,Apple,Yahoo,Salesforce,tcs</v>
      </c>
      <c r="H16" s="6" t="str">
        <f>IFERROR(__xludf.DUMMYFUNCTION("""COMPUTED_VALUE"""),"VMware,Walmart Labs,ByteDance,Flipkart,Bloomberg,Amazon,Facebook,Microsoft,Goldman Sachs,Adobe,Google,Apple,Yahoo,Salesforce,tcs")</f>
        <v>VMware,Walmart Labs,ByteDance,Flipkart,Bloomberg,Amazon,Facebook,Microsoft,Goldman Sachs,Adobe,Google,Apple,Yahoo,Salesforce,tcs</v>
      </c>
      <c r="I16" s="6">
        <f>IFERROR(__xludf.DUMMYFUNCTION("""COMPUTED_VALUE"""),52.84)</f>
        <v>52.84</v>
      </c>
      <c r="J16" s="6" t="str">
        <f>IFERROR(__xludf.DUMMYFUNCTION("""COMPUTED_VALUE"""),"算法")</f>
        <v>算法</v>
      </c>
    </row>
    <row r="17">
      <c r="A17" s="6">
        <f>IFERROR(__xludf.DUMMYFUNCTION("""COMPUTED_VALUE"""),17.0)</f>
        <v>17</v>
      </c>
      <c r="B17" s="53" t="str">
        <f>IFERROR(__xludf.DUMMYFUNCTION("""COMPUTED_VALUE"""),"Letter Combinations of a Phone Number")</f>
        <v>Letter Combinations of a Phone Number</v>
      </c>
      <c r="C17" s="6" t="str">
        <f>IFERROR(__xludf.DUMMYFUNCTION("""COMPUTED_VALUE"""),"Medium")</f>
        <v>Medium</v>
      </c>
      <c r="D17" s="6" t="str">
        <f>IFERROR(__xludf.DUMMYFUNCTION("""COMPUTED_VALUE"""),"Recursion,Depth First Search,Backtracking,String")</f>
        <v>Recursion,Depth First Search,Backtracking,String</v>
      </c>
      <c r="E17" s="6" t="str">
        <f>IFERROR(__xludf.DUMMYFUNCTION("""COMPUTED_VALUE"""),"Duolingo,Tesla,Snapchat,Twilio,Qualtrics,Databricks,Capital One,Samsung,Nutanix,Quip (Salesforce),Square,Pinterest,Atlassian,Roblox,Salesforce,VMware,Walmart Labs,Dropbox,JPMorgan,ServiceNow,Oracle,Lyft,Cisco,EBay,Apple,Airbnb,Uber,Yahoo,Morgan Stanley,Bl"&amp;"oomberg,Facebook,Amazon,Microsoft,Goldman Sachs,Google")</f>
        <v>Duolingo,Tesla,Snapchat,Twilio,Qualtrics,Databricks,Capital One,Samsung,Nutanix,Quip (Salesforce),Square,Pinterest,Atlassian,Roblox,Salesforce,VMware,Walmart Labs,Dropbox,JPMorgan,ServiceNow,Oracle,Lyft,Cisco,EBay,Apple,Airbnb,Uber,Yahoo,Morgan Stanley,Bloomberg,Facebook,Amazon,Microsoft,Goldman Sachs,Google</v>
      </c>
      <c r="F17" s="6" t="str">
        <f>IFERROR(__xludf.DUMMYFUNCTION("""COMPUTED_VALUE"""),"Amazon,Microsoft,Capital One,Twilio,Facebook,eBay,Google,Uber,Apple,Oracle,Qualtrics,JPMorgan,Morgan Stanley,Tesla,Samsung,Bloomberg,VMware")</f>
        <v>Amazon,Microsoft,Capital One,Twilio,Facebook,eBay,Google,Uber,Apple,Oracle,Qualtrics,JPMorgan,Morgan Stanley,Tesla,Samsung,Bloomberg,VMware</v>
      </c>
      <c r="G17" s="6" t="str">
        <f>IFERROR(__xludf.DUMMYFUNCTION("""COMPUTED_VALUE"""),"Atlassian,Walmart Labs,Databricks,Goldman Sachs,ServiceNow,Amazon,Microsoft,Capital One,Twilio,Facebook,eBay,Google,Uber,Apple,Oracle,Qualtrics,JPMorgan,Morgan Stanley,Tesla,Samsung,Bloomberg,VMware")</f>
        <v>Atlassian,Walmart Labs,Databricks,Goldman Sachs,ServiceNow,Amazon,Microsoft,Capital One,Twilio,Facebook,eBay,Google,Uber,Apple,Oracle,Qualtrics,JPMorgan,Morgan Stanley,Tesla,Samsung,Bloomberg,VMware</v>
      </c>
      <c r="H17" s="6" t="str">
        <f>IFERROR(__xludf.DUMMYFUNCTION("""COMPUTED_VALUE"""),"Salesforce,Dropbox,Roblox,Nutanix,Snapchat,Lyft,Square,Yahoo,Quip (Salesforce),Duolingo,Atlassian,Walmart Labs,Databricks,Goldman Sachs,ServiceNow,Amazon,Microsoft,Capital One,Twilio,Facebook,eBay,Google,Uber,Apple,Oracle,Qualtrics,JPMorgan,Morgan Stanley"&amp;",Tesla,Samsung,Bloomberg,VMware")</f>
        <v>Salesforce,Dropbox,Roblox,Nutanix,Snapchat,Lyft,Square,Yahoo,Quip (Salesforce),Duolingo,Atlassian,Walmart Labs,Databricks,Goldman Sachs,ServiceNow,Amazon,Microsoft,Capital One,Twilio,Facebook,eBay,Google,Uber,Apple,Oracle,Qualtrics,JPMorgan,Morgan Stanley,Tesla,Samsung,Bloomberg,VMware</v>
      </c>
      <c r="I17" s="6">
        <f>IFERROR(__xludf.DUMMYFUNCTION("""COMPUTED_VALUE"""),49.34)</f>
        <v>49.34</v>
      </c>
      <c r="J17" s="6" t="str">
        <f>IFERROR(__xludf.DUMMYFUNCTION("""COMPUTED_VALUE"""),"算法")</f>
        <v>算法</v>
      </c>
    </row>
    <row r="18">
      <c r="A18" s="6">
        <f>IFERROR(__xludf.DUMMYFUNCTION("""COMPUTED_VALUE"""),20.0)</f>
        <v>20</v>
      </c>
      <c r="B18" s="53" t="str">
        <f>IFERROR(__xludf.DUMMYFUNCTION("""COMPUTED_VALUE"""),"Valid Parentheses")</f>
        <v>Valid Parentheses</v>
      </c>
      <c r="C18" s="6" t="str">
        <f>IFERROR(__xludf.DUMMYFUNCTION("""COMPUTED_VALUE"""),"Easy")</f>
        <v>Easy</v>
      </c>
      <c r="D18" s="6" t="str">
        <f>IFERROR(__xludf.DUMMYFUNCTION("""COMPUTED_VALUE"""),"Stack,String")</f>
        <v>Stack,String</v>
      </c>
      <c r="E18" s="6" t="str">
        <f>IFERROR(__xludf.DUMMYFUNCTION("""COMPUTED_VALUE"""),"Flipkart,Splunk,ByteDance,Qualcomm,LiveRamp,Netflix,Epic Systems,Riot Games,Tesla,Blizzard,DoorDash,Postmates,Akuna Capital,Barclays,Zenefits,Atlassian,Audible,Twilio,Salesforce,Intel,Visa,VMware,Citadel,Walmart Labs,GoDaddy,JPMorgan,Zillow,Paypal,Twitter"&amp;",ServiceNow,Expedia,Oracle,Spotify,Intuit,IBM,Lyft,Cisco,Mathworks,Yandex,EBay,Apple,Airbnb,Uber,Yahoo,Samsung,Tencent,SAP,Morgan Stanley,Bloomberg,Adobe,Facebook,Amazon,LinkedIn,Microsoft,Goldman Sachs,Google")</f>
        <v>Flipkart,Splunk,ByteDance,Qualcomm,LiveRamp,Netflix,Epic Systems,Riot Games,Tesla,Blizzard,DoorDash,Postmates,Akuna Capital,Barclays,Zenefits,Atlassian,Audible,Twilio,Salesforce,Intel,Visa,VMware,Citadel,Walmart Labs,GoDaddy,JPMorgan,Zillow,Paypal,Twitter,ServiceNow,Expedia,Oracle,Spotify,Intuit,IBM,Lyft,Cisco,Mathworks,Yandex,EBay,Apple,Airbnb,Uber,Yahoo,Samsung,Tencent,SAP,Morgan Stanley,Bloomberg,Adobe,Facebook,Amazon,LinkedIn,Microsoft,Goldman Sachs,Google</v>
      </c>
      <c r="F18" s="6" t="str">
        <f>IFERROR(__xludf.DUMMYFUNCTION("""COMPUTED_VALUE"""),"Amazon,Bloomberg,Apple,Facebook,Microsoft,Expedia,Google,Oracle,Spotify,IBM,LinkedIn,Goldman Sachs,Intuit,Paypal,eBay,ServiceNow,Qualcomm,Zillow,JPMorgan,ByteDance")</f>
        <v>Amazon,Bloomberg,Apple,Facebook,Microsoft,Expedia,Google,Oracle,Spotify,IBM,LinkedIn,Goldman Sachs,Intuit,Paypal,eBay,ServiceNow,Qualcomm,Zillow,JPMorgan,ByteDance</v>
      </c>
      <c r="G18" s="6" t="str">
        <f>IFERROR(__xludf.DUMMYFUNCTION("""COMPUTED_VALUE"""),"Citadel,Tesla,VMware,Adobe,Yahoo,Lyft,Flipkart,Blizzard,Barclays,Atlassian,Mathworks,Morgan Stanley,Visa,Salesforce,Amazon,Bloomberg,Apple,Facebook,Microsoft,Expedia,Google,Oracle,Spotify,IBM,LinkedIn,Goldman Sachs,Intuit,Paypal,eBay,ServiceNow,Qualcomm,Z"&amp;"illow,JPMorgan,ByteDance")</f>
        <v>Citadel,Tesla,VMware,Adobe,Yahoo,Lyft,Flipkart,Blizzard,Barclays,Atlassian,Mathworks,Morgan Stanley,Visa,Salesforce,Amazon,Bloomberg,Apple,Facebook,Microsoft,Expedia,Google,Oracle,Spotify,IBM,LinkedIn,Goldman Sachs,Intuit,Paypal,eBay,ServiceNow,Qualcomm,Zillow,JPMorgan,ByteDance</v>
      </c>
      <c r="H18" s="6" t="str">
        <f>IFERROR(__xludf.DUMMYFUNCTION("""COMPUTED_VALUE"""),"Uber,Yandex,Cisco,Intel,Twitter,Riot Games,GoDaddy,Walmart Labs,Audible,Epic Systems,SAP,LiveRamp,Splunk,Airbnb,Zenefits,Citadel,Tesla,VMware,Adobe,Yahoo,Lyft,Flipkart,Blizzard,Barclays,Atlassian,Mathworks,Morgan Stanley,Visa,Salesforce,Amazon,Bloomberg,A"&amp;"pple,Facebook,Microsoft,Expedia,Google,Oracle,Spotify,IBM,LinkedIn,Goldman Sachs,Intuit,Paypal,eBay,ServiceNow,Qualcomm,Zillow,JPMorgan,ByteDance")</f>
        <v>Uber,Yandex,Cisco,Intel,Twitter,Riot Games,GoDaddy,Walmart Labs,Audible,Epic Systems,SAP,LiveRamp,Splunk,Airbnb,Zenefits,Citadel,Tesla,VMware,Adobe,Yahoo,Lyft,Flipkart,Blizzard,Barclays,Atlassian,Mathworks,Morgan Stanley,Visa,Salesforce,Amazon,Bloomberg,Apple,Facebook,Microsoft,Expedia,Google,Oracle,Spotify,IBM,LinkedIn,Goldman Sachs,Intuit,Paypal,eBay,ServiceNow,Qualcomm,Zillow,JPMorgan,ByteDance</v>
      </c>
      <c r="I18" s="6">
        <f>IFERROR(__xludf.DUMMYFUNCTION("""COMPUTED_VALUE"""),39.93)</f>
        <v>39.93</v>
      </c>
      <c r="J18" s="6" t="str">
        <f>IFERROR(__xludf.DUMMYFUNCTION("""COMPUTED_VALUE"""),"算法")</f>
        <v>算法</v>
      </c>
    </row>
    <row r="19">
      <c r="A19" s="6">
        <f>IFERROR(__xludf.DUMMYFUNCTION("""COMPUTED_VALUE"""),21.0)</f>
        <v>21</v>
      </c>
      <c r="B19" s="53" t="str">
        <f>IFERROR(__xludf.DUMMYFUNCTION("""COMPUTED_VALUE"""),"Merge Two Sorted Lists")</f>
        <v>Merge Two Sorted Lists</v>
      </c>
      <c r="C19" s="6" t="str">
        <f>IFERROR(__xludf.DUMMYFUNCTION("""COMPUTED_VALUE"""),"Easy")</f>
        <v>Easy</v>
      </c>
      <c r="D19" s="6" t="str">
        <f>IFERROR(__xludf.DUMMYFUNCTION("""COMPUTED_VALUE"""),"Recursion,Linked List")</f>
        <v>Recursion,Linked List</v>
      </c>
      <c r="E19" s="6" t="str">
        <f>IFERROR(__xludf.DUMMYFUNCTION("""COMPUTED_VALUE"""),"Wish,IBM,Arista Networks,Atlassian,ByteDance,Capital One,Intel,Visa,VMware,Walmart Labs,Indeed,Paypal,Oracle,Lyft,Cisco,Yandex,Huawei,EBay,Apple,Airbnb,Uber,Yahoo,Samsung,Tencent,Bloomberg,Adobe,Facebook,Amazon,LinkedIn,Microsoft,Alibaba,Google")</f>
        <v>Wish,IBM,Arista Networks,Atlassian,ByteDance,Capital One,Intel,Visa,VMware,Walmart Labs,Indeed,Paypal,Oracle,Lyft,Cisco,Yandex,Huawei,EBay,Apple,Airbnb,Uber,Yahoo,Samsung,Tencent,Bloomberg,Adobe,Facebook,Amazon,LinkedIn,Microsoft,Alibaba,Google</v>
      </c>
      <c r="F19" s="6" t="str">
        <f>IFERROR(__xludf.DUMMYFUNCTION("""COMPUTED_VALUE"""),"Amazon,Capital One,Adobe,Facebook,Bloomberg,Microsoft,Oracle,LinkedIn,Uber,VMware,Google,IBM,ByteDance")</f>
        <v>Amazon,Capital One,Adobe,Facebook,Bloomberg,Microsoft,Oracle,LinkedIn,Uber,VMware,Google,IBM,ByteDance</v>
      </c>
      <c r="G19" s="6" t="str">
        <f>IFERROR(__xludf.DUMMYFUNCTION("""COMPUTED_VALUE"""),"Apple,Yandex,Yahoo,Samsung,eBay,Amazon,Capital One,Adobe,Facebook,Bloomberg,Microsoft,Oracle,LinkedIn,Uber,VMware,Google,IBM,ByteDance")</f>
        <v>Apple,Yandex,Yahoo,Samsung,eBay,Amazon,Capital One,Adobe,Facebook,Bloomberg,Microsoft,Oracle,LinkedIn,Uber,VMware,Google,IBM,ByteDance</v>
      </c>
      <c r="H19" s="6" t="str">
        <f>IFERROR(__xludf.DUMMYFUNCTION("""COMPUTED_VALUE"""),"Tencent,Arista Networks,Indeed,Intel,Cisco,Lyft,Atlassian,Wish,Apple,Yandex,Yahoo,Samsung,eBay,Amazon,Capital One,Adobe,Facebook,Bloomberg,Microsoft,Oracle,LinkedIn,Uber,VMware,Google,IBM,ByteDance")</f>
        <v>Tencent,Arista Networks,Indeed,Intel,Cisco,Lyft,Atlassian,Wish,Apple,Yandex,Yahoo,Samsung,eBay,Amazon,Capital One,Adobe,Facebook,Bloomberg,Microsoft,Oracle,LinkedIn,Uber,VMware,Google,IBM,ByteDance</v>
      </c>
      <c r="I19" s="6">
        <f>IFERROR(__xludf.DUMMYFUNCTION("""COMPUTED_VALUE"""),56.23)</f>
        <v>56.23</v>
      </c>
      <c r="J19" s="6" t="str">
        <f>IFERROR(__xludf.DUMMYFUNCTION("""COMPUTED_VALUE"""),"算法")</f>
        <v>算法</v>
      </c>
    </row>
    <row r="20">
      <c r="A20" s="6">
        <f>IFERROR(__xludf.DUMMYFUNCTION("""COMPUTED_VALUE"""),22.0)</f>
        <v>22</v>
      </c>
      <c r="B20" s="53" t="str">
        <f>IFERROR(__xludf.DUMMYFUNCTION("""COMPUTED_VALUE"""),"Generate Parentheses")</f>
        <v>Generate Parentheses</v>
      </c>
      <c r="C20" s="6" t="str">
        <f>IFERROR(__xludf.DUMMYFUNCTION("""COMPUTED_VALUE"""),"Medium")</f>
        <v>Medium</v>
      </c>
      <c r="D20" s="6" t="str">
        <f>IFERROR(__xludf.DUMMYFUNCTION("""COMPUTED_VALUE"""),"Backtracking,String")</f>
        <v>Backtracking,String</v>
      </c>
      <c r="E20" s="6" t="str">
        <f>IFERROR(__xludf.DUMMYFUNCTION("""COMPUTED_VALUE"""),"Wish,Paypal,Oracle,EBay,Nutanix,Zenefits,Atlassian,ByteDance,Salesforce,Walmart Labs,Snapchat,Yelp,Nvidia,Spotify,Lyft,Cisco,Yandex,Apple,Uber,Yahoo,Samsung,SAP,Bloomberg,Adobe,Facebook,Amazon,Microsoft,Alibaba,Google")</f>
        <v>Wish,Paypal,Oracle,EBay,Nutanix,Zenefits,Atlassian,ByteDance,Salesforce,Walmart Labs,Snapchat,Yelp,Nvidia,Spotify,Lyft,Cisco,Yandex,Apple,Uber,Yahoo,Samsung,SAP,Bloomberg,Adobe,Facebook,Amazon,Microsoft,Alibaba,Google</v>
      </c>
      <c r="F20" s="6" t="str">
        <f>IFERROR(__xludf.DUMMYFUNCTION("""COMPUTED_VALUE"""),"Microsoft,Google,Bloomberg,Facebook,Apple,Amazon,Adobe,Walmart Labs,ByteDance,Nvidia,Paypal")</f>
        <v>Microsoft,Google,Bloomberg,Facebook,Apple,Amazon,Adobe,Walmart Labs,ByteDance,Nvidia,Paypal</v>
      </c>
      <c r="G20" s="6" t="str">
        <f>IFERROR(__xludf.DUMMYFUNCTION("""COMPUTED_VALUE"""),"Uber,Yandex,Salesforce,Spotify,Cisco,Oracle,Atlassian,Microsoft,Google,Bloomberg,Facebook,Apple,Amazon,Adobe,Walmart Labs,ByteDance,Nvidia,Paypal")</f>
        <v>Uber,Yandex,Salesforce,Spotify,Cisco,Oracle,Atlassian,Microsoft,Google,Bloomberg,Facebook,Apple,Amazon,Adobe,Walmart Labs,ByteDance,Nvidia,Paypal</v>
      </c>
      <c r="H20" s="6" t="str">
        <f>IFERROR(__xludf.DUMMYFUNCTION("""COMPUTED_VALUE"""),"Lyft,Yahoo,eBay,Nutanix,Samsung,Wish,Zenefits,Uber,Yandex,Salesforce,Spotify,Cisco,Oracle,Atlassian,Microsoft,Google,Bloomberg,Facebook,Apple,Amazon,Adobe,Walmart Labs,ByteDance,Nvidia,Paypal")</f>
        <v>Lyft,Yahoo,eBay,Nutanix,Samsung,Wish,Zenefits,Uber,Yandex,Salesforce,Spotify,Cisco,Oracle,Atlassian,Microsoft,Google,Bloomberg,Facebook,Apple,Amazon,Adobe,Walmart Labs,ByteDance,Nvidia,Paypal</v>
      </c>
      <c r="I20" s="6">
        <f>IFERROR(__xludf.DUMMYFUNCTION("""COMPUTED_VALUE"""),65.53)</f>
        <v>65.53</v>
      </c>
      <c r="J20" s="6" t="str">
        <f>IFERROR(__xludf.DUMMYFUNCTION("""COMPUTED_VALUE"""),"算法")</f>
        <v>算法</v>
      </c>
    </row>
    <row r="21">
      <c r="A21" s="6">
        <f>IFERROR(__xludf.DUMMYFUNCTION("""COMPUTED_VALUE"""),23.0)</f>
        <v>23</v>
      </c>
      <c r="B21" s="53" t="str">
        <f>IFERROR(__xludf.DUMMYFUNCTION("""COMPUTED_VALUE"""),"Merge k Sorted Lists")</f>
        <v>Merge k Sorted Lists</v>
      </c>
      <c r="C21" s="6" t="str">
        <f>IFERROR(__xludf.DUMMYFUNCTION("""COMPUTED_VALUE"""),"Hard")</f>
        <v>Hard</v>
      </c>
      <c r="D21" s="6" t="str">
        <f>IFERROR(__xludf.DUMMYFUNCTION("""COMPUTED_VALUE"""),"Heap,Divide and Conquer,Linked List")</f>
        <v>Heap,Divide and Conquer,Linked List</v>
      </c>
      <c r="E21" s="6" t="str">
        <f>IFERROR(__xludf.DUMMYFUNCTION("""COMPUTED_VALUE"""),"Palantir Technologies,Tesla,Databricks,Nutanix,Nvidia,Goldman Sachs,Cohesity,IXL,Cruise Automation,Atlassian,Audible,ByteDance,Tableau,Salesforce,VMware,Box,Walmart Labs,Indeed,Zillow,Twitter,Wish,Oracle,Lyft,Cisco,Mathworks,Yandex,EBay,Apple,Airbnb,Uber,"&amp;"Yahoo,Tencent,SAP,Bloomberg,Adobe,Facebook,Amazon,LinkedIn,Microsoft,Alibaba,Google")</f>
        <v>Palantir Technologies,Tesla,Databricks,Nutanix,Nvidia,Goldman Sachs,Cohesity,IXL,Cruise Automation,Atlassian,Audible,ByteDance,Tableau,Salesforce,VMware,Box,Walmart Labs,Indeed,Zillow,Twitter,Wish,Oracle,Lyft,Cisco,Mathworks,Yandex,EBay,Apple,Airbnb,Uber,Yahoo,Tencent,SAP,Bloomberg,Adobe,Facebook,Amazon,LinkedIn,Microsoft,Alibaba,Google</v>
      </c>
      <c r="F21" s="6" t="str">
        <f>IFERROR(__xludf.DUMMYFUNCTION("""COMPUTED_VALUE"""),"Amazon,Facebook,Databricks,Bloomberg,Microsoft,Apple,Oracle,Google,Twitter,Wish,ByteDance,Uber,Adobe,Palantir Technologies,Tesla")</f>
        <v>Amazon,Facebook,Databricks,Bloomberg,Microsoft,Apple,Oracle,Google,Twitter,Wish,ByteDance,Uber,Adobe,Palantir Technologies,Tesla</v>
      </c>
      <c r="G21" s="6" t="str">
        <f>IFERROR(__xludf.DUMMYFUNCTION("""COMPUTED_VALUE"""),"eBay,Walmart Labs,VMware,Lyft,Nutanix,Goldman Sachs,SAP,Amazon,Facebook,Databricks,Bloomberg,Microsoft,Apple,Oracle,Google,Twitter,Wish,ByteDance,Uber,Adobe,Palantir Technologies,Tesla")</f>
        <v>eBay,Walmart Labs,VMware,Lyft,Nutanix,Goldman Sachs,SAP,Amazon,Facebook,Databricks,Bloomberg,Microsoft,Apple,Oracle,Google,Twitter,Wish,ByteDance,Uber,Adobe,Palantir Technologies,Tesla</v>
      </c>
      <c r="H21" s="6" t="str">
        <f>IFERROR(__xludf.DUMMYFUNCTION("""COMPUTED_VALUE"""),"IXL,Yahoo,Yandex,Indeed,Atlassian,LinkedIn,Cohesity,Cisco,Zillow,Box,Salesforce,Cruise Automation,Nvidia,Airbnb,eBay,Walmart Labs,VMware,Lyft,Nutanix,Goldman Sachs,SAP,Amazon,Facebook,Databricks,Bloomberg,Microsoft,Apple,Oracle,Google,Twitter,Wish,ByteDan"&amp;"ce,Uber,Adobe,Palantir Technologies,Tesla")</f>
        <v>IXL,Yahoo,Yandex,Indeed,Atlassian,LinkedIn,Cohesity,Cisco,Zillow,Box,Salesforce,Cruise Automation,Nvidia,Airbnb,eBay,Walmart Labs,VMware,Lyft,Nutanix,Goldman Sachs,SAP,Amazon,Facebook,Databricks,Bloomberg,Microsoft,Apple,Oracle,Google,Twitter,Wish,ByteDance,Uber,Adobe,Palantir Technologies,Tesla</v>
      </c>
      <c r="I21" s="6">
        <f>IFERROR(__xludf.DUMMYFUNCTION("""COMPUTED_VALUE"""),42.86)</f>
        <v>42.86</v>
      </c>
      <c r="J21" s="6" t="str">
        <f>IFERROR(__xludf.DUMMYFUNCTION("""COMPUTED_VALUE"""),"算法")</f>
        <v>算法</v>
      </c>
    </row>
    <row r="22">
      <c r="A22" s="6">
        <f>IFERROR(__xludf.DUMMYFUNCTION("""COMPUTED_VALUE"""),24.0)</f>
        <v>24</v>
      </c>
      <c r="B22" s="53" t="str">
        <f>IFERROR(__xludf.DUMMYFUNCTION("""COMPUTED_VALUE"""),"Swap Nodes in Pairs")</f>
        <v>Swap Nodes in Pairs</v>
      </c>
      <c r="C22" s="6" t="str">
        <f>IFERROR(__xludf.DUMMYFUNCTION("""COMPUTED_VALUE"""),"Medium")</f>
        <v>Medium</v>
      </c>
      <c r="D22" s="6" t="str">
        <f>IFERROR(__xludf.DUMMYFUNCTION("""COMPUTED_VALUE"""),"Recursion,Linked List")</f>
        <v>Recursion,Linked List</v>
      </c>
      <c r="E22" s="6" t="str">
        <f>IFERROR(__xludf.DUMMYFUNCTION("""COMPUTED_VALUE"""),"Snapchat,ByteDance,Goldman Sachs,Oracle,Lyft,EBay,Apple,Uber,SAP,Bloomberg,Adobe,Facebook,Amazon,Microsoft,Google")</f>
        <v>Snapchat,ByteDance,Goldman Sachs,Oracle,Lyft,EBay,Apple,Uber,SAP,Bloomberg,Adobe,Facebook,Amazon,Microsoft,Google</v>
      </c>
      <c r="F22" s="6" t="str">
        <f>IFERROR(__xludf.DUMMYFUNCTION("""COMPUTED_VALUE"""),"Microsoft,Amazon,Facebook,Google,Apple,eBay,ByteDance")</f>
        <v>Microsoft,Amazon,Facebook,Google,Apple,eBay,ByteDance</v>
      </c>
      <c r="G22" s="6" t="str">
        <f>IFERROR(__xludf.DUMMYFUNCTION("""COMPUTED_VALUE"""),"Bloomberg,Adobe,Uber,Snapchat,Microsoft,Amazon,Facebook,Google,Apple,eBay,ByteDance")</f>
        <v>Bloomberg,Adobe,Uber,Snapchat,Microsoft,Amazon,Facebook,Google,Apple,eBay,ByteDance</v>
      </c>
      <c r="H22" s="6" t="str">
        <f>IFERROR(__xludf.DUMMYFUNCTION("""COMPUTED_VALUE"""),"SAP,Oracle,Goldman Sachs,Bloomberg,Adobe,Uber,Snapchat,Microsoft,Amazon,Facebook,Google,Apple,eBay,ByteDance")</f>
        <v>SAP,Oracle,Goldman Sachs,Bloomberg,Adobe,Uber,Snapchat,Microsoft,Amazon,Facebook,Google,Apple,eBay,ByteDance</v>
      </c>
      <c r="I22" s="6">
        <f>IFERROR(__xludf.DUMMYFUNCTION("""COMPUTED_VALUE"""),53.3)</f>
        <v>53.3</v>
      </c>
      <c r="J22" s="6" t="str">
        <f>IFERROR(__xludf.DUMMYFUNCTION("""COMPUTED_VALUE"""),"算法")</f>
        <v>算法</v>
      </c>
    </row>
    <row r="23">
      <c r="A23" s="6">
        <f>IFERROR(__xludf.DUMMYFUNCTION("""COMPUTED_VALUE"""),42.0)</f>
        <v>42</v>
      </c>
      <c r="B23" s="53" t="str">
        <f>IFERROR(__xludf.DUMMYFUNCTION("""COMPUTED_VALUE"""),"Trapping Rain Water")</f>
        <v>Trapping Rain Water</v>
      </c>
      <c r="C23" s="6" t="str">
        <f>IFERROR(__xludf.DUMMYFUNCTION("""COMPUTED_VALUE"""),"Hard")</f>
        <v>Hard</v>
      </c>
      <c r="D23" s="6" t="str">
        <f>IFERROR(__xludf.DUMMYFUNCTION("""COMPUTED_VALUE"""),"Dynamic Programming,Stack,Two Pointers,Array")</f>
        <v>Dynamic Programming,Stack,Two Pointers,Array</v>
      </c>
      <c r="E23" s="6" t="str">
        <f>IFERROR(__xludf.DUMMYFUNCTION("""COMPUTED_VALUE"""),"Twitch,Robinhood,Accolite,Audible,VMware,Paypal,ServiceNow,Expedia,Cisco,Electronic Arts,Dataminr,Qualtrics,Databricks,Palantir Technologies,Zenefits,Atlassian,Flipkart,Grab,ByteDance,Tableau,Salesforce,Visa,Citadel,Affirm,Walmart Labs,Snapchat,Twitter,Wi"&amp;"sh,Nvidia,Oracle,Lyft,Yandex,Huawei,EBay,Apple,Airbnb,Uber,Yahoo,Bloomberg,Adobe,Facebook,Amazon,Microsoft,Goldman Sachs,Google")</f>
        <v>Twitch,Robinhood,Accolite,Audible,VMware,Paypal,ServiceNow,Expedia,Cisco,Electronic Arts,Dataminr,Qualtrics,Databricks,Palantir Technologies,Zenefits,Atlassian,Flipkart,Grab,ByteDance,Tableau,Salesforce,Visa,Citadel,Affirm,Walmart Labs,Snapchat,Twitter,Wish,Nvidia,Oracle,Lyft,Yandex,Huawei,EBay,Apple,Airbnb,Uber,Yahoo,Bloomberg,Adobe,Facebook,Amazon,Microsoft,Goldman Sachs,Google</v>
      </c>
      <c r="F23" s="6" t="str">
        <f>IFERROR(__xludf.DUMMYFUNCTION("""COMPUTED_VALUE"""),"Goldman Sachs,Facebook,Amazon,Microsoft,Bloomberg,Apple,Databricks,Google,Oracle,Adobe,Flipkart,Qualtrics,Yahoo")</f>
        <v>Goldman Sachs,Facebook,Amazon,Microsoft,Bloomberg,Apple,Databricks,Google,Oracle,Adobe,Flipkart,Qualtrics,Yahoo</v>
      </c>
      <c r="G23" s="6" t="str">
        <f>IFERROR(__xludf.DUMMYFUNCTION("""COMPUTED_VALUE"""),"ByteDance,Walmart Labs,Citadel,ServiceNow,Uber,Grab,Cisco,Expedia,Twitch,Accolite,Goldman Sachs,Facebook,Amazon,Microsoft,Bloomberg,Apple,Databricks,Google,Oracle,Adobe,Flipkart,Qualtrics,Yahoo")</f>
        <v>ByteDance,Walmart Labs,Citadel,ServiceNow,Uber,Grab,Cisco,Expedia,Twitch,Accolite,Goldman Sachs,Facebook,Amazon,Microsoft,Bloomberg,Apple,Databricks,Google,Oracle,Adobe,Flipkart,Qualtrics,Yahoo</v>
      </c>
      <c r="H23" s="6" t="str">
        <f>IFERROR(__xludf.DUMMYFUNCTION("""COMPUTED_VALUE"""),"Visa,Wish,Snapchat,Airbnb,Lyft,Yandex,VMware,Twitter,eBay,Palantir Technologies,Affirm,Huawei,Salesforce,Paypal,Electronic Arts,Tableau,Audible,Robinhood,Zenefits,ByteDance,Walmart Labs,Citadel,ServiceNow,Uber,Grab,Cisco,Expedia,Twitch,Accolite,Goldman Sa"&amp;"chs,Facebook,Amazon,Microsoft,Bloomberg,Apple,Databricks,Google,Oracle,Adobe,Flipkart,Qualtrics,Yahoo")</f>
        <v>Visa,Wish,Snapchat,Airbnb,Lyft,Yandex,VMware,Twitter,eBay,Palantir Technologies,Affirm,Huawei,Salesforce,Paypal,Electronic Arts,Tableau,Audible,Robinhood,Zenefits,ByteDance,Walmart Labs,Citadel,ServiceNow,Uber,Grab,Cisco,Expedia,Twitch,Accolite,Goldman Sachs,Facebook,Amazon,Microsoft,Bloomberg,Apple,Databricks,Google,Oracle,Adobe,Flipkart,Qualtrics,Yahoo</v>
      </c>
      <c r="I23" s="6">
        <f>IFERROR(__xludf.DUMMYFUNCTION("""COMPUTED_VALUE"""),51.4)</f>
        <v>51.4</v>
      </c>
      <c r="J23" s="6" t="str">
        <f>IFERROR(__xludf.DUMMYFUNCTION("""COMPUTED_VALUE"""),"算法")</f>
        <v>算法</v>
      </c>
    </row>
    <row r="24">
      <c r="A24" s="6">
        <f>IFERROR(__xludf.DUMMYFUNCTION("""COMPUTED_VALUE"""),48.0)</f>
        <v>48</v>
      </c>
      <c r="B24" s="53" t="str">
        <f>IFERROR(__xludf.DUMMYFUNCTION("""COMPUTED_VALUE"""),"Rotate Image")</f>
        <v>Rotate Image</v>
      </c>
      <c r="C24" s="6" t="str">
        <f>IFERROR(__xludf.DUMMYFUNCTION("""COMPUTED_VALUE"""),"Medium")</f>
        <v>Medium</v>
      </c>
      <c r="D24" s="6" t="str">
        <f>IFERROR(__xludf.DUMMYFUNCTION("""COMPUTED_VALUE"""),"Array")</f>
        <v>Array</v>
      </c>
      <c r="E24" s="6" t="str">
        <f>IFERROR(__xludf.DUMMYFUNCTION("""COMPUTED_VALUE"""),"Garena,Rubrik,Databricks,Robinhood,PayTM,Walmart Labs,EBay,Uber,Akuna Capital,Palantir Technologies,Houzz,Salesforce,Groupon,Quora,Wish,Nvidia,Lyft,Cisco,Yandex,Apple,Samsung,Bloomberg,Adobe,Facebook,Amazon,Microsoft,Google")</f>
        <v>Garena,Rubrik,Databricks,Robinhood,PayTM,Walmart Labs,EBay,Uber,Akuna Capital,Palantir Technologies,Houzz,Salesforce,Groupon,Quora,Wish,Nvidia,Lyft,Cisco,Yandex,Apple,Samsung,Bloomberg,Adobe,Facebook,Amazon,Microsoft,Google</v>
      </c>
      <c r="F24" s="6" t="str">
        <f>IFERROR(__xludf.DUMMYFUNCTION("""COMPUTED_VALUE"""),"Amazon,Microsoft,Apple,Uber,Cisco,Facebook,Rubrik,Adobe,Nvidia,Quora,eBay,PayTM")</f>
        <v>Amazon,Microsoft,Apple,Uber,Cisco,Facebook,Rubrik,Adobe,Nvidia,Quora,eBay,PayTM</v>
      </c>
      <c r="G24" s="6" t="str">
        <f>IFERROR(__xludf.DUMMYFUNCTION("""COMPUTED_VALUE"""),"Google,Bloomberg,Akuna Capital,Databricks,Robinhood,Amazon,Microsoft,Apple,Uber,Cisco,Facebook,Rubrik,Adobe,Nvidia,Quora,eBay,PayTM")</f>
        <v>Google,Bloomberg,Akuna Capital,Databricks,Robinhood,Amazon,Microsoft,Apple,Uber,Cisco,Facebook,Rubrik,Adobe,Nvidia,Quora,eBay,PayTM</v>
      </c>
      <c r="H24" s="6" t="str">
        <f>IFERROR(__xludf.DUMMYFUNCTION("""COMPUTED_VALUE"""),"Lyft,Groupon,Salesforce,Yandex,Garena,Walmart Labs,Palantir Technologies,Google,Bloomberg,Akuna Capital,Databricks,Robinhood,Amazon,Microsoft,Apple,Uber,Cisco,Facebook,Rubrik,Adobe,Nvidia,Quora,eBay,PayTM")</f>
        <v>Lyft,Groupon,Salesforce,Yandex,Garena,Walmart Labs,Palantir Technologies,Google,Bloomberg,Akuna Capital,Databricks,Robinhood,Amazon,Microsoft,Apple,Uber,Cisco,Facebook,Rubrik,Adobe,Nvidia,Quora,eBay,PayTM</v>
      </c>
      <c r="I24" s="6">
        <f>IFERROR(__xludf.DUMMYFUNCTION("""COMPUTED_VALUE"""),60.22)</f>
        <v>60.22</v>
      </c>
      <c r="J24" s="6" t="str">
        <f>IFERROR(__xludf.DUMMYFUNCTION("""COMPUTED_VALUE"""),"算法")</f>
        <v>算法</v>
      </c>
    </row>
    <row r="25">
      <c r="A25" s="6">
        <f>IFERROR(__xludf.DUMMYFUNCTION("""COMPUTED_VALUE"""),68.0)</f>
        <v>68</v>
      </c>
      <c r="B25" s="53" t="str">
        <f>IFERROR(__xludf.DUMMYFUNCTION("""COMPUTED_VALUE"""),"Text Justification")</f>
        <v>Text Justification</v>
      </c>
      <c r="C25" s="6" t="str">
        <f>IFERROR(__xludf.DUMMYFUNCTION("""COMPUTED_VALUE"""),"Hard")</f>
        <v>Hard</v>
      </c>
      <c r="D25" s="6" t="str">
        <f>IFERROR(__xludf.DUMMYFUNCTION("""COMPUTED_VALUE"""),"String")</f>
        <v>String</v>
      </c>
      <c r="E25" s="6" t="str">
        <f>IFERROR(__xludf.DUMMYFUNCTION("""COMPUTED_VALUE"""),"Karat,Netflix,Square,Databricks,Reddit,ByteDance,Paypal,EBay,Bloomberg,Robinhood,Pinterest,Coursera,Twilio,Box,Snapchat,Indeed,Twitter,Intuit,Lyft,Apple,Airbnb,Uber,Facebook,Amazon,LinkedIn,Microsoft,Google")</f>
        <v>Karat,Netflix,Square,Databricks,Reddit,ByteDance,Paypal,EBay,Bloomberg,Robinhood,Pinterest,Coursera,Twilio,Box,Snapchat,Indeed,Twitter,Intuit,Lyft,Apple,Airbnb,Uber,Facebook,Amazon,LinkedIn,Microsoft,Google</v>
      </c>
      <c r="F25" s="6" t="str">
        <f>IFERROR(__xludf.DUMMYFUNCTION("""COMPUTED_VALUE"""),"Intuit,Twilio,Uber,Karat,Indeed,Amazon,Google,Reddit,Databricks,Bloomberg,LinkedIn,Twitter,Paypal,Microsoft,ByteDance,Netflix,eBay")</f>
        <v>Intuit,Twilio,Uber,Karat,Indeed,Amazon,Google,Reddit,Databricks,Bloomberg,LinkedIn,Twitter,Paypal,Microsoft,ByteDance,Netflix,eBay</v>
      </c>
      <c r="G25" s="6" t="str">
        <f>IFERROR(__xludf.DUMMYFUNCTION("""COMPUTED_VALUE"""),"Coursera,Robinhood,Box,Intuit,Twilio,Uber,Karat,Indeed,Amazon,Google,Reddit,Databricks,Bloomberg,LinkedIn,Twitter,Paypal,Microsoft,ByteDance,Netflix,eBay")</f>
        <v>Coursera,Robinhood,Box,Intuit,Twilio,Uber,Karat,Indeed,Amazon,Google,Reddit,Databricks,Bloomberg,LinkedIn,Twitter,Paypal,Microsoft,ByteDance,Netflix,eBay</v>
      </c>
      <c r="H25" s="6" t="str">
        <f>IFERROR(__xludf.DUMMYFUNCTION("""COMPUTED_VALUE"""),"Airbnb,Pinterest,Snapchat,Square,Apple,Facebook,Coursera,Robinhood,Box,Intuit,Twilio,Uber,Karat,Indeed,Amazon,Google,Reddit,Databricks,Bloomberg,LinkedIn,Twitter,Paypal,Microsoft,ByteDance,Netflix,eBay")</f>
        <v>Airbnb,Pinterest,Snapchat,Square,Apple,Facebook,Coursera,Robinhood,Box,Intuit,Twilio,Uber,Karat,Indeed,Amazon,Google,Reddit,Databricks,Bloomberg,LinkedIn,Twitter,Paypal,Microsoft,ByteDance,Netflix,eBay</v>
      </c>
      <c r="I25" s="6">
        <f>IFERROR(__xludf.DUMMYFUNCTION("""COMPUTED_VALUE"""),29.93)</f>
        <v>29.93</v>
      </c>
      <c r="J25" s="6" t="str">
        <f>IFERROR(__xludf.DUMMYFUNCTION("""COMPUTED_VALUE"""),"算法")</f>
        <v>算法</v>
      </c>
    </row>
    <row r="26">
      <c r="A26" s="6">
        <f>IFERROR(__xludf.DUMMYFUNCTION("""COMPUTED_VALUE"""),69.0)</f>
        <v>69</v>
      </c>
      <c r="B26" s="53" t="str">
        <f>IFERROR(__xludf.DUMMYFUNCTION("""COMPUTED_VALUE"""),"Sqrt(x)")</f>
        <v>Sqrt(x)</v>
      </c>
      <c r="C26" s="6" t="str">
        <f>IFERROR(__xludf.DUMMYFUNCTION("""COMPUTED_VALUE"""),"Easy")</f>
        <v>Easy</v>
      </c>
      <c r="D26" s="6" t="str">
        <f>IFERROR(__xludf.DUMMYFUNCTION("""COMPUTED_VALUE"""),"Binary Search,Math")</f>
        <v>Binary Search,Math</v>
      </c>
      <c r="E26" s="6" t="str">
        <f>IFERROR(__xludf.DUMMYFUNCTION("""COMPUTED_VALUE"""),"ByteDance,Oracle,Goldman Sachs,Qualtrics,Wayfair,Lyft,Huawei,Apple,Uber,Bloomberg,Facebook,Amazon,LinkedIn,Microsoft,Google")</f>
        <v>ByteDance,Oracle,Goldman Sachs,Qualtrics,Wayfair,Lyft,Huawei,Apple,Uber,Bloomberg,Facebook,Amazon,LinkedIn,Microsoft,Google</v>
      </c>
      <c r="F26" s="6" t="str">
        <f>IFERROR(__xludf.DUMMYFUNCTION("""COMPUTED_VALUE"""),"Microsoft,Amazon,Uber,LinkedIn,Google")</f>
        <v>Microsoft,Amazon,Uber,LinkedIn,Google</v>
      </c>
      <c r="G26" s="6" t="str">
        <f>IFERROR(__xludf.DUMMYFUNCTION("""COMPUTED_VALUE"""),"Bloomberg,Apple,Goldman Sachs,Lyft,ByteDance,Microsoft,Amazon,Uber,LinkedIn,Google")</f>
        <v>Bloomberg,Apple,Goldman Sachs,Lyft,ByteDance,Microsoft,Amazon,Uber,LinkedIn,Google</v>
      </c>
      <c r="H26" s="6" t="str">
        <f>IFERROR(__xludf.DUMMYFUNCTION("""COMPUTED_VALUE"""),"Wayfair,Facebook,Huawei,Qualtrics,Oracle,Bloomberg,Apple,Goldman Sachs,Lyft,ByteDance,Microsoft,Amazon,Uber,LinkedIn,Google")</f>
        <v>Wayfair,Facebook,Huawei,Qualtrics,Oracle,Bloomberg,Apple,Goldman Sachs,Lyft,ByteDance,Microsoft,Amazon,Uber,LinkedIn,Google</v>
      </c>
      <c r="I26" s="6">
        <f>IFERROR(__xludf.DUMMYFUNCTION("""COMPUTED_VALUE"""),35.2)</f>
        <v>35.2</v>
      </c>
      <c r="J26" s="6" t="str">
        <f>IFERROR(__xludf.DUMMYFUNCTION("""COMPUTED_VALUE"""),"算法")</f>
        <v>算法</v>
      </c>
    </row>
    <row r="27">
      <c r="A27" s="6">
        <f>IFERROR(__xludf.DUMMYFUNCTION("""COMPUTED_VALUE"""),76.0)</f>
        <v>76</v>
      </c>
      <c r="B27" s="53" t="str">
        <f>IFERROR(__xludf.DUMMYFUNCTION("""COMPUTED_VALUE"""),"Minimum Window Substring")</f>
        <v>Minimum Window Substring</v>
      </c>
      <c r="C27" s="6" t="str">
        <f>IFERROR(__xludf.DUMMYFUNCTION("""COMPUTED_VALUE"""),"Hard")</f>
        <v>Hard</v>
      </c>
      <c r="D27" s="6" t="str">
        <f>IFERROR(__xludf.DUMMYFUNCTION("""COMPUTED_VALUE"""),"Sliding Window,String,Two Pointers,Hash Table")</f>
        <v>Sliding Window,String,Two Pointers,Hash Table</v>
      </c>
      <c r="E27" s="6" t="str">
        <f>IFERROR(__xludf.DUMMYFUNCTION("""COMPUTED_VALUE"""),"Pinterest,Cohesity,Nutanix,ByteDance,Deutsche Bank,Salesforce,Visa,VMware,Walmart Labs,GoDaddy,Snapchat,Twitter,Oracle,Lyft,EBay,Apple,Airbnb,Uber,Yahoo,Tencent,Bloomberg,Adobe,Facebook,Amazon,LinkedIn,Microsoft,Goldman Sachs,Google")</f>
        <v>Pinterest,Cohesity,Nutanix,ByteDance,Deutsche Bank,Salesforce,Visa,VMware,Walmart Labs,GoDaddy,Snapchat,Twitter,Oracle,Lyft,EBay,Apple,Airbnb,Uber,Yahoo,Tencent,Bloomberg,Adobe,Facebook,Amazon,LinkedIn,Microsoft,Goldman Sachs,Google</v>
      </c>
      <c r="F27" s="6" t="str">
        <f>IFERROR(__xludf.DUMMYFUNCTION("""COMPUTED_VALUE"""),"Facebook,Amazon,Microsoft,Google,Lyft,LinkedIn,Apple,Uber,Bloomberg,Pinterest,Snapchat,ByteDance")</f>
        <v>Facebook,Amazon,Microsoft,Google,Lyft,LinkedIn,Apple,Uber,Bloomberg,Pinterest,Snapchat,ByteDance</v>
      </c>
      <c r="G27" s="6" t="str">
        <f>IFERROR(__xludf.DUMMYFUNCTION("""COMPUTED_VALUE"""),"Adobe,Goldman Sachs,Facebook,Amazon,Microsoft,Google,Lyft,LinkedIn,Apple,Uber,Bloomberg,Pinterest,Snapchat,ByteDance")</f>
        <v>Adobe,Goldman Sachs,Facebook,Amazon,Microsoft,Google,Lyft,LinkedIn,Apple,Uber,Bloomberg,Pinterest,Snapchat,ByteDance</v>
      </c>
      <c r="H27" s="6" t="str">
        <f>IFERROR(__xludf.DUMMYFUNCTION("""COMPUTED_VALUE"""),"Cohesity,Walmart Labs,Deutsche Bank,Oracle,Visa,VMware,eBay,Twitter,GoDaddy,Salesforce,Adobe,Goldman Sachs,Facebook,Amazon,Microsoft,Google,Lyft,LinkedIn,Apple,Uber,Bloomberg,Pinterest,Snapchat,ByteDance")</f>
        <v>Cohesity,Walmart Labs,Deutsche Bank,Oracle,Visa,VMware,eBay,Twitter,GoDaddy,Salesforce,Adobe,Goldman Sachs,Facebook,Amazon,Microsoft,Google,Lyft,LinkedIn,Apple,Uber,Bloomberg,Pinterest,Snapchat,ByteDance</v>
      </c>
      <c r="I27" s="6">
        <f>IFERROR(__xludf.DUMMYFUNCTION("""COMPUTED_VALUE"""),36.07)</f>
        <v>36.07</v>
      </c>
      <c r="J27" s="6" t="str">
        <f>IFERROR(__xludf.DUMMYFUNCTION("""COMPUTED_VALUE"""),"算法")</f>
        <v>算法</v>
      </c>
    </row>
    <row r="28">
      <c r="A28" s="6">
        <f>IFERROR(__xludf.DUMMYFUNCTION("""COMPUTED_VALUE"""),78.0)</f>
        <v>78</v>
      </c>
      <c r="B28" s="53" t="str">
        <f>IFERROR(__xludf.DUMMYFUNCTION("""COMPUTED_VALUE"""),"Subsets")</f>
        <v>Subsets</v>
      </c>
      <c r="C28" s="6" t="str">
        <f>IFERROR(__xludf.DUMMYFUNCTION("""COMPUTED_VALUE"""),"Medium")</f>
        <v>Medium</v>
      </c>
      <c r="D28" s="6" t="str">
        <f>IFERROR(__xludf.DUMMYFUNCTION("""COMPUTED_VALUE"""),"Bit Manipulation,Backtracking,Array")</f>
        <v>Bit Manipulation,Backtracking,Array</v>
      </c>
      <c r="E28" s="6" t="str">
        <f>IFERROR(__xludf.DUMMYFUNCTION("""COMPUTED_VALUE"""),"Coupang,Atlassian,ByteDance,Walmart Labs,Oracle,Lyft,EBay,Apple,Uber,Yahoo,Bloomberg,Adobe,Facebook,Amazon,Microsoft,Goldman Sachs,Google")</f>
        <v>Coupang,Atlassian,ByteDance,Walmart Labs,Oracle,Lyft,EBay,Apple,Uber,Yahoo,Bloomberg,Adobe,Facebook,Amazon,Microsoft,Goldman Sachs,Google</v>
      </c>
      <c r="F28" s="6" t="str">
        <f>IFERROR(__xludf.DUMMYFUNCTION("""COMPUTED_VALUE"""),"Facebook,Amazon,Bloomberg,Microsoft,Uber,Apple,ByteDance")</f>
        <v>Facebook,Amazon,Bloomberg,Microsoft,Uber,Apple,ByteDance</v>
      </c>
      <c r="G28" s="6" t="str">
        <f>IFERROR(__xludf.DUMMYFUNCTION("""COMPUTED_VALUE"""),"Google,Oracle,eBay,Facebook,Amazon,Bloomberg,Microsoft,Uber,Apple,ByteDance")</f>
        <v>Google,Oracle,eBay,Facebook,Amazon,Bloomberg,Microsoft,Uber,Apple,ByteDance</v>
      </c>
      <c r="H28" s="6" t="str">
        <f>IFERROR(__xludf.DUMMYFUNCTION("""COMPUTED_VALUE"""),"Adobe,Goldman Sachs,Walmart Labs,Atlassian,Coupang,Google,Oracle,eBay,Facebook,Amazon,Bloomberg,Microsoft,Uber,Apple,ByteDance")</f>
        <v>Adobe,Goldman Sachs,Walmart Labs,Atlassian,Coupang,Google,Oracle,eBay,Facebook,Amazon,Bloomberg,Microsoft,Uber,Apple,ByteDance</v>
      </c>
      <c r="I28" s="6">
        <f>IFERROR(__xludf.DUMMYFUNCTION("""COMPUTED_VALUE"""),65.37)</f>
        <v>65.37</v>
      </c>
      <c r="J28" s="6" t="str">
        <f>IFERROR(__xludf.DUMMYFUNCTION("""COMPUTED_VALUE"""),"算法")</f>
        <v>算法</v>
      </c>
    </row>
    <row r="29">
      <c r="A29" s="6">
        <f>IFERROR(__xludf.DUMMYFUNCTION("""COMPUTED_VALUE"""),79.0)</f>
        <v>79</v>
      </c>
      <c r="B29" s="53" t="str">
        <f>IFERROR(__xludf.DUMMYFUNCTION("""COMPUTED_VALUE"""),"Word Search")</f>
        <v>Word Search</v>
      </c>
      <c r="C29" s="6" t="str">
        <f>IFERROR(__xludf.DUMMYFUNCTION("""COMPUTED_VALUE"""),"Medium")</f>
        <v>Medium</v>
      </c>
      <c r="D29" s="6" t="str">
        <f>IFERROR(__xludf.DUMMYFUNCTION("""COMPUTED_VALUE"""),"Backtracking,Array")</f>
        <v>Backtracking,Array</v>
      </c>
      <c r="E29" s="6" t="str">
        <f>IFERROR(__xludf.DUMMYFUNCTION("""COMPUTED_VALUE"""),"Houzz,Twitter,ServiceNow,Expedia,Spotify,Cisco,EBay,Quantcast,Docusign,Pinterest,Cruise Automation,Coupang,ByteDance,VMware,Snapchat,JPMorgan,Zillow,Oracle,Intuit,Lyft,Apple,Uber,Yahoo,Aetion,Bloomberg,Adobe,Facebook,Amazon,LinkedIn,Microsoft,Google")</f>
        <v>Houzz,Twitter,ServiceNow,Expedia,Spotify,Cisco,EBay,Quantcast,Docusign,Pinterest,Cruise Automation,Coupang,ByteDance,VMware,Snapchat,JPMorgan,Zillow,Oracle,Intuit,Lyft,Apple,Uber,Yahoo,Aetion,Bloomberg,Adobe,Facebook,Amazon,LinkedIn,Microsoft,Google</v>
      </c>
      <c r="F29" s="6" t="str">
        <f>IFERROR(__xludf.DUMMYFUNCTION("""COMPUTED_VALUE"""),"Amazon,Bloomberg,Intuit,Facebook,Microsoft,Snapchat,Oracle,Apple,eBay,Pinterest,Expedia,ByteDance,ServiceNow")</f>
        <v>Amazon,Bloomberg,Intuit,Facebook,Microsoft,Snapchat,Oracle,Apple,eBay,Pinterest,Expedia,ByteDance,ServiceNow</v>
      </c>
      <c r="G29" s="6" t="str">
        <f>IFERROR(__xludf.DUMMYFUNCTION("""COMPUTED_VALUE"""),"Cisco,Google,Twitter,Adobe,Cruise Automation,Coupang,Amazon,Bloomberg,Intuit,Facebook,Microsoft,Snapchat,Oracle,Apple,eBay,Pinterest,Expedia,ByteDance,ServiceNow")</f>
        <v>Cisco,Google,Twitter,Adobe,Cruise Automation,Coupang,Amazon,Bloomberg,Intuit,Facebook,Microsoft,Snapchat,Oracle,Apple,eBay,Pinterest,Expedia,ByteDance,ServiceNow</v>
      </c>
      <c r="H29" s="6" t="str">
        <f>IFERROR(__xludf.DUMMYFUNCTION("""COMPUTED_VALUE"""),"Uber,Docusign,Yahoo,JPMorgan,Houzz,Spotify,Cisco,Google,Twitter,Adobe,Cruise Automation,Coupang,Amazon,Bloomberg,Intuit,Facebook,Microsoft,Snapchat,Oracle,Apple,eBay,Pinterest,Expedia,ByteDance,ServiceNow")</f>
        <v>Uber,Docusign,Yahoo,JPMorgan,Houzz,Spotify,Cisco,Google,Twitter,Adobe,Cruise Automation,Coupang,Amazon,Bloomberg,Intuit,Facebook,Microsoft,Snapchat,Oracle,Apple,eBay,Pinterest,Expedia,ByteDance,ServiceNow</v>
      </c>
      <c r="I29" s="6">
        <f>IFERROR(__xludf.DUMMYFUNCTION("""COMPUTED_VALUE"""),37.0)</f>
        <v>37</v>
      </c>
      <c r="J29" s="6" t="str">
        <f>IFERROR(__xludf.DUMMYFUNCTION("""COMPUTED_VALUE"""),"算法")</f>
        <v>算法</v>
      </c>
    </row>
    <row r="30">
      <c r="A30" s="6">
        <f>IFERROR(__xludf.DUMMYFUNCTION("""COMPUTED_VALUE"""),84.0)</f>
        <v>84</v>
      </c>
      <c r="B30" s="53" t="str">
        <f>IFERROR(__xludf.DUMMYFUNCTION("""COMPUTED_VALUE"""),"Largest Rectangle in Histogram")</f>
        <v>Largest Rectangle in Histogram</v>
      </c>
      <c r="C30" s="6" t="str">
        <f>IFERROR(__xludf.DUMMYFUNCTION("""COMPUTED_VALUE"""),"Hard")</f>
        <v>Hard</v>
      </c>
      <c r="D30" s="6" t="str">
        <f>IFERROR(__xludf.DUMMYFUNCTION("""COMPUTED_VALUE"""),"Stack,Array")</f>
        <v>Stack,Array</v>
      </c>
      <c r="E30" s="6" t="str">
        <f>IFERROR(__xludf.DUMMYFUNCTION("""COMPUTED_VALUE"""),"MAQ Software,Lyft,Tcs,ByteDance,Huawei,Uber,Flipkart,Walmart Labs,Twitter,Bloomberg,Adobe,Facebook,Amazon,Microsoft,Google")</f>
        <v>MAQ Software,Lyft,Tcs,ByteDance,Huawei,Uber,Flipkart,Walmart Labs,Twitter,Bloomberg,Adobe,Facebook,Amazon,Microsoft,Google</v>
      </c>
      <c r="F30" s="6" t="str">
        <f>IFERROR(__xludf.DUMMYFUNCTION("""COMPUTED_VALUE"""),"Amazon,ByteDance,Google,Adobe,Microsoft,Uber,Lyft,MAQ Software")</f>
        <v>Amazon,ByteDance,Google,Adobe,Microsoft,Uber,Lyft,MAQ Software</v>
      </c>
      <c r="G30" s="6" t="str">
        <f>IFERROR(__xludf.DUMMYFUNCTION("""COMPUTED_VALUE"""),"Bloomberg,Huawei,tcs,Amazon,ByteDance,Google,Adobe,Microsoft,Uber,Lyft,MAQ Software")</f>
        <v>Bloomberg,Huawei,tcs,Amazon,ByteDance,Google,Adobe,Microsoft,Uber,Lyft,MAQ Software</v>
      </c>
      <c r="H30" s="6" t="str">
        <f>IFERROR(__xludf.DUMMYFUNCTION("""COMPUTED_VALUE"""),"Flipkart,Facebook,Twitter,Bloomberg,Huawei,tcs,Amazon,ByteDance,Google,Adobe,Microsoft,Uber,Lyft,MAQ Software")</f>
        <v>Flipkart,Facebook,Twitter,Bloomberg,Huawei,tcs,Amazon,ByteDance,Google,Adobe,Microsoft,Uber,Lyft,MAQ Software</v>
      </c>
      <c r="I30" s="6">
        <f>IFERROR(__xludf.DUMMYFUNCTION("""COMPUTED_VALUE"""),37.28)</f>
        <v>37.28</v>
      </c>
      <c r="J30" s="6" t="str">
        <f>IFERROR(__xludf.DUMMYFUNCTION("""COMPUTED_VALUE"""),"算法")</f>
        <v>算法</v>
      </c>
    </row>
    <row r="31">
      <c r="A31" s="6">
        <f>IFERROR(__xludf.DUMMYFUNCTION("""COMPUTED_VALUE"""),88.0)</f>
        <v>88</v>
      </c>
      <c r="B31" s="53" t="str">
        <f>IFERROR(__xludf.DUMMYFUNCTION("""COMPUTED_VALUE"""),"Merge Sorted Array")</f>
        <v>Merge Sorted Array</v>
      </c>
      <c r="C31" s="6" t="str">
        <f>IFERROR(__xludf.DUMMYFUNCTION("""COMPUTED_VALUE"""),"Easy")</f>
        <v>Easy</v>
      </c>
      <c r="D31" s="6" t="str">
        <f>IFERROR(__xludf.DUMMYFUNCTION("""COMPUTED_VALUE"""),"Two Pointers,Array")</f>
        <v>Two Pointers,Array</v>
      </c>
      <c r="E31" s="6" t="str">
        <f>IFERROR(__xludf.DUMMYFUNCTION("""COMPUTED_VALUE"""),"Wish,Walmart Labs,Netflix,Quip (Salesforce),ByteDance,Tableau,Intel,VMware,Indeed,Expedia,Oracle,IBM,Lyft,Cisco,Yandex,EBay,Baidu,Apple,Uber,Yahoo,Bloomberg,Adobe,Facebook,Amazon,LinkedIn,Microsoft,Goldman Sachs,Google")</f>
        <v>Wish,Walmart Labs,Netflix,Quip (Salesforce),ByteDance,Tableau,Intel,VMware,Indeed,Expedia,Oracle,IBM,Lyft,Cisco,Yandex,EBay,Baidu,Apple,Uber,Yahoo,Bloomberg,Adobe,Facebook,Amazon,LinkedIn,Microsoft,Goldman Sachs,Google</v>
      </c>
      <c r="F31" s="6" t="str">
        <f>IFERROR(__xludf.DUMMYFUNCTION("""COMPUTED_VALUE"""),"Facebook,Microsoft,Amazon,IBM,Bloomberg,Walmart Labs,Oracle,Apple,LinkedIn,Goldman Sachs,Yandex,Wish")</f>
        <v>Facebook,Microsoft,Amazon,IBM,Bloomberg,Walmart Labs,Oracle,Apple,LinkedIn,Goldman Sachs,Yandex,Wish</v>
      </c>
      <c r="G31" s="6" t="str">
        <f>IFERROR(__xludf.DUMMYFUNCTION("""COMPUTED_VALUE"""),"Adobe,ByteDance,Google,Lyft,Facebook,Microsoft,Amazon,IBM,Bloomberg,Walmart Labs,Oracle,Apple,LinkedIn,Goldman Sachs,Yandex,Wish")</f>
        <v>Adobe,ByteDance,Google,Lyft,Facebook,Microsoft,Amazon,IBM,Bloomberg,Walmart Labs,Oracle,Apple,LinkedIn,Goldman Sachs,Yandex,Wish</v>
      </c>
      <c r="H31" s="6" t="str">
        <f>IFERROR(__xludf.DUMMYFUNCTION("""COMPUTED_VALUE"""),"Cisco,Yahoo,Uber,VMware,eBay,Expedia,Adobe,ByteDance,Google,Lyft,Facebook,Microsoft,Amazon,IBM,Bloomberg,Walmart Labs,Oracle,Apple,LinkedIn,Goldman Sachs,Yandex,Wish")</f>
        <v>Cisco,Yahoo,Uber,VMware,eBay,Expedia,Adobe,ByteDance,Google,Lyft,Facebook,Microsoft,Amazon,IBM,Bloomberg,Walmart Labs,Oracle,Apple,LinkedIn,Goldman Sachs,Yandex,Wish</v>
      </c>
      <c r="I31" s="6">
        <f>IFERROR(__xludf.DUMMYFUNCTION("""COMPUTED_VALUE"""),40.79)</f>
        <v>40.79</v>
      </c>
      <c r="J31" s="6" t="str">
        <f>IFERROR(__xludf.DUMMYFUNCTION("""COMPUTED_VALUE"""),"算法")</f>
        <v>算法</v>
      </c>
    </row>
    <row r="32">
      <c r="A32" s="6">
        <f>IFERROR(__xludf.DUMMYFUNCTION("""COMPUTED_VALUE"""),91.0)</f>
        <v>91</v>
      </c>
      <c r="B32" s="53" t="str">
        <f>IFERROR(__xludf.DUMMYFUNCTION("""COMPUTED_VALUE"""),"Decode Ways")</f>
        <v>Decode Ways</v>
      </c>
      <c r="C32" s="6" t="str">
        <f>IFERROR(__xludf.DUMMYFUNCTION("""COMPUTED_VALUE"""),"Medium")</f>
        <v>Medium</v>
      </c>
      <c r="D32" s="6" t="str">
        <f>IFERROR(__xludf.DUMMYFUNCTION("""COMPUTED_VALUE"""),"Dynamic Programming,String")</f>
        <v>Dynamic Programming,String</v>
      </c>
      <c r="E32" s="6" t="str">
        <f>IFERROR(__xludf.DUMMYFUNCTION("""COMPUTED_VALUE"""),"PayTM,ByteDance,Walmart Labs,JPMorgan,Paypal,Oracle,Morgan Stanley,Square,Pinterest,Databricks,Barclays,Snapchat,Twitter,Expedia,Lyft,Cisco,Huawei,Baidu,Apple,Uber,Bloomberg,Adobe,Facebook,Amazon,Microsoft,Goldman Sachs,Google")</f>
        <v>PayTM,ByteDance,Walmart Labs,JPMorgan,Paypal,Oracle,Morgan Stanley,Square,Pinterest,Databricks,Barclays,Snapchat,Twitter,Expedia,Lyft,Cisco,Huawei,Baidu,Apple,Uber,Bloomberg,Adobe,Facebook,Amazon,Microsoft,Goldman Sachs,Google</v>
      </c>
      <c r="F32" s="6" t="str">
        <f>IFERROR(__xludf.DUMMYFUNCTION("""COMPUTED_VALUE"""),"JPMorgan,Cisco,Facebook,Amazon,Google,Goldman Sachs,ByteDance,Microsoft,Adobe,Lyft,Oracle")</f>
        <v>JPMorgan,Cisco,Facebook,Amazon,Google,Goldman Sachs,ByteDance,Microsoft,Adobe,Lyft,Oracle</v>
      </c>
      <c r="G32" s="6" t="str">
        <f>IFERROR(__xludf.DUMMYFUNCTION("""COMPUTED_VALUE"""),"Bloomberg,Morgan Stanley,Square,Apple,Databricks,PayTM,JPMorgan,Cisco,Facebook,Amazon,Google,Goldman Sachs,ByteDance,Microsoft,Adobe,Lyft,Oracle")</f>
        <v>Bloomberg,Morgan Stanley,Square,Apple,Databricks,PayTM,JPMorgan,Cisco,Facebook,Amazon,Google,Goldman Sachs,ByteDance,Microsoft,Adobe,Lyft,Oracle</v>
      </c>
      <c r="H32" s="6" t="str">
        <f>IFERROR(__xludf.DUMMYFUNCTION("""COMPUTED_VALUE"""),"Uber,Snapchat,Expedia,Huawei,Walmart Labs,Baidu,Paypal,Bloomberg,Morgan Stanley,Square,Apple,Databricks,PayTM,JPMorgan,Cisco,Facebook,Amazon,Google,Goldman Sachs,ByteDance,Microsoft,Adobe,Lyft,Oracle")</f>
        <v>Uber,Snapchat,Expedia,Huawei,Walmart Labs,Baidu,Paypal,Bloomberg,Morgan Stanley,Square,Apple,Databricks,PayTM,JPMorgan,Cisco,Facebook,Amazon,Google,Goldman Sachs,ByteDance,Microsoft,Adobe,Lyft,Oracle</v>
      </c>
      <c r="I32" s="6">
        <f>IFERROR(__xludf.DUMMYFUNCTION("""COMPUTED_VALUE"""),26.73)</f>
        <v>26.73</v>
      </c>
      <c r="J32" s="6" t="str">
        <f>IFERROR(__xludf.DUMMYFUNCTION("""COMPUTED_VALUE"""),"算法")</f>
        <v>算法</v>
      </c>
    </row>
    <row r="33">
      <c r="A33" s="6">
        <f>IFERROR(__xludf.DUMMYFUNCTION("""COMPUTED_VALUE"""),109.0)</f>
        <v>109</v>
      </c>
      <c r="B33" s="53" t="str">
        <f>IFERROR(__xludf.DUMMYFUNCTION("""COMPUTED_VALUE"""),"Convert Sorted List to Binary Search Tree")</f>
        <v>Convert Sorted List to Binary Search Tree</v>
      </c>
      <c r="C33" s="6" t="str">
        <f>IFERROR(__xludf.DUMMYFUNCTION("""COMPUTED_VALUE"""),"Medium")</f>
        <v>Medium</v>
      </c>
      <c r="D33" s="6" t="str">
        <f>IFERROR(__xludf.DUMMYFUNCTION("""COMPUTED_VALUE"""),"Depth First Search,Linked List")</f>
        <v>Depth First Search,Linked List</v>
      </c>
      <c r="E33" s="6" t="str">
        <f>IFERROR(__xludf.DUMMYFUNCTION("""COMPUTED_VALUE"""),"Zenefits,VMware,Oracle,Lyft,Bloomberg,Facebook,Amazon,Microsoft,Google")</f>
        <v>Zenefits,VMware,Oracle,Lyft,Bloomberg,Facebook,Amazon,Microsoft,Google</v>
      </c>
      <c r="F33" s="6" t="str">
        <f>IFERROR(__xludf.DUMMYFUNCTION("""COMPUTED_VALUE"""),"Facebook,Amazon,Oracle,Microsoft")</f>
        <v>Facebook,Amazon,Oracle,Microsoft</v>
      </c>
      <c r="G33" s="6" t="str">
        <f>IFERROR(__xludf.DUMMYFUNCTION("""COMPUTED_VALUE"""),"Google,Lyft,Facebook,Amazon,Oracle,Microsoft")</f>
        <v>Google,Lyft,Facebook,Amazon,Oracle,Microsoft</v>
      </c>
      <c r="H33" s="6" t="str">
        <f>IFERROR(__xludf.DUMMYFUNCTION("""COMPUTED_VALUE"""),"Bloomberg,Zenefits,Google,Lyft,Facebook,Amazon,Oracle,Microsoft")</f>
        <v>Bloomberg,Zenefits,Google,Lyft,Facebook,Amazon,Oracle,Microsoft</v>
      </c>
      <c r="I33" s="6">
        <f>IFERROR(__xludf.DUMMYFUNCTION("""COMPUTED_VALUE"""),50.42)</f>
        <v>50.42</v>
      </c>
      <c r="J33" s="6" t="str">
        <f>IFERROR(__xludf.DUMMYFUNCTION("""COMPUTED_VALUE"""),"算法")</f>
        <v>算法</v>
      </c>
    </row>
    <row r="34">
      <c r="A34" s="6">
        <f>IFERROR(__xludf.DUMMYFUNCTION("""COMPUTED_VALUE"""),121.0)</f>
        <v>121</v>
      </c>
      <c r="B34" s="53" t="str">
        <f>IFERROR(__xludf.DUMMYFUNCTION("""COMPUTED_VALUE"""),"Best Time to Buy and Sell Stock")</f>
        <v>Best Time to Buy and Sell Stock</v>
      </c>
      <c r="C34" s="6" t="str">
        <f>IFERROR(__xludf.DUMMYFUNCTION("""COMPUTED_VALUE"""),"Easy")</f>
        <v>Easy</v>
      </c>
      <c r="D34" s="6" t="str">
        <f>IFERROR(__xludf.DUMMYFUNCTION("""COMPUTED_VALUE"""),"Dynamic Programming,Array")</f>
        <v>Dynamic Programming,Array</v>
      </c>
      <c r="E34" s="6" t="str">
        <f>IFERROR(__xludf.DUMMYFUNCTION("""COMPUTED_VALUE"""),"MAQ Software,DE Shaw,Houzz,Qualtrics,Alation,Docusign,Tcs,Qualcomm,Salesforce,VMware,ServiceNow,Citrix,EBay,Samsung,DoorDash,Akuna Capital,Atlassian,Redfin,Grab,Audible,ByteDance,Deutsche Bank,Tableau,Groupon,Intel,Visa,Citadel,Walmart Labs,Snapchat,JPMor"&amp;"gan,Zillow,Paypal,Expedia,Oracle,Lyft,Cisco,BlackRock,Apple,Uber,Yahoo,Tencent,SAP,Morgan Stanley,Bloomberg,Adobe,Facebook,Amazon,LinkedIn,Microsoft,Alibaba,Goldman Sachs,Google")</f>
        <v>MAQ Software,DE Shaw,Houzz,Qualtrics,Alation,Docusign,Tcs,Qualcomm,Salesforce,VMware,ServiceNow,Citrix,EBay,Samsung,DoorDash,Akuna Capital,Atlassian,Redfin,Grab,Audible,ByteDance,Deutsche Bank,Tableau,Groupon,Intel,Visa,Citadel,Walmart Labs,Snapchat,JPMorgan,Zillow,Paypal,Expedia,Oracle,Lyft,Cisco,BlackRock,Apple,Uber,Yahoo,Tencent,SAP,Morgan Stanley,Bloomberg,Adobe,Facebook,Amazon,LinkedIn,Microsoft,Alibaba,Goldman Sachs,Google</v>
      </c>
      <c r="F34" s="6" t="str">
        <f>IFERROR(__xludf.DUMMYFUNCTION("""COMPUTED_VALUE"""),"Amazon,Microsoft,Facebook,Google,Apple,Adobe,tcs,Bloomberg,Goldman Sachs,Uber,eBay,Qualtrics,ByteDance,VMware,Yahoo,Morgan Stanley,Oracle,ServiceNow,Samsung,Paypal,Expedia,Houzz,Salesforce,Visa,Qualcomm")</f>
        <v>Amazon,Microsoft,Facebook,Google,Apple,Adobe,tcs,Bloomberg,Goldman Sachs,Uber,eBay,Qualtrics,ByteDance,VMware,Yahoo,Morgan Stanley,Oracle,ServiceNow,Samsung,Paypal,Expedia,Houzz,Salesforce,Visa,Qualcomm</v>
      </c>
      <c r="G34" s="6" t="str">
        <f>IFERROR(__xludf.DUMMYFUNCTION("""COMPUTED_VALUE"""),"JPMorgan,DE Shaw,Citadel,Cisco,Audible,MAQ Software,Amazon,Microsoft,Facebook,Google,Apple,Adobe,tcs,Bloomberg,Goldman Sachs,Uber,eBay,Qualtrics,ByteDance,VMware,Yahoo,Morgan Stanley,Oracle,ServiceNow,Samsung,Paypal,Expedia,Houzz,Salesforce,Visa,Qualcomm")</f>
        <v>JPMorgan,DE Shaw,Citadel,Cisco,Audible,MAQ Software,Amazon,Microsoft,Facebook,Google,Apple,Adobe,tcs,Bloomberg,Goldman Sachs,Uber,eBay,Qualtrics,ByteDance,VMware,Yahoo,Morgan Stanley,Oracle,ServiceNow,Samsung,Paypal,Expedia,Houzz,Salesforce,Visa,Qualcomm</v>
      </c>
      <c r="H34" s="6" t="str">
        <f>IFERROR(__xludf.DUMMYFUNCTION("""COMPUTED_VALUE"""),"DoorDash,Walmart Labs,SAP,Intel,Citrix,BlackRock,LinkedIn,Alibaba,Tencent,Groupon,Zillow,Atlassian,Docusign,Alation,JPMorgan,DE Shaw,Citadel,Cisco,Audible,MAQ Software,Amazon,Microsoft,Facebook,Google,Apple,Adobe,tcs,Bloomberg,Goldman Sachs,Uber,eBay,Qual"&amp;"trics,ByteDance,VMware,Yahoo,Morgan Stanley,Oracle,ServiceNow,Samsung,Paypal,Expedia,Houzz,Salesforce,Visa,Qualcomm")</f>
        <v>DoorDash,Walmart Labs,SAP,Intel,Citrix,BlackRock,LinkedIn,Alibaba,Tencent,Groupon,Zillow,Atlassian,Docusign,Alation,JPMorgan,DE Shaw,Citadel,Cisco,Audible,MAQ Software,Amazon,Microsoft,Facebook,Google,Apple,Adobe,tcs,Bloomberg,Goldman Sachs,Uber,eBay,Qualtrics,ByteDance,VMware,Yahoo,Morgan Stanley,Oracle,ServiceNow,Samsung,Paypal,Expedia,Houzz,Salesforce,Visa,Qualcomm</v>
      </c>
      <c r="I34" s="6">
        <f>IFERROR(__xludf.DUMMYFUNCTION("""COMPUTED_VALUE"""),51.73)</f>
        <v>51.73</v>
      </c>
      <c r="J34" s="6" t="str">
        <f>IFERROR(__xludf.DUMMYFUNCTION("""COMPUTED_VALUE"""),"算法")</f>
        <v>算法</v>
      </c>
    </row>
    <row r="35">
      <c r="A35" s="6">
        <f>IFERROR(__xludf.DUMMYFUNCTION("""COMPUTED_VALUE"""),126.0)</f>
        <v>126</v>
      </c>
      <c r="B35" s="53" t="str">
        <f>IFERROR(__xludf.DUMMYFUNCTION("""COMPUTED_VALUE"""),"Word Ladder II")</f>
        <v>Word Ladder II</v>
      </c>
      <c r="C35" s="6" t="str">
        <f>IFERROR(__xludf.DUMMYFUNCTION("""COMPUTED_VALUE"""),"Hard")</f>
        <v>Hard</v>
      </c>
      <c r="D35" s="6" t="str">
        <f>IFERROR(__xludf.DUMMYFUNCTION("""COMPUTED_VALUE"""),"Breadth First Search,Backtracking,String,Array")</f>
        <v>Breadth First Search,Backtracking,String,Array</v>
      </c>
      <c r="E35" s="6" t="str">
        <f>IFERROR(__xludf.DUMMYFUNCTION("""COMPUTED_VALUE"""),"Snapchat,Bloomberg,Pinterest,Box,Yelp,Oracle,Lyft,Apple,Uber,Yahoo,Facebook,Amazon,LinkedIn,Microsoft,Google")</f>
        <v>Snapchat,Bloomberg,Pinterest,Box,Yelp,Oracle,Lyft,Apple,Uber,Yahoo,Facebook,Amazon,LinkedIn,Microsoft,Google</v>
      </c>
      <c r="F35" s="6" t="str">
        <f>IFERROR(__xludf.DUMMYFUNCTION("""COMPUTED_VALUE"""),"Amazon,Bloomberg,Uber,Facebook,Box,Lyft,Microsoft,Google")</f>
        <v>Amazon,Bloomberg,Uber,Facebook,Box,Lyft,Microsoft,Google</v>
      </c>
      <c r="G35" s="6" t="str">
        <f>IFERROR(__xludf.DUMMYFUNCTION("""COMPUTED_VALUE"""),"Apple,Amazon,Bloomberg,Uber,Facebook,Box,Lyft,Microsoft,Google")</f>
        <v>Apple,Amazon,Bloomberg,Uber,Facebook,Box,Lyft,Microsoft,Google</v>
      </c>
      <c r="H35" s="6" t="str">
        <f>IFERROR(__xludf.DUMMYFUNCTION("""COMPUTED_VALUE"""),"Oracle,Pinterest,LinkedIn,Snapchat,Yahoo,Yelp,Apple,Amazon,Bloomberg,Uber,Facebook,Box,Lyft,Microsoft,Google")</f>
        <v>Oracle,Pinterest,LinkedIn,Snapchat,Yahoo,Yelp,Apple,Amazon,Bloomberg,Uber,Facebook,Box,Lyft,Microsoft,Google</v>
      </c>
      <c r="I35" s="6">
        <f>IFERROR(__xludf.DUMMYFUNCTION("""COMPUTED_VALUE"""),23.85)</f>
        <v>23.85</v>
      </c>
      <c r="J35" s="6" t="str">
        <f>IFERROR(__xludf.DUMMYFUNCTION("""COMPUTED_VALUE"""),"算法")</f>
        <v>算法</v>
      </c>
    </row>
    <row r="36">
      <c r="A36" s="6">
        <f>IFERROR(__xludf.DUMMYFUNCTION("""COMPUTED_VALUE"""),127.0)</f>
        <v>127</v>
      </c>
      <c r="B36" s="53" t="str">
        <f>IFERROR(__xludf.DUMMYFUNCTION("""COMPUTED_VALUE"""),"Word Ladder")</f>
        <v>Word Ladder</v>
      </c>
      <c r="C36" s="6" t="str">
        <f>IFERROR(__xludf.DUMMYFUNCTION("""COMPUTED_VALUE"""),"Hard")</f>
        <v>Hard</v>
      </c>
      <c r="D36" s="6" t="str">
        <f>IFERROR(__xludf.DUMMYFUNCTION("""COMPUTED_VALUE"""),"Breadth First Search")</f>
        <v>Breadth First Search</v>
      </c>
      <c r="E36" s="6" t="str">
        <f>IFERROR(__xludf.DUMMYFUNCTION("""COMPUTED_VALUE"""),"Citadel,EBay,Yahoo,Cohesity,Tesla,Square,Pinterest,Qualtrics,Audible,Salesforce,VMware,Affirm,Walmart Labs,Snapchat,Zillow,ServiceNow,Expedia,Yelp,Oracle,Spotify,Lyft,Apple,Airbnb,Uber,Samsung,Bloomberg,Facebook,Amazon,LinkedIn,Microsoft,Google")</f>
        <v>Citadel,EBay,Yahoo,Cohesity,Tesla,Square,Pinterest,Qualtrics,Audible,Salesforce,VMware,Affirm,Walmart Labs,Snapchat,Zillow,ServiceNow,Expedia,Yelp,Oracle,Spotify,Lyft,Apple,Airbnb,Uber,Samsung,Bloomberg,Facebook,Amazon,LinkedIn,Microsoft,Google</v>
      </c>
      <c r="F36" s="6" t="str">
        <f>IFERROR(__xludf.DUMMYFUNCTION("""COMPUTED_VALUE"""),"Amazon,Facebook,Lyft,Google,Bloomberg,Uber,Microsoft,Oracle,Apple,Zillow,Snapchat,Yahoo,Qualtrics,Citadel")</f>
        <v>Amazon,Facebook,Lyft,Google,Bloomberg,Uber,Microsoft,Oracle,Apple,Zillow,Snapchat,Yahoo,Qualtrics,Citadel</v>
      </c>
      <c r="G36" s="6" t="str">
        <f>IFERROR(__xludf.DUMMYFUNCTION("""COMPUTED_VALUE"""),"Salesforce,eBay,LinkedIn,ServiceNow,Amazon,Facebook,Lyft,Google,Bloomberg,Uber,Microsoft,Oracle,Apple,Zillow,Snapchat,Yahoo,Qualtrics,Citadel")</f>
        <v>Salesforce,eBay,LinkedIn,ServiceNow,Amazon,Facebook,Lyft,Google,Bloomberg,Uber,Microsoft,Oracle,Apple,Zillow,Snapchat,Yahoo,Qualtrics,Citadel</v>
      </c>
      <c r="H36" s="6" t="str">
        <f>IFERROR(__xludf.DUMMYFUNCTION("""COMPUTED_VALUE"""),"Walmart Labs,VMware,Pinterest,Spotify,Yelp,Salesforce,eBay,LinkedIn,ServiceNow,Amazon,Facebook,Lyft,Google,Bloomberg,Uber,Microsoft,Oracle,Apple,Zillow,Snapchat,Yahoo,Qualtrics,Citadel")</f>
        <v>Walmart Labs,VMware,Pinterest,Spotify,Yelp,Salesforce,eBay,LinkedIn,ServiceNow,Amazon,Facebook,Lyft,Google,Bloomberg,Uber,Microsoft,Oracle,Apple,Zillow,Snapchat,Yahoo,Qualtrics,Citadel</v>
      </c>
      <c r="I36" s="6">
        <f>IFERROR(__xludf.DUMMYFUNCTION("""COMPUTED_VALUE"""),31.97)</f>
        <v>31.97</v>
      </c>
      <c r="J36" s="6" t="str">
        <f>IFERROR(__xludf.DUMMYFUNCTION("""COMPUTED_VALUE"""),"算法")</f>
        <v>算法</v>
      </c>
    </row>
    <row r="37">
      <c r="A37" s="6">
        <f>IFERROR(__xludf.DUMMYFUNCTION("""COMPUTED_VALUE"""),146.0)</f>
        <v>146</v>
      </c>
      <c r="B37" s="53" t="str">
        <f>IFERROR(__xludf.DUMMYFUNCTION("""COMPUTED_VALUE"""),"LRU Cache")</f>
        <v>LRU Cache</v>
      </c>
      <c r="C37" s="6" t="str">
        <f>IFERROR(__xludf.DUMMYFUNCTION("""COMPUTED_VALUE"""),"Medium")</f>
        <v>Medium</v>
      </c>
      <c r="D37" s="6" t="str">
        <f>IFERROR(__xludf.DUMMYFUNCTION("""COMPUTED_VALUE"""),"Design")</f>
        <v>Design</v>
      </c>
      <c r="E37" s="6" t="str">
        <f>IFERROR(__xludf.DUMMYFUNCTION("""COMPUTED_VALUE"""),"MakeMyTrip,DiDi,Garena,Cohesity,Atlassian,Capital One,PayTM,Infosys,Intel,Cloudera,HBO,Asana,Docusign,TripAdvisor,Tesla,Nutanix,DoorDash,Pinterest,Palantir Technologies,Cruise Automation,Two Sigma,Zenefits,Twitch,Roblox,Splunk,ByteDance,Twilio,Salesforce,"&amp;"Groupon,Zynga,Visa,VMware,Citadel,Walmart Labs,Dropbox,GoDaddy,Snapchat,JPMorgan,Zillow,Paypal,Twitter,Expedia,Wish,Nvidia,Oracle,Spotify,Intuit,Lyft,Cisco,Yandex,EBay,Baidu,Apple,Uber,Yahoo,SAP,Morgan Stanley,Bloomberg,Adobe,Facebook,Amazon,LinkedIn,Micr"&amp;"osoft,Alibaba,Goldman Sachs,Google")</f>
        <v>MakeMyTrip,DiDi,Garena,Cohesity,Atlassian,Capital One,PayTM,Infosys,Intel,Cloudera,HBO,Asana,Docusign,TripAdvisor,Tesla,Nutanix,DoorDash,Pinterest,Palantir Technologies,Cruise Automation,Two Sigma,Zenefits,Twitch,Roblox,Splunk,ByteDance,Twilio,Salesforce,Groupon,Zynga,Visa,VMware,Citadel,Walmart Labs,Dropbox,GoDaddy,Snapchat,JPMorgan,Zillow,Paypal,Twitter,Expedia,Wish,Nvidia,Oracle,Spotify,Intuit,Lyft,Cisco,Yandex,EBay,Baidu,Apple,Uber,Yahoo,SAP,Morgan Stanley,Bloomberg,Adobe,Facebook,Amazon,LinkedIn,Microsoft,Alibaba,Goldman Sachs,Google</v>
      </c>
      <c r="F37" s="6" t="str">
        <f>IFERROR(__xludf.DUMMYFUNCTION("""COMPUTED_VALUE"""),"Amazon,Microsoft,Bloomberg,Facebook,Apple,Capital One,Snapchat,eBay,Oracle,Intuit,Google,ByteDance,Zillow,Uber,Paypal,Twilio,VMware,Dropbox,Adobe,Walmart Labs,Goldman Sachs,Cohesity,Citadel,Salesforce,Tesla,Cruise Automation,Wish,Nutanix,HBO,Morgan Stanle"&amp;"y")</f>
        <v>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G37" s="6" t="str">
        <f>IFERROR(__xludf.DUMMYFUNCTION("""COMPUTED_VALUE"""),"Cisco,Roblox,Pinterest,Nvidia,Yandex,Alibaba,Twitter,Expedia,Zynga,Docusign,Garena,DiDi,Infosys,Amazon,Microsoft,Bloomberg,Facebook,Apple,Capital One,Snapchat,eBay,Oracle,Intuit,Google,ByteDance,Zillow,Uber,Paypal,Twilio,VMware,Dropbox,Adobe,Walmart Labs,"&amp;"Goldman Sachs,Cohesity,Citadel,Salesforce,Tesla,Cruise Automation,Wish,Nutanix,HBO,Morgan Stanley")</f>
        <v>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H37" s="6" t="str">
        <f>IFERROR(__xludf.DUMMYFUNCTION("""COMPUTED_VALUE"""),"Two Sigma,Asana,Yahoo,LinkedIn,Spotify,Cloudera,GoDaddy,Groupon,DoorDash,PayTM,Baidu,Lyft,JPMorgan,TripAdvisor,Intel,Atlassian,Splunk,MakeMyTrip,Palantir Technologies,Zenefits,Cisco,Roblox,Pinterest,Nvidia,Yandex,Alibaba,Twitter,Expedia,Zynga,Docusign,Gar"&amp;"ena,DiDi,Infosys,Amazon,Microsoft,Bloomberg,Facebook,Apple,Capital One,Snapchat,eBay,Oracle,Intuit,Google,ByteDance,Zillow,Uber,Paypal,Twilio,VMware,Dropbox,Adobe,Walmart Labs,Goldman Sachs,Cohesity,Citadel,Salesforce,Tesla,Cruise Automation,Wish,Nutanix,"&amp;"HBO,Morgan Stanley")</f>
        <v>Two Sigma,Asana,Yahoo,LinkedIn,Spotify,Cloudera,GoDaddy,Groupon,DoorDash,PayTM,Baidu,Lyft,JPMorgan,TripAdvisor,Intel,Atlassian,Splunk,MakeMyTrip,Palantir Technologies,Zenefits,Cisco,Roblox,Pinterest,Nvidia,Yandex,Alibaba,Twitter,Expedia,Zynga,Docusign,Garena,DiDi,Infosys,Amazon,Microsoft,Bloomberg,Facebook,Apple,Capital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I37" s="6">
        <f>IFERROR(__xludf.DUMMYFUNCTION("""COMPUTED_VALUE"""),36.03)</f>
        <v>36.03</v>
      </c>
      <c r="J37" s="6" t="str">
        <f>IFERROR(__xludf.DUMMYFUNCTION("""COMPUTED_VALUE"""),"算法")</f>
        <v>算法</v>
      </c>
    </row>
    <row r="38">
      <c r="A38" s="6">
        <f>IFERROR(__xludf.DUMMYFUNCTION("""COMPUTED_VALUE"""),155.0)</f>
        <v>155</v>
      </c>
      <c r="B38" s="53" t="str">
        <f>IFERROR(__xludf.DUMMYFUNCTION("""COMPUTED_VALUE"""),"Min Stack")</f>
        <v>Min Stack</v>
      </c>
      <c r="C38" s="6" t="str">
        <f>IFERROR(__xludf.DUMMYFUNCTION("""COMPUTED_VALUE"""),"Easy")</f>
        <v>Easy</v>
      </c>
      <c r="D38" s="6" t="str">
        <f>IFERROR(__xludf.DUMMYFUNCTION("""COMPUTED_VALUE"""),"Design,Stack")</f>
        <v>Design,Stack</v>
      </c>
      <c r="E38" s="6" t="str">
        <f>IFERROR(__xludf.DUMMYFUNCTION("""COMPUTED_VALUE"""),"Deutsche Bank,Capital One,Groupon,VMware,Twitter,Cisco,Netflix,Pure Storage,Zenefits,Flipkart,Visa,Walmart Labs,Snapchat,ServiceNow,Wish,Oracle,Intuit,Lyft,EBay,Apple,Uber,Bloomberg,Adobe,Facebook,Amazon,LinkedIn,Microsoft,Goldman Sachs,Google")</f>
        <v>Deutsche Bank,Capital One,Groupon,VMware,Twitter,Cisco,Netflix,Pure Storage,Zenefits,Flipkart,Visa,Walmart Labs,Snapchat,ServiceNow,Wish,Oracle,Intuit,Lyft,EBay,Apple,Uber,Bloomberg,Adobe,Facebook,Amazon,LinkedIn,Microsoft,Goldman Sachs,Google</v>
      </c>
      <c r="F38" s="6" t="str">
        <f>IFERROR(__xludf.DUMMYFUNCTION("""COMPUTED_VALUE"""),"Capital One,Amazon,Bloomberg,Microsoft,Oracle,eBay,Apple")</f>
        <v>Capital One,Amazon,Bloomberg,Microsoft,Oracle,eBay,Apple</v>
      </c>
      <c r="G38" s="6" t="str">
        <f>IFERROR(__xludf.DUMMYFUNCTION("""COMPUTED_VALUE"""),"Goldman Sachs,Google,Facebook,Walmart Labs,Netflix,Deutsche Bank,Capital One,Amazon,Bloomberg,Microsoft,Oracle,eBay,Apple")</f>
        <v>Goldman Sachs,Google,Facebook,Walmart Labs,Netflix,Deutsche Bank,Capital One,Amazon,Bloomberg,Microsoft,Oracle,eBay,Apple</v>
      </c>
      <c r="H38" s="6" t="str">
        <f>IFERROR(__xludf.DUMMYFUNCTION("""COMPUTED_VALUE"""),"Adobe,Wish,Pure Storage,Lyft,Cisco,Uber,VMware,Visa,Intuit,ServiceNow,Flipkart,Groupon,Twitter,Snapchat,Zenefits,Goldman Sachs,Google,Facebook,Walmart Labs,Netflix,Deutsche Bank,Capital One,Amazon,Bloomberg,Microsoft,Oracle,eBay,Apple")</f>
        <v>Adobe,Wish,Pure Storage,Lyft,Cisco,Uber,VMware,Visa,Intuit,ServiceNow,Flipkart,Groupon,Twitter,Snapchat,Zenefits,Goldman Sachs,Google,Facebook,Walmart Labs,Netflix,Deutsche Bank,Capital One,Amazon,Bloomberg,Microsoft,Oracle,eBay,Apple</v>
      </c>
      <c r="I38" s="6">
        <f>IFERROR(__xludf.DUMMYFUNCTION("""COMPUTED_VALUE"""),46.6)</f>
        <v>46.6</v>
      </c>
      <c r="J38" s="6" t="str">
        <f>IFERROR(__xludf.DUMMYFUNCTION("""COMPUTED_VALUE"""),"算法")</f>
        <v>算法</v>
      </c>
    </row>
    <row r="39">
      <c r="A39" s="6">
        <f>IFERROR(__xludf.DUMMYFUNCTION("""COMPUTED_VALUE"""),158.0)</f>
        <v>158</v>
      </c>
      <c r="B39" s="53" t="str">
        <f>IFERROR(__xludf.DUMMYFUNCTION("""COMPUTED_VALUE"""),"Read N Characters Given Read4 II - Call multiple times")</f>
        <v>Read N Characters Given Read4 II - Call multiple times</v>
      </c>
      <c r="C39" s="6" t="str">
        <f>IFERROR(__xludf.DUMMYFUNCTION("""COMPUTED_VALUE"""),"Hard")</f>
        <v>Hard</v>
      </c>
      <c r="D39" s="6" t="str">
        <f>IFERROR(__xludf.DUMMYFUNCTION("""COMPUTED_VALUE"""),"String")</f>
        <v>String</v>
      </c>
      <c r="E39" s="6" t="str">
        <f>IFERROR(__xludf.DUMMYFUNCTION("""COMPUTED_VALUE"""),"Oracle,Apple,Pinterest,Lyft,Uber,Bloomberg,Facebook,Amazon,Microsoft,Google")</f>
        <v>Oracle,Apple,Pinterest,Lyft,Uber,Bloomberg,Facebook,Amazon,Microsoft,Google</v>
      </c>
      <c r="F39" s="6" t="str">
        <f>IFERROR(__xludf.DUMMYFUNCTION("""COMPUTED_VALUE"""),"Facebook,Lyft,Google,Oracle")</f>
        <v>Facebook,Lyft,Google,Oracle</v>
      </c>
      <c r="G39" s="6" t="str">
        <f>IFERROR(__xludf.DUMMYFUNCTION("""COMPUTED_VALUE"""),"Amazon,Facebook,Lyft,Google,Oracle")</f>
        <v>Amazon,Facebook,Lyft,Google,Oracle</v>
      </c>
      <c r="H39" s="6" t="str">
        <f>IFERROR(__xludf.DUMMYFUNCTION("""COMPUTED_VALUE"""),"Microsoft,Uber,Pinterest,Apple,Bloomberg,Amazon,Facebook,Lyft,Google,Oracle")</f>
        <v>Microsoft,Uber,Pinterest,Apple,Bloomberg,Amazon,Facebook,Lyft,Google,Oracle</v>
      </c>
      <c r="I39" s="6">
        <f>IFERROR(__xludf.DUMMYFUNCTION("""COMPUTED_VALUE"""),37.11)</f>
        <v>37.11</v>
      </c>
      <c r="J39" s="6" t="str">
        <f>IFERROR(__xludf.DUMMYFUNCTION("""COMPUTED_VALUE"""),"算法")</f>
        <v>算法</v>
      </c>
    </row>
    <row r="40">
      <c r="A40" s="6">
        <f>IFERROR(__xludf.DUMMYFUNCTION("""COMPUTED_VALUE"""),162.0)</f>
        <v>162</v>
      </c>
      <c r="B40" s="53" t="str">
        <f>IFERROR(__xludf.DUMMYFUNCTION("""COMPUTED_VALUE"""),"Find Peak Element")</f>
        <v>Find Peak Element</v>
      </c>
      <c r="C40" s="6" t="str">
        <f>IFERROR(__xludf.DUMMYFUNCTION("""COMPUTED_VALUE"""),"Medium")</f>
        <v>Medium</v>
      </c>
      <c r="D40" s="6" t="str">
        <f>IFERROR(__xludf.DUMMYFUNCTION("""COMPUTED_VALUE"""),"Binary Search,Array")</f>
        <v>Binary Search,Array</v>
      </c>
      <c r="E40" s="6" t="str">
        <f>IFERROR(__xludf.DUMMYFUNCTION("""COMPUTED_VALUE"""),"DE Shaw,Duolingo,ByteDance,IXL,VMware,Quora,Walmart Labs,Lyft,Apple,Uber,Yahoo,Bloomberg,Facebook,Amazon,Microsoft,Google")</f>
        <v>DE Shaw,Duolingo,ByteDance,IXL,VMware,Quora,Walmart Labs,Lyft,Apple,Uber,Yahoo,Bloomberg,Facebook,Amazon,Microsoft,Google</v>
      </c>
      <c r="F40" s="6" t="str">
        <f>IFERROR(__xludf.DUMMYFUNCTION("""COMPUTED_VALUE"""),"Facebook,Amazon,Quora,Bloomberg,Google")</f>
        <v>Facebook,Amazon,Quora,Bloomberg,Google</v>
      </c>
      <c r="G40" s="6" t="str">
        <f>IFERROR(__xludf.DUMMYFUNCTION("""COMPUTED_VALUE"""),"Apple,Microsoft,Uber,ByteDance,Facebook,Amazon,Quora,Bloomberg,Google")</f>
        <v>Apple,Microsoft,Uber,ByteDance,Facebook,Amazon,Quora,Bloomberg,Google</v>
      </c>
      <c r="H40" s="6" t="str">
        <f>IFERROR(__xludf.DUMMYFUNCTION("""COMPUTED_VALUE"""),"DE Shaw,Walmart Labs,Duolingo,Apple,Microsoft,Uber,ByteDance,Facebook,Amazon,Quora,Bloomberg,Google")</f>
        <v>DE Shaw,Walmart Labs,Duolingo,Apple,Microsoft,Uber,ByteDance,Facebook,Amazon,Quora,Bloomberg,Google</v>
      </c>
      <c r="I40" s="6">
        <f>IFERROR(__xludf.DUMMYFUNCTION("""COMPUTED_VALUE"""),44.02)</f>
        <v>44.02</v>
      </c>
      <c r="J40" s="6" t="str">
        <f>IFERROR(__xludf.DUMMYFUNCTION("""COMPUTED_VALUE"""),"算法")</f>
        <v>算法</v>
      </c>
    </row>
    <row r="41">
      <c r="A41" s="6">
        <f>IFERROR(__xludf.DUMMYFUNCTION("""COMPUTED_VALUE"""),200.0)</f>
        <v>200</v>
      </c>
      <c r="B41" s="53" t="str">
        <f>IFERROR(__xludf.DUMMYFUNCTION("""COMPUTED_VALUE"""),"Number of Islands")</f>
        <v>Number of Islands</v>
      </c>
      <c r="C41" s="6" t="str">
        <f>IFERROR(__xludf.DUMMYFUNCTION("""COMPUTED_VALUE"""),"Medium")</f>
        <v>Medium</v>
      </c>
      <c r="D41" s="6" t="str">
        <f>IFERROR(__xludf.DUMMYFUNCTION("""COMPUTED_VALUE"""),"Union Find,Breadth First Search,Depth First Search")</f>
        <v>Union Find,Breadth First Search,Depth First Search</v>
      </c>
      <c r="E41" s="6" t="str">
        <f>IFERROR(__xludf.DUMMYFUNCTION("""COMPUTED_VALUE"""),"Pony.ai,Karat,Tesla,Robinhood,PayTM,ByteDance,Intel,Dropbox,ServiceNow,Yandex,Samsung,AppDynamics,Electronic Arts,Sumologic,Hulu,Cohesity,Arista Networks,LiveRamp,Nutanix,DoorDash,Square,Qualtrics,Evernote,Palantir Technologies,Cruise Automation,Citrix,Zu"&amp;"lily,Houzz,Zenefits,Atlassian,Twitch,Roblox,Audible,Splunk,Tableau,Salesforce,Visa,VMware,Citadel,Affirm,Walmart Labs,Snapchat,JPMorgan,Paypal,Twitter,Expedia,Wish,Nvidia,Oracle,Spotify,Lyft,Cisco,Mathworks,EBay,BlackRock,Apple,Uber,Yahoo,SAP,Bloomberg,Ad"&amp;"obe,Facebook,Amazon,LinkedIn,Microsoft,Alibaba,Goldman Sachs,Google")</f>
        <v>Pony.ai,Karat,Tesla,Robinhood,PayTM,ByteDance,Intel,Dropbox,ServiceNow,Yandex,Samsung,AppDynamics,Electronic Arts,Sumologic,Hulu,Cohesity,Arista Networks,LiveRamp,Nutanix,DoorDash,Square,Qualtrics,Evernote,Palantir Technologies,Cruise Automation,Citrix,Zulily,Houzz,Zenefits,Atlassian,Twitch,Roblox,Audible,Splunk,Tableau,Salesforce,Visa,VMware,Citadel,Affirm,Walmart Labs,Snapchat,JPMorgan,Paypal,Twitter,Expedia,Wish,Nvidia,Oracle,Spotify,Lyft,Cisco,Mathworks,EBay,BlackRock,Apple,Uber,Yahoo,SAP,Bloomberg,Adobe,Facebook,Amazon,LinkedIn,Microsoft,Alibaba,Goldman Sachs,Google</v>
      </c>
      <c r="F41" s="6" t="str">
        <f>IFERROR(__xludf.DUMMYFUNCTION("""COMPUTED_VALUE"""),"Amazon,Bloomberg,Microsoft,Oracle,Facebook,Apple,Uber,Google,DoorDash,Qualtrics,LinkedIn,Snapchat,Expedia,Goldman Sachs,Citadel,VMware,Tesla,Karat,ByteDance,Yandex,eBay,Samsung,Yahoo,Nvidia,Splunk,Pony.ai")</f>
        <v>Amazon,Bloomberg,Microsoft,Oracle,Facebook,Apple,Uber,Google,DoorDash,Qualtrics,LinkedIn,Snapchat,Expedia,Goldman Sachs,Citadel,VMware,Tesla,Karat,ByteDance,Yandex,eBay,Samsung,Yahoo,Nvidia,Splunk,Pony.ai</v>
      </c>
      <c r="G41" s="6" t="str">
        <f>IFERROR(__xludf.DUMMYFUNCTION("""COMPUTED_VALUE"""),"Adobe,Wish,Walmart Labs,Roblox,Lyft,Robinhood,Palantir Technologies,Salesforce,Visa,Intel,Audible,PayTM,Amazon,Bloomberg,Microsoft,Oracle,Facebook,Apple,Uber,Google,DoorDash,Qualtrics,LinkedIn,Snapchat,Expedia,Goldman Sachs,Citadel,VMware,Tesla,Karat,Byte"&amp;"Dance,Yandex,eBay,Samsung,Yahoo,Nvidia,Splunk,Pony.ai")</f>
        <v>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H41" s="6" t="str">
        <f>IFERROR(__xludf.DUMMYFUNCTION("""COMPUTED_VALUE"""),"Cruise Automation,Twitch,Atlassian,Tableau,Affirm,Mathworks,JPMorgan,Electronic Arts,Houzz,Nutanix,Evernote,Dropbox,Paypal,SAP,Square,Arista Networks,ServiceNow,Spotify,Zulily,Cohesity,Zenefits,Adobe,Wish,Walmart Labs,Roblox,Lyft,Robinhood,Palantir Techno"&amp;"logies,Salesforce,Visa,Intel,Audible,PayTM,Amazon,Bloomberg,Microsoft,Oracle,Facebook,Apple,Uber,Google,DoorDash,Qualtrics,LinkedIn,Snapchat,Expedia,Goldman Sachs,Citadel,VMware,Tesla,Karat,ByteDance,Yandex,eBay,Samsung,Yahoo,Nvidia,Splunk,Pony.ai")</f>
        <v>Cruise Automation,Twitch,Atlassian,Tableau,Affirm,Mathworks,JPMorgan,Electronic Arts,Houzz,Nutanix,Evernote,Dropbox,Paypal,SAP,Square,Arista Networks,ServiceNow,Spotify,Zulily,Cohesity,Zenefits,Adobe,Wish,Walmart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I41" s="6">
        <f>IFERROR(__xludf.DUMMYFUNCTION("""COMPUTED_VALUE"""),49.32)</f>
        <v>49.32</v>
      </c>
      <c r="J41" s="6" t="str">
        <f>IFERROR(__xludf.DUMMYFUNCTION("""COMPUTED_VALUE"""),"算法")</f>
        <v>算法</v>
      </c>
    </row>
    <row r="42">
      <c r="A42" s="6">
        <f>IFERROR(__xludf.DUMMYFUNCTION("""COMPUTED_VALUE"""),238.0)</f>
        <v>238</v>
      </c>
      <c r="B42" s="53" t="str">
        <f>IFERROR(__xludf.DUMMYFUNCTION("""COMPUTED_VALUE"""),"Product of Array Except Self")</f>
        <v>Product of Array Except Self</v>
      </c>
      <c r="C42" s="6" t="str">
        <f>IFERROR(__xludf.DUMMYFUNCTION("""COMPUTED_VALUE"""),"Medium")</f>
        <v>Medium</v>
      </c>
      <c r="D42" s="6" t="str">
        <f>IFERROR(__xludf.DUMMYFUNCTION("""COMPUTED_VALUE"""),"Array")</f>
        <v>Array</v>
      </c>
      <c r="E42" s="6" t="str">
        <f>IFERROR(__xludf.DUMMYFUNCTION("""COMPUTED_VALUE"""),"Houzz,PayTM,Citadel,ServiceNow,Expedia,Yandex,Asana,Nutanix,Qualtrics,Evernote,Zenefits,Grab,Splunk,ByteDance,Tableau,Salesforce,Groupon,Intel,Visa,VMware,Walmart Labs,Snapchat,Paypal,Yelp,Oracle,Lyft,EBay,BlackRock,Apple,Uber,Yahoo,SAP,Bloomberg,Adobe,Fa"&amp;"cebook,Amazon,LinkedIn,Microsoft,Goldman Sachs,Google")</f>
        <v>Houzz,PayTM,Citadel,ServiceNow,Expedia,Yandex,Asana,Nutanix,Qualtrics,Evernote,Zenefits,Grab,Splunk,ByteDance,Tableau,Salesforce,Groupon,Intel,Visa,VMware,Walmart Labs,Snapchat,Paypal,Yelp,Oracle,Lyft,EBay,BlackRock,Apple,Uber,Yahoo,SAP,Bloomberg,Adobe,Facebook,Amazon,LinkedIn,Microsoft,Goldman Sachs,Google</v>
      </c>
      <c r="F42" s="6" t="str">
        <f>IFERROR(__xludf.DUMMYFUNCTION("""COMPUTED_VALUE"""),"Facebook,Amazon,Apple,Lyft,Asana,Microsoft,Uber,Adobe,VMware,Bloomberg,Oracle")</f>
        <v>Facebook,Amazon,Apple,Lyft,Asana,Microsoft,Uber,Adobe,VMware,Bloomberg,Oracle</v>
      </c>
      <c r="G42" s="6" t="str">
        <f>IFERROR(__xludf.DUMMYFUNCTION("""COMPUTED_VALUE"""),"Google,Goldman Sachs,Nutanix,eBay,Paypal,ServiceNow,ByteDance,Qualtrics,Citadel,Yandex,PayTM,Facebook,Amazon,Apple,Lyft,Asana,Microsoft,Uber,Adobe,VMware,Bloomberg,Oracle")</f>
        <v>Google,Goldman Sachs,Nutanix,eBay,Paypal,ServiceNow,ByteDance,Qualtrics,Citadel,Yandex,PayTM,Facebook,Amazon,Apple,Lyft,Asana,Microsoft,Uber,Adobe,VMware,Bloomberg,Oracle</v>
      </c>
      <c r="H42" s="6" t="str">
        <f>IFERROR(__xludf.DUMMYFUNCTION("""COMPUTED_VALUE"""),"Tableau,Yahoo,Splunk,BlackRock,Expedia,Snapchat,Groupon,Visa,Walmart Labs,Intel,Evernote,SAP,Salesforce,Houzz,LinkedIn,Google,Goldman Sachs,Nutanix,eBay,Paypal,ServiceNow,ByteDance,Qualtrics,Citadel,Yandex,PayTM,Facebook,Amazon,Apple,Lyft,Asana,Microsoft,"&amp;"Uber,Adobe,VMware,Bloomberg,Oracle")</f>
        <v>Tableau,Yahoo,Splunk,BlackRock,Expedia,Snapchat,Groupon,Visa,Walmart Labs,Intel,Evernote,SAP,Salesforce,Houzz,LinkedIn,Google,Goldman Sachs,Nutanix,eBay,Paypal,ServiceNow,ByteDance,Qualtrics,Citadel,Yandex,PayTM,Facebook,Amazon,Apple,Lyft,Asana,Microsoft,Uber,Adobe,VMware,Bloomberg,Oracle</v>
      </c>
      <c r="I42" s="6">
        <f>IFERROR(__xludf.DUMMYFUNCTION("""COMPUTED_VALUE"""),61.45)</f>
        <v>61.45</v>
      </c>
      <c r="J42" s="6" t="str">
        <f>IFERROR(__xludf.DUMMYFUNCTION("""COMPUTED_VALUE"""),"算法")</f>
        <v>算法</v>
      </c>
    </row>
    <row r="43">
      <c r="A43" s="6">
        <f>IFERROR(__xludf.DUMMYFUNCTION("""COMPUTED_VALUE"""),239.0)</f>
        <v>239</v>
      </c>
      <c r="B43" s="53" t="str">
        <f>IFERROR(__xludf.DUMMYFUNCTION("""COMPUTED_VALUE"""),"Sliding Window Maximum")</f>
        <v>Sliding Window Maximum</v>
      </c>
      <c r="C43" s="6" t="str">
        <f>IFERROR(__xludf.DUMMYFUNCTION("""COMPUTED_VALUE"""),"Hard")</f>
        <v>Hard</v>
      </c>
      <c r="D43" s="6" t="str">
        <f>IFERROR(__xludf.DUMMYFUNCTION("""COMPUTED_VALUE"""),"Dequeue,Sliding Window,Heap")</f>
        <v>Dequeue,Sliding Window,Heap</v>
      </c>
      <c r="E43" s="6" t="str">
        <f>IFERROR(__xludf.DUMMYFUNCTION("""COMPUTED_VALUE"""),"AppDynamics,Akuna Capital,Snapchat,Twilio,Dropbox,Expedia,IBM,Nutanix,Pinterest,Databricks,Coursera,Zenefits,Roblox,ByteDance,VMware,Citadel,Twitter,Wish,Yelp,Oracle,Lyft,Apple,Uber,Bloomberg,Adobe,Facebook,Amazon,Microsoft,Alibaba,Google")</f>
        <v>AppDynamics,Akuna Capital,Snapchat,Twilio,Dropbox,Expedia,IBM,Nutanix,Pinterest,Databricks,Coursera,Zenefits,Roblox,ByteDance,VMware,Citadel,Twitter,Wish,Yelp,Oracle,Lyft,Apple,Uber,Bloomberg,Adobe,Facebook,Amazon,Microsoft,Alibaba,Google</v>
      </c>
      <c r="F43" s="6" t="str">
        <f>IFERROR(__xludf.DUMMYFUNCTION("""COMPUTED_VALUE"""),"Amazon,Dropbox,Facebook,ByteDance,Citadel,Google,Bloomberg,Microsoft,Akuna Capital,IBM,Twitter,Twilio")</f>
        <v>Amazon,Dropbox,Facebook,ByteDance,Citadel,Google,Bloomberg,Microsoft,Akuna Capital,IBM,Twitter,Twilio</v>
      </c>
      <c r="G43" s="6" t="str">
        <f>IFERROR(__xludf.DUMMYFUNCTION("""COMPUTED_VALUE"""),"Databricks,Uber,Roblox,Apple,Adobe,Oracle,Expedia,Amazon,Dropbox,Facebook,ByteDance,Citadel,Google,Bloomberg,Microsoft,Akuna Capital,IBM,Twitter,Twilio")</f>
        <v>Databricks,Uber,Roblox,Apple,Adobe,Oracle,Expedia,Amazon,Dropbox,Facebook,ByteDance,Citadel,Google,Bloomberg,Microsoft,Akuna Capital,IBM,Twitter,Twilio</v>
      </c>
      <c r="H43" s="6" t="str">
        <f>IFERROR(__xludf.DUMMYFUNCTION("""COMPUTED_VALUE"""),"Wish,Snapchat,VMware,AppDynamics,Zenefits,Databricks,Uber,Roblox,Apple,Adobe,Oracle,Expedia,Amazon,Dropbox,Facebook,ByteDance,Citadel,Google,Bloomberg,Microsoft,Akuna Capital,IBM,Twitter,Twilio")</f>
        <v>Wish,Snapchat,VMware,AppDynamics,Zenefits,Databricks,Uber,Roblox,Apple,Adobe,Oracle,Expedia,Amazon,Dropbox,Facebook,ByteDance,Citadel,Google,Bloomberg,Microsoft,Akuna Capital,IBM,Twitter,Twilio</v>
      </c>
      <c r="I43" s="6">
        <f>IFERROR(__xludf.DUMMYFUNCTION("""COMPUTED_VALUE"""),44.68)</f>
        <v>44.68</v>
      </c>
      <c r="J43" s="6" t="str">
        <f>IFERROR(__xludf.DUMMYFUNCTION("""COMPUTED_VALUE"""),"算法")</f>
        <v>算法</v>
      </c>
    </row>
    <row r="44">
      <c r="A44" s="6">
        <f>IFERROR(__xludf.DUMMYFUNCTION("""COMPUTED_VALUE"""),253.0)</f>
        <v>253</v>
      </c>
      <c r="B44" s="53" t="str">
        <f>IFERROR(__xludf.DUMMYFUNCTION("""COMPUTED_VALUE"""),"Meeting Rooms II")</f>
        <v>Meeting Rooms II</v>
      </c>
      <c r="C44" s="6" t="str">
        <f>IFERROR(__xludf.DUMMYFUNCTION("""COMPUTED_VALUE"""),"Medium")</f>
        <v>Medium</v>
      </c>
      <c r="D44" s="6" t="str">
        <f>IFERROR(__xludf.DUMMYFUNCTION("""COMPUTED_VALUE"""),"Sort,Greedy,Heap")</f>
        <v>Sort,Greedy,Heap</v>
      </c>
      <c r="E44" s="6" t="str">
        <f>IFERROR(__xludf.DUMMYFUNCTION("""COMPUTED_VALUE"""),"Wish,Roblox,ByteDance,VMware,Citadel,Twitter,Yandex,Adobe,Nutanix,Postmates,Citrix,Atlassian,Booking.com,Drawbridge,Visa,Quora,Walmart Labs,GoDaddy,Snapchat,Paypal,Expedia,Yelp,Oracle,Lyft,Cisco,EBay,Baidu,Apple,Uber,Bloomberg,Facebook,Amazon,Microsoft,Go"&amp;"ldman Sachs,Google")</f>
        <v>Wish,Roblox,ByteDance,VMware,Citadel,Twitter,Yandex,Adobe,Nutanix,Postmates,Citrix,Atlassian,Booking.com,Drawbridge,Visa,Quora,Walmart Labs,GoDaddy,Snapchat,Paypal,Expedia,Yelp,Oracle,Lyft,Cisco,EBay,Baidu,Apple,Uber,Bloomberg,Facebook,Amazon,Microsoft,Goldman Sachs,Google</v>
      </c>
      <c r="F44" s="6" t="str">
        <f>IFERROR(__xludf.DUMMYFUNCTION("""COMPUTED_VALUE"""),"Amazon,Bloomberg,Facebook,Google,Oracle,Yandex,Microsoft,Uber,ByteDance,Twitter,eBay,Apple,Adobe,Walmart Labs,Expedia,Quora,Roblox")</f>
        <v>Amazon,Bloomberg,Facebook,Google,Oracle,Yandex,Microsoft,Uber,ByteDance,Twitter,eBay,Apple,Adobe,Walmart Labs,Expedia,Quora,Roblox</v>
      </c>
      <c r="G44" s="6" t="str">
        <f>IFERROR(__xludf.DUMMYFUNCTION("""COMPUTED_VALUE"""),"Snapchat,Paypal,Citadel,Amazon,Bloomberg,Facebook,Google,Oracle,Yandex,Microsoft,Uber,ByteDance,Twitter,eBay,Apple,Adobe,Walmart Labs,Expedia,Quora,Roblox")</f>
        <v>Snapchat,Paypal,Citadel,Amazon,Bloomberg,Facebook,Google,Oracle,Yandex,Microsoft,Uber,ByteDance,Twitter,eBay,Apple,Adobe,Walmart Labs,Expedia,Quora,Roblox</v>
      </c>
      <c r="H44" s="6" t="str">
        <f>IFERROR(__xludf.DUMMYFUNCTION("""COMPUTED_VALUE"""),"Lyft,Visa,GoDaddy,Citrix,Nutanix,Yelp,Booking.com,VMware,Drawbridge,Postmates,Goldman Sachs,Wish,Snapchat,Paypal,Citadel,Amazon,Bloomberg,Facebook,Google,Oracle,Yandex,Microsoft,Uber,ByteDance,Twitter,eBay,Apple,Adobe,Walmart Labs,Expedia,Quora,Roblox")</f>
        <v>Lyft,Visa,GoDaddy,Citrix,Nutanix,Yelp,Booking.com,VMware,Drawbridge,Postmates,Goldman Sachs,Wish,Snapchat,Paypal,Citadel,Amazon,Bloomberg,Facebook,Google,Oracle,Yandex,Microsoft,Uber,ByteDance,Twitter,eBay,Apple,Adobe,Walmart Labs,Expedia,Quora,Roblox</v>
      </c>
      <c r="I44" s="6">
        <f>IFERROR(__xludf.DUMMYFUNCTION("""COMPUTED_VALUE"""),46.98)</f>
        <v>46.98</v>
      </c>
      <c r="J44" s="6" t="str">
        <f>IFERROR(__xludf.DUMMYFUNCTION("""COMPUTED_VALUE"""),"算法")</f>
        <v>算法</v>
      </c>
    </row>
    <row r="45">
      <c r="A45" s="6">
        <f>IFERROR(__xludf.DUMMYFUNCTION("""COMPUTED_VALUE"""),279.0)</f>
        <v>279</v>
      </c>
      <c r="B45" s="53" t="str">
        <f>IFERROR(__xludf.DUMMYFUNCTION("""COMPUTED_VALUE"""),"Perfect Squares")</f>
        <v>Perfect Squares</v>
      </c>
      <c r="C45" s="6" t="str">
        <f>IFERROR(__xludf.DUMMYFUNCTION("""COMPUTED_VALUE"""),"Medium")</f>
        <v>Medium</v>
      </c>
      <c r="D45" s="6" t="str">
        <f>IFERROR(__xludf.DUMMYFUNCTION("""COMPUTED_VALUE"""),"Breadth First Search,Dynamic Programming,Math")</f>
        <v>Breadth First Search,Dynamic Programming,Math</v>
      </c>
      <c r="E45" s="6" t="str">
        <f>IFERROR(__xludf.DUMMYFUNCTION("""COMPUTED_VALUE"""),"GoDaddy,Lyft,Cisco,Yandex,EBay,Apple,Uber,Adobe,Facebook,Amazon,LinkedIn,Microsoft,Google")</f>
        <v>GoDaddy,Lyft,Cisco,Yandex,EBay,Apple,Uber,Adobe,Facebook,Amazon,LinkedIn,Microsoft,Google</v>
      </c>
      <c r="F45" s="6" t="str">
        <f>IFERROR(__xludf.DUMMYFUNCTION("""COMPUTED_VALUE"""),"Amazon,Google,Adobe")</f>
        <v>Amazon,Google,Adobe</v>
      </c>
      <c r="G45" s="6" t="str">
        <f>IFERROR(__xludf.DUMMYFUNCTION("""COMPUTED_VALUE"""),"Apple,Yandex,Amazon,Google,Adobe")</f>
        <v>Apple,Yandex,Amazon,Google,Adobe</v>
      </c>
      <c r="H45" s="6" t="str">
        <f>IFERROR(__xludf.DUMMYFUNCTION("""COMPUTED_VALUE"""),"Uber,Lyft,Microsoft,LinkedIn,Cisco,Apple,Yandex,Amazon,Google,Adobe")</f>
        <v>Uber,Lyft,Microsoft,LinkedIn,Cisco,Apple,Yandex,Amazon,Google,Adobe</v>
      </c>
      <c r="I45" s="6">
        <f>IFERROR(__xludf.DUMMYFUNCTION("""COMPUTED_VALUE"""),49.06)</f>
        <v>49.06</v>
      </c>
      <c r="J45" s="6" t="str">
        <f>IFERROR(__xludf.DUMMYFUNCTION("""COMPUTED_VALUE"""),"算法")</f>
        <v>算法</v>
      </c>
    </row>
    <row r="46">
      <c r="A46" s="6">
        <f>IFERROR(__xludf.DUMMYFUNCTION("""COMPUTED_VALUE"""),283.0)</f>
        <v>283</v>
      </c>
      <c r="B46" s="53" t="str">
        <f>IFERROR(__xludf.DUMMYFUNCTION("""COMPUTED_VALUE"""),"Move Zeroes")</f>
        <v>Move Zeroes</v>
      </c>
      <c r="C46" s="6" t="str">
        <f>IFERROR(__xludf.DUMMYFUNCTION("""COMPUTED_VALUE"""),"Easy")</f>
        <v>Easy</v>
      </c>
      <c r="D46" s="6" t="str">
        <f>IFERROR(__xludf.DUMMYFUNCTION("""COMPUTED_VALUE"""),"Two Pointers,Array")</f>
        <v>Two Pointers,Array</v>
      </c>
      <c r="E46" s="6" t="str">
        <f>IFERROR(__xludf.DUMMYFUNCTION("""COMPUTED_VALUE"""),"Tesla,Capital One,Splunk,ByteDance,ServiceNow,IBM,Cisco,Cohesity,Nutanix,Dell,Qualcomm,Walmart Labs,Zillow,Paypal,Oracle,Lyft,Yandex,EBay,Apple,Uber,Yahoo,SAP,Bloomberg,Adobe,Facebook,Amazon,Microsoft,Goldman Sachs,Google")</f>
        <v>Tesla,Capital One,Splunk,ByteDance,ServiceNow,IBM,Cisco,Cohesity,Nutanix,Dell,Qualcomm,Walmart Labs,Zillow,Paypal,Oracle,Lyft,Yandex,EBay,Apple,Uber,Yahoo,SAP,Bloomberg,Adobe,Facebook,Amazon,Microsoft,Goldman Sachs,Google</v>
      </c>
      <c r="F46" s="6" t="str">
        <f>IFERROR(__xludf.DUMMYFUNCTION("""COMPUTED_VALUE"""),"Facebook,Bloomberg,Capital One,Microsoft,Apple,Adobe,Amazon,eBay,SAP,Uber,Cisco,Oracle,Qualcomm,Yandex")</f>
        <v>Facebook,Bloomberg,Capital One,Microsoft,Apple,Adobe,Amazon,eBay,SAP,Uber,Cisco,Oracle,Qualcomm,Yandex</v>
      </c>
      <c r="G46" s="6" t="str">
        <f>IFERROR(__xludf.DUMMYFUNCTION("""COMPUTED_VALUE"""),"Google,Walmart Labs,ByteDance,IBM,Paypal,Goldman Sachs,Tesla,Facebook,Bloomberg,Capital One,Microsoft,Apple,Adobe,Amazon,eBay,SAP,Uber,Cisco,Oracle,Qualcomm,Yandex")</f>
        <v>Google,Walmart Labs,ByteDance,IBM,Paypal,Goldman Sachs,Tesla,Facebook,Bloomberg,Capital One,Microsoft,Apple,Adobe,Amazon,eBay,SAP,Uber,Cisco,Oracle,Qualcomm,Yandex</v>
      </c>
      <c r="H46" s="6" t="str">
        <f>IFERROR(__xludf.DUMMYFUNCTION("""COMPUTED_VALUE"""),"Yahoo,Zillow,Nutanix,ServiceNow,Dell,Splunk,Google,Walmart Labs,ByteDance,IBM,Paypal,Goldman Sachs,Tesla,Facebook,Bloomberg,Capital One,Microsoft,Apple,Adobe,Amazon,eBay,SAP,Uber,Cisco,Oracle,Qualcomm,Yandex")</f>
        <v>Yahoo,Zillow,Nutanix,ServiceNow,Dell,Splunk,Google,Walmart Labs,ByteDance,IBM,Paypal,Goldman Sachs,Tesla,Facebook,Bloomberg,Capital One,Microsoft,Apple,Adobe,Amazon,eBay,SAP,Uber,Cisco,Oracle,Qualcomm,Yandex</v>
      </c>
      <c r="I46" s="6">
        <f>IFERROR(__xludf.DUMMYFUNCTION("""COMPUTED_VALUE"""),58.62)</f>
        <v>58.62</v>
      </c>
      <c r="J46" s="6" t="str">
        <f>IFERROR(__xludf.DUMMYFUNCTION("""COMPUTED_VALUE"""),"算法")</f>
        <v>算法</v>
      </c>
    </row>
    <row r="47">
      <c r="A47" s="6">
        <f>IFERROR(__xludf.DUMMYFUNCTION("""COMPUTED_VALUE"""),304.0)</f>
        <v>304</v>
      </c>
      <c r="B47" s="53" t="str">
        <f>IFERROR(__xludf.DUMMYFUNCTION("""COMPUTED_VALUE"""),"Range Sum Query 2D - Immutable")</f>
        <v>Range Sum Query 2D - Immutable</v>
      </c>
      <c r="C47" s="6" t="str">
        <f>IFERROR(__xludf.DUMMYFUNCTION("""COMPUTED_VALUE"""),"Medium")</f>
        <v>Medium</v>
      </c>
      <c r="D47" s="6" t="str">
        <f>IFERROR(__xludf.DUMMYFUNCTION("""COMPUTED_VALUE"""),"Dynamic Programming")</f>
        <v>Dynamic Programming</v>
      </c>
      <c r="E47" s="6" t="str">
        <f>IFERROR(__xludf.DUMMYFUNCTION("""COMPUTED_VALUE"""),"Cruise Automation,Houzz,VMware,Lyft,Apple,Facebook,Amazon,Microsoft,Google")</f>
        <v>Cruise Automation,Houzz,VMware,Lyft,Apple,Facebook,Amazon,Microsoft,Google</v>
      </c>
      <c r="F47" s="6" t="str">
        <f>IFERROR(__xludf.DUMMYFUNCTION("""COMPUTED_VALUE"""),"Facebook,Google,Lyft,Amazon")</f>
        <v>Facebook,Google,Lyft,Amazon</v>
      </c>
      <c r="G47" s="6" t="str">
        <f>IFERROR(__xludf.DUMMYFUNCTION("""COMPUTED_VALUE"""),"Cruise Automation,Microsoft,Facebook,Google,Lyft,Amazon")</f>
        <v>Cruise Automation,Microsoft,Facebook,Google,Lyft,Amazon</v>
      </c>
      <c r="H47" s="6" t="str">
        <f>IFERROR(__xludf.DUMMYFUNCTION("""COMPUTED_VALUE"""),"Apple,Houzz,VMware,Cruise Automation,Microsoft,Facebook,Google,Lyft,Amazon")</f>
        <v>Apple,Houzz,VMware,Cruise Automation,Microsoft,Facebook,Google,Lyft,Amazon</v>
      </c>
      <c r="I47" s="6">
        <f>IFERROR(__xludf.DUMMYFUNCTION("""COMPUTED_VALUE"""),40.72)</f>
        <v>40.72</v>
      </c>
      <c r="J47" s="6" t="str">
        <f>IFERROR(__xludf.DUMMYFUNCTION("""COMPUTED_VALUE"""),"算法")</f>
        <v>算法</v>
      </c>
    </row>
    <row r="48">
      <c r="A48" s="6">
        <f>IFERROR(__xludf.DUMMYFUNCTION("""COMPUTED_VALUE"""),333.0)</f>
        <v>333</v>
      </c>
      <c r="B48" s="53" t="str">
        <f>IFERROR(__xludf.DUMMYFUNCTION("""COMPUTED_VALUE"""),"Largest BST Subtree")</f>
        <v>Largest BST Subtree</v>
      </c>
      <c r="C48" s="6" t="str">
        <f>IFERROR(__xludf.DUMMYFUNCTION("""COMPUTED_VALUE"""),"Medium")</f>
        <v>Medium</v>
      </c>
      <c r="D48" s="6" t="str">
        <f>IFERROR(__xludf.DUMMYFUNCTION("""COMPUTED_VALUE"""),"Tree")</f>
        <v>Tree</v>
      </c>
      <c r="E48" s="6" t="str">
        <f>IFERROR(__xludf.DUMMYFUNCTION("""COMPUTED_VALUE"""),"Bloomberg,Lyft,Apple,Facebook,Amazon,Microsoft,Google")</f>
        <v>Bloomberg,Lyft,Apple,Facebook,Amazon,Microsoft,Google</v>
      </c>
      <c r="F48" s="6" t="str">
        <f>IFERROR(__xludf.DUMMYFUNCTION("""COMPUTED_VALUE"""),"Facebook,Bloomberg")</f>
        <v>Facebook,Bloomberg</v>
      </c>
      <c r="G48" s="6" t="str">
        <f>IFERROR(__xludf.DUMMYFUNCTION("""COMPUTED_VALUE"""),"Amazon,Facebook,Bloomberg")</f>
        <v>Amazon,Facebook,Bloomberg</v>
      </c>
      <c r="H48" s="6" t="str">
        <f>IFERROR(__xludf.DUMMYFUNCTION("""COMPUTED_VALUE"""),"Lyft,Apple,Microsoft,Amazon,Facebook,Bloomberg")</f>
        <v>Lyft,Apple,Microsoft,Amazon,Facebook,Bloomberg</v>
      </c>
      <c r="I48" s="6">
        <f>IFERROR(__xludf.DUMMYFUNCTION("""COMPUTED_VALUE"""),38.08)</f>
        <v>38.08</v>
      </c>
      <c r="J48" s="6" t="str">
        <f>IFERROR(__xludf.DUMMYFUNCTION("""COMPUTED_VALUE"""),"算法")</f>
        <v>算法</v>
      </c>
    </row>
    <row r="49">
      <c r="A49" s="6">
        <f>IFERROR(__xludf.DUMMYFUNCTION("""COMPUTED_VALUE"""),341.0)</f>
        <v>341</v>
      </c>
      <c r="B49" s="53" t="str">
        <f>IFERROR(__xludf.DUMMYFUNCTION("""COMPUTED_VALUE"""),"Flatten Nested List Iterator")</f>
        <v>Flatten Nested List Iterator</v>
      </c>
      <c r="C49" s="6" t="str">
        <f>IFERROR(__xludf.DUMMYFUNCTION("""COMPUTED_VALUE"""),"Medium")</f>
        <v>Medium</v>
      </c>
      <c r="D49" s="6" t="str">
        <f>IFERROR(__xludf.DUMMYFUNCTION("""COMPUTED_VALUE"""),"Design,Stack")</f>
        <v>Design,Stack</v>
      </c>
      <c r="E49" s="6" t="str">
        <f>IFERROR(__xludf.DUMMYFUNCTION("""COMPUTED_VALUE"""),"EBay,Pinterest,Atlassian,Splunk,VMware,Snapchat,Twitter,Oracle,Lyft,Apple,Airbnb,Uber,Bloomberg,Facebook,Amazon,LinkedIn,Microsoft,Google")</f>
        <v>EBay,Pinterest,Atlassian,Splunk,VMware,Snapchat,Twitter,Oracle,Lyft,Apple,Airbnb,Uber,Bloomberg,Facebook,Amazon,LinkedIn,Microsoft,Google</v>
      </c>
      <c r="F49" s="6" t="str">
        <f>IFERROR(__xludf.DUMMYFUNCTION("""COMPUTED_VALUE"""),"Facebook,Amazon,Apple,Airbnb,Oracle,LinkedIn")</f>
        <v>Facebook,Amazon,Apple,Airbnb,Oracle,LinkedIn</v>
      </c>
      <c r="G49" s="6" t="str">
        <f>IFERROR(__xludf.DUMMYFUNCTION("""COMPUTED_VALUE"""),"Uber,Twitter,Google,eBay,Facebook,Amazon,Apple,Airbnb,Oracle,LinkedIn")</f>
        <v>Uber,Twitter,Google,eBay,Facebook,Amazon,Apple,Airbnb,Oracle,LinkedIn</v>
      </c>
      <c r="H49" s="6" t="str">
        <f>IFERROR(__xludf.DUMMYFUNCTION("""COMPUTED_VALUE"""),"Lyft,Bloomberg,Microsoft,VMware,Uber,Twitter,Google,eBay,Facebook,Amazon,Apple,Airbnb,Oracle,LinkedIn")</f>
        <v>Lyft,Bloomberg,Microsoft,VMware,Uber,Twitter,Google,eBay,Facebook,Amazon,Apple,Airbnb,Oracle,LinkedIn</v>
      </c>
      <c r="I49" s="6">
        <f>IFERROR(__xludf.DUMMYFUNCTION("""COMPUTED_VALUE"""),54.68)</f>
        <v>54.68</v>
      </c>
      <c r="J49" s="6" t="str">
        <f>IFERROR(__xludf.DUMMYFUNCTION("""COMPUTED_VALUE"""),"算法")</f>
        <v>算法</v>
      </c>
    </row>
    <row r="50">
      <c r="A50" s="6">
        <f>IFERROR(__xludf.DUMMYFUNCTION("""COMPUTED_VALUE"""),349.0)</f>
        <v>349</v>
      </c>
      <c r="B50" s="53" t="str">
        <f>IFERROR(__xludf.DUMMYFUNCTION("""COMPUTED_VALUE"""),"Intersection of Two Arrays")</f>
        <v>Intersection of Two Arrays</v>
      </c>
      <c r="C50" s="6" t="str">
        <f>IFERROR(__xludf.DUMMYFUNCTION("""COMPUTED_VALUE"""),"Easy")</f>
        <v>Easy</v>
      </c>
      <c r="D50" s="6" t="str">
        <f>IFERROR(__xludf.DUMMYFUNCTION("""COMPUTED_VALUE"""),"Sort,Binary Search,Two Pointers,Hash Table")</f>
        <v>Sort,Binary Search,Two Pointers,Hash Table</v>
      </c>
      <c r="E50" s="6" t="str">
        <f>IFERROR(__xludf.DUMMYFUNCTION("""COMPUTED_VALUE"""),"Yandex,Bloomberg,Two Sigma,ByteDance,Indeed,JPMorgan,Yelp,Oracle,Lyft,Apple,Uber,Facebook,Amazon,LinkedIn,Microsoft,Google")</f>
        <v>Yandex,Bloomberg,Two Sigma,ByteDance,Indeed,JPMorgan,Yelp,Oracle,Lyft,Apple,Uber,Facebook,Amazon,LinkedIn,Microsoft,Google</v>
      </c>
      <c r="F50" s="6" t="str">
        <f>IFERROR(__xludf.DUMMYFUNCTION("""COMPUTED_VALUE"""),"Facebook,ByteDance")</f>
        <v>Facebook,ByteDance</v>
      </c>
      <c r="G50" s="6" t="str">
        <f>IFERROR(__xludf.DUMMYFUNCTION("""COMPUTED_VALUE"""),"Amazon,Microsoft,Facebook,ByteDance")</f>
        <v>Amazon,Microsoft,Facebook,ByteDance</v>
      </c>
      <c r="H50" s="6" t="str">
        <f>IFERROR(__xludf.DUMMYFUNCTION("""COMPUTED_VALUE"""),"Oracle,Lyft,Google,LinkedIn,Apple,Bloomberg,Yandex,Two Sigma,Amazon,Microsoft,Facebook,ByteDance")</f>
        <v>Oracle,Lyft,Google,LinkedIn,Apple,Bloomberg,Yandex,Two Sigma,Amazon,Microsoft,Facebook,ByteDance</v>
      </c>
      <c r="I50" s="6">
        <f>IFERROR(__xludf.DUMMYFUNCTION("""COMPUTED_VALUE"""),65.0)</f>
        <v>65</v>
      </c>
      <c r="J50" s="6" t="str">
        <f>IFERROR(__xludf.DUMMYFUNCTION("""COMPUTED_VALUE"""),"算法")</f>
        <v>算法</v>
      </c>
    </row>
    <row r="51">
      <c r="A51" s="6">
        <f>IFERROR(__xludf.DUMMYFUNCTION("""COMPUTED_VALUE"""),365.0)</f>
        <v>365</v>
      </c>
      <c r="B51" s="53" t="str">
        <f>IFERROR(__xludf.DUMMYFUNCTION("""COMPUTED_VALUE"""),"Water and Jug Problem")</f>
        <v>Water and Jug Problem</v>
      </c>
      <c r="C51" s="6" t="str">
        <f>IFERROR(__xludf.DUMMYFUNCTION("""COMPUTED_VALUE"""),"Medium")</f>
        <v>Medium</v>
      </c>
      <c r="D51" s="6" t="str">
        <f>IFERROR(__xludf.DUMMYFUNCTION("""COMPUTED_VALUE"""),"Math")</f>
        <v>Math</v>
      </c>
      <c r="E51" s="6" t="str">
        <f>IFERROR(__xludf.DUMMYFUNCTION("""COMPUTED_VALUE"""),"Lyft,Uber,Amazon,Microsoft,Google")</f>
        <v>Lyft,Uber,Amazon,Microsoft,Google</v>
      </c>
      <c r="F51" s="6" t="str">
        <f>IFERROR(__xludf.DUMMYFUNCTION("""COMPUTED_VALUE"""),"Lyft,Google")</f>
        <v>Lyft,Google</v>
      </c>
      <c r="G51" s="6" t="str">
        <f>IFERROR(__xludf.DUMMYFUNCTION("""COMPUTED_VALUE"""),"Lyft,Google")</f>
        <v>Lyft,Google</v>
      </c>
      <c r="H51" s="6" t="str">
        <f>IFERROR(__xludf.DUMMYFUNCTION("""COMPUTED_VALUE"""),"Uber,Microsoft,Lyft,Google")</f>
        <v>Uber,Microsoft,Lyft,Google</v>
      </c>
      <c r="I51" s="6">
        <f>IFERROR(__xludf.DUMMYFUNCTION("""COMPUTED_VALUE"""),31.16)</f>
        <v>31.16</v>
      </c>
      <c r="J51" s="6" t="str">
        <f>IFERROR(__xludf.DUMMYFUNCTION("""COMPUTED_VALUE"""),"算法")</f>
        <v>算法</v>
      </c>
    </row>
    <row r="52">
      <c r="A52" s="6">
        <f>IFERROR(__xludf.DUMMYFUNCTION("""COMPUTED_VALUE"""),409.0)</f>
        <v>409</v>
      </c>
      <c r="B52" s="53" t="str">
        <f>IFERROR(__xludf.DUMMYFUNCTION("""COMPUTED_VALUE"""),"Longest Palindrome")</f>
        <v>Longest Palindrome</v>
      </c>
      <c r="C52" s="6" t="str">
        <f>IFERROR(__xludf.DUMMYFUNCTION("""COMPUTED_VALUE"""),"Easy")</f>
        <v>Easy</v>
      </c>
      <c r="D52" s="6" t="str">
        <f>IFERROR(__xludf.DUMMYFUNCTION("""COMPUTED_VALUE"""),"Hash Table")</f>
        <v>Hash Table</v>
      </c>
      <c r="E52" s="6" t="str">
        <f>IFERROR(__xludf.DUMMYFUNCTION("""COMPUTED_VALUE"""),"Lyft,Bloomberg,Microsoft,Intuit,Amazon,Google")</f>
        <v>Lyft,Bloomberg,Microsoft,Intuit,Amazon,Google</v>
      </c>
      <c r="F52" s="6"/>
      <c r="G52" s="6" t="str">
        <f>IFERROR(__xludf.DUMMYFUNCTION("""COMPUTED_VALUE"""),"Lyft,Amazon,Google")</f>
        <v>Lyft,Amazon,Google</v>
      </c>
      <c r="H52" s="6" t="str">
        <f>IFERROR(__xludf.DUMMYFUNCTION("""COMPUTED_VALUE"""),"Intuit,Microsoft,Bloomberg,Lyft,Amazon,Google")</f>
        <v>Intuit,Microsoft,Bloomberg,Lyft,Amazon,Google</v>
      </c>
      <c r="I52" s="6">
        <f>IFERROR(__xludf.DUMMYFUNCTION("""COMPUTED_VALUE"""),52.24)</f>
        <v>52.24</v>
      </c>
      <c r="J52" s="6" t="str">
        <f>IFERROR(__xludf.DUMMYFUNCTION("""COMPUTED_VALUE"""),"算法")</f>
        <v>算法</v>
      </c>
    </row>
    <row r="53">
      <c r="A53" s="6">
        <f>IFERROR(__xludf.DUMMYFUNCTION("""COMPUTED_VALUE"""),426.0)</f>
        <v>426</v>
      </c>
      <c r="B53" s="53" t="str">
        <f>IFERROR(__xludf.DUMMYFUNCTION("""COMPUTED_VALUE"""),"Convert Binary Search Tree to Sorted Doubly Linked List")</f>
        <v>Convert Binary Search Tree to Sorted Doubly Linked List</v>
      </c>
      <c r="C53" s="6" t="str">
        <f>IFERROR(__xludf.DUMMYFUNCTION("""COMPUTED_VALUE"""),"Medium")</f>
        <v>Medium</v>
      </c>
      <c r="D53" s="6" t="str">
        <f>IFERROR(__xludf.DUMMYFUNCTION("""COMPUTED_VALUE"""),"Tree,Divide and Conquer,Linked List")</f>
        <v>Tree,Divide and Conquer,Linked List</v>
      </c>
      <c r="E53" s="6" t="str">
        <f>IFERROR(__xludf.DUMMYFUNCTION("""COMPUTED_VALUE"""),"Databricks,VMware,Oracle,Lyft,Uber,Bloomberg,Facebook,Amazon,Microsoft,Google")</f>
        <v>Databricks,VMware,Oracle,Lyft,Uber,Bloomberg,Facebook,Amazon,Microsoft,Google</v>
      </c>
      <c r="F53" s="6" t="str">
        <f>IFERROR(__xludf.DUMMYFUNCTION("""COMPUTED_VALUE"""),"Facebook,Microsoft,Amazon,Google,VMware")</f>
        <v>Facebook,Microsoft,Amazon,Google,VMware</v>
      </c>
      <c r="G53" s="6" t="str">
        <f>IFERROR(__xludf.DUMMYFUNCTION("""COMPUTED_VALUE"""),"Facebook,Microsoft,Amazon,Google,VMware")</f>
        <v>Facebook,Microsoft,Amazon,Google,VMware</v>
      </c>
      <c r="H53" s="6" t="str">
        <f>IFERROR(__xludf.DUMMYFUNCTION("""COMPUTED_VALUE"""),"Lyft,Databricks,Oracle,Uber,Facebook,Microsoft,Amazon,Google,VMware")</f>
        <v>Lyft,Databricks,Oracle,Uber,Facebook,Microsoft,Amazon,Google,VMware</v>
      </c>
      <c r="I53" s="6">
        <f>IFERROR(__xludf.DUMMYFUNCTION("""COMPUTED_VALUE"""),61.39)</f>
        <v>61.39</v>
      </c>
      <c r="J53" s="6" t="str">
        <f>IFERROR(__xludf.DUMMYFUNCTION("""COMPUTED_VALUE"""),"算法")</f>
        <v>算法</v>
      </c>
    </row>
    <row r="54">
      <c r="A54" s="6">
        <f>IFERROR(__xludf.DUMMYFUNCTION("""COMPUTED_VALUE"""),442.0)</f>
        <v>442</v>
      </c>
      <c r="B54" s="53" t="str">
        <f>IFERROR(__xludf.DUMMYFUNCTION("""COMPUTED_VALUE"""),"Find All Duplicates in an Array")</f>
        <v>Find All Duplicates in an Array</v>
      </c>
      <c r="C54" s="6" t="str">
        <f>IFERROR(__xludf.DUMMYFUNCTION("""COMPUTED_VALUE"""),"Medium")</f>
        <v>Medium</v>
      </c>
      <c r="D54" s="6" t="str">
        <f>IFERROR(__xludf.DUMMYFUNCTION("""COMPUTED_VALUE"""),"Array")</f>
        <v>Array</v>
      </c>
      <c r="E54" s="6" t="str">
        <f>IFERROR(__xludf.DUMMYFUNCTION("""COMPUTED_VALUE"""),"Pocket Gems,Lyft,Apple,Bloomberg,Facebook,Amazon,Microsoft,Google")</f>
        <v>Pocket Gems,Lyft,Apple,Bloomberg,Facebook,Amazon,Microsoft,Google</v>
      </c>
      <c r="F54" s="6" t="str">
        <f>IFERROR(__xludf.DUMMYFUNCTION("""COMPUTED_VALUE"""),"Amazon,Microsoft,Facebook")</f>
        <v>Amazon,Microsoft,Facebook</v>
      </c>
      <c r="G54" s="6" t="str">
        <f>IFERROR(__xludf.DUMMYFUNCTION("""COMPUTED_VALUE"""),"Bloomberg,Apple,Amazon,Microsoft,Facebook")</f>
        <v>Bloomberg,Apple,Amazon,Microsoft,Facebook</v>
      </c>
      <c r="H54" s="6" t="str">
        <f>IFERROR(__xludf.DUMMYFUNCTION("""COMPUTED_VALUE"""),"Google,Lyft,Pocket Gems,Bloomberg,Apple,Amazon,Microsoft,Facebook")</f>
        <v>Google,Lyft,Pocket Gems,Bloomberg,Apple,Amazon,Microsoft,Facebook</v>
      </c>
      <c r="I54" s="6">
        <f>IFERROR(__xludf.DUMMYFUNCTION("""COMPUTED_VALUE"""),69.01)</f>
        <v>69.01</v>
      </c>
      <c r="J54" s="6" t="str">
        <f>IFERROR(__xludf.DUMMYFUNCTION("""COMPUTED_VALUE"""),"算法")</f>
        <v>算法</v>
      </c>
    </row>
    <row r="55">
      <c r="A55" s="6">
        <f>IFERROR(__xludf.DUMMYFUNCTION("""COMPUTED_VALUE"""),443.0)</f>
        <v>443</v>
      </c>
      <c r="B55" s="53" t="str">
        <f>IFERROR(__xludf.DUMMYFUNCTION("""COMPUTED_VALUE"""),"String Compression")</f>
        <v>String Compression</v>
      </c>
      <c r="C55" s="6" t="str">
        <f>IFERROR(__xludf.DUMMYFUNCTION("""COMPUTED_VALUE"""),"Medium")</f>
        <v>Medium</v>
      </c>
      <c r="D55" s="6" t="str">
        <f>IFERROR(__xludf.DUMMYFUNCTION("""COMPUTED_VALUE"""),"String")</f>
        <v>String</v>
      </c>
      <c r="E55" s="6" t="str">
        <f>IFERROR(__xludf.DUMMYFUNCTION("""COMPUTED_VALUE"""),"VMware,Citrix,Spotify,IBM,Cisco,Akuna Capital,Wayfair,Redfin,Walmart Labs,GoDaddy,Snapchat,Zillow,Expedia,Yelp,Lyft,Yandex,EBay,Apple,Bloomberg,Facebook,Amazon,Microsoft,Goldman Sachs,Google")</f>
        <v>VMware,Citrix,Spotify,IBM,Cisco,Akuna Capital,Wayfair,Redfin,Walmart Labs,GoDaddy,Snapchat,Zillow,Expedia,Yelp,Lyft,Yandex,EBay,Apple,Bloomberg,Facebook,Amazon,Microsoft,Goldman Sachs,Google</v>
      </c>
      <c r="F55" s="6" t="str">
        <f>IFERROR(__xludf.DUMMYFUNCTION("""COMPUTED_VALUE"""),"Goldman Sachs,Yandex,Apple,Microsoft,Citrix,Facebook,Amazon,eBay,Expedia,Redfin,Google,IBM,VMware,Cisco")</f>
        <v>Goldman Sachs,Yandex,Apple,Microsoft,Citrix,Facebook,Amazon,eBay,Expedia,Redfin,Google,IBM,VMware,Cisco</v>
      </c>
      <c r="G55" s="6" t="str">
        <f>IFERROR(__xludf.DUMMYFUNCTION("""COMPUTED_VALUE"""),"Zillow,Walmart Labs,Goldman Sachs,Yandex,Apple,Microsoft,Citrix,Facebook,Amazon,eBay,Expedia,Redfin,Google,IBM,VMware,Cisco")</f>
        <v>Zillow,Walmart Labs,Goldman Sachs,Yandex,Apple,Microsoft,Citrix,Facebook,Amazon,eBay,Expedia,Redfin,Google,IBM,VMware,Cisco</v>
      </c>
      <c r="H55" s="6" t="str">
        <f>IFERROR(__xludf.DUMMYFUNCTION("""COMPUTED_VALUE"""),"Wayfair,Bloomberg,Spotify,GoDaddy,Snapchat,Yelp,Lyft,Zillow,Walmart Labs,Goldman Sachs,Yandex,Apple,Microsoft,Citrix,Facebook,Amazon,eBay,Expedia,Redfin,Google,IBM,VMware,Cisco")</f>
        <v>Wayfair,Bloomberg,Spotify,GoDaddy,Snapchat,Yelp,Lyft,Zillow,Walmart Labs,Goldman Sachs,Yandex,Apple,Microsoft,Citrix,Facebook,Amazon,eBay,Expedia,Redfin,Google,IBM,VMware,Cisco</v>
      </c>
      <c r="I55" s="6">
        <f>IFERROR(__xludf.DUMMYFUNCTION("""COMPUTED_VALUE"""),43.86)</f>
        <v>43.86</v>
      </c>
      <c r="J55" s="6" t="str">
        <f>IFERROR(__xludf.DUMMYFUNCTION("""COMPUTED_VALUE"""),"算法")</f>
        <v>算法</v>
      </c>
    </row>
    <row r="56">
      <c r="A56" s="6">
        <f>IFERROR(__xludf.DUMMYFUNCTION("""COMPUTED_VALUE"""),567.0)</f>
        <v>567</v>
      </c>
      <c r="B56" s="53" t="str">
        <f>IFERROR(__xludf.DUMMYFUNCTION("""COMPUTED_VALUE"""),"Permutation in String")</f>
        <v>Permutation in String</v>
      </c>
      <c r="C56" s="6" t="str">
        <f>IFERROR(__xludf.DUMMYFUNCTION("""COMPUTED_VALUE"""),"Medium")</f>
        <v>Medium</v>
      </c>
      <c r="D56" s="6" t="str">
        <f>IFERROR(__xludf.DUMMYFUNCTION("""COMPUTED_VALUE"""),"Sliding Window,Two Pointers")</f>
        <v>Sliding Window,Two Pointers</v>
      </c>
      <c r="E56" s="6" t="str">
        <f>IFERROR(__xludf.DUMMYFUNCTION("""COMPUTED_VALUE"""),"ByteDance,Lyft,Yandex,Uber,Yahoo,Bloomberg,Facebook,Amazon,Microsoft,Google")</f>
        <v>ByteDance,Lyft,Yandex,Uber,Yahoo,Bloomberg,Facebook,Amazon,Microsoft,Google</v>
      </c>
      <c r="F56" s="6" t="str">
        <f>IFERROR(__xludf.DUMMYFUNCTION("""COMPUTED_VALUE"""),"Facebook,Microsoft,Amazon,Yandex")</f>
        <v>Facebook,Microsoft,Amazon,Yandex</v>
      </c>
      <c r="G56" s="6" t="str">
        <f>IFERROR(__xludf.DUMMYFUNCTION("""COMPUTED_VALUE"""),"Lyft,ByteDance,Facebook,Microsoft,Amazon,Yandex")</f>
        <v>Lyft,ByteDance,Facebook,Microsoft,Amazon,Yandex</v>
      </c>
      <c r="H56" s="6" t="str">
        <f>IFERROR(__xludf.DUMMYFUNCTION("""COMPUTED_VALUE"""),"Uber,Google,Lyft,ByteDance,Facebook,Microsoft,Amazon,Yandex")</f>
        <v>Uber,Google,Lyft,ByteDance,Facebook,Microsoft,Amazon,Yandex</v>
      </c>
      <c r="I56" s="6">
        <f>IFERROR(__xludf.DUMMYFUNCTION("""COMPUTED_VALUE"""),44.55)</f>
        <v>44.55</v>
      </c>
      <c r="J56" s="6" t="str">
        <f>IFERROR(__xludf.DUMMYFUNCTION("""COMPUTED_VALUE"""),"算法")</f>
        <v>算法</v>
      </c>
    </row>
    <row r="57">
      <c r="A57" s="6">
        <f>IFERROR(__xludf.DUMMYFUNCTION("""COMPUTED_VALUE"""),632.0)</f>
        <v>632</v>
      </c>
      <c r="B57" s="53" t="str">
        <f>IFERROR(__xludf.DUMMYFUNCTION("""COMPUTED_VALUE"""),"Smallest Range Covering Elements from K Lists")</f>
        <v>Smallest Range Covering Elements from K Lists</v>
      </c>
      <c r="C57" s="6" t="str">
        <f>IFERROR(__xludf.DUMMYFUNCTION("""COMPUTED_VALUE"""),"Hard")</f>
        <v>Hard</v>
      </c>
      <c r="D57" s="6" t="str">
        <f>IFERROR(__xludf.DUMMYFUNCTION("""COMPUTED_VALUE"""),"String,Two Pointers,Hash Table")</f>
        <v>String,Two Pointers,Hash Table</v>
      </c>
      <c r="E57" s="6" t="str">
        <f>IFERROR(__xludf.DUMMYFUNCTION("""COMPUTED_VALUE"""),"Apple,Pinterest,Snapchat,Lyft,Facebook,Amazon,Microsoft,Google")</f>
        <v>Apple,Pinterest,Snapchat,Lyft,Facebook,Amazon,Microsoft,Google</v>
      </c>
      <c r="F57" s="6"/>
      <c r="G57" s="6" t="str">
        <f>IFERROR(__xludf.DUMMYFUNCTION("""COMPUTED_VALUE"""),"Amazon")</f>
        <v>Amazon</v>
      </c>
      <c r="H57" s="6" t="str">
        <f>IFERROR(__xludf.DUMMYFUNCTION("""COMPUTED_VALUE"""),"Google,Facebook,Apple,Snapchat,Lyft,Amazon")</f>
        <v>Google,Facebook,Apple,Snapchat,Lyft,Amazon</v>
      </c>
      <c r="I57" s="6">
        <f>IFERROR(__xludf.DUMMYFUNCTION("""COMPUTED_VALUE"""),54.35)</f>
        <v>54.35</v>
      </c>
      <c r="J57" s="6" t="str">
        <f>IFERROR(__xludf.DUMMYFUNCTION("""COMPUTED_VALUE"""),"算法")</f>
        <v>算法</v>
      </c>
    </row>
    <row r="58">
      <c r="A58" s="6">
        <f>IFERROR(__xludf.DUMMYFUNCTION("""COMPUTED_VALUE"""),642.0)</f>
        <v>642</v>
      </c>
      <c r="B58" s="53" t="str">
        <f>IFERROR(__xludf.DUMMYFUNCTION("""COMPUTED_VALUE"""),"Design Search Autocomplete System")</f>
        <v>Design Search Autocomplete System</v>
      </c>
      <c r="C58" s="6" t="str">
        <f>IFERROR(__xludf.DUMMYFUNCTION("""COMPUTED_VALUE"""),"Hard")</f>
        <v>Hard</v>
      </c>
      <c r="D58" s="6" t="str">
        <f>IFERROR(__xludf.DUMMYFUNCTION("""COMPUTED_VALUE"""),"Trie,Design")</f>
        <v>Trie,Design</v>
      </c>
      <c r="E58" s="6" t="str">
        <f>IFERROR(__xludf.DUMMYFUNCTION("""COMPUTED_VALUE"""),"EBay,Salesforce,Dropbox,Snapchat,Lyft,Apple,Uber,Bloomberg,Facebook,Amazon,Microsoft,Google")</f>
        <v>EBay,Salesforce,Dropbox,Snapchat,Lyft,Apple,Uber,Bloomberg,Facebook,Amazon,Microsoft,Google</v>
      </c>
      <c r="F58" s="6" t="str">
        <f>IFERROR(__xludf.DUMMYFUNCTION("""COMPUTED_VALUE"""),"Lyft,Amazon,Google,Microsoft,Bloomberg")</f>
        <v>Lyft,Amazon,Google,Microsoft,Bloomberg</v>
      </c>
      <c r="G58" s="6" t="str">
        <f>IFERROR(__xludf.DUMMYFUNCTION("""COMPUTED_VALUE"""),"Apple,eBay,Lyft,Amazon,Google,Microsoft,Bloomberg")</f>
        <v>Apple,eBay,Lyft,Amazon,Google,Microsoft,Bloomberg</v>
      </c>
      <c r="H58" s="6" t="str">
        <f>IFERROR(__xludf.DUMMYFUNCTION("""COMPUTED_VALUE"""),"Dropbox,Uber,Facebook,Snapchat,Apple,eBay,Lyft,Amazon,Google,Microsoft,Bloomberg")</f>
        <v>Dropbox,Uber,Facebook,Snapchat,Apple,eBay,Lyft,Amazon,Google,Microsoft,Bloomberg</v>
      </c>
      <c r="I58" s="6">
        <f>IFERROR(__xludf.DUMMYFUNCTION("""COMPUTED_VALUE"""),46.34)</f>
        <v>46.34</v>
      </c>
      <c r="J58" s="6" t="str">
        <f>IFERROR(__xludf.DUMMYFUNCTION("""COMPUTED_VALUE"""),"算法")</f>
        <v>算法</v>
      </c>
    </row>
    <row r="59">
      <c r="A59" s="6">
        <f>IFERROR(__xludf.DUMMYFUNCTION("""COMPUTED_VALUE"""),652.0)</f>
        <v>652</v>
      </c>
      <c r="B59" s="53" t="str">
        <f>IFERROR(__xludf.DUMMYFUNCTION("""COMPUTED_VALUE"""),"Find Duplicate Subtrees")</f>
        <v>Find Duplicate Subtrees</v>
      </c>
      <c r="C59" s="6" t="str">
        <f>IFERROR(__xludf.DUMMYFUNCTION("""COMPUTED_VALUE"""),"Medium")</f>
        <v>Medium</v>
      </c>
      <c r="D59" s="6" t="str">
        <f>IFERROR(__xludf.DUMMYFUNCTION("""COMPUTED_VALUE"""),"Tree")</f>
        <v>Tree</v>
      </c>
      <c r="E59" s="6" t="str">
        <f>IFERROR(__xludf.DUMMYFUNCTION("""COMPUTED_VALUE"""),"Rubrik,Oracle,Lyft,Uber,Bloomberg,Facebook,Amazon,Microsoft,Google")</f>
        <v>Rubrik,Oracle,Lyft,Uber,Bloomberg,Facebook,Amazon,Microsoft,Google</v>
      </c>
      <c r="F59" s="6" t="str">
        <f>IFERROR(__xludf.DUMMYFUNCTION("""COMPUTED_VALUE"""),"Google,Amazon")</f>
        <v>Google,Amazon</v>
      </c>
      <c r="G59" s="6" t="str">
        <f>IFERROR(__xludf.DUMMYFUNCTION("""COMPUTED_VALUE"""),"Microsoft,Google,Amazon")</f>
        <v>Microsoft,Google,Amazon</v>
      </c>
      <c r="H59" s="6" t="str">
        <f>IFERROR(__xludf.DUMMYFUNCTION("""COMPUTED_VALUE"""),"Bloomberg,Facebook,Oracle,Rubrik,Microsoft,Google,Amazon")</f>
        <v>Bloomberg,Facebook,Oracle,Rubrik,Microsoft,Google,Amazon</v>
      </c>
      <c r="I59" s="6">
        <f>IFERROR(__xludf.DUMMYFUNCTION("""COMPUTED_VALUE"""),52.7)</f>
        <v>52.7</v>
      </c>
      <c r="J59" s="6" t="str">
        <f>IFERROR(__xludf.DUMMYFUNCTION("""COMPUTED_VALUE"""),"算法")</f>
        <v>算法</v>
      </c>
    </row>
    <row r="60">
      <c r="A60" s="6">
        <f>IFERROR(__xludf.DUMMYFUNCTION("""COMPUTED_VALUE"""),692.0)</f>
        <v>692</v>
      </c>
      <c r="B60" s="53" t="str">
        <f>IFERROR(__xludf.DUMMYFUNCTION("""COMPUTED_VALUE"""),"Top K Frequent Words")</f>
        <v>Top K Frequent Words</v>
      </c>
      <c r="C60" s="6" t="str">
        <f>IFERROR(__xludf.DUMMYFUNCTION("""COMPUTED_VALUE"""),"Medium")</f>
        <v>Medium</v>
      </c>
      <c r="D60" s="6" t="str">
        <f>IFERROR(__xludf.DUMMYFUNCTION("""COMPUTED_VALUE"""),"Trie,Heap,Hash Table")</f>
        <v>Trie,Heap,Hash Table</v>
      </c>
      <c r="E60" s="6" t="str">
        <f>IFERROR(__xludf.DUMMYFUNCTION("""COMPUTED_VALUE"""),"Tesla,Qualtrics,Lyft,ByteDance,TripAdvisor,Pocket Gems,Atlassian,Salesforce,VMware,Expedia,Yelp,Oracle,Apple,Uber,Bloomberg,Adobe,Facebook,Amazon,LinkedIn,Microsoft,Google")</f>
        <v>Tesla,Qualtrics,Lyft,ByteDance,TripAdvisor,Pocket Gems,Atlassian,Salesforce,VMware,Expedia,Yelp,Oracle,Apple,Uber,Bloomberg,Adobe,Facebook,Amazon,LinkedIn,Microsoft,Google</v>
      </c>
      <c r="F60" s="6" t="str">
        <f>IFERROR(__xludf.DUMMYFUNCTION("""COMPUTED_VALUE"""),"Amazon,Bloomberg,Google,Facebook,Apple,Oracle,Microsoft,ByteDance")</f>
        <v>Amazon,Bloomberg,Google,Facebook,Apple,Oracle,Microsoft,ByteDance</v>
      </c>
      <c r="G60" s="6" t="str">
        <f>IFERROR(__xludf.DUMMYFUNCTION("""COMPUTED_VALUE"""),"Uber,Lyft,Qualtrics,Amazon,Bloomberg,Google,Facebook,Apple,Oracle,Microsoft,ByteDance")</f>
        <v>Uber,Lyft,Qualtrics,Amazon,Bloomberg,Google,Facebook,Apple,Oracle,Microsoft,ByteDance</v>
      </c>
      <c r="H60" s="6" t="str">
        <f>IFERROR(__xludf.DUMMYFUNCTION("""COMPUTED_VALUE"""),"Yelp,Expedia,TripAdvisor,Atlassian,Salesforce,Tesla,Pocket Gems,Uber,Lyft,Qualtrics,Amazon,Bloomberg,Google,Facebook,Apple,Oracle,Microsoft,ByteDance")</f>
        <v>Yelp,Expedia,TripAdvisor,Atlassian,Salesforce,Tesla,Pocket Gems,Uber,Lyft,Qualtrics,Amazon,Bloomberg,Google,Facebook,Apple,Oracle,Microsoft,ByteDance</v>
      </c>
      <c r="I60" s="6">
        <f>IFERROR(__xludf.DUMMYFUNCTION("""COMPUTED_VALUE"""),53.17)</f>
        <v>53.17</v>
      </c>
      <c r="J60" s="6" t="str">
        <f>IFERROR(__xludf.DUMMYFUNCTION("""COMPUTED_VALUE"""),"算法")</f>
        <v>算法</v>
      </c>
    </row>
    <row r="61">
      <c r="A61" s="6">
        <f>IFERROR(__xludf.DUMMYFUNCTION("""COMPUTED_VALUE"""),694.0)</f>
        <v>694</v>
      </c>
      <c r="B61" s="53" t="str">
        <f>IFERROR(__xludf.DUMMYFUNCTION("""COMPUTED_VALUE"""),"Number of Distinct Islands")</f>
        <v>Number of Distinct Islands</v>
      </c>
      <c r="C61" s="6" t="str">
        <f>IFERROR(__xludf.DUMMYFUNCTION("""COMPUTED_VALUE"""),"Medium")</f>
        <v>Medium</v>
      </c>
      <c r="D61" s="6" t="str">
        <f>IFERROR(__xludf.DUMMYFUNCTION("""COMPUTED_VALUE"""),"Breadth First Search,Depth First Search,Hash Table")</f>
        <v>Breadth First Search,Depth First Search,Hash Table</v>
      </c>
      <c r="E61" s="6" t="str">
        <f>IFERROR(__xludf.DUMMYFUNCTION("""COMPUTED_VALUE"""),"Palantir Technologies,Oracle,Lyft,Apple,Uber,Bloomberg,Facebook,Amazon,Microsoft,Google")</f>
        <v>Palantir Technologies,Oracle,Lyft,Apple,Uber,Bloomberg,Facebook,Amazon,Microsoft,Google</v>
      </c>
      <c r="F61" s="6" t="str">
        <f>IFERROR(__xludf.DUMMYFUNCTION("""COMPUTED_VALUE"""),"Amazon,Bloomberg,Microsoft")</f>
        <v>Amazon,Bloomberg,Microsoft</v>
      </c>
      <c r="G61" s="6" t="str">
        <f>IFERROR(__xludf.DUMMYFUNCTION("""COMPUTED_VALUE"""),"Facebook,Palantir Technologies,Amazon,Bloomberg,Microsoft")</f>
        <v>Facebook,Palantir Technologies,Amazon,Bloomberg,Microsoft</v>
      </c>
      <c r="H61" s="6" t="str">
        <f>IFERROR(__xludf.DUMMYFUNCTION("""COMPUTED_VALUE"""),"Apple,Google,Uber,Oracle,Facebook,Palantir Technologies,Amazon,Bloomberg,Microsoft")</f>
        <v>Apple,Google,Uber,Oracle,Facebook,Palantir Technologies,Amazon,Bloomberg,Microsoft</v>
      </c>
      <c r="I61" s="6">
        <f>IFERROR(__xludf.DUMMYFUNCTION("""COMPUTED_VALUE"""),57.94)</f>
        <v>57.94</v>
      </c>
      <c r="J61" s="6" t="str">
        <f>IFERROR(__xludf.DUMMYFUNCTION("""COMPUTED_VALUE"""),"算法")</f>
        <v>算法</v>
      </c>
    </row>
    <row r="62">
      <c r="A62" s="6">
        <f>IFERROR(__xludf.DUMMYFUNCTION("""COMPUTED_VALUE"""),716.0)</f>
        <v>716</v>
      </c>
      <c r="B62" s="53" t="str">
        <f>IFERROR(__xludf.DUMMYFUNCTION("""COMPUTED_VALUE"""),"Max Stack")</f>
        <v>Max Stack</v>
      </c>
      <c r="C62" s="6" t="str">
        <f>IFERROR(__xludf.DUMMYFUNCTION("""COMPUTED_VALUE"""),"Easy")</f>
        <v>Easy</v>
      </c>
      <c r="D62" s="6" t="str">
        <f>IFERROR(__xludf.DUMMYFUNCTION("""COMPUTED_VALUE"""),"Design")</f>
        <v>Design</v>
      </c>
      <c r="E62" s="6" t="str">
        <f>IFERROR(__xludf.DUMMYFUNCTION("""COMPUTED_VALUE"""),"Apple,Uber,Pure Storage,Snapchat,Twitter,Lyft,Bloomberg,Facebook,Amazon,LinkedIn,Microsoft,Google")</f>
        <v>Apple,Uber,Pure Storage,Snapchat,Twitter,Lyft,Bloomberg,Facebook,Amazon,LinkedIn,Microsoft,Google</v>
      </c>
      <c r="F62" s="6" t="str">
        <f>IFERROR(__xludf.DUMMYFUNCTION("""COMPUTED_VALUE"""),"Lyft,LinkedIn,Amazon,Pure Storage,Twitter,Uber")</f>
        <v>Lyft,LinkedIn,Amazon,Pure Storage,Twitter,Uber</v>
      </c>
      <c r="G62" s="6" t="str">
        <f>IFERROR(__xludf.DUMMYFUNCTION("""COMPUTED_VALUE"""),"Microsoft,Facebook,Apple,Lyft,LinkedIn,Amazon,Pure Storage,Twitter,Uber")</f>
        <v>Microsoft,Facebook,Apple,Lyft,LinkedIn,Amazon,Pure Storage,Twitter,Uber</v>
      </c>
      <c r="H62" s="6" t="str">
        <f>IFERROR(__xludf.DUMMYFUNCTION("""COMPUTED_VALUE"""),"Bloomberg,Microsoft,Facebook,Apple,Lyft,LinkedIn,Amazon,Pure Storage,Twitter,Uber")</f>
        <v>Bloomberg,Microsoft,Facebook,Apple,Lyft,LinkedIn,Amazon,Pure Storage,Twitter,Uber</v>
      </c>
      <c r="I62" s="6">
        <f>IFERROR(__xludf.DUMMYFUNCTION("""COMPUTED_VALUE"""),43.08)</f>
        <v>43.08</v>
      </c>
      <c r="J62" s="6" t="str">
        <f>IFERROR(__xludf.DUMMYFUNCTION("""COMPUTED_VALUE"""),"算法")</f>
        <v>算法</v>
      </c>
    </row>
    <row r="63">
      <c r="A63" s="6">
        <f>IFERROR(__xludf.DUMMYFUNCTION("""COMPUTED_VALUE"""),735.0)</f>
        <v>735</v>
      </c>
      <c r="B63" s="53" t="str">
        <f>IFERROR(__xludf.DUMMYFUNCTION("""COMPUTED_VALUE"""),"Asteroid Collision")</f>
        <v>Asteroid Collision</v>
      </c>
      <c r="C63" s="6" t="str">
        <f>IFERROR(__xludf.DUMMYFUNCTION("""COMPUTED_VALUE"""),"Medium")</f>
        <v>Medium</v>
      </c>
      <c r="D63" s="6" t="str">
        <f>IFERROR(__xludf.DUMMYFUNCTION("""COMPUTED_VALUE"""),"Stack")</f>
        <v>Stack</v>
      </c>
      <c r="E63" s="6" t="str">
        <f>IFERROR(__xludf.DUMMYFUNCTION("""COMPUTED_VALUE"""),"Robinhood,ByteDance,Oracle,Visa,Paypal,Lyft,EBay,Uber,Amazon,Microsoft,Google")</f>
        <v>Robinhood,ByteDance,Oracle,Visa,Paypal,Lyft,EBay,Uber,Amazon,Microsoft,Google</v>
      </c>
      <c r="F63" s="6" t="str">
        <f>IFERROR(__xludf.DUMMYFUNCTION("""COMPUTED_VALUE"""),"Amazon,Lyft,ByteDance,Oracle,Robinhood")</f>
        <v>Amazon,Lyft,ByteDance,Oracle,Robinhood</v>
      </c>
      <c r="G63" s="6" t="str">
        <f>IFERROR(__xludf.DUMMYFUNCTION("""COMPUTED_VALUE"""),"Google,Amazon,Lyft,ByteDance,Oracle,Robinhood")</f>
        <v>Google,Amazon,Lyft,ByteDance,Oracle,Robinhood</v>
      </c>
      <c r="H63" s="6" t="str">
        <f>IFERROR(__xludf.DUMMYFUNCTION("""COMPUTED_VALUE"""),"Visa,Paypal,Uber,Google,Amazon,Lyft,ByteDance,Oracle,Robinhood")</f>
        <v>Visa,Paypal,Uber,Google,Amazon,Lyft,ByteDance,Oracle,Robinhood</v>
      </c>
      <c r="I63" s="6">
        <f>IFERROR(__xludf.DUMMYFUNCTION("""COMPUTED_VALUE"""),43.27)</f>
        <v>43.27</v>
      </c>
      <c r="J63" s="6" t="str">
        <f>IFERROR(__xludf.DUMMYFUNCTION("""COMPUTED_VALUE"""),"算法")</f>
        <v>算法</v>
      </c>
    </row>
    <row r="64">
      <c r="A64" s="6">
        <f>IFERROR(__xludf.DUMMYFUNCTION("""COMPUTED_VALUE"""),981.0)</f>
        <v>981</v>
      </c>
      <c r="B64" s="53" t="str">
        <f>IFERROR(__xludf.DUMMYFUNCTION("""COMPUTED_VALUE"""),"Time Based Key-Value Store")</f>
        <v>Time Based Key-Value Store</v>
      </c>
      <c r="C64" s="6" t="str">
        <f>IFERROR(__xludf.DUMMYFUNCTION("""COMPUTED_VALUE"""),"Medium")</f>
        <v>Medium</v>
      </c>
      <c r="D64" s="6" t="str">
        <f>IFERROR(__xludf.DUMMYFUNCTION("""COMPUTED_VALUE"""),"Binary Search,Hash Table")</f>
        <v>Binary Search,Hash Table</v>
      </c>
      <c r="E64" s="6" t="str">
        <f>IFERROR(__xludf.DUMMYFUNCTION("""COMPUTED_VALUE"""),"Cruise Automation,ByteDance,Oracle,Yahoo,Bloomberg,Flexport,Sumologic,Netflix,Square,Databricks,Atlassian,VMware,Zillow,Twitter,Lyft,Apple,Uber,Facebook,Amazon,LinkedIn,Microsoft,Google")</f>
        <v>Cruise Automation,ByteDance,Oracle,Yahoo,Bloomberg,Flexport,Sumologic,Netflix,Square,Databricks,Atlassian,VMware,Zillow,Twitter,Lyft,Apple,Uber,Facebook,Amazon,LinkedIn,Microsoft,Google</v>
      </c>
      <c r="F64" s="6" t="str">
        <f>IFERROR(__xludf.DUMMYFUNCTION("""COMPUTED_VALUE"""),"Oracle,Lyft,Uber,ByteDance,Sumologic,Google,Microsoft,Twitter,Apple")</f>
        <v>Oracle,Lyft,Uber,ByteDance,Sumologic,Google,Microsoft,Twitter,Apple</v>
      </c>
      <c r="G64" s="6" t="str">
        <f>IFERROR(__xludf.DUMMYFUNCTION("""COMPUTED_VALUE"""),"Atlassian,VMware,Facebook,Amazon,Netflix,Oracle,Lyft,Uber,ByteDance,Sumologic,Google,Microsoft,Twitter,Apple")</f>
        <v>Atlassian,VMware,Facebook,Amazon,Netflix,Oracle,Lyft,Uber,ByteDance,Sumologic,Google,Microsoft,Twitter,Apple</v>
      </c>
      <c r="H64" s="6" t="str">
        <f>IFERROR(__xludf.DUMMYFUNCTION("""COMPUTED_VALUE"""),"Zillow,LinkedIn,Cruise Automation,Yahoo,Bloomberg,Flexport,Databricks,Atlassian,VMware,Facebook,Amazon,Netflix,Oracle,Lyft,Uber,ByteDance,Sumologic,Google,Microsoft,Twitter,Apple")</f>
        <v>Zillow,LinkedIn,Cruise Automation,Yahoo,Bloomberg,Flexport,Databricks,Atlassian,VMware,Facebook,Amazon,Netflix,Oracle,Lyft,Uber,ByteDance,Sumologic,Google,Microsoft,Twitter,Apple</v>
      </c>
      <c r="I64" s="6">
        <f>IFERROR(__xludf.DUMMYFUNCTION("""COMPUTED_VALUE"""),54.17)</f>
        <v>54.17</v>
      </c>
      <c r="J64" s="6" t="str">
        <f>IFERROR(__xludf.DUMMYFUNCTION("""COMPUTED_VALUE"""),"算法")</f>
        <v>算法</v>
      </c>
    </row>
    <row r="65">
      <c r="A65" s="6">
        <f>IFERROR(__xludf.DUMMYFUNCTION("""COMPUTED_VALUE"""),1060.0)</f>
        <v>1060</v>
      </c>
      <c r="B65" s="53" t="str">
        <f>IFERROR(__xludf.DUMMYFUNCTION("""COMPUTED_VALUE"""),"Missing Element in Sorted Array")</f>
        <v>Missing Element in Sorted Array</v>
      </c>
      <c r="C65" s="6" t="str">
        <f>IFERROR(__xludf.DUMMYFUNCTION("""COMPUTED_VALUE"""),"Medium")</f>
        <v>Medium</v>
      </c>
      <c r="D65" s="6" t="str">
        <f>IFERROR(__xludf.DUMMYFUNCTION("""COMPUTED_VALUE"""),"Binary Search")</f>
        <v>Binary Search</v>
      </c>
      <c r="E65" s="6" t="str">
        <f>IFERROR(__xludf.DUMMYFUNCTION("""COMPUTED_VALUE"""),"Microsoft,Lyft,Apple,Bloomberg,Facebook,Amazon,Google")</f>
        <v>Microsoft,Lyft,Apple,Bloomberg,Facebook,Amazon,Google</v>
      </c>
      <c r="F65" s="6" t="str">
        <f>IFERROR(__xludf.DUMMYFUNCTION("""COMPUTED_VALUE"""),"Bloomberg,Facebook")</f>
        <v>Bloomberg,Facebook</v>
      </c>
      <c r="G65" s="6" t="str">
        <f>IFERROR(__xludf.DUMMYFUNCTION("""COMPUTED_VALUE"""),"Google,Apple,Bloomberg,Facebook")</f>
        <v>Google,Apple,Bloomberg,Facebook</v>
      </c>
      <c r="H65" s="6" t="str">
        <f>IFERROR(__xludf.DUMMYFUNCTION("""COMPUTED_VALUE"""),"Amazon,Microsoft,Lyft,Google,Apple,Bloomberg,Facebook")</f>
        <v>Amazon,Microsoft,Lyft,Google,Apple,Bloomberg,Facebook</v>
      </c>
      <c r="I65" s="6">
        <f>IFERROR(__xludf.DUMMYFUNCTION("""COMPUTED_VALUE"""),54.77)</f>
        <v>54.77</v>
      </c>
      <c r="J65" s="6" t="str">
        <f>IFERROR(__xludf.DUMMYFUNCTION("""COMPUTED_VALUE"""),"算法")</f>
        <v>算法</v>
      </c>
    </row>
  </sheetData>
  <mergeCells count="1">
    <mergeCell ref="A1:G2"/>
  </mergeCells>
  <conditionalFormatting sqref="C5 B6 E7">
    <cfRule type="expression" dxfId="2" priority="1">
      <formula>AND(ISNUMBER($I5),$I5&gt;3)</formula>
    </cfRule>
  </conditionalFormatting>
  <conditionalFormatting sqref="C5 B6 E7">
    <cfRule type="expression" dxfId="3" priority="2">
      <formula>AND(ISNUMBER($I5),$I5&gt;0)</formula>
    </cfRule>
  </conditionalFormatting>
  <conditionalFormatting sqref="C5 B6 E7">
    <cfRule type="expression" dxfId="1" priority="3">
      <formula>AND(ISNUMBER($I5),$I5=0)</formula>
    </cfRule>
  </conditionalFormatting>
  <dataValidations>
    <dataValidation type="list" allowBlank="1" showErrorMessage="1" sqref="E5">
      <formula1>'公司分类查询'!$A$11:$J$11</formula1>
    </dataValidation>
    <dataValidation type="list" allowBlank="1" showErrorMessage="1" sqref="C5">
      <formula1>'公司分类查询'!$A$8:$B$8</formula1>
    </dataValidation>
    <dataValidation type="list" allowBlank="1" showErrorMessage="1" sqref="F5">
      <formula1>'公司分类查询'!$A$9:$B$9</formula1>
    </dataValidation>
  </dataValidations>
  <hyperlinks>
    <hyperlink r:id="rId1" ref="B12"/>
    <hyperlink r:id="rId2" ref="B13"/>
    <hyperlink r:id="rId3" ref="B14"/>
    <hyperlink r:id="rId4" ref="B15"/>
    <hyperlink r:id="rId5" ref="B16"/>
    <hyperlink r:id="rId6" ref="B17"/>
    <hyperlink r:id="rId7" ref="B18"/>
    <hyperlink r:id="rId8" ref="B19"/>
    <hyperlink r:id="rId9" ref="B20"/>
    <hyperlink r:id="rId10" ref="B21"/>
    <hyperlink r:id="rId11" ref="B22"/>
    <hyperlink r:id="rId12" ref="B23"/>
    <hyperlink r:id="rId13" ref="B24"/>
    <hyperlink r:id="rId14" ref="B25"/>
    <hyperlink r:id="rId15" ref="B26"/>
    <hyperlink r:id="rId16" ref="B27"/>
    <hyperlink r:id="rId17" ref="B28"/>
    <hyperlink r:id="rId18" ref="B29"/>
    <hyperlink r:id="rId19" ref="B30"/>
    <hyperlink r:id="rId20" ref="B31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39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2"/>
    <hyperlink r:id="rId52" ref="B63"/>
    <hyperlink r:id="rId53" ref="B64"/>
    <hyperlink r:id="rId54" ref="B65"/>
  </hyperlinks>
  <drawing r:id="rId5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5" max="5" width="13.25"/>
  </cols>
  <sheetData>
    <row r="1">
      <c r="A1" s="23" t="s">
        <v>46</v>
      </c>
      <c r="B1" s="24"/>
      <c r="C1" s="24"/>
      <c r="D1" s="24"/>
      <c r="E1" s="24"/>
      <c r="F1" s="24"/>
      <c r="G1" s="25"/>
      <c r="H1" s="26"/>
    </row>
    <row r="2">
      <c r="A2" s="27"/>
      <c r="B2" s="28"/>
      <c r="C2" s="28"/>
      <c r="D2" s="28"/>
      <c r="E2" s="28"/>
      <c r="F2" s="28"/>
      <c r="G2" s="29"/>
      <c r="H2" s="26"/>
    </row>
    <row r="3">
      <c r="A3" s="30" t="s">
        <v>26</v>
      </c>
      <c r="B3" s="54" t="s">
        <v>27</v>
      </c>
      <c r="C3" s="55" t="s">
        <v>28</v>
      </c>
      <c r="D3" s="54" t="s">
        <v>47</v>
      </c>
      <c r="E3" s="56" t="s">
        <v>48</v>
      </c>
      <c r="F3" s="57"/>
      <c r="G3" s="58"/>
    </row>
    <row r="4">
      <c r="B4" s="7"/>
      <c r="C4" s="15"/>
      <c r="D4" s="30" t="s">
        <v>38</v>
      </c>
      <c r="E4" s="55" t="s">
        <v>11</v>
      </c>
      <c r="F4" s="56" t="s">
        <v>39</v>
      </c>
    </row>
    <row r="5">
      <c r="A5" s="7"/>
      <c r="B5" s="12"/>
    </row>
    <row r="6">
      <c r="D6" s="30" t="s">
        <v>40</v>
      </c>
      <c r="E6" s="45">
        <f>IFERROR(__xludf.DUMMYFUNCTION("COUNTUNIQUE(A11:A1987)"),985.0)</f>
        <v>985</v>
      </c>
    </row>
    <row r="7" hidden="1">
      <c r="A7" s="46"/>
      <c r="B7" s="46"/>
      <c r="C7" s="47"/>
      <c r="D7" s="48"/>
      <c r="E7" s="49"/>
      <c r="F7" s="50"/>
      <c r="G7" s="51"/>
    </row>
    <row r="8" hidden="1">
      <c r="A8" s="49" t="s">
        <v>39</v>
      </c>
      <c r="B8" s="49" t="s">
        <v>42</v>
      </c>
      <c r="C8" s="50"/>
      <c r="D8" s="51"/>
      <c r="E8" s="52"/>
      <c r="F8" s="52"/>
      <c r="G8" s="52"/>
    </row>
    <row r="9">
      <c r="A9" s="48"/>
      <c r="B9" s="48"/>
      <c r="C9" s="50"/>
      <c r="D9" s="51"/>
      <c r="E9" s="51"/>
      <c r="F9" s="52"/>
      <c r="G9" s="52"/>
    </row>
    <row r="10">
      <c r="A10" s="49" t="s">
        <v>11</v>
      </c>
      <c r="B10" s="49" t="s">
        <v>43</v>
      </c>
      <c r="C10" s="50" t="s">
        <v>13</v>
      </c>
      <c r="D10" s="51" t="s">
        <v>44</v>
      </c>
      <c r="E10" s="51" t="s">
        <v>48</v>
      </c>
      <c r="F10" s="52" t="s">
        <v>49</v>
      </c>
      <c r="G10" s="52" t="s">
        <v>50</v>
      </c>
      <c r="H10" s="52" t="s">
        <v>51</v>
      </c>
      <c r="I10" s="52" t="s">
        <v>45</v>
      </c>
      <c r="J10" s="52" t="s">
        <v>17</v>
      </c>
    </row>
    <row r="11">
      <c r="A11" s="6">
        <f>IFERROR(__xludf.DUMMYFUNCTION("SORT(IF(LEN(C3)=0,,FILTER('Leetcode List'!A:J,REGEXMATCH(IF(E3=E10,'Leetcode List'!E:E,IF(E3=F10,'Leetcode List'!F:F,IF(E3=G10,'Leetcode List'!G:G,IF(E3=H10,'Leetcode List'!H:H,)))),""(?i)""&amp;C3))),Switch(E4,A10,1,B10,2,C10,3,D10,4,E10,5,I10,6,J10,7),Switc"&amp;"h(F4,A8,TRUE,B8,FALSE))"),1.0)</f>
        <v>1</v>
      </c>
      <c r="B11" s="53" t="str">
        <f>IFERROR(__xludf.DUMMYFUNCTION("""COMPUTED_VALUE"""),"Two Sum")</f>
        <v>Two Sum</v>
      </c>
      <c r="C11" s="6" t="str">
        <f>IFERROR(__xludf.DUMMYFUNCTION("""COMPUTED_VALUE"""),"Easy")</f>
        <v>Easy</v>
      </c>
      <c r="D11" s="6" t="str">
        <f>IFERROR(__xludf.DUMMYFUNCTION("""COMPUTED_VALUE"""),"Hash Table,Array")</f>
        <v>Hash Table,Array</v>
      </c>
      <c r="E11" s="6" t="str">
        <f>IFERROR(__xludf.DUMMYFUNCTION("""COMPUTED_VALUE"""),"Tcs,Directi,Hotstar,Accolite,Poshmark,PayTM,Infosys,Zulily,HBO,Cloudera,Citrix,Nagarro,Roblox,Audible,Splunk,ByteDance,FactSet,Twilio,Qualcomm,GE Digital,Capital One,EMC,Deutsche Bank,Tableau,Salesforce,Groupon,Zynga,Intel,Booking.com,Drawbridge,Visa,VMwa"&amp;"re,Box,Citadel,Quora,Affirm,Walmart Labs,Dropbox,GoDaddy,Snapchat,MAQ Software,Indeed,Radius,Works Applications,JPMorgan,Zillow,Paypal,Twitter,ServiceNow,Expedia,Wish,Yelp,Nvidia,Zoho,Oracle,NetEase,Spotify,Intuit,IBM,Lyft,Cisco,Mathworks,DiDi,Yandex,Huaw"&amp;"ei,EBay,BlackRock,Baidu,Valve,Apple,Airbnb,Uber,Yahoo,Samsung,Tencent,SAP,Morgan Stanley,Aetion,Bloomberg,Adobe,Facebook,Amazon,LinkedIn,Microsoft,Alibaba,Goldman Sachs,Google")</f>
        <v>Tcs,Directi,Hotstar,Accolite,Poshmark,PayTM,Infosys,Zulily,HBO,Cloudera,Citrix,Nagarro,Roblox,Audible,Splunk,ByteDance,FactSet,Twilio,Qualcomm,GE Digital,Capital One,EMC,Deutsche Bank,Tableau,Salesforce,Groupon,Zynga,Intel,Booking.com,Drawbridge,Visa,VMware,Box,Citadel,Quora,Affirm,Walmart Labs,Dropbox,GoDaddy,Snapchat,MAQ Software,Indeed,Radius,Works Applications,JPMorgan,Zillow,Paypal,Twitter,ServiceNow,Expedia,Wish,Yelp,Nvidia,Zoho,Oracle,NetEase,Spotify,Intuit,IBM,Lyft,Cisco,Mathworks,DiDi,Yandex,Huawei,EBay,BlackRock,Baidu,Valve,Apple,Airbnb,Uber,Yahoo,Samsung,Tencent,SAP,Morgan Stanley,Aetion,Bloomberg,Adobe,Facebook,Amazon,LinkedIn,Microsoft,Alibaba,Goldman Sachs,Google</v>
      </c>
      <c r="F11" s="6" t="str">
        <f>IFERROR(__xludf.DUMMYFUNCTION("""COMPUTED_VALUE"""),"Amazon,Google,Apple,Microsoft,Adobe,Bloomberg,Facebook,Oracle,Uber,Expedia,Twitter,Yahoo,Cisco,Nagarro,Goldman Sachs,SAP,Yandex,Intuit,Qualcomm,ByteDance,HBO,tcs")</f>
        <v>Amazon,Google,Apple,Microsoft,Adobe,Bloomberg,Facebook,Oracle,Uber,Expedia,Twitter,Yahoo,Cisco,Nagarro,Goldman Sachs,SAP,Yandex,Intuit,Qualcomm,ByteDance,HBO,tcs</v>
      </c>
      <c r="G11" s="6" t="str">
        <f>IFERROR(__xludf.DUMMYFUNCTION("""COMPUTED_VALUE"""),"eBay,Paypal,Walmart Labs,VMware,Samsung,ServiceNow,Infosys,Accolite,Alibaba,Airbnb,Citrix,Cloudera,Intel,Groupon,Salesforce,PayTM,Poshmark,Amazon,Google,Apple,Microsoft,Adobe,Bloomberg,Facebook,Oracle,Uber,Expedia,Twitter,Yahoo,Cisco,Nagarro,Goldman Sachs"&amp;",SAP,Yandex,Intuit,Qualcomm,ByteDance,HBO,tcs")</f>
        <v>eBay,Paypal,Walmart Labs,VMware,Samsung,ServiceNow,Infosys,Accolite,Alibaba,Airbnb,Citrix,Cloudera,Intel,Groupon,Salesforce,PayTM,Poshmark,Amazon,Google,Apple,Microsoft,Adobe,Bloomberg,Facebook,Oracle,Uber,Expedia,Twitter,Yahoo,Cisco,Nagarro,Goldman Sachs,SAP,Yandex,Intuit,Qualcomm,ByteDance,HBO,tcs</v>
      </c>
      <c r="H11" s="6" t="str">
        <f>IFERROR(__xludf.DUMMYFUNCTION("""COMPUTED_VALUE"""),"LinkedIn,Splunk,Huawei,Nvidia,Visa,Morgan Stanley,JPMorgan,FactSet,Hotstar,Tencent,Mathworks,IBM,Zillow,GoDaddy,Audible,Spotify,Zoho,Citadel,Tableau,Roblox,Zulily,Directi,Yelp,Dropbox,eBay,Paypal,Walmart Labs,VMware,Samsung,ServiceNow,Infosys,Accolite,Ali"&amp;"baba,Airbnb,Citrix,Cloudera,Intel,Groupon,Salesforce,PayTM,Poshmark,Amazon,Google,Apple,Microsoft,Adobe,Bloomberg,Facebook,Oracle,Uber,Expedia,Twitter,Yahoo,Cisco,Nagarro,Goldman Sachs,SAP,Yandex,Intuit,Qualcomm,ByteDance,HBO,tcs")</f>
        <v>LinkedIn,Splunk,Huawei,Nvidia,Visa,Morgan Stanley,JPMorgan,FactSet,Hotstar,Tencent,Mathworks,IBM,Zillow,GoDaddy,Audible,Spotify,Zoho,Citadel,Tableau,Roblox,Zulily,Directi,Yelp,Dropbox,eBay,Paypal,Walmart Labs,VMware,Samsung,ServiceNow,Infosys,Accolite,Alibaba,Airbnb,Citrix,Cloudera,Intel,Groupon,Salesforce,PayTM,Poshmark,Amazon,Google,Apple,Microsoft,Adobe,Bloomberg,Facebook,Oracle,Uber,Expedia,Twitter,Yahoo,Cisco,Nagarro,Goldman Sachs,SAP,Yandex,Intuit,Qualcomm,ByteDance,HBO,tcs</v>
      </c>
      <c r="I11" s="6">
        <f>IFERROR(__xludf.DUMMYFUNCTION("""COMPUTED_VALUE"""),46.59)</f>
        <v>46.59</v>
      </c>
      <c r="J11" s="6" t="str">
        <f>IFERROR(__xludf.DUMMYFUNCTION("""COMPUTED_VALUE"""),"算法")</f>
        <v>算法</v>
      </c>
    </row>
    <row r="12">
      <c r="A12" s="6">
        <f>IFERROR(__xludf.DUMMYFUNCTION("""COMPUTED_VALUE"""),2.0)</f>
        <v>2</v>
      </c>
      <c r="B12" s="53" t="str">
        <f>IFERROR(__xludf.DUMMYFUNCTION("""COMPUTED_VALUE"""),"Add Two Numbers")</f>
        <v>Add Two Numbers</v>
      </c>
      <c r="C12" s="6" t="str">
        <f>IFERROR(__xludf.DUMMYFUNCTION("""COMPUTED_VALUE"""),"Medium")</f>
        <v>Medium</v>
      </c>
      <c r="D12" s="6" t="str">
        <f>IFERROR(__xludf.DUMMYFUNCTION("""COMPUTED_VALUE"""),"Recursion,Math,Linked List")</f>
        <v>Recursion,Math,Linked List</v>
      </c>
      <c r="E12" s="6" t="str">
        <f>IFERROR(__xludf.DUMMYFUNCTION("""COMPUTED_VALUE"""),"Coupang,Docusign,Tcs,PayTM,Walmart Labs,Dell,Redfin,Flipkart,Grab,ByteDance,Qualcomm,Capital One,Salesforce,Intel,VMware,GoDaddy,Paypal,ServiceNow,Wish,Nvidia,Zoho,Oracle,IBM,Lyft,Cisco,Mathworks,Yandex,Huawei,EBay,Baidu,Apple,Airbnb,Uber,Yahoo,SAP,Aetion"&amp;",Bloomberg,Adobe,Facebook,Amazon,Microsoft,Alibaba,Google")</f>
        <v>Coupang,Docusign,Tcs,PayTM,Walmart Labs,Dell,Redfin,Flipkart,Grab,ByteDance,Qualcomm,Capital One,Salesforce,Intel,VMware,GoDaddy,Paypal,ServiceNow,Wish,Nvidia,Zoho,Oracle,IBM,Lyft,Cisco,Mathworks,Yandex,Huawei,EBay,Baidu,Apple,Airbnb,Uber,Yahoo,SAP,Aetion,Bloomberg,Adobe,Facebook,Amazon,Microsoft,Alibaba,Google</v>
      </c>
      <c r="F12" s="6" t="str">
        <f>IFERROR(__xludf.DUMMYFUNCTION("""COMPUTED_VALUE"""),"Bloomberg,Microsoft,Amazon,Adobe,Facebook,Apple,Google,Uber,Oracle,Coupang,VMware,Paypal")</f>
        <v>Bloomberg,Microsoft,Amazon,Adobe,Facebook,Apple,Google,Uber,Oracle,Coupang,VMware,Paypal</v>
      </c>
      <c r="G12" s="6" t="str">
        <f>IFERROR(__xludf.DUMMYFUNCTION("""COMPUTED_VALUE"""),"Yahoo,Docusign,ByteDance,eBay,Walmart Labs,tcs,Bloomberg,Microsoft,Amazon,Adobe,Facebook,Apple,Google,Uber,Oracle,Coupang,VMware,Paypal")</f>
        <v>Yahoo,Docusign,ByteDance,eBay,Walmart Labs,tcs,Bloomberg,Microsoft,Amazon,Adobe,Facebook,Apple,Google,Uber,Oracle,Coupang,VMware,Paypal</v>
      </c>
      <c r="H12" s="6" t="str">
        <f>IFERROR(__xludf.DUMMYFUNCTION("""COMPUTED_VALUE"""),"Cisco,Yandex,ServiceNow,Qualcomm,Zoho,Huawei,Salesforce,Lyft,Capital One,Grab,PayTM,Airbnb,Yahoo,Docusign,ByteDance,eBay,Walmart Labs,tcs,Bloomberg,Microsoft,Amazon,Adobe,Facebook,Apple,Google,Uber,Oracle,Coupang,VMware,Paypal")</f>
        <v>Cisco,Yandex,ServiceNow,Qualcomm,Zoho,Huawei,Salesforce,Lyft,Capital One,Grab,PayTM,Airbnb,Yahoo,Docusign,ByteDance,eBay,Walmart Labs,tcs,Bloomberg,Microsoft,Amazon,Adobe,Facebook,Apple,Google,Uber,Oracle,Coupang,VMware,Paypal</v>
      </c>
      <c r="I12" s="6">
        <f>IFERROR(__xludf.DUMMYFUNCTION("""COMPUTED_VALUE"""),35.59)</f>
        <v>35.59</v>
      </c>
      <c r="J12" s="6" t="str">
        <f>IFERROR(__xludf.DUMMYFUNCTION("""COMPUTED_VALUE"""),"算法")</f>
        <v>算法</v>
      </c>
    </row>
    <row r="13">
      <c r="A13" s="6">
        <f>IFERROR(__xludf.DUMMYFUNCTION("""COMPUTED_VALUE"""),3.0)</f>
        <v>3</v>
      </c>
      <c r="B13" s="53" t="str">
        <f>IFERROR(__xludf.DUMMYFUNCTION("""COMPUTED_VALUE"""),"Longest Substring Without Repeating Characters")</f>
        <v>Longest Substring Without Repeating Characters</v>
      </c>
      <c r="C13" s="6" t="str">
        <f>IFERROR(__xludf.DUMMYFUNCTION("""COMPUTED_VALUE"""),"Medium")</f>
        <v>Medium</v>
      </c>
      <c r="D13" s="6" t="str">
        <f>IFERROR(__xludf.DUMMYFUNCTION("""COMPUTED_VALUE"""),"Sliding Window,String,Two Pointers,Hash Table")</f>
        <v>Sliding Window,String,Two Pointers,Hash Table</v>
      </c>
      <c r="E13" s="6" t="str">
        <f>IFERROR(__xludf.DUMMYFUNCTION("""COMPUTED_VALUE"""),"American Express,Tcs,PayTM,Infosys,Splunk,Nagarro,Intuit,Morgan Stanley,Coupang,Atlassian,Twitch,Alation,ByteDance,Salesforce,VMware,Walmart Labs,Snapchat,Zillow,Paypal,Expedia,Yelp,Zoho,Oracle,Spotify,Cisco,Yandex,Huawei,EBay,Baidu,Apple,Uber,Yahoo,Samsu"&amp;"ng,Tencent,SAP,Bloomberg,Adobe,Facebook,Amazon,Microsoft,Alibaba,Goldman Sachs,Google")</f>
        <v>American Express,Tcs,PayTM,Infosys,Splunk,Nagarro,Intuit,Morgan Stanley,Coupang,Atlassian,Twitch,Alation,ByteDance,Salesforce,VMware,Walmart Labs,Snapchat,Zillow,Paypal,Expedia,Yelp,Zoho,Oracle,Spotify,Cisco,Yandex,Huawei,EBay,Baidu,Apple,Uber,Yahoo,Samsung,Tencent,SAP,Bloomberg,Adobe,Facebook,Amazon,Microsoft,Alibaba,Goldman Sachs,Google</v>
      </c>
      <c r="F13" s="6" t="str">
        <f>IFERROR(__xludf.DUMMYFUNCTION("""COMPUTED_VALUE"""),"Amazon,Bloomberg,Microsoft,Facebook,Goldman Sachs,Google,Adobe,eBay,Apple,Alation,Uber,VMware,Oracle,ByteDance,PayTM,Yahoo,Salesforce,Splunk,Nagarro")</f>
        <v>Amazon,Bloomberg,Microsoft,Facebook,Goldman Sachs,Google,Adobe,eBay,Apple,Alation,Uber,VMware,Oracle,ByteDance,PayTM,Yahoo,Salesforce,Splunk,Nagarro</v>
      </c>
      <c r="G13" s="6" t="str">
        <f>IFERROR(__xludf.DUMMYFUNCTION("""COMPUTED_VALUE"""),"Spotify,Cisco,Coupang,Morgan Stanley,Expedia,Walmart Labs,SAP,Yandex,Atlassian,tcs,Amazon,Bloomberg,Microsoft,Facebook,Goldman Sachs,Google,Adobe,eBay,Apple,Alation,Uber,VMware,Oracle,ByteDance,PayTM,Yahoo,Salesforce,Splunk,Nagarro")</f>
        <v>Spotify,Cisco,Coupang,Morgan Stanley,Expedia,Walmart Labs,SAP,Yandex,Atlassian,tcs,Amazon,Bloomberg,Microsoft,Facebook,Goldman Sachs,Google,Adobe,eBay,Apple,Alation,Uber,VMware,Oracle,ByteDance,PayTM,Yahoo,Salesforce,Splunk,Nagarro</v>
      </c>
      <c r="H13" s="6" t="str">
        <f>IFERROR(__xludf.DUMMYFUNCTION("""COMPUTED_VALUE"""),"Huawei,Zillow,Samsung,Zoho,Infosys,Alibaba,Paypal,Intuit,American Express,Yelp,Spotify,Cisco,Coupang,Morgan Stanley,Expedia,Walmart Labs,SAP,Yandex,Atlassian,tcs,Amazon,Bloomberg,Microsoft,Facebook,Goldman Sachs,Google,Adobe,eBay,Apple,Alation,Uber,VMware"&amp;",Oracle,ByteDance,PayTM,Yahoo,Salesforce,Splunk,Nagarro")</f>
        <v>Huawei,Zillow,Samsung,Zoho,Infosys,Alibaba,Paypal,Intuit,American Express,Yelp,Spotify,Cisco,Coupang,Morgan Stanley,Expedia,Walmart Labs,SAP,Yandex,Atlassian,tcs,Amazon,Bloomberg,Microsoft,Facebook,Goldman Sachs,Google,Adobe,eBay,Apple,Alation,Uber,VMware,Oracle,ByteDance,PayTM,Yahoo,Salesforce,Splunk,Nagarro</v>
      </c>
      <c r="I13" s="6">
        <f>IFERROR(__xludf.DUMMYFUNCTION("""COMPUTED_VALUE"""),31.48)</f>
        <v>31.48</v>
      </c>
      <c r="J13" s="6" t="str">
        <f>IFERROR(__xludf.DUMMYFUNCTION("""COMPUTED_VALUE"""),"算法")</f>
        <v>算法</v>
      </c>
    </row>
    <row r="14">
      <c r="A14" s="6">
        <f>IFERROR(__xludf.DUMMYFUNCTION("""COMPUTED_VALUE"""),4.0)</f>
        <v>4</v>
      </c>
      <c r="B14" s="53" t="str">
        <f>IFERROR(__xludf.DUMMYFUNCTION("""COMPUTED_VALUE"""),"Median of Two Sorted Arrays")</f>
        <v>Median of Two Sorted Arrays</v>
      </c>
      <c r="C14" s="6" t="str">
        <f>IFERROR(__xludf.DUMMYFUNCTION("""COMPUTED_VALUE"""),"Hard")</f>
        <v>Hard</v>
      </c>
      <c r="D14" s="6" t="str">
        <f>IFERROR(__xludf.DUMMYFUNCTION("""COMPUTED_VALUE"""),"Divide and Conquer,Binary Search,Array")</f>
        <v>Divide and Conquer,Binary Search,Array</v>
      </c>
      <c r="E14" s="6" t="str">
        <f>IFERROR(__xludf.DUMMYFUNCTION("""COMPUTED_VALUE"""),"Wish,Reddit,Flipkart,Paypal,Intuit,Zulily,Garena,Rubrik,Houzz,Two Sigma,Zenefits,ByteDance,Visa,VMware,Walmart Labs,Dropbox,GoDaddy,JPMorgan,Zillow,Oracle,DiDi,Yandex,Huawei,EBay,Baidu,Apple,Airbnb,Uber,Yahoo,Tencent,Bloomberg,Adobe,Facebook,Amazon,Micros"&amp;"oft,Alibaba,Goldman Sachs,Google")</f>
        <v>Wish,Reddit,Flipkart,Paypal,Intuit,Zulily,Garena,Rubrik,Houzz,Two Sigma,Zenefits,ByteDance,Visa,VMware,Walmart Labs,Dropbox,GoDaddy,JPMorgan,Zillow,Oracle,DiDi,Yandex,Huawei,EBay,Baidu,Apple,Airbnb,Uber,Yahoo,Tencent,Bloomberg,Adobe,Facebook,Amazon,Microsoft,Alibaba,Goldman Sachs,Google</v>
      </c>
      <c r="F14" s="6" t="str">
        <f>IFERROR(__xludf.DUMMYFUNCTION("""COMPUTED_VALUE"""),"Amazon,Goldman Sachs,Apple,Adobe,Microsoft,Facebook,Bloomberg,Uber,Zillow,Flipkart,Wish")</f>
        <v>Amazon,Goldman Sachs,Apple,Adobe,Microsoft,Facebook,Bloomberg,Uber,Zillow,Flipkart,Wish</v>
      </c>
      <c r="G14" s="6" t="str">
        <f>IFERROR(__xludf.DUMMYFUNCTION("""COMPUTED_VALUE"""),"Google,ByteDance,Paypal,Amazon,Goldman Sachs,Apple,Adobe,Microsoft,Facebook,Bloomberg,Uber,Zillow,Flipkart,Wish")</f>
        <v>Google,ByteDance,Paypal,Amazon,Goldman Sachs,Apple,Adobe,Microsoft,Facebook,Bloomberg,Uber,Zillow,Flipkart,Wish</v>
      </c>
      <c r="H14" s="6" t="str">
        <f>IFERROR(__xludf.DUMMYFUNCTION("""COMPUTED_VALUE"""),"Oracle,Yahoo,eBay,Visa,VMware,Yandex,GoDaddy,Zulily,Reddit,Intuit,Zenefits,Dropbox,Google,ByteDance,Paypal,Amazon,Goldman Sachs,Apple,Adobe,Microsoft,Facebook,Bloomberg,Uber,Zillow,Flipkart,Wish")</f>
        <v>Oracle,Yahoo,eBay,Visa,VMware,Yandex,GoDaddy,Zulily,Reddit,Intuit,Zenefits,Dropbox,Google,ByteDance,Paypal,Amazon,Goldman Sachs,Apple,Adobe,Microsoft,Facebook,Bloomberg,Uber,Zillow,Flipkart,Wish</v>
      </c>
      <c r="I14" s="6">
        <f>IFERROR(__xludf.DUMMYFUNCTION("""COMPUTED_VALUE"""),31.21)</f>
        <v>31.21</v>
      </c>
      <c r="J14" s="6" t="str">
        <f>IFERROR(__xludf.DUMMYFUNCTION("""COMPUTED_VALUE"""),"算法")</f>
        <v>算法</v>
      </c>
    </row>
    <row r="15">
      <c r="A15" s="6">
        <f>IFERROR(__xludf.DUMMYFUNCTION("""COMPUTED_VALUE"""),5.0)</f>
        <v>5</v>
      </c>
      <c r="B15" s="53" t="str">
        <f>IFERROR(__xludf.DUMMYFUNCTION("""COMPUTED_VALUE"""),"Longest Palindromic Substring")</f>
        <v>Longest Palindromic Substring</v>
      </c>
      <c r="C15" s="6" t="str">
        <f>IFERROR(__xludf.DUMMYFUNCTION("""COMPUTED_VALUE"""),"Medium")</f>
        <v>Medium</v>
      </c>
      <c r="D15" s="6" t="str">
        <f>IFERROR(__xludf.DUMMYFUNCTION("""COMPUTED_VALUE"""),"Dynamic Programming,String")</f>
        <v>Dynamic Programming,String</v>
      </c>
      <c r="E15" s="6" t="str">
        <f>IFERROR(__xludf.DUMMYFUNCTION("""COMPUTED_VALUE"""),"Nutanix,Robinhood,Tcs,Infosys,ByteDance,Qualcomm,Morgan Stanley,Goldman Sachs,Wayfair,Pure Storage,Roblox,VMware,Walmart Labs,GoDaddy,JPMorgan,Paypal,ServiceNow,Oracle,Cisco,Mathworks,Yandex,Huawei,EBay,Apple,Airbnb,Uber,Yahoo,Samsung,Tencent,SAP,Bloomber"&amp;"g,Adobe,Facebook,Amazon,Microsoft,Alibaba,Google")</f>
        <v>Nutanix,Robinhood,Tcs,Infosys,ByteDance,Qualcomm,Morgan Stanley,Goldman Sachs,Wayfair,Pure Storage,Roblox,VMware,Walmart Labs,GoDaddy,JPMorgan,Paypal,ServiceNow,Oracle,Cisco,Mathworks,Yandex,Huawei,EBay,Apple,Airbnb,Uber,Yahoo,Samsung,Tencent,SAP,Bloomberg,Adobe,Facebook,Amazon,Microsoft,Alibaba,Google</v>
      </c>
      <c r="F15" s="6" t="str">
        <f>IFERROR(__xludf.DUMMYFUNCTION("""COMPUTED_VALUE"""),"Amazon,Microsoft,Wayfair,Facebook,Google,Adobe,eBay,Oracle,Bloomberg,Goldman Sachs,Apple,Yandex,Qualcomm")</f>
        <v>Amazon,Microsoft,Wayfair,Facebook,Google,Adobe,eBay,Oracle,Bloomberg,Goldman Sachs,Apple,Yandex,Qualcomm</v>
      </c>
      <c r="G15" s="6" t="str">
        <f>IFERROR(__xludf.DUMMYFUNCTION("""COMPUTED_VALUE"""),"Cisco,Nutanix,Uber,Walmart Labs,Paypal,Morgan Stanley,Infosys,tcs,Amazon,Microsoft,Wayfair,Facebook,Google,Adobe,eBay,Oracle,Bloomberg,Goldman Sachs,Apple,Yandex,Qualcomm")</f>
        <v>Cisco,Nutanix,Uber,Walmart Labs,Paypal,Morgan Stanley,Infosys,tcs,Amazon,Microsoft,Wayfair,Facebook,Google,Adobe,eBay,Oracle,Bloomberg,Goldman Sachs,Apple,Yandex,Qualcomm</v>
      </c>
      <c r="H15" s="6" t="str">
        <f>IFERROR(__xludf.DUMMYFUNCTION("""COMPUTED_VALUE"""),"Yahoo,SAP,ServiceNow,Samsung,Tencent,VMware,Huawei,Airbnb,Mathworks,ByteDance,Robinhood,Cisco,Nutanix,Uber,Walmart Labs,Paypal,Morgan Stanley,Infosys,tcs,Amazon,Microsoft,Wayfair,Facebook,Google,Adobe,eBay,Oracle,Bloomberg,Goldman Sachs,Apple,Yandex,Qualc"&amp;"omm")</f>
        <v>Yahoo,SAP,ServiceNow,Samsung,Tencent,VMware,Huawei,Airbnb,Mathworks,ByteDance,Robinhood,Cisco,Nutanix,Uber,Walmart Labs,Paypal,Morgan Stanley,Infosys,tcs,Amazon,Microsoft,Wayfair,Facebook,Google,Adobe,eBay,Oracle,Bloomberg,Goldman Sachs,Apple,Yandex,Qualcomm</v>
      </c>
      <c r="I15" s="6">
        <f>IFERROR(__xludf.DUMMYFUNCTION("""COMPUTED_VALUE"""),30.58)</f>
        <v>30.58</v>
      </c>
      <c r="J15" s="6" t="str">
        <f>IFERROR(__xludf.DUMMYFUNCTION("""COMPUTED_VALUE"""),"算法")</f>
        <v>算法</v>
      </c>
    </row>
    <row r="16">
      <c r="A16" s="6">
        <f>IFERROR(__xludf.DUMMYFUNCTION("""COMPUTED_VALUE"""),6.0)</f>
        <v>6</v>
      </c>
      <c r="B16" s="53" t="str">
        <f>IFERROR(__xludf.DUMMYFUNCTION("""COMPUTED_VALUE"""),"ZigZag Conversion")</f>
        <v>ZigZag Conversion</v>
      </c>
      <c r="C16" s="6" t="str">
        <f>IFERROR(__xludf.DUMMYFUNCTION("""COMPUTED_VALUE"""),"Medium")</f>
        <v>Medium</v>
      </c>
      <c r="D16" s="6" t="str">
        <f>IFERROR(__xludf.DUMMYFUNCTION("""COMPUTED_VALUE"""),"String")</f>
        <v>String</v>
      </c>
      <c r="E16" s="6" t="str">
        <f>IFERROR(__xludf.DUMMYFUNCTION("""COMPUTED_VALUE"""),"EBay,Uber,Paypal,Wish,Apple,Bloomberg,Adobe,Facebook,Amazon,Microsoft,Google")</f>
        <v>EBay,Uber,Paypal,Wish,Apple,Bloomberg,Adobe,Facebook,Amazon,Microsoft,Google</v>
      </c>
      <c r="F16" s="6" t="str">
        <f>IFERROR(__xludf.DUMMYFUNCTION("""COMPUTED_VALUE"""),"Adobe,Bloomberg")</f>
        <v>Adobe,Bloomberg</v>
      </c>
      <c r="G16" s="6" t="str">
        <f>IFERROR(__xludf.DUMMYFUNCTION("""COMPUTED_VALUE"""),"Amazon,Paypal,Facebook,eBay,Microsoft,Adobe,Bloomberg")</f>
        <v>Amazon,Paypal,Facebook,eBay,Microsoft,Adobe,Bloomberg</v>
      </c>
      <c r="H16" s="6" t="str">
        <f>IFERROR(__xludf.DUMMYFUNCTION("""COMPUTED_VALUE"""),"Apple,Google,Uber,Wish,Amazon,Paypal,Facebook,eBay,Microsoft,Adobe,Bloomberg")</f>
        <v>Apple,Google,Uber,Wish,Amazon,Paypal,Facebook,eBay,Microsoft,Adobe,Bloomberg</v>
      </c>
      <c r="I16" s="6">
        <f>IFERROR(__xludf.DUMMYFUNCTION("""COMPUTED_VALUE"""),38.1)</f>
        <v>38.1</v>
      </c>
      <c r="J16" s="6" t="str">
        <f>IFERROR(__xludf.DUMMYFUNCTION("""COMPUTED_VALUE"""),"算法")</f>
        <v>算法</v>
      </c>
    </row>
    <row r="17">
      <c r="A17" s="6">
        <f>IFERROR(__xludf.DUMMYFUNCTION("""COMPUTED_VALUE"""),7.0)</f>
        <v>7</v>
      </c>
      <c r="B17" s="53" t="str">
        <f>IFERROR(__xludf.DUMMYFUNCTION("""COMPUTED_VALUE"""),"Reverse Integer")</f>
        <v>Reverse Integer</v>
      </c>
      <c r="C17" s="6" t="str">
        <f>IFERROR(__xludf.DUMMYFUNCTION("""COMPUTED_VALUE"""),"Easy")</f>
        <v>Easy</v>
      </c>
      <c r="D17" s="6" t="str">
        <f>IFERROR(__xludf.DUMMYFUNCTION("""COMPUTED_VALUE"""),"Math")</f>
        <v>Math</v>
      </c>
      <c r="E17" s="6" t="str">
        <f>IFERROR(__xludf.DUMMYFUNCTION("""COMPUTED_VALUE"""),"American Express,ByteDance,EBay,Barclays,JPMorgan,Oracle,NetEase,Lyft,Cisco,Apple,Uber,Yahoo,Bloomberg,Adobe,Facebook,Amazon,Microsoft,Google")</f>
        <v>American Express,ByteDance,EBay,Barclays,JPMorgan,Oracle,NetEase,Lyft,Cisco,Apple,Uber,Yahoo,Bloomberg,Adobe,Facebook,Amazon,Microsoft,Google</v>
      </c>
      <c r="F17" s="6" t="str">
        <f>IFERROR(__xludf.DUMMYFUNCTION("""COMPUTED_VALUE"""),"Amazon,Google,Facebook,Apple,American Express,Microsoft,Adobe,Uber,Bloomberg")</f>
        <v>Amazon,Google,Facebook,Apple,American Express,Microsoft,Adobe,Uber,Bloomberg</v>
      </c>
      <c r="G17" s="6" t="str">
        <f>IFERROR(__xludf.DUMMYFUNCTION("""COMPUTED_VALUE"""),"Yahoo,ByteDance,Amazon,Google,Facebook,Apple,American Express,Microsoft,Adobe,Uber,Bloomberg")</f>
        <v>Yahoo,ByteDance,Amazon,Google,Facebook,Apple,American Express,Microsoft,Adobe,Uber,Bloomberg</v>
      </c>
      <c r="H17" s="6" t="str">
        <f>IFERROR(__xludf.DUMMYFUNCTION("""COMPUTED_VALUE"""),"Oracle,eBay,Lyft,Cisco,Yahoo,ByteDance,Amazon,Google,Facebook,Apple,American Express,Microsoft,Adobe,Uber,Bloomberg")</f>
        <v>Oracle,eBay,Lyft,Cisco,Yahoo,ByteDance,Amazon,Google,Facebook,Apple,American Express,Microsoft,Adobe,Uber,Bloomberg</v>
      </c>
      <c r="I17" s="6">
        <f>IFERROR(__xludf.DUMMYFUNCTION("""COMPUTED_VALUE"""),25.93)</f>
        <v>25.93</v>
      </c>
      <c r="J17" s="6" t="str">
        <f>IFERROR(__xludf.DUMMYFUNCTION("""COMPUTED_VALUE"""),"算法")</f>
        <v>算法</v>
      </c>
    </row>
    <row r="18">
      <c r="A18" s="6">
        <f>IFERROR(__xludf.DUMMYFUNCTION("""COMPUTED_VALUE"""),8.0)</f>
        <v>8</v>
      </c>
      <c r="B18" s="53" t="str">
        <f>IFERROR(__xludf.DUMMYFUNCTION("""COMPUTED_VALUE"""),"String to Integer (atoi)")</f>
        <v>String to Integer (atoi)</v>
      </c>
      <c r="C18" s="6" t="str">
        <f>IFERROR(__xludf.DUMMYFUNCTION("""COMPUTED_VALUE"""),"Medium")</f>
        <v>Medium</v>
      </c>
      <c r="D18" s="6" t="str">
        <f>IFERROR(__xludf.DUMMYFUNCTION("""COMPUTED_VALUE"""),"String,Math")</f>
        <v>String,Math</v>
      </c>
      <c r="E18" s="6" t="str">
        <f>IFERROR(__xludf.DUMMYFUNCTION("""COMPUTED_VALUE"""),"Salesforce,Intel,Citrix,Redfin,VMware,Citadel,Zillow,Nvidia,Oracle,Cisco,EBay,Apple,Uber,Tencent,SAP,Bloomberg,Adobe,Facebook,Amazon,LinkedIn,Microsoft,Goldman Sachs,Google")</f>
        <v>Salesforce,Intel,Citrix,Redfin,VMware,Citadel,Zillow,Nvidia,Oracle,Cisco,EBay,Apple,Uber,Tencent,SAP,Bloomberg,Adobe,Facebook,Amazon,LinkedIn,Microsoft,Goldman Sachs,Google</v>
      </c>
      <c r="F18" s="6" t="str">
        <f>IFERROR(__xludf.DUMMYFUNCTION("""COMPUTED_VALUE"""),"Facebook,Amazon,Microsoft,Apple,Google,Goldman Sachs,Adobe,Bloomberg,Intel")</f>
        <v>Facebook,Amazon,Microsoft,Apple,Google,Goldman Sachs,Adobe,Bloomberg,Intel</v>
      </c>
      <c r="G18" s="6" t="str">
        <f>IFERROR(__xludf.DUMMYFUNCTION("""COMPUTED_VALUE"""),"Cisco,eBay,VMware,Oracle,Facebook,Amazon,Microsoft,Apple,Google,Goldman Sachs,Adobe,Bloomberg,Intel")</f>
        <v>Cisco,eBay,VMware,Oracle,Facebook,Amazon,Microsoft,Apple,Google,Goldman Sachs,Adobe,Bloomberg,Intel</v>
      </c>
      <c r="H18" s="6" t="str">
        <f>IFERROR(__xludf.DUMMYFUNCTION("""COMPUTED_VALUE"""),"LinkedIn,SAP,Uber,Salesforce,Cisco,eBay,VMware,Oracle,Facebook,Amazon,Microsoft,Apple,Google,Goldman Sachs,Adobe,Bloomberg,Intel")</f>
        <v>LinkedIn,SAP,Uber,Salesforce,Cisco,eBay,VMware,Oracle,Facebook,Amazon,Microsoft,Apple,Google,Goldman Sachs,Adobe,Bloomberg,Intel</v>
      </c>
      <c r="I18" s="6">
        <f>IFERROR(__xludf.DUMMYFUNCTION("""COMPUTED_VALUE"""),15.68)</f>
        <v>15.68</v>
      </c>
      <c r="J18" s="6" t="str">
        <f>IFERROR(__xludf.DUMMYFUNCTION("""COMPUTED_VALUE"""),"算法")</f>
        <v>算法</v>
      </c>
    </row>
    <row r="19">
      <c r="A19" s="6">
        <f>IFERROR(__xludf.DUMMYFUNCTION("""COMPUTED_VALUE"""),9.0)</f>
        <v>9</v>
      </c>
      <c r="B19" s="53" t="str">
        <f>IFERROR(__xludf.DUMMYFUNCTION("""COMPUTED_VALUE"""),"Palindrome Number")</f>
        <v>Palindrome Number</v>
      </c>
      <c r="C19" s="6" t="str">
        <f>IFERROR(__xludf.DUMMYFUNCTION("""COMPUTED_VALUE"""),"Easy")</f>
        <v>Easy</v>
      </c>
      <c r="D19" s="6" t="str">
        <f>IFERROR(__xludf.DUMMYFUNCTION("""COMPUTED_VALUE"""),"Math")</f>
        <v>Math</v>
      </c>
      <c r="E19" s="6" t="str">
        <f>IFERROR(__xludf.DUMMYFUNCTION("""COMPUTED_VALUE"""),"SAP,JPMorgan,Oracle,Apple,Yahoo,Bloomberg,Adobe,Facebook,Amazon,Microsoft,Goldman Sachs,Google")</f>
        <v>SAP,JPMorgan,Oracle,Apple,Yahoo,Bloomberg,Adobe,Facebook,Amazon,Microsoft,Goldman Sachs,Google</v>
      </c>
      <c r="F19" s="6" t="str">
        <f>IFERROR(__xludf.DUMMYFUNCTION("""COMPUTED_VALUE"""),"Microsoft,Adobe,Bloomberg,Facebook,Google,Yahoo")</f>
        <v>Microsoft,Adobe,Bloomberg,Facebook,Google,Yahoo</v>
      </c>
      <c r="G19" s="6" t="str">
        <f>IFERROR(__xludf.DUMMYFUNCTION("""COMPUTED_VALUE"""),"Apple,Microsoft,Adobe,Bloomberg,Facebook,Google,Yahoo")</f>
        <v>Apple,Microsoft,Adobe,Bloomberg,Facebook,Google,Yahoo</v>
      </c>
      <c r="H19" s="6" t="str">
        <f>IFERROR(__xludf.DUMMYFUNCTION("""COMPUTED_VALUE"""),"Amazon,Oracle,SAP,Apple,Microsoft,Adobe,Bloomberg,Facebook,Google,Yahoo")</f>
        <v>Amazon,Oracle,SAP,Apple,Microsoft,Adobe,Bloomberg,Facebook,Google,Yahoo</v>
      </c>
      <c r="I19" s="6">
        <f>IFERROR(__xludf.DUMMYFUNCTION("""COMPUTED_VALUE"""),49.89)</f>
        <v>49.89</v>
      </c>
      <c r="J19" s="6" t="str">
        <f>IFERROR(__xludf.DUMMYFUNCTION("""COMPUTED_VALUE"""),"算法")</f>
        <v>算法</v>
      </c>
    </row>
    <row r="20">
      <c r="A20" s="6">
        <f>IFERROR(__xludf.DUMMYFUNCTION("""COMPUTED_VALUE"""),10.0)</f>
        <v>10</v>
      </c>
      <c r="B20" s="53" t="str">
        <f>IFERROR(__xludf.DUMMYFUNCTION("""COMPUTED_VALUE"""),"Regular Expression Matching")</f>
        <v>Regular Expression Matching</v>
      </c>
      <c r="C20" s="6" t="str">
        <f>IFERROR(__xludf.DUMMYFUNCTION("""COMPUTED_VALUE"""),"Hard")</f>
        <v>Hard</v>
      </c>
      <c r="D20" s="6" t="str">
        <f>IFERROR(__xludf.DUMMYFUNCTION("""COMPUTED_VALUE"""),"Backtracking,Dynamic Programming,String")</f>
        <v>Backtracking,Dynamic Programming,String</v>
      </c>
      <c r="E20" s="6" t="str">
        <f>IFERROR(__xludf.DUMMYFUNCTION("""COMPUTED_VALUE"""),"Cloudera,Goldman Sachs,Databricks,Pocket Gems,Palantir Technologies,Coursera,Cruise Automation,Zulily,Houzz,Flipkart,ByteDance,Twitter,Oracle,Lyft,EBay,Apple,Airbnb,Uber,Bloomberg,Adobe,Facebook,Amazon,Microsoft,Alibaba,Google")</f>
        <v>Cloudera,Goldman Sachs,Databricks,Pocket Gems,Palantir Technologies,Coursera,Cruise Automation,Zulily,Houzz,Flipkart,ByteDance,Twitter,Oracle,Lyft,EBay,Apple,Airbnb,Uber,Bloomberg,Adobe,Facebook,Amazon,Microsoft,Alibaba,Google</v>
      </c>
      <c r="F20" s="6" t="str">
        <f>IFERROR(__xludf.DUMMYFUNCTION("""COMPUTED_VALUE"""),"Facebook,Amazon,Coursera,Microsoft,Apple,Google,Adobe,Goldman Sachs")</f>
        <v>Facebook,Amazon,Coursera,Microsoft,Apple,Google,Adobe,Goldman Sachs</v>
      </c>
      <c r="G20" s="6" t="str">
        <f>IFERROR(__xludf.DUMMYFUNCTION("""COMPUTED_VALUE"""),"Bloomberg,Uber,eBay,Databricks,Facebook,Amazon,Coursera,Microsoft,Apple,Google,Adobe,Goldman Sachs")</f>
        <v>Bloomberg,Uber,eBay,Databricks,Facebook,Amazon,Coursera,Microsoft,Apple,Google,Adobe,Goldman Sachs</v>
      </c>
      <c r="H20" s="6" t="str">
        <f>IFERROR(__xludf.DUMMYFUNCTION("""COMPUTED_VALUE"""),"Lyft,Oracle,Twitter,Pocket Gems,Cloudera,Airbnb,Bloomberg,Uber,eBay,Databricks,Facebook,Amazon,Coursera,Microsoft,Apple,Google,Adobe,Goldman Sachs")</f>
        <v>Lyft,Oracle,Twitter,Pocket Gems,Cloudera,Airbnb,Bloomberg,Uber,eBay,Databricks,Facebook,Amazon,Coursera,Microsoft,Apple,Google,Adobe,Goldman Sachs</v>
      </c>
      <c r="I20" s="6">
        <f>IFERROR(__xludf.DUMMYFUNCTION("""COMPUTED_VALUE"""),27.39)</f>
        <v>27.39</v>
      </c>
      <c r="J20" s="6" t="str">
        <f>IFERROR(__xludf.DUMMYFUNCTION("""COMPUTED_VALUE"""),"算法")</f>
        <v>算法</v>
      </c>
    </row>
    <row r="21">
      <c r="A21" s="6">
        <f>IFERROR(__xludf.DUMMYFUNCTION("""COMPUTED_VALUE"""),11.0)</f>
        <v>11</v>
      </c>
      <c r="B21" s="53" t="str">
        <f>IFERROR(__xludf.DUMMYFUNCTION("""COMPUTED_VALUE"""),"Container With Most Water")</f>
        <v>Container With Most Water</v>
      </c>
      <c r="C21" s="6" t="str">
        <f>IFERROR(__xludf.DUMMYFUNCTION("""COMPUTED_VALUE"""),"Medium")</f>
        <v>Medium</v>
      </c>
      <c r="D21" s="6" t="str">
        <f>IFERROR(__xludf.DUMMYFUNCTION("""COMPUTED_VALUE"""),"Two Pointers,Array")</f>
        <v>Two Pointers,Array</v>
      </c>
      <c r="E21" s="6" t="str">
        <f>IFERROR(__xludf.DUMMYFUNCTION("""COMPUTED_VALUE"""),"Flipkart,Tcs,Salesforce,Walmart Labs,ByteDance,VMware,Oracle,Lyft,Apple,Airbnb,Uber,Yahoo,Bloomberg,Adobe,Facebook,Amazon,Microsoft,Goldman Sachs,Google")</f>
        <v>Flipkart,Tcs,Salesforce,Walmart Labs,ByteDance,VMware,Oracle,Lyft,Apple,Airbnb,Uber,Yahoo,Bloomberg,Adobe,Facebook,Amazon,Microsoft,Goldman Sachs,Google</v>
      </c>
      <c r="F21" s="6" t="str">
        <f>IFERROR(__xludf.DUMMYFUNCTION("""COMPUTED_VALUE"""),"Amazon,Facebook,Microsoft,Goldman Sachs,Adobe,Google,Apple,Yahoo,Salesforce,tcs")</f>
        <v>Amazon,Facebook,Microsoft,Goldman Sachs,Adobe,Google,Apple,Yahoo,Salesforce,tcs</v>
      </c>
      <c r="G21" s="6" t="str">
        <f>IFERROR(__xludf.DUMMYFUNCTION("""COMPUTED_VALUE"""),"Walmart Labs,ByteDance,Flipkart,Bloomberg,Amazon,Facebook,Microsoft,Goldman Sachs,Adobe,Google,Apple,Yahoo,Salesforce,tcs")</f>
        <v>Walmart Labs,ByteDance,Flipkart,Bloomberg,Amazon,Facebook,Microsoft,Goldman Sachs,Adobe,Google,Apple,Yahoo,Salesforce,tcs</v>
      </c>
      <c r="H21" s="6" t="str">
        <f>IFERROR(__xludf.DUMMYFUNCTION("""COMPUTED_VALUE"""),"VMware,Walmart Labs,ByteDance,Flipkart,Bloomberg,Amazon,Facebook,Microsoft,Goldman Sachs,Adobe,Google,Apple,Yahoo,Salesforce,tcs")</f>
        <v>VMware,Walmart Labs,ByteDance,Flipkart,Bloomberg,Amazon,Facebook,Microsoft,Goldman Sachs,Adobe,Google,Apple,Yahoo,Salesforce,tcs</v>
      </c>
      <c r="I21" s="6">
        <f>IFERROR(__xludf.DUMMYFUNCTION("""COMPUTED_VALUE"""),52.84)</f>
        <v>52.84</v>
      </c>
      <c r="J21" s="6" t="str">
        <f>IFERROR(__xludf.DUMMYFUNCTION("""COMPUTED_VALUE"""),"算法")</f>
        <v>算法</v>
      </c>
    </row>
    <row r="22">
      <c r="A22" s="6">
        <f>IFERROR(__xludf.DUMMYFUNCTION("""COMPUTED_VALUE"""),12.0)</f>
        <v>12</v>
      </c>
      <c r="B22" s="53" t="str">
        <f>IFERROR(__xludf.DUMMYFUNCTION("""COMPUTED_VALUE"""),"Integer to Roman")</f>
        <v>Integer to Roman</v>
      </c>
      <c r="C22" s="6" t="str">
        <f>IFERROR(__xludf.DUMMYFUNCTION("""COMPUTED_VALUE"""),"Medium")</f>
        <v>Medium</v>
      </c>
      <c r="D22" s="6" t="str">
        <f>IFERROR(__xludf.DUMMYFUNCTION("""COMPUTED_VALUE"""),"String,Math")</f>
        <v>String,Math</v>
      </c>
      <c r="E22" s="6" t="str">
        <f>IFERROR(__xludf.DUMMYFUNCTION("""COMPUTED_VALUE"""),"Evernote,Opendoor,Salesforce,Paypal,Twitter,Oracle,BlackRock,Apple,Yahoo,SAP,Bloomberg,Adobe,Facebook,Amazon,LinkedIn,Microsoft,Google")</f>
        <v>Evernote,Opendoor,Salesforce,Paypal,Twitter,Oracle,BlackRock,Apple,Yahoo,SAP,Bloomberg,Adobe,Facebook,Amazon,LinkedIn,Microsoft,Google</v>
      </c>
      <c r="F22" s="6" t="str">
        <f>IFERROR(__xludf.DUMMYFUNCTION("""COMPUTED_VALUE"""),"Amazon,Microsoft,Bloomberg,Adobe,Google,Apple,Oracle")</f>
        <v>Amazon,Microsoft,Bloomberg,Adobe,Google,Apple,Oracle</v>
      </c>
      <c r="G22" s="6" t="str">
        <f>IFERROR(__xludf.DUMMYFUNCTION("""COMPUTED_VALUE"""),"Yahoo,Amazon,Microsoft,Bloomberg,Adobe,Google,Apple,Oracle")</f>
        <v>Yahoo,Amazon,Microsoft,Bloomberg,Adobe,Google,Apple,Oracle</v>
      </c>
      <c r="H22" s="6" t="str">
        <f>IFERROR(__xludf.DUMMYFUNCTION("""COMPUTED_VALUE"""),"LinkedIn,Evernote,Paypal,Facebook,BlackRock,Twitter,Yahoo,Amazon,Microsoft,Bloomberg,Adobe,Google,Apple,Oracle")</f>
        <v>LinkedIn,Evernote,Paypal,Facebook,BlackRock,Twitter,Yahoo,Amazon,Microsoft,Bloomberg,Adobe,Google,Apple,Oracle</v>
      </c>
      <c r="I22" s="6">
        <f>IFERROR(__xludf.DUMMYFUNCTION("""COMPUTED_VALUE"""),57.0)</f>
        <v>57</v>
      </c>
      <c r="J22" s="6" t="str">
        <f>IFERROR(__xludf.DUMMYFUNCTION("""COMPUTED_VALUE"""),"算法")</f>
        <v>算法</v>
      </c>
    </row>
    <row r="23">
      <c r="A23" s="6">
        <f>IFERROR(__xludf.DUMMYFUNCTION("""COMPUTED_VALUE"""),13.0)</f>
        <v>13</v>
      </c>
      <c r="B23" s="53" t="str">
        <f>IFERROR(__xludf.DUMMYFUNCTION("""COMPUTED_VALUE"""),"Roman to Integer")</f>
        <v>Roman to Integer</v>
      </c>
      <c r="C23" s="6" t="str">
        <f>IFERROR(__xludf.DUMMYFUNCTION("""COMPUTED_VALUE"""),"Easy")</f>
        <v>Easy</v>
      </c>
      <c r="D23" s="6" t="str">
        <f>IFERROR(__xludf.DUMMYFUNCTION("""COMPUTED_VALUE"""),"String,Math")</f>
        <v>String,Math</v>
      </c>
      <c r="E23" s="6" t="str">
        <f>IFERROR(__xludf.DUMMYFUNCTION("""COMPUTED_VALUE"""),"Tcs,Roblox,EBay,Qualtrics,Zillow,Oracle,Apple,Uber,Yahoo,Bloomberg,Adobe,Facebook,Amazon,LinkedIn,Microsoft,Goldman Sachs,Google")</f>
        <v>Tcs,Roblox,EBay,Qualtrics,Zillow,Oracle,Apple,Uber,Yahoo,Bloomberg,Adobe,Facebook,Amazon,LinkedIn,Microsoft,Goldman Sachs,Google</v>
      </c>
      <c r="F23" s="6" t="str">
        <f>IFERROR(__xludf.DUMMYFUNCTION("""COMPUTED_VALUE"""),"Roblox,Amazon,Microsoft,Adobe,Apple,Qualtrics,Oracle,Google,Uber,Goldman Sachs,eBay")</f>
        <v>Roblox,Amazon,Microsoft,Adobe,Apple,Qualtrics,Oracle,Google,Uber,Goldman Sachs,eBay</v>
      </c>
      <c r="G23" s="6" t="str">
        <f>IFERROR(__xludf.DUMMYFUNCTION("""COMPUTED_VALUE"""),"Facebook,Yahoo,Bloomberg,Roblox,Amazon,Microsoft,Adobe,Apple,Qualtrics,Oracle,Google,Uber,Goldman Sachs,eBay")</f>
        <v>Facebook,Yahoo,Bloomberg,Roblox,Amazon,Microsoft,Adobe,Apple,Qualtrics,Oracle,Google,Uber,Goldman Sachs,eBay</v>
      </c>
      <c r="H23" s="6" t="str">
        <f>IFERROR(__xludf.DUMMYFUNCTION("""COMPUTED_VALUE"""),"LinkedIn,tcs,Facebook,Yahoo,Bloomberg,Roblox,Amazon,Microsoft,Adobe,Apple,Qualtrics,Oracle,Google,Uber,Goldman Sachs,eBay")</f>
        <v>LinkedIn,tcs,Facebook,Yahoo,Bloomberg,Roblox,Amazon,Microsoft,Adobe,Apple,Qualtrics,Oracle,Google,Uber,Goldman Sachs,eBay</v>
      </c>
      <c r="I23" s="6">
        <f>IFERROR(__xludf.DUMMYFUNCTION("""COMPUTED_VALUE"""),56.94)</f>
        <v>56.94</v>
      </c>
      <c r="J23" s="6" t="str">
        <f>IFERROR(__xludf.DUMMYFUNCTION("""COMPUTED_VALUE"""),"算法")</f>
        <v>算法</v>
      </c>
    </row>
    <row r="24">
      <c r="A24" s="6">
        <f>IFERROR(__xludf.DUMMYFUNCTION("""COMPUTED_VALUE"""),14.0)</f>
        <v>14</v>
      </c>
      <c r="B24" s="53" t="str">
        <f>IFERROR(__xludf.DUMMYFUNCTION("""COMPUTED_VALUE"""),"Longest Common Prefix")</f>
        <v>Longest Common Prefix</v>
      </c>
      <c r="C24" s="6" t="str">
        <f>IFERROR(__xludf.DUMMYFUNCTION("""COMPUTED_VALUE"""),"Easy")</f>
        <v>Easy</v>
      </c>
      <c r="D24" s="6" t="str">
        <f>IFERROR(__xludf.DUMMYFUNCTION("""COMPUTED_VALUE"""),"String")</f>
        <v>String</v>
      </c>
      <c r="E24" s="6" t="str">
        <f>IFERROR(__xludf.DUMMYFUNCTION("""COMPUTED_VALUE"""),"Paypal,EBay,Yahoo,Pinterest,IXL,Citrix,Splunk,Twilio,Visa,Quora,Snapchat,Yelp,Oracle,IBM,Cisco,Apple,Bloomberg,Adobe,Facebook,Amazon,Microsoft,Alibaba,Google")</f>
        <v>Paypal,EBay,Yahoo,Pinterest,IXL,Citrix,Splunk,Twilio,Visa,Quora,Snapchat,Yelp,Oracle,IBM,Cisco,Apple,Bloomberg,Adobe,Facebook,Amazon,Microsoft,Alibaba,Google</v>
      </c>
      <c r="F24" s="6" t="str">
        <f>IFERROR(__xludf.DUMMYFUNCTION("""COMPUTED_VALUE"""),"Facebook,Amazon,Apple,Bloomberg,Microsoft,Adobe,Yahoo,Google")</f>
        <v>Facebook,Amazon,Apple,Bloomberg,Microsoft,Adobe,Yahoo,Google</v>
      </c>
      <c r="G24" s="6" t="str">
        <f>IFERROR(__xludf.DUMMYFUNCTION("""COMPUTED_VALUE"""),"eBay,Oracle,Facebook,Amazon,Apple,Bloomberg,Microsoft,Adobe,Yahoo,Google")</f>
        <v>eBay,Oracle,Facebook,Amazon,Apple,Bloomberg,Microsoft,Adobe,Yahoo,Google</v>
      </c>
      <c r="H24" s="6" t="str">
        <f>IFERROR(__xludf.DUMMYFUNCTION("""COMPUTED_VALUE"""),"Quora,IXL,Cisco,Snapchat,IBM,Splunk,Paypal,Twilio,Yelp,eBay,Oracle,Facebook,Amazon,Apple,Bloomberg,Microsoft,Adobe,Yahoo,Google")</f>
        <v>Quora,IXL,Cisco,Snapchat,IBM,Splunk,Paypal,Twilio,Yelp,eBay,Oracle,Facebook,Amazon,Apple,Bloomberg,Microsoft,Adobe,Yahoo,Google</v>
      </c>
      <c r="I24" s="6">
        <f>IFERROR(__xludf.DUMMYFUNCTION("""COMPUTED_VALUE"""),36.16)</f>
        <v>36.16</v>
      </c>
      <c r="J24" s="6" t="str">
        <f>IFERROR(__xludf.DUMMYFUNCTION("""COMPUTED_VALUE"""),"算法")</f>
        <v>算法</v>
      </c>
    </row>
    <row r="25">
      <c r="A25" s="6">
        <f>IFERROR(__xludf.DUMMYFUNCTION("""COMPUTED_VALUE"""),15.0)</f>
        <v>15</v>
      </c>
      <c r="B25" s="53" t="str">
        <f>IFERROR(__xludf.DUMMYFUNCTION("""COMPUTED_VALUE"""),"3Sum")</f>
        <v>3Sum</v>
      </c>
      <c r="C25" s="6" t="str">
        <f>IFERROR(__xludf.DUMMYFUNCTION("""COMPUTED_VALUE"""),"Medium")</f>
        <v>Medium</v>
      </c>
      <c r="D25" s="6" t="str">
        <f>IFERROR(__xludf.DUMMYFUNCTION("""COMPUTED_VALUE"""),"Two Pointers,Array")</f>
        <v>Two Pointers,Array</v>
      </c>
      <c r="E25" s="6" t="str">
        <f>IFERROR(__xludf.DUMMYFUNCTION("""COMPUTED_VALUE"""),"Akamai,Tesla,Hulu,Infosys,ServiceNow,Samsung,DoorDash,Postmates,Akuna Capital,Square,Qualtrics,Coursera,Citrix,Splunk,ByteDance,Salesforce,Groupon,Visa,VMware,Citadel,Quora,Walmart Labs,Snapchat,Works Applications,Paypal,Expedia,Zoho,Oracle,IBM,Cisco,Math"&amp;"works,Yandex,EBay,Baidu,Apple,Uber,Yahoo,Tencent,Bloomberg,Adobe,Facebook,Amazon,Microsoft,Alibaba,Goldman Sachs,Google")</f>
        <v>Akamai,Tesla,Hulu,Infosys,ServiceNow,Samsung,DoorDash,Postmates,Akuna Capital,Square,Qualtrics,Coursera,Citrix,Splunk,ByteDance,Salesforce,Groupon,Visa,VMware,Citadel,Quora,Walmart Labs,Snapchat,Works Applications,Paypal,Expedia,Zoho,Oracle,IBM,Cisco,Mathworks,Yandex,EBay,Baidu,Apple,Uber,Yahoo,Tencent,Bloomberg,Adobe,Facebook,Amazon,Microsoft,Alibaba,Goldman Sachs,Google</v>
      </c>
      <c r="F25" s="6" t="str">
        <f>IFERROR(__xludf.DUMMYFUNCTION("""COMPUTED_VALUE"""),"Amazon,Facebook,Microsoft,Bloomberg,Apple,Adobe,VMware,Google,Tesla,Goldman Sachs,Cisco,Oracle")</f>
        <v>Amazon,Facebook,Microsoft,Bloomberg,Apple,Adobe,VMware,Google,Tesla,Goldman Sachs,Cisco,Oracle</v>
      </c>
      <c r="G25" s="6" t="str">
        <f>IFERROR(__xludf.DUMMYFUNCTION("""COMPUTED_VALUE"""),"Uber,Qualtrics,Walmart Labs,ByteDance,Citrix,Amazon,Facebook,Microsoft,Bloomberg,Apple,Adobe,VMware,Google,Tesla,Goldman Sachs,Cisco,Oracle")</f>
        <v>Uber,Qualtrics,Walmart Labs,ByteDance,Citrix,Amazon,Facebook,Microsoft,Bloomberg,Apple,Adobe,VMware,Google,Tesla,Goldman Sachs,Cisco,Oracle</v>
      </c>
      <c r="H25" s="6" t="str">
        <f>IFERROR(__xludf.DUMMYFUNCTION("""COMPUTED_VALUE"""),"Visa,eBay,Yahoo,Mathworks,IBM,DoorDash,Citadel,Akamai,Alibaba,Tencent,Samsung,Square,Paypal,ServiceNow,Hulu,Splunk,Postmates,Groupon,Zoho,Infosys,Works Applications,Uber,Qualtrics,Walmart Labs,ByteDance,Citrix,Amazon,Facebook,Microsoft,Bloomberg,Apple,Ado"&amp;"be,VMware,Google,Tesla,Goldman Sachs,Cisco,Oracle")</f>
        <v>Visa,eBay,Yahoo,Mathworks,IBM,DoorDash,Citadel,Akamai,Alibaba,Tencent,Samsung,Square,Paypal,ServiceNow,Hulu,Splunk,Postmates,Groupon,Zoho,Infosys,Works Applications,Uber,Qualtrics,Walmart Labs,ByteDance,Citrix,Amazon,Facebook,Microsoft,Bloomberg,Apple,Adobe,VMware,Google,Tesla,Goldman Sachs,Cisco,Oracle</v>
      </c>
      <c r="I25" s="6">
        <f>IFERROR(__xludf.DUMMYFUNCTION("""COMPUTED_VALUE"""),28.14)</f>
        <v>28.14</v>
      </c>
      <c r="J25" s="6" t="str">
        <f>IFERROR(__xludf.DUMMYFUNCTION("""COMPUTED_VALUE"""),"算法")</f>
        <v>算法</v>
      </c>
    </row>
    <row r="26">
      <c r="A26" s="6">
        <f>IFERROR(__xludf.DUMMYFUNCTION("""COMPUTED_VALUE"""),16.0)</f>
        <v>16</v>
      </c>
      <c r="B26" s="53" t="str">
        <f>IFERROR(__xludf.DUMMYFUNCTION("""COMPUTED_VALUE"""),"3Sum Closest")</f>
        <v>3Sum Closest</v>
      </c>
      <c r="C26" s="6" t="str">
        <f>IFERROR(__xludf.DUMMYFUNCTION("""COMPUTED_VALUE"""),"Medium")</f>
        <v>Medium</v>
      </c>
      <c r="D26" s="6" t="str">
        <f>IFERROR(__xludf.DUMMYFUNCTION("""COMPUTED_VALUE"""),"Two Pointers,Array")</f>
        <v>Two Pointers,Array</v>
      </c>
      <c r="E26" s="6" t="str">
        <f>IFERROR(__xludf.DUMMYFUNCTION("""COMPUTED_VALUE"""),"VMware,Yandex,Apple,Uber,SAP,Bloomberg,Adobe,Facebook,Amazon,Microsoft,Goldman Sachs,Google")</f>
        <v>VMware,Yandex,Apple,Uber,SAP,Bloomberg,Adobe,Facebook,Amazon,Microsoft,Goldman Sachs,Google</v>
      </c>
      <c r="F26" s="6" t="str">
        <f>IFERROR(__xludf.DUMMYFUNCTION("""COMPUTED_VALUE"""),"Amazon,Apple,Facebook,Google,Bloomberg")</f>
        <v>Amazon,Apple,Facebook,Google,Bloomberg</v>
      </c>
      <c r="G26" s="6" t="str">
        <f>IFERROR(__xludf.DUMMYFUNCTION("""COMPUTED_VALUE"""),"Adobe,Uber,Amazon,Apple,Facebook,Google,Bloomberg")</f>
        <v>Adobe,Uber,Amazon,Apple,Facebook,Google,Bloomberg</v>
      </c>
      <c r="H26" s="6" t="str">
        <f>IFERROR(__xludf.DUMMYFUNCTION("""COMPUTED_VALUE"""),"Microsoft,Goldman Sachs,Adobe,Uber,Amazon,Apple,Facebook,Google,Bloomberg")</f>
        <v>Microsoft,Goldman Sachs,Adobe,Uber,Amazon,Apple,Facebook,Google,Bloomberg</v>
      </c>
      <c r="I26" s="6">
        <f>IFERROR(__xludf.DUMMYFUNCTION("""COMPUTED_VALUE"""),46.32)</f>
        <v>46.32</v>
      </c>
      <c r="J26" s="6" t="str">
        <f>IFERROR(__xludf.DUMMYFUNCTION("""COMPUTED_VALUE"""),"算法")</f>
        <v>算法</v>
      </c>
    </row>
    <row r="27">
      <c r="A27" s="6">
        <f>IFERROR(__xludf.DUMMYFUNCTION("""COMPUTED_VALUE"""),17.0)</f>
        <v>17</v>
      </c>
      <c r="B27" s="53" t="str">
        <f>IFERROR(__xludf.DUMMYFUNCTION("""COMPUTED_VALUE"""),"Letter Combinations of a Phone Number")</f>
        <v>Letter Combinations of a Phone Number</v>
      </c>
      <c r="C27" s="6" t="str">
        <f>IFERROR(__xludf.DUMMYFUNCTION("""COMPUTED_VALUE"""),"Medium")</f>
        <v>Medium</v>
      </c>
      <c r="D27" s="6" t="str">
        <f>IFERROR(__xludf.DUMMYFUNCTION("""COMPUTED_VALUE"""),"Recursion,Depth First Search,Backtracking,String")</f>
        <v>Recursion,Depth First Search,Backtracking,String</v>
      </c>
      <c r="E27" s="6" t="str">
        <f>IFERROR(__xludf.DUMMYFUNCTION("""COMPUTED_VALUE"""),"Duolingo,Tesla,Snapchat,Twilio,Qualtrics,Databricks,Capital One,Samsung,Nutanix,Quip (Salesforce),Square,Pinterest,Atlassian,Roblox,Salesforce,VMware,Walmart Labs,Dropbox,JPMorgan,ServiceNow,Oracle,Lyft,Cisco,EBay,Apple,Airbnb,Uber,Yahoo,Morgan Stanley,Bl"&amp;"oomberg,Facebook,Amazon,Microsoft,Goldman Sachs,Google")</f>
        <v>Duolingo,Tesla,Snapchat,Twilio,Qualtrics,Databricks,Capital One,Samsung,Nutanix,Quip (Salesforce),Square,Pinterest,Atlassian,Roblox,Salesforce,VMware,Walmart Labs,Dropbox,JPMorgan,ServiceNow,Oracle,Lyft,Cisco,EBay,Apple,Airbnb,Uber,Yahoo,Morgan Stanley,Bloomberg,Facebook,Amazon,Microsoft,Goldman Sachs,Google</v>
      </c>
      <c r="F27" s="6" t="str">
        <f>IFERROR(__xludf.DUMMYFUNCTION("""COMPUTED_VALUE"""),"Amazon,Microsoft,Capital One,Twilio,Facebook,eBay,Google,Uber,Apple,Oracle,Qualtrics,JPMorgan,Morgan Stanley,Tesla,Samsung,Bloomberg,VMware")</f>
        <v>Amazon,Microsoft,Capital One,Twilio,Facebook,eBay,Google,Uber,Apple,Oracle,Qualtrics,JPMorgan,Morgan Stanley,Tesla,Samsung,Bloomberg,VMware</v>
      </c>
      <c r="G27" s="6" t="str">
        <f>IFERROR(__xludf.DUMMYFUNCTION("""COMPUTED_VALUE"""),"Atlassian,Walmart Labs,Databricks,Goldman Sachs,ServiceNow,Amazon,Microsoft,Capital One,Twilio,Facebook,eBay,Google,Uber,Apple,Oracle,Qualtrics,JPMorgan,Morgan Stanley,Tesla,Samsung,Bloomberg,VMware")</f>
        <v>Atlassian,Walmart Labs,Databricks,Goldman Sachs,ServiceNow,Amazon,Microsoft,Capital One,Twilio,Facebook,eBay,Google,Uber,Apple,Oracle,Qualtrics,JPMorgan,Morgan Stanley,Tesla,Samsung,Bloomberg,VMware</v>
      </c>
      <c r="H27" s="6" t="str">
        <f>IFERROR(__xludf.DUMMYFUNCTION("""COMPUTED_VALUE"""),"Salesforce,Dropbox,Roblox,Nutanix,Snapchat,Lyft,Square,Yahoo,Quip (Salesforce),Duolingo,Atlassian,Walmart Labs,Databricks,Goldman Sachs,ServiceNow,Amazon,Microsoft,Capital One,Twilio,Facebook,eBay,Google,Uber,Apple,Oracle,Qualtrics,JPMorgan,Morgan Stanley"&amp;",Tesla,Samsung,Bloomberg,VMware")</f>
        <v>Salesforce,Dropbox,Roblox,Nutanix,Snapchat,Lyft,Square,Yahoo,Quip (Salesforce),Duolingo,Atlassian,Walmart Labs,Databricks,Goldman Sachs,ServiceNow,Amazon,Microsoft,Capital One,Twilio,Facebook,eBay,Google,Uber,Apple,Oracle,Qualtrics,JPMorgan,Morgan Stanley,Tesla,Samsung,Bloomberg,VMware</v>
      </c>
      <c r="I27" s="6">
        <f>IFERROR(__xludf.DUMMYFUNCTION("""COMPUTED_VALUE"""),49.34)</f>
        <v>49.34</v>
      </c>
      <c r="J27" s="6" t="str">
        <f>IFERROR(__xludf.DUMMYFUNCTION("""COMPUTED_VALUE"""),"算法")</f>
        <v>算法</v>
      </c>
    </row>
    <row r="28">
      <c r="A28" s="6">
        <f>IFERROR(__xludf.DUMMYFUNCTION("""COMPUTED_VALUE"""),18.0)</f>
        <v>18</v>
      </c>
      <c r="B28" s="53" t="str">
        <f>IFERROR(__xludf.DUMMYFUNCTION("""COMPUTED_VALUE"""),"4Sum")</f>
        <v>4Sum</v>
      </c>
      <c r="C28" s="6" t="str">
        <f>IFERROR(__xludf.DUMMYFUNCTION("""COMPUTED_VALUE"""),"Medium")</f>
        <v>Medium</v>
      </c>
      <c r="D28" s="6" t="str">
        <f>IFERROR(__xludf.DUMMYFUNCTION("""COMPUTED_VALUE"""),"Two Pointers,Hash Table,Array")</f>
        <v>Two Pointers,Hash Table,Array</v>
      </c>
      <c r="E28" s="6" t="str">
        <f>IFERROR(__xludf.DUMMYFUNCTION("""COMPUTED_VALUE"""),"Goldman Sachs,Apple,Yahoo,Bloomberg,Adobe,Facebook,Amazon,Microsoft,Google")</f>
        <v>Goldman Sachs,Apple,Yahoo,Bloomberg,Adobe,Facebook,Amazon,Microsoft,Google</v>
      </c>
      <c r="F28" s="6" t="str">
        <f>IFERROR(__xludf.DUMMYFUNCTION("""COMPUTED_VALUE"""),"Amazon,Bloomberg")</f>
        <v>Amazon,Bloomberg</v>
      </c>
      <c r="G28" s="6" t="str">
        <f>IFERROR(__xludf.DUMMYFUNCTION("""COMPUTED_VALUE"""),"Adobe,Apple,Goldman Sachs,Amazon,Bloomberg")</f>
        <v>Adobe,Apple,Goldman Sachs,Amazon,Bloomberg</v>
      </c>
      <c r="H28" s="6" t="str">
        <f>IFERROR(__xludf.DUMMYFUNCTION("""COMPUTED_VALUE"""),"Google,Microsoft,Yahoo,Adobe,Apple,Goldman Sachs,Amazon,Bloomberg")</f>
        <v>Google,Microsoft,Yahoo,Adobe,Apple,Goldman Sachs,Amazon,Bloomberg</v>
      </c>
      <c r="I28" s="6">
        <f>IFERROR(__xludf.DUMMYFUNCTION("""COMPUTED_VALUE"""),34.99)</f>
        <v>34.99</v>
      </c>
      <c r="J28" s="6" t="str">
        <f>IFERROR(__xludf.DUMMYFUNCTION("""COMPUTED_VALUE"""),"算法")</f>
        <v>算法</v>
      </c>
    </row>
    <row r="29">
      <c r="A29" s="6">
        <f>IFERROR(__xludf.DUMMYFUNCTION("""COMPUTED_VALUE"""),19.0)</f>
        <v>19</v>
      </c>
      <c r="B29" s="53" t="str">
        <f>IFERROR(__xludf.DUMMYFUNCTION("""COMPUTED_VALUE"""),"Remove Nth Node From End of List")</f>
        <v>Remove Nth Node From End of List</v>
      </c>
      <c r="C29" s="6" t="str">
        <f>IFERROR(__xludf.DUMMYFUNCTION("""COMPUTED_VALUE"""),"Medium")</f>
        <v>Medium</v>
      </c>
      <c r="D29" s="6" t="str">
        <f>IFERROR(__xludf.DUMMYFUNCTION("""COMPUTED_VALUE"""),"Two Pointers,Linked List")</f>
        <v>Two Pointers,Linked List</v>
      </c>
      <c r="E29" s="6" t="str">
        <f>IFERROR(__xludf.DUMMYFUNCTION("""COMPUTED_VALUE"""),"ByteDance,VMware,Oracle,Cisco,Yandex,Apple,Bloomberg,Adobe,Facebook,Amazon,Microsoft,Goldman Sachs,Google")</f>
        <v>ByteDance,VMware,Oracle,Cisco,Yandex,Apple,Bloomberg,Adobe,Facebook,Amazon,Microsoft,Goldman Sachs,Google</v>
      </c>
      <c r="F29" s="6" t="str">
        <f>IFERROR(__xludf.DUMMYFUNCTION("""COMPUTED_VALUE"""),"Facebook,Amazon,Microsoft,Bloomberg,Apple")</f>
        <v>Facebook,Amazon,Microsoft,Bloomberg,Apple</v>
      </c>
      <c r="G29" s="6" t="str">
        <f>IFERROR(__xludf.DUMMYFUNCTION("""COMPUTED_VALUE"""),"ByteDance,Goldman Sachs,Facebook,Amazon,Microsoft,Bloomberg,Apple")</f>
        <v>ByteDance,Goldman Sachs,Facebook,Amazon,Microsoft,Bloomberg,Apple</v>
      </c>
      <c r="H29" s="6" t="str">
        <f>IFERROR(__xludf.DUMMYFUNCTION("""COMPUTED_VALUE"""),"Oracle,Yandex,Google,Adobe,ByteDance,Goldman Sachs,Facebook,Amazon,Microsoft,Bloomberg,Apple")</f>
        <v>Oracle,Yandex,Google,Adobe,ByteDance,Goldman Sachs,Facebook,Amazon,Microsoft,Bloomberg,Apple</v>
      </c>
      <c r="I29" s="6">
        <f>IFERROR(__xludf.DUMMYFUNCTION("""COMPUTED_VALUE"""),35.79)</f>
        <v>35.79</v>
      </c>
      <c r="J29" s="6" t="str">
        <f>IFERROR(__xludf.DUMMYFUNCTION("""COMPUTED_VALUE"""),"算法")</f>
        <v>算法</v>
      </c>
    </row>
    <row r="30">
      <c r="A30" s="6">
        <f>IFERROR(__xludf.DUMMYFUNCTION("""COMPUTED_VALUE"""),20.0)</f>
        <v>20</v>
      </c>
      <c r="B30" s="53" t="str">
        <f>IFERROR(__xludf.DUMMYFUNCTION("""COMPUTED_VALUE"""),"Valid Parentheses")</f>
        <v>Valid Parentheses</v>
      </c>
      <c r="C30" s="6" t="str">
        <f>IFERROR(__xludf.DUMMYFUNCTION("""COMPUTED_VALUE"""),"Easy")</f>
        <v>Easy</v>
      </c>
      <c r="D30" s="6" t="str">
        <f>IFERROR(__xludf.DUMMYFUNCTION("""COMPUTED_VALUE"""),"Stack,String")</f>
        <v>Stack,String</v>
      </c>
      <c r="E30" s="6" t="str">
        <f>IFERROR(__xludf.DUMMYFUNCTION("""COMPUTED_VALUE"""),"Flipkart,Splunk,ByteDance,Qualcomm,LiveRamp,Netflix,Epic Systems,Riot Games,Tesla,Blizzard,DoorDash,Postmates,Akuna Capital,Barclays,Zenefits,Atlassian,Audible,Twilio,Salesforce,Intel,Visa,VMware,Citadel,Walmart Labs,GoDaddy,JPMorgan,Zillow,Paypal,Twitter"&amp;",ServiceNow,Expedia,Oracle,Spotify,Intuit,IBM,Lyft,Cisco,Mathworks,Yandex,EBay,Apple,Airbnb,Uber,Yahoo,Samsung,Tencent,SAP,Morgan Stanley,Bloomberg,Adobe,Facebook,Amazon,LinkedIn,Microsoft,Goldman Sachs,Google")</f>
        <v>Flipkart,Splunk,ByteDance,Qualcomm,LiveRamp,Netflix,Epic Systems,Riot Games,Tesla,Blizzard,DoorDash,Postmates,Akuna Capital,Barclays,Zenefits,Atlassian,Audible,Twilio,Salesforce,Intel,Visa,VMware,Citadel,Walmart Labs,GoDaddy,JPMorgan,Zillow,Paypal,Twitter,ServiceNow,Expedia,Oracle,Spotify,Intuit,IBM,Lyft,Cisco,Mathworks,Yandex,EBay,Apple,Airbnb,Uber,Yahoo,Samsung,Tencent,SAP,Morgan Stanley,Bloomberg,Adobe,Facebook,Amazon,LinkedIn,Microsoft,Goldman Sachs,Google</v>
      </c>
      <c r="F30" s="6" t="str">
        <f>IFERROR(__xludf.DUMMYFUNCTION("""COMPUTED_VALUE"""),"Amazon,Bloomberg,Apple,Facebook,Microsoft,Expedia,Google,Oracle,Spotify,IBM,LinkedIn,Goldman Sachs,Intuit,Paypal,eBay,ServiceNow,Qualcomm,Zillow,JPMorgan,ByteDance")</f>
        <v>Amazon,Bloomberg,Apple,Facebook,Microsoft,Expedia,Google,Oracle,Spotify,IBM,LinkedIn,Goldman Sachs,Intuit,Paypal,eBay,ServiceNow,Qualcomm,Zillow,JPMorgan,ByteDance</v>
      </c>
      <c r="G30" s="6" t="str">
        <f>IFERROR(__xludf.DUMMYFUNCTION("""COMPUTED_VALUE"""),"Citadel,Tesla,VMware,Adobe,Yahoo,Lyft,Flipkart,Blizzard,Barclays,Atlassian,Mathworks,Morgan Stanley,Visa,Salesforce,Amazon,Bloomberg,Apple,Facebook,Microsoft,Expedia,Google,Oracle,Spotify,IBM,LinkedIn,Goldman Sachs,Intuit,Paypal,eBay,ServiceNow,Qualcomm,Z"&amp;"illow,JPMorgan,ByteDance")</f>
        <v>Citadel,Tesla,VMware,Adobe,Yahoo,Lyft,Flipkart,Blizzard,Barclays,Atlassian,Mathworks,Morgan Stanley,Visa,Salesforce,Amazon,Bloomberg,Apple,Facebook,Microsoft,Expedia,Google,Oracle,Spotify,IBM,LinkedIn,Goldman Sachs,Intuit,Paypal,eBay,ServiceNow,Qualcomm,Zillow,JPMorgan,ByteDance</v>
      </c>
      <c r="H30" s="6" t="str">
        <f>IFERROR(__xludf.DUMMYFUNCTION("""COMPUTED_VALUE"""),"Uber,Yandex,Cisco,Intel,Twitter,Riot Games,GoDaddy,Walmart Labs,Audible,Epic Systems,SAP,LiveRamp,Splunk,Airbnb,Zenefits,Citadel,Tesla,VMware,Adobe,Yahoo,Lyft,Flipkart,Blizzard,Barclays,Atlassian,Mathworks,Morgan Stanley,Visa,Salesforce,Amazon,Bloomberg,A"&amp;"pple,Facebook,Microsoft,Expedia,Google,Oracle,Spotify,IBM,LinkedIn,Goldman Sachs,Intuit,Paypal,eBay,ServiceNow,Qualcomm,Zillow,JPMorgan,ByteDance")</f>
        <v>Uber,Yandex,Cisco,Intel,Twitter,Riot Games,GoDaddy,Walmart Labs,Audible,Epic Systems,SAP,LiveRamp,Splunk,Airbnb,Zenefits,Citadel,Tesla,VMware,Adobe,Yahoo,Lyft,Flipkart,Blizzard,Barclays,Atlassian,Mathworks,Morgan Stanley,Visa,Salesforce,Amazon,Bloomberg,Apple,Facebook,Microsoft,Expedia,Google,Oracle,Spotify,IBM,LinkedIn,Goldman Sachs,Intuit,Paypal,eBay,ServiceNow,Qualcomm,Zillow,JPMorgan,ByteDance</v>
      </c>
      <c r="I30" s="6">
        <f>IFERROR(__xludf.DUMMYFUNCTION("""COMPUTED_VALUE"""),39.93)</f>
        <v>39.93</v>
      </c>
      <c r="J30" s="6" t="str">
        <f>IFERROR(__xludf.DUMMYFUNCTION("""COMPUTED_VALUE"""),"算法")</f>
        <v>算法</v>
      </c>
    </row>
    <row r="31">
      <c r="A31" s="6">
        <f>IFERROR(__xludf.DUMMYFUNCTION("""COMPUTED_VALUE"""),21.0)</f>
        <v>21</v>
      </c>
      <c r="B31" s="53" t="str">
        <f>IFERROR(__xludf.DUMMYFUNCTION("""COMPUTED_VALUE"""),"Merge Two Sorted Lists")</f>
        <v>Merge Two Sorted Lists</v>
      </c>
      <c r="C31" s="6" t="str">
        <f>IFERROR(__xludf.DUMMYFUNCTION("""COMPUTED_VALUE"""),"Easy")</f>
        <v>Easy</v>
      </c>
      <c r="D31" s="6" t="str">
        <f>IFERROR(__xludf.DUMMYFUNCTION("""COMPUTED_VALUE"""),"Recursion,Linked List")</f>
        <v>Recursion,Linked List</v>
      </c>
      <c r="E31" s="6" t="str">
        <f>IFERROR(__xludf.DUMMYFUNCTION("""COMPUTED_VALUE"""),"Wish,IBM,Arista Networks,Atlassian,ByteDance,Capital One,Intel,Visa,VMware,Walmart Labs,Indeed,Paypal,Oracle,Lyft,Cisco,Yandex,Huawei,EBay,Apple,Airbnb,Uber,Yahoo,Samsung,Tencent,Bloomberg,Adobe,Facebook,Amazon,LinkedIn,Microsoft,Alibaba,Google")</f>
        <v>Wish,IBM,Arista Networks,Atlassian,ByteDance,Capital One,Intel,Visa,VMware,Walmart Labs,Indeed,Paypal,Oracle,Lyft,Cisco,Yandex,Huawei,EBay,Apple,Airbnb,Uber,Yahoo,Samsung,Tencent,Bloomberg,Adobe,Facebook,Amazon,LinkedIn,Microsoft,Alibaba,Google</v>
      </c>
      <c r="F31" s="6" t="str">
        <f>IFERROR(__xludf.DUMMYFUNCTION("""COMPUTED_VALUE"""),"Amazon,Capital One,Adobe,Facebook,Bloomberg,Microsoft,Oracle,LinkedIn,Uber,VMware,Google,IBM,ByteDance")</f>
        <v>Amazon,Capital One,Adobe,Facebook,Bloomberg,Microsoft,Oracle,LinkedIn,Uber,VMware,Google,IBM,ByteDance</v>
      </c>
      <c r="G31" s="6" t="str">
        <f>IFERROR(__xludf.DUMMYFUNCTION("""COMPUTED_VALUE"""),"Apple,Yandex,Yahoo,Samsung,eBay,Amazon,Capital One,Adobe,Facebook,Bloomberg,Microsoft,Oracle,LinkedIn,Uber,VMware,Google,IBM,ByteDance")</f>
        <v>Apple,Yandex,Yahoo,Samsung,eBay,Amazon,Capital One,Adobe,Facebook,Bloomberg,Microsoft,Oracle,LinkedIn,Uber,VMware,Google,IBM,ByteDance</v>
      </c>
      <c r="H31" s="6" t="str">
        <f>IFERROR(__xludf.DUMMYFUNCTION("""COMPUTED_VALUE"""),"Tencent,Arista Networks,Indeed,Intel,Cisco,Lyft,Atlassian,Wish,Apple,Yandex,Yahoo,Samsung,eBay,Amazon,Capital One,Adobe,Facebook,Bloomberg,Microsoft,Oracle,LinkedIn,Uber,VMware,Google,IBM,ByteDance")</f>
        <v>Tencent,Arista Networks,Indeed,Intel,Cisco,Lyft,Atlassian,Wish,Apple,Yandex,Yahoo,Samsung,eBay,Amazon,Capital One,Adobe,Facebook,Bloomberg,Microsoft,Oracle,LinkedIn,Uber,VMware,Google,IBM,ByteDance</v>
      </c>
      <c r="I31" s="6">
        <f>IFERROR(__xludf.DUMMYFUNCTION("""COMPUTED_VALUE"""),56.23)</f>
        <v>56.23</v>
      </c>
      <c r="J31" s="6" t="str">
        <f>IFERROR(__xludf.DUMMYFUNCTION("""COMPUTED_VALUE"""),"算法")</f>
        <v>算法</v>
      </c>
    </row>
    <row r="32">
      <c r="A32" s="6">
        <f>IFERROR(__xludf.DUMMYFUNCTION("""COMPUTED_VALUE"""),22.0)</f>
        <v>22</v>
      </c>
      <c r="B32" s="53" t="str">
        <f>IFERROR(__xludf.DUMMYFUNCTION("""COMPUTED_VALUE"""),"Generate Parentheses")</f>
        <v>Generate Parentheses</v>
      </c>
      <c r="C32" s="6" t="str">
        <f>IFERROR(__xludf.DUMMYFUNCTION("""COMPUTED_VALUE"""),"Medium")</f>
        <v>Medium</v>
      </c>
      <c r="D32" s="6" t="str">
        <f>IFERROR(__xludf.DUMMYFUNCTION("""COMPUTED_VALUE"""),"Backtracking,String")</f>
        <v>Backtracking,String</v>
      </c>
      <c r="E32" s="6" t="str">
        <f>IFERROR(__xludf.DUMMYFUNCTION("""COMPUTED_VALUE"""),"Wish,Paypal,Oracle,EBay,Nutanix,Zenefits,Atlassian,ByteDance,Salesforce,Walmart Labs,Snapchat,Yelp,Nvidia,Spotify,Lyft,Cisco,Yandex,Apple,Uber,Yahoo,Samsung,SAP,Bloomberg,Adobe,Facebook,Amazon,Microsoft,Alibaba,Google")</f>
        <v>Wish,Paypal,Oracle,EBay,Nutanix,Zenefits,Atlassian,ByteDance,Salesforce,Walmart Labs,Snapchat,Yelp,Nvidia,Spotify,Lyft,Cisco,Yandex,Apple,Uber,Yahoo,Samsung,SAP,Bloomberg,Adobe,Facebook,Amazon,Microsoft,Alibaba,Google</v>
      </c>
      <c r="F32" s="6" t="str">
        <f>IFERROR(__xludf.DUMMYFUNCTION("""COMPUTED_VALUE"""),"Microsoft,Google,Bloomberg,Facebook,Apple,Amazon,Adobe,Walmart Labs,ByteDance,Nvidia,Paypal")</f>
        <v>Microsoft,Google,Bloomberg,Facebook,Apple,Amazon,Adobe,Walmart Labs,ByteDance,Nvidia,Paypal</v>
      </c>
      <c r="G32" s="6" t="str">
        <f>IFERROR(__xludf.DUMMYFUNCTION("""COMPUTED_VALUE"""),"Uber,Yandex,Salesforce,Spotify,Cisco,Oracle,Atlassian,Microsoft,Google,Bloomberg,Facebook,Apple,Amazon,Adobe,Walmart Labs,ByteDance,Nvidia,Paypal")</f>
        <v>Uber,Yandex,Salesforce,Spotify,Cisco,Oracle,Atlassian,Microsoft,Google,Bloomberg,Facebook,Apple,Amazon,Adobe,Walmart Labs,ByteDance,Nvidia,Paypal</v>
      </c>
      <c r="H32" s="6" t="str">
        <f>IFERROR(__xludf.DUMMYFUNCTION("""COMPUTED_VALUE"""),"Lyft,Yahoo,eBay,Nutanix,Samsung,Wish,Zenefits,Uber,Yandex,Salesforce,Spotify,Cisco,Oracle,Atlassian,Microsoft,Google,Bloomberg,Facebook,Apple,Amazon,Adobe,Walmart Labs,ByteDance,Nvidia,Paypal")</f>
        <v>Lyft,Yahoo,eBay,Nutanix,Samsung,Wish,Zenefits,Uber,Yandex,Salesforce,Spotify,Cisco,Oracle,Atlassian,Microsoft,Google,Bloomberg,Facebook,Apple,Amazon,Adobe,Walmart Labs,ByteDance,Nvidia,Paypal</v>
      </c>
      <c r="I32" s="6">
        <f>IFERROR(__xludf.DUMMYFUNCTION("""COMPUTED_VALUE"""),65.53)</f>
        <v>65.53</v>
      </c>
      <c r="J32" s="6" t="str">
        <f>IFERROR(__xludf.DUMMYFUNCTION("""COMPUTED_VALUE"""),"算法")</f>
        <v>算法</v>
      </c>
    </row>
    <row r="33">
      <c r="A33" s="6">
        <f>IFERROR(__xludf.DUMMYFUNCTION("""COMPUTED_VALUE"""),23.0)</f>
        <v>23</v>
      </c>
      <c r="B33" s="53" t="str">
        <f>IFERROR(__xludf.DUMMYFUNCTION("""COMPUTED_VALUE"""),"Merge k Sorted Lists")</f>
        <v>Merge k Sorted Lists</v>
      </c>
      <c r="C33" s="6" t="str">
        <f>IFERROR(__xludf.DUMMYFUNCTION("""COMPUTED_VALUE"""),"Hard")</f>
        <v>Hard</v>
      </c>
      <c r="D33" s="6" t="str">
        <f>IFERROR(__xludf.DUMMYFUNCTION("""COMPUTED_VALUE"""),"Heap,Divide and Conquer,Linked List")</f>
        <v>Heap,Divide and Conquer,Linked List</v>
      </c>
      <c r="E33" s="6" t="str">
        <f>IFERROR(__xludf.DUMMYFUNCTION("""COMPUTED_VALUE"""),"Palantir Technologies,Tesla,Databricks,Nutanix,Nvidia,Goldman Sachs,Cohesity,IXL,Cruise Automation,Atlassian,Audible,ByteDance,Tableau,Salesforce,VMware,Box,Walmart Labs,Indeed,Zillow,Twitter,Wish,Oracle,Lyft,Cisco,Mathworks,Yandex,EBay,Apple,Airbnb,Uber,"&amp;"Yahoo,Tencent,SAP,Bloomberg,Adobe,Facebook,Amazon,LinkedIn,Microsoft,Alibaba,Google")</f>
        <v>Palantir Technologies,Tesla,Databricks,Nutanix,Nvidia,Goldman Sachs,Cohesity,IXL,Cruise Automation,Atlassian,Audible,ByteDance,Tableau,Salesforce,VMware,Box,Walmart Labs,Indeed,Zillow,Twitter,Wish,Oracle,Lyft,Cisco,Mathworks,Yandex,EBay,Apple,Airbnb,Uber,Yahoo,Tencent,SAP,Bloomberg,Adobe,Facebook,Amazon,LinkedIn,Microsoft,Alibaba,Google</v>
      </c>
      <c r="F33" s="6" t="str">
        <f>IFERROR(__xludf.DUMMYFUNCTION("""COMPUTED_VALUE"""),"Amazon,Facebook,Databricks,Bloomberg,Microsoft,Apple,Oracle,Google,Twitter,Wish,ByteDance,Uber,Adobe,Palantir Technologies,Tesla")</f>
        <v>Amazon,Facebook,Databricks,Bloomberg,Microsoft,Apple,Oracle,Google,Twitter,Wish,ByteDance,Uber,Adobe,Palantir Technologies,Tesla</v>
      </c>
      <c r="G33" s="6" t="str">
        <f>IFERROR(__xludf.DUMMYFUNCTION("""COMPUTED_VALUE"""),"eBay,Walmart Labs,VMware,Lyft,Nutanix,Goldman Sachs,SAP,Amazon,Facebook,Databricks,Bloomberg,Microsoft,Apple,Oracle,Google,Twitter,Wish,ByteDance,Uber,Adobe,Palantir Technologies,Tesla")</f>
        <v>eBay,Walmart Labs,VMware,Lyft,Nutanix,Goldman Sachs,SAP,Amazon,Facebook,Databricks,Bloomberg,Microsoft,Apple,Oracle,Google,Twitter,Wish,ByteDance,Uber,Adobe,Palantir Technologies,Tesla</v>
      </c>
      <c r="H33" s="6" t="str">
        <f>IFERROR(__xludf.DUMMYFUNCTION("""COMPUTED_VALUE"""),"IXL,Yahoo,Yandex,Indeed,Atlassian,LinkedIn,Cohesity,Cisco,Zillow,Box,Salesforce,Cruise Automation,Nvidia,Airbnb,eBay,Walmart Labs,VMware,Lyft,Nutanix,Goldman Sachs,SAP,Amazon,Facebook,Databricks,Bloomberg,Microsoft,Apple,Oracle,Google,Twitter,Wish,ByteDan"&amp;"ce,Uber,Adobe,Palantir Technologies,Tesla")</f>
        <v>IXL,Yahoo,Yandex,Indeed,Atlassian,LinkedIn,Cohesity,Cisco,Zillow,Box,Salesforce,Cruise Automation,Nvidia,Airbnb,eBay,Walmart Labs,VMware,Lyft,Nutanix,Goldman Sachs,SAP,Amazon,Facebook,Databricks,Bloomberg,Microsoft,Apple,Oracle,Google,Twitter,Wish,ByteDance,Uber,Adobe,Palantir Technologies,Tesla</v>
      </c>
      <c r="I33" s="6">
        <f>IFERROR(__xludf.DUMMYFUNCTION("""COMPUTED_VALUE"""),42.86)</f>
        <v>42.86</v>
      </c>
      <c r="J33" s="6" t="str">
        <f>IFERROR(__xludf.DUMMYFUNCTION("""COMPUTED_VALUE"""),"算法")</f>
        <v>算法</v>
      </c>
    </row>
    <row r="34">
      <c r="A34" s="6">
        <f>IFERROR(__xludf.DUMMYFUNCTION("""COMPUTED_VALUE"""),24.0)</f>
        <v>24</v>
      </c>
      <c r="B34" s="53" t="str">
        <f>IFERROR(__xludf.DUMMYFUNCTION("""COMPUTED_VALUE"""),"Swap Nodes in Pairs")</f>
        <v>Swap Nodes in Pairs</v>
      </c>
      <c r="C34" s="6" t="str">
        <f>IFERROR(__xludf.DUMMYFUNCTION("""COMPUTED_VALUE"""),"Medium")</f>
        <v>Medium</v>
      </c>
      <c r="D34" s="6" t="str">
        <f>IFERROR(__xludf.DUMMYFUNCTION("""COMPUTED_VALUE"""),"Recursion,Linked List")</f>
        <v>Recursion,Linked List</v>
      </c>
      <c r="E34" s="6" t="str">
        <f>IFERROR(__xludf.DUMMYFUNCTION("""COMPUTED_VALUE"""),"Snapchat,ByteDance,Goldman Sachs,Oracle,Lyft,EBay,Apple,Uber,SAP,Bloomberg,Adobe,Facebook,Amazon,Microsoft,Google")</f>
        <v>Snapchat,ByteDance,Goldman Sachs,Oracle,Lyft,EBay,Apple,Uber,SAP,Bloomberg,Adobe,Facebook,Amazon,Microsoft,Google</v>
      </c>
      <c r="F34" s="6" t="str">
        <f>IFERROR(__xludf.DUMMYFUNCTION("""COMPUTED_VALUE"""),"Microsoft,Amazon,Facebook,Google,Apple,eBay,ByteDance")</f>
        <v>Microsoft,Amazon,Facebook,Google,Apple,eBay,ByteDance</v>
      </c>
      <c r="G34" s="6" t="str">
        <f>IFERROR(__xludf.DUMMYFUNCTION("""COMPUTED_VALUE"""),"Bloomberg,Adobe,Uber,Snapchat,Microsoft,Amazon,Facebook,Google,Apple,eBay,ByteDance")</f>
        <v>Bloomberg,Adobe,Uber,Snapchat,Microsoft,Amazon,Facebook,Google,Apple,eBay,ByteDance</v>
      </c>
      <c r="H34" s="6" t="str">
        <f>IFERROR(__xludf.DUMMYFUNCTION("""COMPUTED_VALUE"""),"SAP,Oracle,Goldman Sachs,Bloomberg,Adobe,Uber,Snapchat,Microsoft,Amazon,Facebook,Google,Apple,eBay,ByteDance")</f>
        <v>SAP,Oracle,Goldman Sachs,Bloomberg,Adobe,Uber,Snapchat,Microsoft,Amazon,Facebook,Google,Apple,eBay,ByteDance</v>
      </c>
      <c r="I34" s="6">
        <f>IFERROR(__xludf.DUMMYFUNCTION("""COMPUTED_VALUE"""),53.3)</f>
        <v>53.3</v>
      </c>
      <c r="J34" s="6" t="str">
        <f>IFERROR(__xludf.DUMMYFUNCTION("""COMPUTED_VALUE"""),"算法")</f>
        <v>算法</v>
      </c>
    </row>
    <row r="35">
      <c r="A35" s="6">
        <f>IFERROR(__xludf.DUMMYFUNCTION("""COMPUTED_VALUE"""),25.0)</f>
        <v>25</v>
      </c>
      <c r="B35" s="53" t="str">
        <f>IFERROR(__xludf.DUMMYFUNCTION("""COMPUTED_VALUE"""),"Reverse Nodes in k-Group")</f>
        <v>Reverse Nodes in k-Group</v>
      </c>
      <c r="C35" s="6" t="str">
        <f>IFERROR(__xludf.DUMMYFUNCTION("""COMPUTED_VALUE"""),"Hard")</f>
        <v>Hard</v>
      </c>
      <c r="D35" s="6" t="str">
        <f>IFERROR(__xludf.DUMMYFUNCTION("""COMPUTED_VALUE"""),"Linked List")</f>
        <v>Linked List</v>
      </c>
      <c r="E35" s="6" t="str">
        <f>IFERROR(__xludf.DUMMYFUNCTION("""COMPUTED_VALUE"""),"Snapchat,Tencent,Goo,Cohesity,ByteDance,VMware,Paypal,Cisco,Mathworks,EBay,Apple,Adobe,Facebook,Amazon,Microsoft,Google")</f>
        <v>Snapchat,Tencent,Goo,Cohesity,ByteDance,VMware,Paypal,Cisco,Mathworks,EBay,Apple,Adobe,Facebook,Amazon,Microsoft,Google</v>
      </c>
      <c r="F35" s="6" t="str">
        <f>IFERROR(__xludf.DUMMYFUNCTION("""COMPUTED_VALUE"""),"Amazon,Microsoft,ByteDance,Apple,Facebook,Tencent")</f>
        <v>Amazon,Microsoft,ByteDance,Apple,Facebook,Tencent</v>
      </c>
      <c r="G35" s="6" t="str">
        <f>IFERROR(__xludf.DUMMYFUNCTION("""COMPUTED_VALUE"""),"Adobe,Google,Amazon,Microsoft,ByteDance,Apple,Facebook,Tencent")</f>
        <v>Adobe,Google,Amazon,Microsoft,ByteDance,Apple,Facebook,Tencent</v>
      </c>
      <c r="H35" s="6" t="str">
        <f>IFERROR(__xludf.DUMMYFUNCTION("""COMPUTED_VALUE"""),"Mathworks,Cisco,Snapchat,Cohesity,Adobe,Google,Amazon,Microsoft,ByteDance,Apple,Facebook,Tencent")</f>
        <v>Mathworks,Cisco,Snapchat,Cohesity,Adobe,Google,Amazon,Microsoft,ByteDance,Apple,Facebook,Tencent</v>
      </c>
      <c r="I35" s="6">
        <f>IFERROR(__xludf.DUMMYFUNCTION("""COMPUTED_VALUE"""),45.12)</f>
        <v>45.12</v>
      </c>
      <c r="J35" s="6" t="str">
        <f>IFERROR(__xludf.DUMMYFUNCTION("""COMPUTED_VALUE"""),"算法")</f>
        <v>算法</v>
      </c>
    </row>
    <row r="36">
      <c r="A36" s="6">
        <f>IFERROR(__xludf.DUMMYFUNCTION("""COMPUTED_VALUE"""),26.0)</f>
        <v>26</v>
      </c>
      <c r="B36" s="53" t="str">
        <f>IFERROR(__xludf.DUMMYFUNCTION("""COMPUTED_VALUE"""),"Remove Duplicates from Sorted Array")</f>
        <v>Remove Duplicates from Sorted Array</v>
      </c>
      <c r="C36" s="6" t="str">
        <f>IFERROR(__xludf.DUMMYFUNCTION("""COMPUTED_VALUE"""),"Easy")</f>
        <v>Easy</v>
      </c>
      <c r="D36" s="6" t="str">
        <f>IFERROR(__xludf.DUMMYFUNCTION("""COMPUTED_VALUE"""),"Two Pointers,Array")</f>
        <v>Two Pointers,Array</v>
      </c>
      <c r="E36" s="6" t="str">
        <f>IFERROR(__xludf.DUMMYFUNCTION("""COMPUTED_VALUE"""),"Qualcomm,Hulu,Cohesity,VMware,ServiceNow,Oracle,Cisco,Apple,Uber,Bloomberg,Adobe,Facebook,Amazon,Microsoft,Google")</f>
        <v>Qualcomm,Hulu,Cohesity,VMware,ServiceNow,Oracle,Cisco,Apple,Uber,Bloomberg,Adobe,Facebook,Amazon,Microsoft,Google</v>
      </c>
      <c r="F36" s="6" t="str">
        <f>IFERROR(__xludf.DUMMYFUNCTION("""COMPUTED_VALUE"""),"Google,Amazon,Facebook,Microsoft")</f>
        <v>Google,Amazon,Facebook,Microsoft</v>
      </c>
      <c r="G36" s="6" t="str">
        <f>IFERROR(__xludf.DUMMYFUNCTION("""COMPUTED_VALUE"""),"Apple,ServiceNow,Bloomberg,Google,Amazon,Facebook,Microsoft")</f>
        <v>Apple,ServiceNow,Bloomberg,Google,Amazon,Facebook,Microsoft</v>
      </c>
      <c r="H36" s="6" t="str">
        <f>IFERROR(__xludf.DUMMYFUNCTION("""COMPUTED_VALUE"""),"Oracle,Uber,Adobe,VMware,Qualcomm,Apple,ServiceNow,Bloomberg,Google,Amazon,Facebook,Microsoft")</f>
        <v>Oracle,Uber,Adobe,VMware,Qualcomm,Apple,ServiceNow,Bloomberg,Google,Amazon,Facebook,Microsoft</v>
      </c>
      <c r="I36" s="6">
        <f>IFERROR(__xludf.DUMMYFUNCTION("""COMPUTED_VALUE"""),46.67)</f>
        <v>46.67</v>
      </c>
      <c r="J36" s="6" t="str">
        <f>IFERROR(__xludf.DUMMYFUNCTION("""COMPUTED_VALUE"""),"算法")</f>
        <v>算法</v>
      </c>
    </row>
    <row r="37">
      <c r="A37" s="6">
        <f>IFERROR(__xludf.DUMMYFUNCTION("""COMPUTED_VALUE"""),27.0)</f>
        <v>27</v>
      </c>
      <c r="B37" s="53" t="str">
        <f>IFERROR(__xludf.DUMMYFUNCTION("""COMPUTED_VALUE"""),"Remove Element")</f>
        <v>Remove Element</v>
      </c>
      <c r="C37" s="6" t="str">
        <f>IFERROR(__xludf.DUMMYFUNCTION("""COMPUTED_VALUE"""),"Easy")</f>
        <v>Easy</v>
      </c>
      <c r="D37" s="6" t="str">
        <f>IFERROR(__xludf.DUMMYFUNCTION("""COMPUTED_VALUE"""),"Two Pointers,Array")</f>
        <v>Two Pointers,Array</v>
      </c>
      <c r="E37" s="6" t="str">
        <f>IFERROR(__xludf.DUMMYFUNCTION("""COMPUTED_VALUE"""),"Oracle,Apple,Adobe,Bloomberg,Amazon,Microsoft,Google")</f>
        <v>Oracle,Apple,Adobe,Bloomberg,Amazon,Microsoft,Google</v>
      </c>
      <c r="F37" s="6" t="str">
        <f>IFERROR(__xludf.DUMMYFUNCTION("""COMPUTED_VALUE"""),"Amazon,Adobe,Oracle")</f>
        <v>Amazon,Adobe,Oracle</v>
      </c>
      <c r="G37" s="6" t="str">
        <f>IFERROR(__xludf.DUMMYFUNCTION("""COMPUTED_VALUE"""),"Bloomberg,Amazon,Adobe,Oracle")</f>
        <v>Bloomberg,Amazon,Adobe,Oracle</v>
      </c>
      <c r="H37" s="6" t="str">
        <f>IFERROR(__xludf.DUMMYFUNCTION("""COMPUTED_VALUE"""),"Microsoft,Apple,Bloomberg,Amazon,Adobe,Oracle")</f>
        <v>Microsoft,Apple,Bloomberg,Amazon,Adobe,Oracle</v>
      </c>
      <c r="I37" s="6">
        <f>IFERROR(__xludf.DUMMYFUNCTION("""COMPUTED_VALUE"""),49.36)</f>
        <v>49.36</v>
      </c>
      <c r="J37" s="6" t="str">
        <f>IFERROR(__xludf.DUMMYFUNCTION("""COMPUTED_VALUE"""),"算法")</f>
        <v>算法</v>
      </c>
    </row>
    <row r="38">
      <c r="A38" s="6">
        <f>IFERROR(__xludf.DUMMYFUNCTION("""COMPUTED_VALUE"""),28.0)</f>
        <v>28</v>
      </c>
      <c r="B38" s="53" t="str">
        <f>IFERROR(__xludf.DUMMYFUNCTION("""COMPUTED_VALUE"""),"Implement strStr()")</f>
        <v>Implement strStr()</v>
      </c>
      <c r="C38" s="6" t="str">
        <f>IFERROR(__xludf.DUMMYFUNCTION("""COMPUTED_VALUE"""),"Easy")</f>
        <v>Easy</v>
      </c>
      <c r="D38" s="6" t="str">
        <f>IFERROR(__xludf.DUMMYFUNCTION("""COMPUTED_VALUE"""),"String,Two Pointers")</f>
        <v>String,Two Pointers</v>
      </c>
      <c r="E38" s="6" t="str">
        <f>IFERROR(__xludf.DUMMYFUNCTION("""COMPUTED_VALUE"""),"Adobe,Pocket Gems,VMware,Citadel,Dropbox,Oracle,Yandex,EBay,Apple,Yahoo,Bloomberg,Facebook,Amazon,Microsoft,Google")</f>
        <v>Adobe,Pocket Gems,VMware,Citadel,Dropbox,Oracle,Yandex,EBay,Apple,Yahoo,Bloomberg,Facebook,Amazon,Microsoft,Google</v>
      </c>
      <c r="F38" s="6" t="str">
        <f>IFERROR(__xludf.DUMMYFUNCTION("""COMPUTED_VALUE"""),"Facebook,Amazon")</f>
        <v>Facebook,Amazon</v>
      </c>
      <c r="G38" s="6" t="str">
        <f>IFERROR(__xludf.DUMMYFUNCTION("""COMPUTED_VALUE"""),"Apple,Microsoft,Yahoo,Adobe,Facebook,Amazon")</f>
        <v>Apple,Microsoft,Yahoo,Adobe,Facebook,Amazon</v>
      </c>
      <c r="H38" s="6" t="str">
        <f>IFERROR(__xludf.DUMMYFUNCTION("""COMPUTED_VALUE"""),"Google,Bloomberg,Dropbox,Oracle,eBay,Citadel,VMware,Pocket Gems,Apple,Microsoft,Yahoo,Adobe,Facebook,Amazon")</f>
        <v>Google,Bloomberg,Dropbox,Oracle,eBay,Citadel,VMware,Pocket Gems,Apple,Microsoft,Yahoo,Adobe,Facebook,Amazon</v>
      </c>
      <c r="I38" s="6">
        <f>IFERROR(__xludf.DUMMYFUNCTION("""COMPUTED_VALUE"""),35.29)</f>
        <v>35.29</v>
      </c>
      <c r="J38" s="6" t="str">
        <f>IFERROR(__xludf.DUMMYFUNCTION("""COMPUTED_VALUE"""),"算法")</f>
        <v>算法</v>
      </c>
    </row>
    <row r="39">
      <c r="A39" s="6">
        <f>IFERROR(__xludf.DUMMYFUNCTION("""COMPUTED_VALUE"""),29.0)</f>
        <v>29</v>
      </c>
      <c r="B39" s="53" t="str">
        <f>IFERROR(__xludf.DUMMYFUNCTION("""COMPUTED_VALUE"""),"Divide Two Integers")</f>
        <v>Divide Two Integers</v>
      </c>
      <c r="C39" s="6" t="str">
        <f>IFERROR(__xludf.DUMMYFUNCTION("""COMPUTED_VALUE"""),"Medium")</f>
        <v>Medium</v>
      </c>
      <c r="D39" s="6" t="str">
        <f>IFERROR(__xludf.DUMMYFUNCTION("""COMPUTED_VALUE"""),"Binary Search,Math")</f>
        <v>Binary Search,Math</v>
      </c>
      <c r="E39" s="6" t="str">
        <f>IFERROR(__xludf.DUMMYFUNCTION("""COMPUTED_VALUE"""),"Riot Games,Oracle,Apple,Bloomberg,Adobe,Facebook,Amazon,Microsoft,Google")</f>
        <v>Riot Games,Oracle,Apple,Bloomberg,Adobe,Facebook,Amazon,Microsoft,Google</v>
      </c>
      <c r="F39" s="6" t="str">
        <f>IFERROR(__xludf.DUMMYFUNCTION("""COMPUTED_VALUE"""),"Facebook,Amazon")</f>
        <v>Facebook,Amazon</v>
      </c>
      <c r="G39" s="6" t="str">
        <f>IFERROR(__xludf.DUMMYFUNCTION("""COMPUTED_VALUE"""),"Apple,Adobe,Riot Games,Google,Microsoft,Facebook,Amazon")</f>
        <v>Apple,Adobe,Riot Games,Google,Microsoft,Facebook,Amazon</v>
      </c>
      <c r="H39" s="6" t="str">
        <f>IFERROR(__xludf.DUMMYFUNCTION("""COMPUTED_VALUE"""),"Bloomberg,Apple,Adobe,Riot Games,Google,Microsoft,Facebook,Amazon")</f>
        <v>Bloomberg,Apple,Adobe,Riot Games,Google,Microsoft,Facebook,Amazon</v>
      </c>
      <c r="I39" s="6">
        <f>IFERROR(__xludf.DUMMYFUNCTION("""COMPUTED_VALUE"""),16.93)</f>
        <v>16.93</v>
      </c>
      <c r="J39" s="6" t="str">
        <f>IFERROR(__xludf.DUMMYFUNCTION("""COMPUTED_VALUE"""),"算法")</f>
        <v>算法</v>
      </c>
    </row>
    <row r="40">
      <c r="A40" s="6">
        <f>IFERROR(__xludf.DUMMYFUNCTION("""COMPUTED_VALUE"""),30.0)</f>
        <v>30</v>
      </c>
      <c r="B40" s="53" t="str">
        <f>IFERROR(__xludf.DUMMYFUNCTION("""COMPUTED_VALUE"""),"Substring with Concatenation of All Words")</f>
        <v>Substring with Concatenation of All Words</v>
      </c>
      <c r="C40" s="6" t="str">
        <f>IFERROR(__xludf.DUMMYFUNCTION("""COMPUTED_VALUE"""),"Hard")</f>
        <v>Hard</v>
      </c>
      <c r="D40" s="6" t="str">
        <f>IFERROR(__xludf.DUMMYFUNCTION("""COMPUTED_VALUE"""),"String,Two Pointers,Hash Table")</f>
        <v>String,Two Pointers,Hash Table</v>
      </c>
      <c r="E40" s="6" t="str">
        <f>IFERROR(__xludf.DUMMYFUNCTION("""COMPUTED_VALUE"""),"Apple,Bloomberg,Adobe,Facebook,Amazon,Microsoft,Google")</f>
        <v>Apple,Bloomberg,Adobe,Facebook,Amazon,Microsoft,Google</v>
      </c>
      <c r="F40" s="6" t="str">
        <f>IFERROR(__xludf.DUMMYFUNCTION("""COMPUTED_VALUE"""),"Amazon,Adobe")</f>
        <v>Amazon,Adobe</v>
      </c>
      <c r="G40" s="6" t="str">
        <f>IFERROR(__xludf.DUMMYFUNCTION("""COMPUTED_VALUE"""),"Bloomberg,Google,Amazon,Adobe")</f>
        <v>Bloomberg,Google,Amazon,Adobe</v>
      </c>
      <c r="H40" s="6" t="str">
        <f>IFERROR(__xludf.DUMMYFUNCTION("""COMPUTED_VALUE"""),"Microsoft,Facebook,Bloomberg,Google,Amazon,Adobe")</f>
        <v>Microsoft,Facebook,Bloomberg,Google,Amazon,Adobe</v>
      </c>
      <c r="I40" s="6">
        <f>IFERROR(__xludf.DUMMYFUNCTION("""COMPUTED_VALUE"""),26.28)</f>
        <v>26.28</v>
      </c>
      <c r="J40" s="6" t="str">
        <f>IFERROR(__xludf.DUMMYFUNCTION("""COMPUTED_VALUE"""),"算法")</f>
        <v>算法</v>
      </c>
    </row>
    <row r="41">
      <c r="A41" s="6">
        <f>IFERROR(__xludf.DUMMYFUNCTION("""COMPUTED_VALUE"""),31.0)</f>
        <v>31</v>
      </c>
      <c r="B41" s="53" t="str">
        <f>IFERROR(__xludf.DUMMYFUNCTION("""COMPUTED_VALUE"""),"Next Permutation")</f>
        <v>Next Permutation</v>
      </c>
      <c r="C41" s="6" t="str">
        <f>IFERROR(__xludf.DUMMYFUNCTION("""COMPUTED_VALUE"""),"Medium")</f>
        <v>Medium</v>
      </c>
      <c r="D41" s="6" t="str">
        <f>IFERROR(__xludf.DUMMYFUNCTION("""COMPUTED_VALUE"""),"Array")</f>
        <v>Array</v>
      </c>
      <c r="E41" s="6" t="str">
        <f>IFERROR(__xludf.DUMMYFUNCTION("""COMPUTED_VALUE"""),"Flipkart,FactSet,Salesforce,Morgan Stanley,Goldman Sachs,Sumologic,Rubrik,Houzz,Atlassian,ByteDance,Quora,JPMorgan,EBay,Apple,Uber,Samsung,Bloomberg,Adobe,Facebook,Amazon,Microsoft,Google")</f>
        <v>Flipkart,FactSet,Salesforce,Morgan Stanley,Goldman Sachs,Sumologic,Rubrik,Houzz,Atlassian,ByteDance,Quora,JPMorgan,EBay,Apple,Uber,Samsung,Bloomberg,Adobe,Facebook,Amazon,Microsoft,Google</v>
      </c>
      <c r="F41" s="6" t="str">
        <f>IFERROR(__xludf.DUMMYFUNCTION("""COMPUTED_VALUE"""),"Facebook,Google,Microsoft,Amazon,Bloomberg,Adobe,Apple,ByteDance,Rubrik,Salesforce,Morgan Stanley,Goldman Sachs,Atlassian,FactSet")</f>
        <v>Facebook,Google,Microsoft,Amazon,Bloomberg,Adobe,Apple,ByteDance,Rubrik,Salesforce,Morgan Stanley,Goldman Sachs,Atlassian,FactSet</v>
      </c>
      <c r="G41" s="6" t="str">
        <f>IFERROR(__xludf.DUMMYFUNCTION("""COMPUTED_VALUE"""),"Uber,JPMorgan,Flipkart,Facebook,Google,Microsoft,Amazon,Bloomberg,Adobe,Apple,ByteDance,Rubrik,Salesforce,Morgan Stanley,Goldman Sachs,Atlassian,FactSet")</f>
        <v>Uber,JPMorgan,Flipkart,Facebook,Google,Microsoft,Amazon,Bloomberg,Adobe,Apple,ByteDance,Rubrik,Salesforce,Morgan Stanley,Goldman Sachs,Atlassian,FactSet</v>
      </c>
      <c r="H41" s="6" t="str">
        <f>IFERROR(__xludf.DUMMYFUNCTION("""COMPUTED_VALUE"""),"eBay,Uber,JPMorgan,Flipkart,Facebook,Google,Microsoft,Amazon,Bloomberg,Adobe,Apple,ByteDance,Rubrik,Salesforce,Morgan Stanley,Goldman Sachs,Atlassian,FactSet")</f>
        <v>eBay,Uber,JPMorgan,Flipkart,Facebook,Google,Microsoft,Amazon,Bloomberg,Adobe,Apple,ByteDance,Rubrik,Salesforce,Morgan Stanley,Goldman Sachs,Atlassian,FactSet</v>
      </c>
      <c r="I41" s="6">
        <f>IFERROR(__xludf.DUMMYFUNCTION("""COMPUTED_VALUE"""),33.83)</f>
        <v>33.83</v>
      </c>
      <c r="J41" s="6" t="str">
        <f>IFERROR(__xludf.DUMMYFUNCTION("""COMPUTED_VALUE"""),"算法")</f>
        <v>算法</v>
      </c>
    </row>
    <row r="42">
      <c r="A42" s="6">
        <f>IFERROR(__xludf.DUMMYFUNCTION("""COMPUTED_VALUE"""),32.0)</f>
        <v>32</v>
      </c>
      <c r="B42" s="53" t="str">
        <f>IFERROR(__xludf.DUMMYFUNCTION("""COMPUTED_VALUE"""),"Longest Valid Parentheses")</f>
        <v>Longest Valid Parentheses</v>
      </c>
      <c r="C42" s="6" t="str">
        <f>IFERROR(__xludf.DUMMYFUNCTION("""COMPUTED_VALUE"""),"Hard")</f>
        <v>Hard</v>
      </c>
      <c r="D42" s="6" t="str">
        <f>IFERROR(__xludf.DUMMYFUNCTION("""COMPUTED_VALUE"""),"Dynamic Programming,String")</f>
        <v>Dynamic Programming,String</v>
      </c>
      <c r="E42" s="6" t="str">
        <f>IFERROR(__xludf.DUMMYFUNCTION("""COMPUTED_VALUE"""),"ByteDance,VMware,Bloomberg,Salesforce,Citadel,Expedia,Oracle,EBay,Apple,Uber,Yahoo,Samsung,Adobe,Facebook,Amazon,Microsoft,Google")</f>
        <v>ByteDance,VMware,Bloomberg,Salesforce,Citadel,Expedia,Oracle,EBay,Apple,Uber,Yahoo,Samsung,Adobe,Facebook,Amazon,Microsoft,Google</v>
      </c>
      <c r="F42" s="6" t="str">
        <f>IFERROR(__xludf.DUMMYFUNCTION("""COMPUTED_VALUE"""),"Amazon,Facebook,Microsoft,Apple,ByteDance")</f>
        <v>Amazon,Facebook,Microsoft,Apple,ByteDance</v>
      </c>
      <c r="G42" s="6" t="str">
        <f>IFERROR(__xludf.DUMMYFUNCTION("""COMPUTED_VALUE"""),"Uber,Bloomberg,Citadel,Amazon,Facebook,Microsoft,Apple,ByteDance")</f>
        <v>Uber,Bloomberg,Citadel,Amazon,Facebook,Microsoft,Apple,ByteDance</v>
      </c>
      <c r="H42" s="6" t="str">
        <f>IFERROR(__xludf.DUMMYFUNCTION("""COMPUTED_VALUE"""),"Google,Adobe,Oracle,Yahoo,eBay,VMware,Uber,Bloomberg,Citadel,Amazon,Facebook,Microsoft,Apple,ByteDance")</f>
        <v>Google,Adobe,Oracle,Yahoo,eBay,VMware,Uber,Bloomberg,Citadel,Amazon,Facebook,Microsoft,Apple,ByteDance</v>
      </c>
      <c r="I42" s="6">
        <f>IFERROR(__xludf.DUMMYFUNCTION("""COMPUTED_VALUE"""),29.36)</f>
        <v>29.36</v>
      </c>
      <c r="J42" s="6" t="str">
        <f>IFERROR(__xludf.DUMMYFUNCTION("""COMPUTED_VALUE"""),"算法")</f>
        <v>算法</v>
      </c>
    </row>
    <row r="43">
      <c r="A43" s="6">
        <f>IFERROR(__xludf.DUMMYFUNCTION("""COMPUTED_VALUE"""),33.0)</f>
        <v>33</v>
      </c>
      <c r="B43" s="53" t="str">
        <f>IFERROR(__xludf.DUMMYFUNCTION("""COMPUTED_VALUE"""),"Search in Rotated Sorted Array")</f>
        <v>Search in Rotated Sorted Array</v>
      </c>
      <c r="C43" s="6" t="str">
        <f>IFERROR(__xludf.DUMMYFUNCTION("""COMPUTED_VALUE"""),"Medium")</f>
        <v>Medium</v>
      </c>
      <c r="D43" s="6" t="str">
        <f>IFERROR(__xludf.DUMMYFUNCTION("""COMPUTED_VALUE"""),"Binary Search,Array")</f>
        <v>Binary Search,Array</v>
      </c>
      <c r="E43" s="6" t="str">
        <f>IFERROR(__xludf.DUMMYFUNCTION("""COMPUTED_VALUE"""),"PayTM,Paypal,ServiceNow,TripAdvisor,Tesla,Nutanix,Zulily,Twitch,ByteDance,Salesforce,Visa,VMware,Walmart Labs,Snapchat,JPMorgan,Zillow,Expedia,Nvidia,Oracle,NetEase,Cisco,Yandex,EBay,Baidu,Apple,Uber,Yahoo,Samsung,Tencent,Bloomberg,Adobe,Facebook,Amazon,L"&amp;"inkedIn,Microsoft,Alibaba,Goldman Sachs,Google")</f>
        <v>PayTM,Paypal,ServiceNow,TripAdvisor,Tesla,Nutanix,Zulily,Twitch,ByteDance,Salesforce,Visa,VMware,Walmart Labs,Snapchat,JPMorgan,Zillow,Expedia,Nvidia,Oracle,NetEase,Cisco,Yandex,EBay,Baidu,Apple,Uber,Yahoo,Samsung,Tencent,Bloomberg,Adobe,Facebook,Amazon,LinkedIn,Microsoft,Alibaba,Goldman Sachs,Google</v>
      </c>
      <c r="F43" s="6" t="str">
        <f>IFERROR(__xludf.DUMMYFUNCTION("""COMPUTED_VALUE"""),"Amazon,Facebook,Microsoft,LinkedIn,Bloomberg,Oracle,Apple,ByteDance,Expedia,Google,Nvidia,Zillow,eBay,Adobe,Cisco,ServiceNow")</f>
        <v>Amazon,Facebook,Microsoft,LinkedIn,Bloomberg,Oracle,Apple,ByteDance,Expedia,Google,Nvidia,Zillow,eBay,Adobe,Cisco,ServiceNow</v>
      </c>
      <c r="G43" s="6" t="str">
        <f>IFERROR(__xludf.DUMMYFUNCTION("""COMPUTED_VALUE"""),"VMware,Goldman Sachs,Walmart Labs,Paypal,PayTM,Amazon,Facebook,Microsoft,LinkedIn,Bloomberg,Oracle,Apple,ByteDance,Expedia,Google,Nvidia,Zillow,eBay,Adobe,Cisco,ServiceNow")</f>
        <v>VMware,Goldman Sachs,Walmart Labs,Paypal,PayTM,Amazon,Facebook,Microsoft,LinkedIn,Bloomberg,Oracle,Apple,ByteDance,Expedia,Google,Nvidia,Zillow,eBay,Adobe,Cisco,ServiceNow</v>
      </c>
      <c r="H43" s="6" t="str">
        <f>IFERROR(__xludf.DUMMYFUNCTION("""COMPUTED_VALUE"""),"Yahoo,Nutanix,Yandex,Alibaba,Samsung,Uber,Tencent,Salesforce,Zulily,Twitch,JPMorgan,Tesla,VMware,Goldman Sachs,Walmart Labs,Paypal,PayTM,Amazon,Facebook,Microsoft,LinkedIn,Bloomberg,Oracle,Apple,ByteDance,Expedia,Google,Nvidia,Zillow,eBay,Adobe,Cisco,Serv"&amp;"iceNow")</f>
        <v>Yahoo,Nutanix,Yandex,Alibaba,Samsung,Uber,Tencent,Salesforce,Zulily,Twitch,JPMorgan,Tesla,VMware,Goldman Sachs,Walmart Labs,Paypal,PayTM,Amazon,Facebook,Microsoft,LinkedIn,Bloomberg,Oracle,Apple,ByteDance,Expedia,Google,Nvidia,Zillow,eBay,Adobe,Cisco,ServiceNow</v>
      </c>
      <c r="I43" s="6">
        <f>IFERROR(__xludf.DUMMYFUNCTION("""COMPUTED_VALUE"""),35.99)</f>
        <v>35.99</v>
      </c>
      <c r="J43" s="6" t="str">
        <f>IFERROR(__xludf.DUMMYFUNCTION("""COMPUTED_VALUE"""),"算法")</f>
        <v>算法</v>
      </c>
    </row>
    <row r="44">
      <c r="A44" s="6">
        <f>IFERROR(__xludf.DUMMYFUNCTION("""COMPUTED_VALUE"""),34.0)</f>
        <v>34</v>
      </c>
      <c r="B44" s="53" t="str">
        <f>IFERROR(__xludf.DUMMYFUNCTION("""COMPUTED_VALUE"""),"Find First and Last Position of Element in Sorted Array")</f>
        <v>Find First and Last Position of Element in Sorted Array</v>
      </c>
      <c r="C44" s="6" t="str">
        <f>IFERROR(__xludf.DUMMYFUNCTION("""COMPUTED_VALUE"""),"Medium")</f>
        <v>Medium</v>
      </c>
      <c r="D44" s="6" t="str">
        <f>IFERROR(__xludf.DUMMYFUNCTION("""COMPUTED_VALUE"""),"Binary Search,Array")</f>
        <v>Binary Search,Array</v>
      </c>
      <c r="E44" s="6" t="str">
        <f>IFERROR(__xludf.DUMMYFUNCTION("""COMPUTED_VALUE"""),"Flipkart,Twitter,Netflix,Quip (Salesforce),Qualtrics,ByteDance,Visa,Oracle,Yandex,Apple,Airbnb,Uber,Yahoo,Bloomberg,Facebook,Amazon,LinkedIn,Microsoft,Google")</f>
        <v>Flipkart,Twitter,Netflix,Quip (Salesforce),Qualtrics,ByteDance,Visa,Oracle,Yandex,Apple,Airbnb,Uber,Yahoo,Bloomberg,Facebook,Amazon,LinkedIn,Microsoft,Google</v>
      </c>
      <c r="F44" s="6" t="str">
        <f>IFERROR(__xludf.DUMMYFUNCTION("""COMPUTED_VALUE"""),"Facebook,Amazon,Microsoft,Uber,Google,Bloomberg,Oracle")</f>
        <v>Facebook,Amazon,Microsoft,Uber,Google,Bloomberg,Oracle</v>
      </c>
      <c r="G44" s="6" t="str">
        <f>IFERROR(__xludf.DUMMYFUNCTION("""COMPUTED_VALUE"""),"Apple,ByteDance,LinkedIn,Facebook,Amazon,Microsoft,Uber,Google,Bloomberg,Oracle")</f>
        <v>Apple,ByteDance,LinkedIn,Facebook,Amazon,Microsoft,Uber,Google,Bloomberg,Oracle</v>
      </c>
      <c r="H44" s="6" t="str">
        <f>IFERROR(__xludf.DUMMYFUNCTION("""COMPUTED_VALUE"""),"Yandex,Twitter,Flipkart,Airbnb,Netflix,Quip (Salesforce),Apple,ByteDance,LinkedIn,Facebook,Amazon,Microsoft,Uber,Google,Bloomberg,Oracle")</f>
        <v>Yandex,Twitter,Flipkart,Airbnb,Netflix,Quip (Salesforce),Apple,ByteDance,LinkedIn,Facebook,Amazon,Microsoft,Uber,Google,Bloomberg,Oracle</v>
      </c>
      <c r="I44" s="6">
        <f>IFERROR(__xludf.DUMMYFUNCTION("""COMPUTED_VALUE"""),37.38)</f>
        <v>37.38</v>
      </c>
      <c r="J44" s="6" t="str">
        <f>IFERROR(__xludf.DUMMYFUNCTION("""COMPUTED_VALUE"""),"算法")</f>
        <v>算法</v>
      </c>
    </row>
    <row r="45">
      <c r="A45" s="6">
        <f>IFERROR(__xludf.DUMMYFUNCTION("""COMPUTED_VALUE"""),35.0)</f>
        <v>35</v>
      </c>
      <c r="B45" s="53" t="str">
        <f>IFERROR(__xludf.DUMMYFUNCTION("""COMPUTED_VALUE"""),"Search Insert Position")</f>
        <v>Search Insert Position</v>
      </c>
      <c r="C45" s="6" t="str">
        <f>IFERROR(__xludf.DUMMYFUNCTION("""COMPUTED_VALUE"""),"Easy")</f>
        <v>Easy</v>
      </c>
      <c r="D45" s="6" t="str">
        <f>IFERROR(__xludf.DUMMYFUNCTION("""COMPUTED_VALUE"""),"Binary Search,Array")</f>
        <v>Binary Search,Array</v>
      </c>
      <c r="E45" s="6" t="str">
        <f>IFERROR(__xludf.DUMMYFUNCTION("""COMPUTED_VALUE"""),"Facebook,Apple,SAP,Bloomberg,Adobe,Amazon,Microsoft,Google")</f>
        <v>Facebook,Apple,SAP,Bloomberg,Adobe,Amazon,Microsoft,Google</v>
      </c>
      <c r="F45" s="6" t="str">
        <f>IFERROR(__xludf.DUMMYFUNCTION("""COMPUTED_VALUE"""),"Amazon,Apple")</f>
        <v>Amazon,Apple</v>
      </c>
      <c r="G45" s="6" t="str">
        <f>IFERROR(__xludf.DUMMYFUNCTION("""COMPUTED_VALUE"""),"Adobe,Amazon,Apple")</f>
        <v>Adobe,Amazon,Apple</v>
      </c>
      <c r="H45" s="6" t="str">
        <f>IFERROR(__xludf.DUMMYFUNCTION("""COMPUTED_VALUE"""),"Google,Microsoft,Bloomberg,Facebook,Adobe,Amazon,Apple")</f>
        <v>Google,Microsoft,Bloomberg,Facebook,Adobe,Amazon,Apple</v>
      </c>
      <c r="I45" s="6">
        <f>IFERROR(__xludf.DUMMYFUNCTION("""COMPUTED_VALUE"""),42.81)</f>
        <v>42.81</v>
      </c>
      <c r="J45" s="6" t="str">
        <f>IFERROR(__xludf.DUMMYFUNCTION("""COMPUTED_VALUE"""),"算法")</f>
        <v>算法</v>
      </c>
    </row>
    <row r="46">
      <c r="A46" s="6">
        <f>IFERROR(__xludf.DUMMYFUNCTION("""COMPUTED_VALUE"""),36.0)</f>
        <v>36</v>
      </c>
      <c r="B46" s="53" t="str">
        <f>IFERROR(__xludf.DUMMYFUNCTION("""COMPUTED_VALUE"""),"Valid Sudoku")</f>
        <v>Valid Sudoku</v>
      </c>
      <c r="C46" s="6" t="str">
        <f>IFERROR(__xludf.DUMMYFUNCTION("""COMPUTED_VALUE"""),"Medium")</f>
        <v>Medium</v>
      </c>
      <c r="D46" s="6" t="str">
        <f>IFERROR(__xludf.DUMMYFUNCTION("""COMPUTED_VALUE"""),"Hash Table")</f>
        <v>Hash Table</v>
      </c>
      <c r="E46" s="6" t="str">
        <f>IFERROR(__xludf.DUMMYFUNCTION("""COMPUTED_VALUE"""),"Postmates,DoorDash,Pinterest,Cruise Automation,Roblox,Salesforce,VMware,Snapchat,Twitter,Oracle,Apple,Uber,Bloomberg,Adobe,Facebook,Amazon,Microsoft,Google")</f>
        <v>Postmates,DoorDash,Pinterest,Cruise Automation,Roblox,Salesforce,VMware,Snapchat,Twitter,Oracle,Apple,Uber,Bloomberg,Adobe,Facebook,Amazon,Microsoft,Google</v>
      </c>
      <c r="F46" s="6" t="str">
        <f>IFERROR(__xludf.DUMMYFUNCTION("""COMPUTED_VALUE"""),"Amazon,Roblox,Apple,Oracle,Uber,Facebook")</f>
        <v>Amazon,Roblox,Apple,Oracle,Uber,Facebook</v>
      </c>
      <c r="G46" s="6" t="str">
        <f>IFERROR(__xludf.DUMMYFUNCTION("""COMPUTED_VALUE"""),"Google,Microsoft,Pinterest,Bloomberg,Postmates,Amazon,Roblox,Apple,Oracle,Uber,Facebook")</f>
        <v>Google,Microsoft,Pinterest,Bloomberg,Postmates,Amazon,Roblox,Apple,Oracle,Uber,Facebook</v>
      </c>
      <c r="H46" s="6" t="str">
        <f>IFERROR(__xludf.DUMMYFUNCTION("""COMPUTED_VALUE"""),"DoorDash,Cruise Automation,VMware,Snapchat,Google,Microsoft,Pinterest,Bloomberg,Postmates,Amazon,Roblox,Apple,Oracle,Uber,Facebook")</f>
        <v>DoorDash,Cruise Automation,VMware,Snapchat,Google,Microsoft,Pinterest,Bloomberg,Postmates,Amazon,Roblox,Apple,Oracle,Uber,Facebook</v>
      </c>
      <c r="I46" s="6">
        <f>IFERROR(__xludf.DUMMYFUNCTION("""COMPUTED_VALUE"""),50.72)</f>
        <v>50.72</v>
      </c>
      <c r="J46" s="6" t="str">
        <f>IFERROR(__xludf.DUMMYFUNCTION("""COMPUTED_VALUE"""),"算法")</f>
        <v>算法</v>
      </c>
    </row>
    <row r="47">
      <c r="A47" s="6">
        <f>IFERROR(__xludf.DUMMYFUNCTION("""COMPUTED_VALUE"""),37.0)</f>
        <v>37</v>
      </c>
      <c r="B47" s="53" t="str">
        <f>IFERROR(__xludf.DUMMYFUNCTION("""COMPUTED_VALUE"""),"Sudoku Solver")</f>
        <v>Sudoku Solver</v>
      </c>
      <c r="C47" s="6" t="str">
        <f>IFERROR(__xludf.DUMMYFUNCTION("""COMPUTED_VALUE"""),"Hard")</f>
        <v>Hard</v>
      </c>
      <c r="D47" s="6" t="str">
        <f>IFERROR(__xludf.DUMMYFUNCTION("""COMPUTED_VALUE"""),"Backtracking,Hash Table")</f>
        <v>Backtracking,Hash Table</v>
      </c>
      <c r="E47" s="6" t="str">
        <f>IFERROR(__xludf.DUMMYFUNCTION("""COMPUTED_VALUE"""),"Pinterest,Tesla,Salesforce,JPMorgan,Intuit,Adobe,Arista Networks,Riot Games,DoorDash,Roblox,VMware,Snapchat,Expedia,Wish,Oracle,Apple,Uber,Facebook,Amazon,Microsoft,Google")</f>
        <v>Pinterest,Tesla,Salesforce,JPMorgan,Intuit,Adobe,Arista Networks,Riot Games,DoorDash,Roblox,VMware,Snapchat,Expedia,Wish,Oracle,Apple,Uber,Facebook,Amazon,Microsoft,Google</v>
      </c>
      <c r="F47" s="6" t="str">
        <f>IFERROR(__xludf.DUMMYFUNCTION("""COMPUTED_VALUE"""),"DoorDash,Amazon,Oracle,Pinterest,Apple,Intuit")</f>
        <v>DoorDash,Amazon,Oracle,Pinterest,Apple,Intuit</v>
      </c>
      <c r="G47" s="6" t="str">
        <f>IFERROR(__xludf.DUMMYFUNCTION("""COMPUTED_VALUE"""),"Microsoft,Google,Roblox,Adobe,Salesforce,JPMorgan,Tesla,DoorDash,Amazon,Oracle,Pinterest,Apple,Intuit")</f>
        <v>Microsoft,Google,Roblox,Adobe,Salesforce,JPMorgan,Tesla,DoorDash,Amazon,Oracle,Pinterest,Apple,Intuit</v>
      </c>
      <c r="H47" s="6" t="str">
        <f>IFERROR(__xludf.DUMMYFUNCTION("""COMPUTED_VALUE"""),"Facebook,Wish,Uber,Snapchat,Microsoft,Google,Roblox,Adobe,Salesforce,JPMorgan,Tesla,DoorDash,Amazon,Oracle,Pinterest,Apple,Intuit")</f>
        <v>Facebook,Wish,Uber,Snapchat,Microsoft,Google,Roblox,Adobe,Salesforce,JPMorgan,Tesla,DoorDash,Amazon,Oracle,Pinterest,Apple,Intuit</v>
      </c>
      <c r="I47" s="6">
        <f>IFERROR(__xludf.DUMMYFUNCTION("""COMPUTED_VALUE"""),46.79)</f>
        <v>46.79</v>
      </c>
      <c r="J47" s="6" t="str">
        <f>IFERROR(__xludf.DUMMYFUNCTION("""COMPUTED_VALUE"""),"算法")</f>
        <v>算法</v>
      </c>
    </row>
    <row r="48">
      <c r="A48" s="6">
        <f>IFERROR(__xludf.DUMMYFUNCTION("""COMPUTED_VALUE"""),38.0)</f>
        <v>38</v>
      </c>
      <c r="B48" s="53" t="str">
        <f>IFERROR(__xludf.DUMMYFUNCTION("""COMPUTED_VALUE"""),"Count and Say")</f>
        <v>Count and Say</v>
      </c>
      <c r="C48" s="6" t="str">
        <f>IFERROR(__xludf.DUMMYFUNCTION("""COMPUTED_VALUE"""),"Medium")</f>
        <v>Medium</v>
      </c>
      <c r="D48" s="6" t="str">
        <f>IFERROR(__xludf.DUMMYFUNCTION("""COMPUTED_VALUE"""),"String")</f>
        <v>String</v>
      </c>
      <c r="E48" s="6" t="str">
        <f>IFERROR(__xludf.DUMMYFUNCTION("""COMPUTED_VALUE"""),"Tesla,Infosys,VMware,Epic Systems,Oracle,Apple,Bloomberg,Adobe,Facebook,Amazon,Microsoft,Google")</f>
        <v>Tesla,Infosys,VMware,Epic Systems,Oracle,Apple,Bloomberg,Adobe,Facebook,Amazon,Microsoft,Google</v>
      </c>
      <c r="F48" s="6" t="str">
        <f>IFERROR(__xludf.DUMMYFUNCTION("""COMPUTED_VALUE"""),"Bloomberg,Facebook,Amazon,Microsoft,Apple,Epic Systems,Tesla")</f>
        <v>Bloomberg,Facebook,Amazon,Microsoft,Apple,Epic Systems,Tesla</v>
      </c>
      <c r="G48" s="6" t="str">
        <f>IFERROR(__xludf.DUMMYFUNCTION("""COMPUTED_VALUE"""),"Google,VMware,Bloomberg,Facebook,Amazon,Microsoft,Apple,Epic Systems,Tesla")</f>
        <v>Google,VMware,Bloomberg,Facebook,Amazon,Microsoft,Apple,Epic Systems,Tesla</v>
      </c>
      <c r="H48" s="6" t="str">
        <f>IFERROR(__xludf.DUMMYFUNCTION("""COMPUTED_VALUE"""),"Oracle,Infosys,Google,VMware,Bloomberg,Facebook,Amazon,Microsoft,Apple,Epic Systems,Tesla")</f>
        <v>Oracle,Infosys,Google,VMware,Bloomberg,Facebook,Amazon,Microsoft,Apple,Epic Systems,Tesla</v>
      </c>
      <c r="I48" s="6">
        <f>IFERROR(__xludf.DUMMYFUNCTION("""COMPUTED_VALUE"""),46.16)</f>
        <v>46.16</v>
      </c>
      <c r="J48" s="6" t="str">
        <f>IFERROR(__xludf.DUMMYFUNCTION("""COMPUTED_VALUE"""),"算法")</f>
        <v>算法</v>
      </c>
    </row>
    <row r="49">
      <c r="A49" s="6">
        <f>IFERROR(__xludf.DUMMYFUNCTION("""COMPUTED_VALUE"""),39.0)</f>
        <v>39</v>
      </c>
      <c r="B49" s="53" t="str">
        <f>IFERROR(__xludf.DUMMYFUNCTION("""COMPUTED_VALUE"""),"Combination Sum")</f>
        <v>Combination Sum</v>
      </c>
      <c r="C49" s="6" t="str">
        <f>IFERROR(__xludf.DUMMYFUNCTION("""COMPUTED_VALUE"""),"Medium")</f>
        <v>Medium</v>
      </c>
      <c r="D49" s="6" t="str">
        <f>IFERROR(__xludf.DUMMYFUNCTION("""COMPUTED_VALUE"""),"Backtracking,Array")</f>
        <v>Backtracking,Array</v>
      </c>
      <c r="E49" s="6" t="str">
        <f>IFERROR(__xludf.DUMMYFUNCTION("""COMPUTED_VALUE"""),"Atlassian,ByteDance,Oracle,Adobe,Akuna Capital,Square,IXL,VMware,Quora,Walmart Labs,Snapchat,JPMorgan,Yelp,EBay,Apple,Airbnb,Uber,Bloomberg,Facebook,Amazon,LinkedIn,Microsoft,Goldman Sachs,Google")</f>
        <v>Atlassian,ByteDance,Oracle,Adobe,Akuna Capital,Square,IXL,VMware,Quora,Walmart Labs,Snapchat,JPMorgan,Yelp,EBay,Apple,Airbnb,Uber,Bloomberg,Facebook,Amazon,LinkedIn,Microsoft,Goldman Sachs,Google</v>
      </c>
      <c r="F49" s="6" t="str">
        <f>IFERROR(__xludf.DUMMYFUNCTION("""COMPUTED_VALUE"""),"Facebook,Airbnb,Bloomberg,Amazon,Microsoft,Adobe,Uber,ByteDance")</f>
        <v>Facebook,Airbnb,Bloomberg,Amazon,Microsoft,Adobe,Uber,ByteDance</v>
      </c>
      <c r="G49" s="6" t="str">
        <f>IFERROR(__xludf.DUMMYFUNCTION("""COMPUTED_VALUE"""),"eBay,Apple,Snapchat,Facebook,Airbnb,Bloomberg,Amazon,Microsoft,Adobe,Uber,ByteDance")</f>
        <v>eBay,Apple,Snapchat,Facebook,Airbnb,Bloomberg,Amazon,Microsoft,Adobe,Uber,ByteDance</v>
      </c>
      <c r="H49" s="6" t="str">
        <f>IFERROR(__xludf.DUMMYFUNCTION("""COMPUTED_VALUE"""),"Google,Square,VMware,Goldman Sachs,Walmart Labs,LinkedIn,Atlassian,Oracle,eBay,Apple,Snapchat,Facebook,Airbnb,Bloomberg,Amazon,Microsoft,Adobe,Uber,ByteDance")</f>
        <v>Google,Square,VMware,Goldman Sachs,Walmart Labs,LinkedIn,Atlassian,Oracle,eBay,Apple,Snapchat,Facebook,Airbnb,Bloomberg,Amazon,Microsoft,Adobe,Uber,ByteDance</v>
      </c>
      <c r="I49" s="6">
        <f>IFERROR(__xludf.DUMMYFUNCTION("""COMPUTED_VALUE"""),59.49)</f>
        <v>59.49</v>
      </c>
      <c r="J49" s="6" t="str">
        <f>IFERROR(__xludf.DUMMYFUNCTION("""COMPUTED_VALUE"""),"算法")</f>
        <v>算法</v>
      </c>
    </row>
    <row r="50">
      <c r="A50" s="6">
        <f>IFERROR(__xludf.DUMMYFUNCTION("""COMPUTED_VALUE"""),40.0)</f>
        <v>40</v>
      </c>
      <c r="B50" s="53" t="str">
        <f>IFERROR(__xludf.DUMMYFUNCTION("""COMPUTED_VALUE"""),"Combination Sum II")</f>
        <v>Combination Sum II</v>
      </c>
      <c r="C50" s="6" t="str">
        <f>IFERROR(__xludf.DUMMYFUNCTION("""COMPUTED_VALUE"""),"Medium")</f>
        <v>Medium</v>
      </c>
      <c r="D50" s="6" t="str">
        <f>IFERROR(__xludf.DUMMYFUNCTION("""COMPUTED_VALUE"""),"Backtracking,Array")</f>
        <v>Backtracking,Array</v>
      </c>
      <c r="E50" s="6" t="str">
        <f>IFERROR(__xludf.DUMMYFUNCTION("""COMPUTED_VALUE"""),"ByteDance,Bloomberg,Nutanix,Walmart Labs,Snapchat,EBay,Apple,Uber,Adobe,Facebook,Amazon,LinkedIn,Microsoft,Google")</f>
        <v>ByteDance,Bloomberg,Nutanix,Walmart Labs,Snapchat,EBay,Apple,Uber,Adobe,Facebook,Amazon,LinkedIn,Microsoft,Google</v>
      </c>
      <c r="F50" s="6" t="str">
        <f>IFERROR(__xludf.DUMMYFUNCTION("""COMPUTED_VALUE"""),"Amazon,Microsoft,ByteDance")</f>
        <v>Amazon,Microsoft,ByteDance</v>
      </c>
      <c r="G50" s="6" t="str">
        <f>IFERROR(__xludf.DUMMYFUNCTION("""COMPUTED_VALUE"""),"Facebook,Adobe,Bloomberg,eBay,Amazon,Microsoft,ByteDance")</f>
        <v>Facebook,Adobe,Bloomberg,eBay,Amazon,Microsoft,ByteDance</v>
      </c>
      <c r="H50" s="6" t="str">
        <f>IFERROR(__xludf.DUMMYFUNCTION("""COMPUTED_VALUE"""),"Uber,Google,LinkedIn,Apple,Walmart Labs,Nutanix,Snapchat,Facebook,Adobe,Bloomberg,eBay,Amazon,Microsoft,ByteDance")</f>
        <v>Uber,Google,LinkedIn,Apple,Walmart Labs,Nutanix,Snapchat,Facebook,Adobe,Bloomberg,eBay,Amazon,Microsoft,ByteDance</v>
      </c>
      <c r="I50" s="6">
        <f>IFERROR(__xludf.DUMMYFUNCTION("""COMPUTED_VALUE"""),50.27)</f>
        <v>50.27</v>
      </c>
      <c r="J50" s="6" t="str">
        <f>IFERROR(__xludf.DUMMYFUNCTION("""COMPUTED_VALUE"""),"算法")</f>
        <v>算法</v>
      </c>
    </row>
    <row r="51">
      <c r="A51" s="6">
        <f>IFERROR(__xludf.DUMMYFUNCTION("""COMPUTED_VALUE"""),41.0)</f>
        <v>41</v>
      </c>
      <c r="B51" s="53" t="str">
        <f>IFERROR(__xludf.DUMMYFUNCTION("""COMPUTED_VALUE"""),"First Missing Positive")</f>
        <v>First Missing Positive</v>
      </c>
      <c r="C51" s="6" t="str">
        <f>IFERROR(__xludf.DUMMYFUNCTION("""COMPUTED_VALUE"""),"Hard")</f>
        <v>Hard</v>
      </c>
      <c r="D51" s="6" t="str">
        <f>IFERROR(__xludf.DUMMYFUNCTION("""COMPUTED_VALUE"""),"Array")</f>
        <v>Array</v>
      </c>
      <c r="E51" s="6" t="str">
        <f>IFERROR(__xludf.DUMMYFUNCTION("""COMPUTED_VALUE"""),"Booking.com,Tesla,JPMorgan,Tencent,Goldman Sachs,Databricks,Pocket Gems,Wayfair,Twitch,Grab,ByteDance,Salesforce,Walmart Labs,Wish,Oracle,EBay,Apple,Airbnb,Uber,SAP,Morgan Stanley,Bloomberg,Adobe,Facebook,Amazon,Microsoft,Google")</f>
        <v>Booking.com,Tesla,JPMorgan,Tencent,Goldman Sachs,Databricks,Pocket Gems,Wayfair,Twitch,Grab,ByteDance,Salesforce,Walmart Labs,Wish,Oracle,EBay,Apple,Airbnb,Uber,SAP,Morgan Stanley,Bloomberg,Adobe,Facebook,Amazon,Microsoft,Google</v>
      </c>
      <c r="F51" s="6" t="str">
        <f>IFERROR(__xludf.DUMMYFUNCTION("""COMPUTED_VALUE"""),"Microsoft,Amazon,Google,Bloomberg,Facebook,Oracle,Adobe,Uber,Databricks,Walmart Labs,Tesla,Salesforce,Wish,Tencent,JPMorgan")</f>
        <v>Microsoft,Amazon,Google,Bloomberg,Facebook,Oracle,Adobe,Uber,Databricks,Walmart Labs,Tesla,Salesforce,Wish,Tencent,JPMorgan</v>
      </c>
      <c r="G51" s="6" t="str">
        <f>IFERROR(__xludf.DUMMYFUNCTION("""COMPUTED_VALUE"""),"Apple,ByteDance,eBay,Goldman Sachs,Microsoft,Amazon,Google,Bloomberg,Facebook,Oracle,Adobe,Uber,Databricks,Walmart Labs,Tesla,Salesforce,Wish,Tencent,JPMorgan")</f>
        <v>Apple,ByteDance,eBay,Goldman Sachs,Microsoft,Amazon,Google,Bloomberg,Facebook,Oracle,Adobe,Uber,Databricks,Walmart Labs,Tesla,Salesforce,Wish,Tencent,JPMorgan</v>
      </c>
      <c r="H51" s="6" t="str">
        <f>IFERROR(__xludf.DUMMYFUNCTION("""COMPUTED_VALUE"""),"Twitch,Booking.com,Morgan Stanley,Apple,ByteDance,eBay,Goldman Sachs,Microsoft,Amazon,Google,Bloomberg,Facebook,Oracle,Adobe,Uber,Databricks,Walmart Labs,Tesla,Salesforce,Wish,Tencent,JPMorgan")</f>
        <v>Twitch,Booking.com,Morgan Stanley,Apple,ByteDance,eBay,Goldman Sachs,Microsoft,Amazon,Google,Bloomberg,Facebook,Oracle,Adobe,Uber,Databricks,Walmart Labs,Tesla,Salesforce,Wish,Tencent,JPMorgan</v>
      </c>
      <c r="I51" s="6">
        <f>IFERROR(__xludf.DUMMYFUNCTION("""COMPUTED_VALUE"""),33.83)</f>
        <v>33.83</v>
      </c>
      <c r="J51" s="6" t="str">
        <f>IFERROR(__xludf.DUMMYFUNCTION("""COMPUTED_VALUE"""),"算法")</f>
        <v>算法</v>
      </c>
    </row>
    <row r="52">
      <c r="A52" s="6">
        <f>IFERROR(__xludf.DUMMYFUNCTION("""COMPUTED_VALUE"""),42.0)</f>
        <v>42</v>
      </c>
      <c r="B52" s="53" t="str">
        <f>IFERROR(__xludf.DUMMYFUNCTION("""COMPUTED_VALUE"""),"Trapping Rain Water")</f>
        <v>Trapping Rain Water</v>
      </c>
      <c r="C52" s="6" t="str">
        <f>IFERROR(__xludf.DUMMYFUNCTION("""COMPUTED_VALUE"""),"Hard")</f>
        <v>Hard</v>
      </c>
      <c r="D52" s="6" t="str">
        <f>IFERROR(__xludf.DUMMYFUNCTION("""COMPUTED_VALUE"""),"Dynamic Programming,Stack,Two Pointers,Array")</f>
        <v>Dynamic Programming,Stack,Two Pointers,Array</v>
      </c>
      <c r="E52" s="6" t="str">
        <f>IFERROR(__xludf.DUMMYFUNCTION("""COMPUTED_VALUE"""),"Twitch,Robinhood,Accolite,Audible,VMware,Paypal,ServiceNow,Expedia,Cisco,Electronic Arts,Dataminr,Qualtrics,Databricks,Palantir Technologies,Zenefits,Atlassian,Flipkart,Grab,ByteDance,Tableau,Salesforce,Visa,Citadel,Affirm,Walmart Labs,Snapchat,Twitter,Wi"&amp;"sh,Nvidia,Oracle,Lyft,Yandex,Huawei,EBay,Apple,Airbnb,Uber,Yahoo,Bloomberg,Adobe,Facebook,Amazon,Microsoft,Goldman Sachs,Google")</f>
        <v>Twitch,Robinhood,Accolite,Audible,VMware,Paypal,ServiceNow,Expedia,Cisco,Electronic Arts,Dataminr,Qualtrics,Databricks,Palantir Technologies,Zenefits,Atlassian,Flipkart,Grab,ByteDance,Tableau,Salesforce,Visa,Citadel,Affirm,Walmart Labs,Snapchat,Twitter,Wish,Nvidia,Oracle,Lyft,Yandex,Huawei,EBay,Apple,Airbnb,Uber,Yahoo,Bloomberg,Adobe,Facebook,Amazon,Microsoft,Goldman Sachs,Google</v>
      </c>
      <c r="F52" s="6" t="str">
        <f>IFERROR(__xludf.DUMMYFUNCTION("""COMPUTED_VALUE"""),"Goldman Sachs,Facebook,Amazon,Microsoft,Bloomberg,Apple,Databricks,Google,Oracle,Adobe,Flipkart,Qualtrics,Yahoo")</f>
        <v>Goldman Sachs,Facebook,Amazon,Microsoft,Bloomberg,Apple,Databricks,Google,Oracle,Adobe,Flipkart,Qualtrics,Yahoo</v>
      </c>
      <c r="G52" s="6" t="str">
        <f>IFERROR(__xludf.DUMMYFUNCTION("""COMPUTED_VALUE"""),"ByteDance,Walmart Labs,Citadel,ServiceNow,Uber,Grab,Cisco,Expedia,Twitch,Accolite,Goldman Sachs,Facebook,Amazon,Microsoft,Bloomberg,Apple,Databricks,Google,Oracle,Adobe,Flipkart,Qualtrics,Yahoo")</f>
        <v>ByteDance,Walmart Labs,Citadel,ServiceNow,Uber,Grab,Cisco,Expedia,Twitch,Accolite,Goldman Sachs,Facebook,Amazon,Microsoft,Bloomberg,Apple,Databricks,Google,Oracle,Adobe,Flipkart,Qualtrics,Yahoo</v>
      </c>
      <c r="H52" s="6" t="str">
        <f>IFERROR(__xludf.DUMMYFUNCTION("""COMPUTED_VALUE"""),"Visa,Wish,Snapchat,Airbnb,Lyft,Yandex,VMware,Twitter,eBay,Palantir Technologies,Affirm,Huawei,Salesforce,Paypal,Electronic Arts,Tableau,Audible,Robinhood,Zenefits,ByteDance,Walmart Labs,Citadel,ServiceNow,Uber,Grab,Cisco,Expedia,Twitch,Accolite,Goldman Sa"&amp;"chs,Facebook,Amazon,Microsoft,Bloomberg,Apple,Databricks,Google,Oracle,Adobe,Flipkart,Qualtrics,Yahoo")</f>
        <v>Visa,Wish,Snapchat,Airbnb,Lyft,Yandex,VMware,Twitter,eBay,Palantir Technologies,Affirm,Huawei,Salesforce,Paypal,Electronic Arts,Tableau,Audible,Robinhood,Zenefits,ByteDance,Walmart Labs,Citadel,ServiceNow,Uber,Grab,Cisco,Expedia,Twitch,Accolite,Goldman Sachs,Facebook,Amazon,Microsoft,Bloomberg,Apple,Databricks,Google,Oracle,Adobe,Flipkart,Qualtrics,Yahoo</v>
      </c>
      <c r="I52" s="6">
        <f>IFERROR(__xludf.DUMMYFUNCTION("""COMPUTED_VALUE"""),51.4)</f>
        <v>51.4</v>
      </c>
      <c r="J52" s="6" t="str">
        <f>IFERROR(__xludf.DUMMYFUNCTION("""COMPUTED_VALUE"""),"算法")</f>
        <v>算法</v>
      </c>
    </row>
    <row r="53">
      <c r="A53" s="6">
        <f>IFERROR(__xludf.DUMMYFUNCTION("""COMPUTED_VALUE"""),43.0)</f>
        <v>43</v>
      </c>
      <c r="B53" s="53" t="str">
        <f>IFERROR(__xludf.DUMMYFUNCTION("""COMPUTED_VALUE"""),"Multiply Strings")</f>
        <v>Multiply Strings</v>
      </c>
      <c r="C53" s="6" t="str">
        <f>IFERROR(__xludf.DUMMYFUNCTION("""COMPUTED_VALUE"""),"Medium")</f>
        <v>Medium</v>
      </c>
      <c r="D53" s="6" t="str">
        <f>IFERROR(__xludf.DUMMYFUNCTION("""COMPUTED_VALUE"""),"String,Math")</f>
        <v>String,Math</v>
      </c>
      <c r="E53" s="6" t="str">
        <f>IFERROR(__xludf.DUMMYFUNCTION("""COMPUTED_VALUE"""),"Two Sigma,Square,ByteDance,Bloomberg,Houzz,Redfin,Walmart Labs,Zillow,Twitter,Expedia,Oracle,Mathworks,Huawei,Apple,Uber,Facebook,Amazon,Microsoft,Google")</f>
        <v>Two Sigma,Square,ByteDance,Bloomberg,Houzz,Redfin,Walmart Labs,Zillow,Twitter,Expedia,Oracle,Mathworks,Huawei,Apple,Uber,Facebook,Amazon,Microsoft,Google</v>
      </c>
      <c r="F53" s="6" t="str">
        <f>IFERROR(__xludf.DUMMYFUNCTION("""COMPUTED_VALUE"""),"Facebook,Microsoft,Apple,Amazon,Bloomberg,Square,Two Sigma,ByteDance")</f>
        <v>Facebook,Microsoft,Apple,Amazon,Bloomberg,Square,Two Sigma,ByteDance</v>
      </c>
      <c r="G53" s="6" t="str">
        <f>IFERROR(__xludf.DUMMYFUNCTION("""COMPUTED_VALUE"""),"Google,Facebook,Microsoft,Apple,Amazon,Bloomberg,Square,Two Sigma,ByteDance")</f>
        <v>Google,Facebook,Microsoft,Apple,Amazon,Bloomberg,Square,Two Sigma,ByteDance</v>
      </c>
      <c r="H53" s="6" t="str">
        <f>IFERROR(__xludf.DUMMYFUNCTION("""COMPUTED_VALUE"""),"Oracle,Zillow,Houzz,Twitter,Google,Facebook,Microsoft,Apple,Amazon,Bloomberg,Square,Two Sigma,ByteDance")</f>
        <v>Oracle,Zillow,Houzz,Twitter,Google,Facebook,Microsoft,Apple,Amazon,Bloomberg,Square,Two Sigma,ByteDance</v>
      </c>
      <c r="I53" s="6">
        <f>IFERROR(__xludf.DUMMYFUNCTION("""COMPUTED_VALUE"""),35.03)</f>
        <v>35.03</v>
      </c>
      <c r="J53" s="6" t="str">
        <f>IFERROR(__xludf.DUMMYFUNCTION("""COMPUTED_VALUE"""),"算法")</f>
        <v>算法</v>
      </c>
    </row>
    <row r="54">
      <c r="A54" s="6">
        <f>IFERROR(__xludf.DUMMYFUNCTION("""COMPUTED_VALUE"""),44.0)</f>
        <v>44</v>
      </c>
      <c r="B54" s="53" t="str">
        <f>IFERROR(__xludf.DUMMYFUNCTION("""COMPUTED_VALUE"""),"Wildcard Matching")</f>
        <v>Wildcard Matching</v>
      </c>
      <c r="C54" s="6" t="str">
        <f>IFERROR(__xludf.DUMMYFUNCTION("""COMPUTED_VALUE"""),"Hard")</f>
        <v>Hard</v>
      </c>
      <c r="D54" s="6" t="str">
        <f>IFERROR(__xludf.DUMMYFUNCTION("""COMPUTED_VALUE"""),"Greedy,Backtracking,Dynamic Programming,String")</f>
        <v>Greedy,Backtracking,Dynamic Programming,String</v>
      </c>
      <c r="E54" s="6" t="str">
        <f>IFERROR(__xludf.DUMMYFUNCTION("""COMPUTED_VALUE"""),"Citadel,Apple,Coursera,Cruise Automation,Two Sigma,ByteDance,Snapchat,Twitter,Oracle,Bloomberg,Adobe,Facebook,Amazon,Microsoft,Goldman Sachs,Google")</f>
        <v>Citadel,Apple,Coursera,Cruise Automation,Two Sigma,ByteDance,Snapchat,Twitter,Oracle,Bloomberg,Adobe,Facebook,Amazon,Microsoft,Goldman Sachs,Google</v>
      </c>
      <c r="F54" s="6" t="str">
        <f>IFERROR(__xludf.DUMMYFUNCTION("""COMPUTED_VALUE"""),"Amazon,Adobe,Citadel,Facebook,Microsoft,Google,Coursera,Apple")</f>
        <v>Amazon,Adobe,Citadel,Facebook,Microsoft,Google,Coursera,Apple</v>
      </c>
      <c r="G54" s="6" t="str">
        <f>IFERROR(__xludf.DUMMYFUNCTION("""COMPUTED_VALUE"""),"Goldman Sachs,ByteDance,Bloomberg,Amazon,Adobe,Citadel,Facebook,Microsoft,Google,Coursera,Apple")</f>
        <v>Goldman Sachs,ByteDance,Bloomberg,Amazon,Adobe,Citadel,Facebook,Microsoft,Google,Coursera,Apple</v>
      </c>
      <c r="H54" s="6" t="str">
        <f>IFERROR(__xludf.DUMMYFUNCTION("""COMPUTED_VALUE"""),"Two Sigma,Twitter,Snapchat,Goldman Sachs,ByteDance,Bloomberg,Amazon,Adobe,Citadel,Facebook,Microsoft,Google,Coursera,Apple")</f>
        <v>Two Sigma,Twitter,Snapchat,Goldman Sachs,ByteDance,Bloomberg,Amazon,Adobe,Citadel,Facebook,Microsoft,Google,Coursera,Apple</v>
      </c>
      <c r="I54" s="6">
        <f>IFERROR(__xludf.DUMMYFUNCTION("""COMPUTED_VALUE"""),25.47)</f>
        <v>25.47</v>
      </c>
      <c r="J54" s="6" t="str">
        <f>IFERROR(__xludf.DUMMYFUNCTION("""COMPUTED_VALUE"""),"算法")</f>
        <v>算法</v>
      </c>
    </row>
    <row r="55">
      <c r="A55" s="6">
        <f>IFERROR(__xludf.DUMMYFUNCTION("""COMPUTED_VALUE"""),45.0)</f>
        <v>45</v>
      </c>
      <c r="B55" s="53" t="str">
        <f>IFERROR(__xludf.DUMMYFUNCTION("""COMPUTED_VALUE"""),"Jump Game II")</f>
        <v>Jump Game II</v>
      </c>
      <c r="C55" s="6" t="str">
        <f>IFERROR(__xludf.DUMMYFUNCTION("""COMPUTED_VALUE"""),"Medium")</f>
        <v>Medium</v>
      </c>
      <c r="D55" s="6" t="str">
        <f>IFERROR(__xludf.DUMMYFUNCTION("""COMPUTED_VALUE"""),"Greedy,Array")</f>
        <v>Greedy,Array</v>
      </c>
      <c r="E55" s="6" t="str">
        <f>IFERROR(__xludf.DUMMYFUNCTION("""COMPUTED_VALUE"""),"Flipkart,Salesforce,Nutanix,Oracle,Huawei,Apple,Uber,Adobe,Facebook,Amazon,Microsoft,Goldman Sachs,Google")</f>
        <v>Flipkart,Salesforce,Nutanix,Oracle,Huawei,Apple,Uber,Adobe,Facebook,Amazon,Microsoft,Goldman Sachs,Google</v>
      </c>
      <c r="F55" s="6" t="str">
        <f>IFERROR(__xludf.DUMMYFUNCTION("""COMPUTED_VALUE"""),"Amazon,Apple")</f>
        <v>Amazon,Apple</v>
      </c>
      <c r="G55" s="6" t="str">
        <f>IFERROR(__xludf.DUMMYFUNCTION("""COMPUTED_VALUE"""),"Microsoft,Google,Adobe,Amazon,Apple")</f>
        <v>Microsoft,Google,Adobe,Amazon,Apple</v>
      </c>
      <c r="H55" s="6" t="str">
        <f>IFERROR(__xludf.DUMMYFUNCTION("""COMPUTED_VALUE"""),"Nutanix,Facebook,Oracle,Huawei,Uber,Flipkart,Salesforce,Microsoft,Google,Adobe,Amazon,Apple")</f>
        <v>Nutanix,Facebook,Oracle,Huawei,Uber,Flipkart,Salesforce,Microsoft,Google,Adobe,Amazon,Apple</v>
      </c>
      <c r="I55" s="6">
        <f>IFERROR(__xludf.DUMMYFUNCTION("""COMPUTED_VALUE"""),31.52)</f>
        <v>31.52</v>
      </c>
      <c r="J55" s="6" t="str">
        <f>IFERROR(__xludf.DUMMYFUNCTION("""COMPUTED_VALUE"""),"算法")</f>
        <v>算法</v>
      </c>
    </row>
    <row r="56">
      <c r="A56" s="6">
        <f>IFERROR(__xludf.DUMMYFUNCTION("""COMPUTED_VALUE"""),46.0)</f>
        <v>46</v>
      </c>
      <c r="B56" s="53" t="str">
        <f>IFERROR(__xludf.DUMMYFUNCTION("""COMPUTED_VALUE"""),"Permutations")</f>
        <v>Permutations</v>
      </c>
      <c r="C56" s="6" t="str">
        <f>IFERROR(__xludf.DUMMYFUNCTION("""COMPUTED_VALUE"""),"Medium")</f>
        <v>Medium</v>
      </c>
      <c r="D56" s="6" t="str">
        <f>IFERROR(__xludf.DUMMYFUNCTION("""COMPUTED_VALUE"""),"Backtracking")</f>
        <v>Backtracking</v>
      </c>
      <c r="E56" s="6" t="str">
        <f>IFERROR(__xludf.DUMMYFUNCTION("""COMPUTED_VALUE"""),"Garena,Atlassian,ByteDance,Salesforce,VMware,Walmart Labs,GoDaddy,Paypal,Oracle,NetEase,Cisco,EBay,Apple,Uber,Yahoo,Bloomberg,Adobe,Facebook,Amazon,LinkedIn,Microsoft,Goldman Sachs,Google")</f>
        <v>Garena,Atlassian,ByteDance,Salesforce,VMware,Walmart Labs,GoDaddy,Paypal,Oracle,NetEase,Cisco,EBay,Apple,Uber,Yahoo,Bloomberg,Adobe,Facebook,Amazon,LinkedIn,Microsoft,Goldman Sachs,Google</v>
      </c>
      <c r="F56" s="6" t="str">
        <f>IFERROR(__xludf.DUMMYFUNCTION("""COMPUTED_VALUE"""),"Amazon,Facebook,Apple,eBay,ByteDance,Microsoft,Paypal,LinkedIn,Oracle")</f>
        <v>Amazon,Facebook,Apple,eBay,ByteDance,Microsoft,Paypal,LinkedIn,Oracle</v>
      </c>
      <c r="G56" s="6" t="str">
        <f>IFERROR(__xludf.DUMMYFUNCTION("""COMPUTED_VALUE"""),"Google,Bloomberg,Adobe,Uber,Amazon,Facebook,Apple,eBay,ByteDance,Microsoft,Paypal,LinkedIn,Oracle")</f>
        <v>Google,Bloomberg,Adobe,Uber,Amazon,Facebook,Apple,eBay,ByteDance,Microsoft,Paypal,LinkedIn,Oracle</v>
      </c>
      <c r="H56" s="6" t="str">
        <f>IFERROR(__xludf.DUMMYFUNCTION("""COMPUTED_VALUE"""),"Atlassian,Yahoo,Goldman Sachs,Garena,Google,Bloomberg,Adobe,Uber,Amazon,Facebook,Apple,eBay,ByteDance,Microsoft,Paypal,LinkedIn,Oracle")</f>
        <v>Atlassian,Yahoo,Goldman Sachs,Garena,Google,Bloomberg,Adobe,Uber,Amazon,Facebook,Apple,eBay,ByteDance,Microsoft,Paypal,LinkedIn,Oracle</v>
      </c>
      <c r="I56" s="6">
        <f>IFERROR(__xludf.DUMMYFUNCTION("""COMPUTED_VALUE"""),66.84)</f>
        <v>66.84</v>
      </c>
      <c r="J56" s="6" t="str">
        <f>IFERROR(__xludf.DUMMYFUNCTION("""COMPUTED_VALUE"""),"算法")</f>
        <v>算法</v>
      </c>
    </row>
    <row r="57">
      <c r="A57" s="6">
        <f>IFERROR(__xludf.DUMMYFUNCTION("""COMPUTED_VALUE"""),48.0)</f>
        <v>48</v>
      </c>
      <c r="B57" s="53" t="str">
        <f>IFERROR(__xludf.DUMMYFUNCTION("""COMPUTED_VALUE"""),"Rotate Image")</f>
        <v>Rotate Image</v>
      </c>
      <c r="C57" s="6" t="str">
        <f>IFERROR(__xludf.DUMMYFUNCTION("""COMPUTED_VALUE"""),"Medium")</f>
        <v>Medium</v>
      </c>
      <c r="D57" s="6" t="str">
        <f>IFERROR(__xludf.DUMMYFUNCTION("""COMPUTED_VALUE"""),"Array")</f>
        <v>Array</v>
      </c>
      <c r="E57" s="6" t="str">
        <f>IFERROR(__xludf.DUMMYFUNCTION("""COMPUTED_VALUE"""),"Garena,Rubrik,Databricks,Robinhood,PayTM,Walmart Labs,EBay,Uber,Akuna Capital,Palantir Technologies,Houzz,Salesforce,Groupon,Quora,Wish,Nvidia,Lyft,Cisco,Yandex,Apple,Samsung,Bloomberg,Adobe,Facebook,Amazon,Microsoft,Google")</f>
        <v>Garena,Rubrik,Databricks,Robinhood,PayTM,Walmart Labs,EBay,Uber,Akuna Capital,Palantir Technologies,Houzz,Salesforce,Groupon,Quora,Wish,Nvidia,Lyft,Cisco,Yandex,Apple,Samsung,Bloomberg,Adobe,Facebook,Amazon,Microsoft,Google</v>
      </c>
      <c r="F57" s="6" t="str">
        <f>IFERROR(__xludf.DUMMYFUNCTION("""COMPUTED_VALUE"""),"Amazon,Microsoft,Apple,Uber,Cisco,Facebook,Rubrik,Adobe,Nvidia,Quora,eBay,PayTM")</f>
        <v>Amazon,Microsoft,Apple,Uber,Cisco,Facebook,Rubrik,Adobe,Nvidia,Quora,eBay,PayTM</v>
      </c>
      <c r="G57" s="6" t="str">
        <f>IFERROR(__xludf.DUMMYFUNCTION("""COMPUTED_VALUE"""),"Google,Bloomberg,Akuna Capital,Databricks,Robinhood,Amazon,Microsoft,Apple,Uber,Cisco,Facebook,Rubrik,Adobe,Nvidia,Quora,eBay,PayTM")</f>
        <v>Google,Bloomberg,Akuna Capital,Databricks,Robinhood,Amazon,Microsoft,Apple,Uber,Cisco,Facebook,Rubrik,Adobe,Nvidia,Quora,eBay,PayTM</v>
      </c>
      <c r="H57" s="6" t="str">
        <f>IFERROR(__xludf.DUMMYFUNCTION("""COMPUTED_VALUE"""),"Lyft,Groupon,Salesforce,Yandex,Garena,Walmart Labs,Palantir Technologies,Google,Bloomberg,Akuna Capital,Databricks,Robinhood,Amazon,Microsoft,Apple,Uber,Cisco,Facebook,Rubrik,Adobe,Nvidia,Quora,eBay,PayTM")</f>
        <v>Lyft,Groupon,Salesforce,Yandex,Garena,Walmart Labs,Palantir Technologies,Google,Bloomberg,Akuna Capital,Databricks,Robinhood,Amazon,Microsoft,Apple,Uber,Cisco,Facebook,Rubrik,Adobe,Nvidia,Quora,eBay,PayTM</v>
      </c>
      <c r="I57" s="6">
        <f>IFERROR(__xludf.DUMMYFUNCTION("""COMPUTED_VALUE"""),60.22)</f>
        <v>60.22</v>
      </c>
      <c r="J57" s="6" t="str">
        <f>IFERROR(__xludf.DUMMYFUNCTION("""COMPUTED_VALUE"""),"算法")</f>
        <v>算法</v>
      </c>
    </row>
    <row r="58">
      <c r="A58" s="6">
        <f>IFERROR(__xludf.DUMMYFUNCTION("""COMPUTED_VALUE"""),49.0)</f>
        <v>49</v>
      </c>
      <c r="B58" s="53" t="str">
        <f>IFERROR(__xludf.DUMMYFUNCTION("""COMPUTED_VALUE"""),"Group Anagrams")</f>
        <v>Group Anagrams</v>
      </c>
      <c r="C58" s="6" t="str">
        <f>IFERROR(__xludf.DUMMYFUNCTION("""COMPUTED_VALUE"""),"Medium")</f>
        <v>Medium</v>
      </c>
      <c r="D58" s="6" t="str">
        <f>IFERROR(__xludf.DUMMYFUNCTION("""COMPUTED_VALUE"""),"String,Hash Table")</f>
        <v>String,Hash Table</v>
      </c>
      <c r="E58" s="6" t="str">
        <f>IFERROR(__xludf.DUMMYFUNCTION("""COMPUTED_VALUE"""),"Splunk,ByteDance,Intel,Citadel,Paypal,Expedia,Docusign,Electronic Arts,Hulu,Tesla,Nutanix,Qualtrics,Zulily,Twilio,Salesforce,Booking.com,Visa,VMware,Affirm,Walmart Labs,Snapchat,ServiceNow,Wish,Yelp,Oracle,Intuit,Cisco,Mathworks,Yandex,EBay,Apple,Uber,Yah"&amp;"oo,Bloomberg,Adobe,Facebook,Amazon,Microsoft,Goldman Sachs,Google")</f>
        <v>Splunk,ByteDance,Intel,Citadel,Paypal,Expedia,Docusign,Electronic Arts,Hulu,Tesla,Nutanix,Qualtrics,Zulily,Twilio,Salesforce,Booking.com,Visa,VMware,Affirm,Walmart Labs,Snapchat,ServiceNow,Wish,Yelp,Oracle,Intuit,Cisco,Mathworks,Yandex,EBay,Apple,Uber,Yahoo,Bloomberg,Adobe,Facebook,Amazon,Microsoft,Goldman Sachs,Google</v>
      </c>
      <c r="F58" s="6" t="str">
        <f>IFERROR(__xludf.DUMMYFUNCTION("""COMPUTED_VALUE"""),"Amazon,Goldman Sachs,Microsoft,Apple,Uber,VMware,eBay,Twilio,Oracle,Yandex,Expedia,Affirm,ByteDance,Bloomberg,Citadel,Cisco,Intel")</f>
        <v>Amazon,Goldman Sachs,Microsoft,Apple,Uber,VMware,eBay,Twilio,Oracle,Yandex,Expedia,Affirm,ByteDance,Bloomberg,Citadel,Cisco,Intel</v>
      </c>
      <c r="G58" s="6" t="str">
        <f>IFERROR(__xludf.DUMMYFUNCTION("""COMPUTED_VALUE"""),"Facebook,Google,Docusign,Mathworks,Adobe,Walmart Labs,Paypal,ServiceNow,Amazon,Goldman Sachs,Microsoft,Apple,Uber,VMware,eBay,Twilio,Oracle,Yandex,Expedia,Affirm,ByteDance,Bloomberg,Citadel,Cisco,Intel")</f>
        <v>Facebook,Google,Docusign,Mathworks,Adobe,Walmart Labs,Paypal,ServiceNow,Amazon,Goldman Sachs,Microsoft,Apple,Uber,VMware,eBay,Twilio,Oracle,Yandex,Expedia,Affirm,ByteDance,Bloomberg,Citadel,Cisco,Intel</v>
      </c>
      <c r="H58" s="6" t="str">
        <f>IFERROR(__xludf.DUMMYFUNCTION("""COMPUTED_VALUE"""),"Wish,Yahoo,Salesforce,Snapchat,Booking.com,Intuit,Tesla,Hulu,Visa,Splunk,Nutanix,Yelp,Facebook,Google,Docusign,Mathworks,Adobe,Walmart Labs,Paypal,ServiceNow,Amazon,Goldman Sachs,Microsoft,Apple,Uber,VMware,eBay,Twilio,Oracle,Yandex,Expedia,Affirm,ByteDan"&amp;"ce,Bloomberg,Citadel,Cisco,Intel")</f>
        <v>Wish,Yahoo,Salesforce,Snapchat,Booking.com,Intuit,Tesla,Hulu,Visa,Splunk,Nutanix,Yelp,Facebook,Google,Docusign,Mathworks,Adobe,Walmart Labs,Paypal,ServiceNow,Amazon,Goldman Sachs,Microsoft,Apple,Uber,VMware,eBay,Twilio,Oracle,Yandex,Expedia,Affirm,ByteDance,Bloomberg,Citadel,Cisco,Intel</v>
      </c>
      <c r="I58" s="6">
        <f>IFERROR(__xludf.DUMMYFUNCTION("""COMPUTED_VALUE"""),59.5)</f>
        <v>59.5</v>
      </c>
      <c r="J58" s="6" t="str">
        <f>IFERROR(__xludf.DUMMYFUNCTION("""COMPUTED_VALUE"""),"算法")</f>
        <v>算法</v>
      </c>
    </row>
    <row r="59">
      <c r="A59" s="6">
        <f>IFERROR(__xludf.DUMMYFUNCTION("""COMPUTED_VALUE"""),50.0)</f>
        <v>50</v>
      </c>
      <c r="B59" s="53" t="str">
        <f>IFERROR(__xludf.DUMMYFUNCTION("""COMPUTED_VALUE"""),"Pow(x, n)")</f>
        <v>Pow(x, n)</v>
      </c>
      <c r="C59" s="6" t="str">
        <f>IFERROR(__xludf.DUMMYFUNCTION("""COMPUTED_VALUE"""),"Medium")</f>
        <v>Medium</v>
      </c>
      <c r="D59" s="6" t="str">
        <f>IFERROR(__xludf.DUMMYFUNCTION("""COMPUTED_VALUE"""),"Binary Search,Math")</f>
        <v>Binary Search,Math</v>
      </c>
      <c r="E59" s="6" t="str">
        <f>IFERROR(__xludf.DUMMYFUNCTION("""COMPUTED_VALUE"""),"VMware,Paypal,EBay,Asana,Walmart Labs,Oracle,Apple,Uber,Morgan Stanley,Bloomberg,Adobe,Facebook,Amazon,LinkedIn,Microsoft,Goldman Sachs,Google")</f>
        <v>VMware,Paypal,EBay,Asana,Walmart Labs,Oracle,Apple,Uber,Morgan Stanley,Bloomberg,Adobe,Facebook,Amazon,LinkedIn,Microsoft,Goldman Sachs,Google</v>
      </c>
      <c r="F59" s="6" t="str">
        <f>IFERROR(__xludf.DUMMYFUNCTION("""COMPUTED_VALUE"""),"Facebook,Amazon,LinkedIn,Microsoft,Google,Bloomberg,Goldman Sachs,eBay,Asana")</f>
        <v>Facebook,Amazon,LinkedIn,Microsoft,Google,Bloomberg,Goldman Sachs,eBay,Asana</v>
      </c>
      <c r="G59" s="6" t="str">
        <f>IFERROR(__xludf.DUMMYFUNCTION("""COMPUTED_VALUE"""),"Apple,Uber,Oracle,Facebook,Amazon,LinkedIn,Microsoft,Google,Bloomberg,Goldman Sachs,eBay,Asana")</f>
        <v>Apple,Uber,Oracle,Facebook,Amazon,LinkedIn,Microsoft,Google,Bloomberg,Goldman Sachs,eBay,Asana</v>
      </c>
      <c r="H59" s="6" t="str">
        <f>IFERROR(__xludf.DUMMYFUNCTION("""COMPUTED_VALUE"""),"VMware,Walmart Labs,Paypal,Apple,Uber,Oracle,Facebook,Amazon,LinkedIn,Microsoft,Google,Bloomberg,Goldman Sachs,eBay,Asana")</f>
        <v>VMware,Walmart Labs,Paypal,Apple,Uber,Oracle,Facebook,Amazon,LinkedIn,Microsoft,Google,Bloomberg,Goldman Sachs,eBay,Asana</v>
      </c>
      <c r="I59" s="6">
        <f>IFERROR(__xludf.DUMMYFUNCTION("""COMPUTED_VALUE"""),30.99)</f>
        <v>30.99</v>
      </c>
      <c r="J59" s="6" t="str">
        <f>IFERROR(__xludf.DUMMYFUNCTION("""COMPUTED_VALUE"""),"算法")</f>
        <v>算法</v>
      </c>
    </row>
    <row r="60">
      <c r="A60" s="6">
        <f>IFERROR(__xludf.DUMMYFUNCTION("""COMPUTED_VALUE"""),51.0)</f>
        <v>51</v>
      </c>
      <c r="B60" s="53" t="str">
        <f>IFERROR(__xludf.DUMMYFUNCTION("""COMPUTED_VALUE"""),"N-Queens")</f>
        <v>N-Queens</v>
      </c>
      <c r="C60" s="6" t="str">
        <f>IFERROR(__xludf.DUMMYFUNCTION("""COMPUTED_VALUE"""),"Hard")</f>
        <v>Hard</v>
      </c>
      <c r="D60" s="6" t="str">
        <f>IFERROR(__xludf.DUMMYFUNCTION("""COMPUTED_VALUE"""),"Backtracking")</f>
        <v>Backtracking</v>
      </c>
      <c r="E60" s="6" t="str">
        <f>IFERROR(__xludf.DUMMYFUNCTION("""COMPUTED_VALUE"""),"Rubrik,ByteDance,Tableau,Oracle,EBay,Apple,Uber,Adobe,Facebook,Amazon,Microsoft,Google")</f>
        <v>Rubrik,ByteDance,Tableau,Oracle,EBay,Apple,Uber,Adobe,Facebook,Amazon,Microsoft,Google</v>
      </c>
      <c r="F60" s="6" t="str">
        <f>IFERROR(__xludf.DUMMYFUNCTION("""COMPUTED_VALUE"""),"Facebook,Amazon,ByteDance,Microsoft,Apple,Adobe")</f>
        <v>Facebook,Amazon,ByteDance,Microsoft,Apple,Adobe</v>
      </c>
      <c r="G60" s="6" t="str">
        <f>IFERROR(__xludf.DUMMYFUNCTION("""COMPUTED_VALUE"""),"eBay,Facebook,Amazon,ByteDance,Microsoft,Apple,Adobe")</f>
        <v>eBay,Facebook,Amazon,ByteDance,Microsoft,Apple,Adobe</v>
      </c>
      <c r="H60" s="6" t="str">
        <f>IFERROR(__xludf.DUMMYFUNCTION("""COMPUTED_VALUE"""),"Google,Rubrik,Oracle,Uber,eBay,Facebook,Amazon,ByteDance,Microsoft,Apple,Adobe")</f>
        <v>Google,Rubrik,Oracle,Uber,eBay,Facebook,Amazon,ByteDance,Microsoft,Apple,Adobe</v>
      </c>
      <c r="I60" s="6">
        <f>IFERROR(__xludf.DUMMYFUNCTION("""COMPUTED_VALUE"""),49.9)</f>
        <v>49.9</v>
      </c>
      <c r="J60" s="6" t="str">
        <f>IFERROR(__xludf.DUMMYFUNCTION("""COMPUTED_VALUE"""),"算法")</f>
        <v>算法</v>
      </c>
    </row>
    <row r="61">
      <c r="A61" s="6">
        <f>IFERROR(__xludf.DUMMYFUNCTION("""COMPUTED_VALUE"""),53.0)</f>
        <v>53</v>
      </c>
      <c r="B61" s="53" t="str">
        <f>IFERROR(__xludf.DUMMYFUNCTION("""COMPUTED_VALUE"""),"Maximum Subarray")</f>
        <v>Maximum Subarray</v>
      </c>
      <c r="C61" s="6" t="str">
        <f>IFERROR(__xludf.DUMMYFUNCTION("""COMPUTED_VALUE"""),"Easy")</f>
        <v>Easy</v>
      </c>
      <c r="D61" s="6" t="str">
        <f>IFERROR(__xludf.DUMMYFUNCTION("""COMPUTED_VALUE"""),"Dynamic Programming,Divide and Conquer,Array")</f>
        <v>Dynamic Programming,Divide and Conquer,Array</v>
      </c>
      <c r="E61" s="6" t="str">
        <f>IFERROR(__xludf.DUMMYFUNCTION("""COMPUTED_VALUE"""),"Square,Grab,Tcs,Poshmark,PayTM,Infosys,Splunk,Qualcomm,VMware,Asana,Tesla,Palantir Technologies,Wayfair,Two Sigma,Atlassian,ByteDance,Capital One,Salesforce,Intel,Visa,Citadel,Walmart Labs,JPMorgan,Zillow,Paypal,Expedia,Nvidia,Oracle,IBM,Cisco,EBay,Apple,"&amp;"Uber,Yahoo,SAP,Morgan Stanley,Bloomberg,Adobe,Facebook,Amazon,LinkedIn,Microsoft,Alibaba,Goldman Sachs,Google")</f>
        <v>Square,Grab,Tcs,Poshmark,PayTM,Infosys,Splunk,Qualcomm,VMware,Asana,Tesla,Palantir Technologies,Wayfair,Two Sigma,Atlassian,ByteDance,Capital One,Salesforce,Intel,Visa,Citadel,Walmart Labs,JPMorgan,Zillow,Paypal,Expedia,Nvidia,Oracle,IBM,Cisco,EBay,Apple,Uber,Yahoo,SAP,Morgan Stanley,Bloomberg,Adobe,Facebook,Amazon,LinkedIn,Microsoft,Alibaba,Goldman Sachs,Google</v>
      </c>
      <c r="F61" s="6" t="str">
        <f>IFERROR(__xludf.DUMMYFUNCTION("""COMPUTED_VALUE"""),"Microsoft,Amazon,Apple,LinkedIn,ByteDance,Google,Bloomberg,Adobe,Oracle,JPMorgan,Cisco,Splunk,Facebook,Uber,Goldman Sachs,Paypal,PayTM")</f>
        <v>Microsoft,Amazon,Apple,LinkedIn,ByteDance,Google,Bloomberg,Adobe,Oracle,JPMorgan,Cisco,Splunk,Facebook,Uber,Goldman Sachs,Paypal,PayTM</v>
      </c>
      <c r="G61" s="6" t="str">
        <f>IFERROR(__xludf.DUMMYFUNCTION("""COMPUTED_VALUE"""),"VMware,Morgan Stanley,IBM,Grab,tcs,Microsoft,Amazon,Apple,LinkedIn,ByteDance,Google,Bloomberg,Adobe,Oracle,JPMorgan,Cisco,Splunk,Facebook,Uber,Goldman Sachs,Paypal,PayTM")</f>
        <v>VMware,Morgan Stanley,IBM,Grab,tcs,Microsoft,Amazon,Apple,LinkedIn,ByteDance,Google,Bloomberg,Adobe,Oracle,JPMorgan,Cisco,Splunk,Facebook,Uber,Goldman Sachs,Paypal,PayTM</v>
      </c>
      <c r="H61" s="6" t="str">
        <f>IFERROR(__xludf.DUMMYFUNCTION("""COMPUTED_VALUE"""),"eBay,Zillow,Expedia,Yahoo,Citadel,Capital One,Asana,Atlassian,Walmart Labs,Infosys,Alibaba,Intel,Salesforce,Square,Tesla,Qualcomm,Poshmark,VMware,Morgan Stanley,IBM,Grab,tcs,Microsoft,Amazon,Apple,LinkedIn,ByteDance,Google,Bloomberg,Adobe,Oracle,JPMorgan,"&amp;"Cisco,Splunk,Facebook,Uber,Goldman Sachs,Paypal,PayTM")</f>
        <v>eBay,Zillow,Expedia,Yahoo,Citadel,Capital One,Asana,Atlassian,Walmart Labs,Infosys,Alibaba,Intel,Salesforce,Square,Tesla,Qualcomm,Poshmark,VMware,Morgan Stanley,IBM,Grab,tcs,Microsoft,Amazon,Apple,LinkedIn,ByteDance,Google,Bloomberg,Adobe,Oracle,JPMorgan,Cisco,Splunk,Facebook,Uber,Goldman Sachs,Paypal,PayTM</v>
      </c>
      <c r="I61" s="6">
        <f>IFERROR(__xludf.DUMMYFUNCTION("""COMPUTED_VALUE"""),47.81)</f>
        <v>47.81</v>
      </c>
      <c r="J61" s="6" t="str">
        <f>IFERROR(__xludf.DUMMYFUNCTION("""COMPUTED_VALUE"""),"算法")</f>
        <v>算法</v>
      </c>
    </row>
    <row r="62">
      <c r="A62" s="6">
        <f>IFERROR(__xludf.DUMMYFUNCTION("""COMPUTED_VALUE"""),54.0)</f>
        <v>54</v>
      </c>
      <c r="B62" s="53" t="str">
        <f>IFERROR(__xludf.DUMMYFUNCTION("""COMPUTED_VALUE"""),"Spiral Matrix")</f>
        <v>Spiral Matrix</v>
      </c>
      <c r="C62" s="6" t="str">
        <f>IFERROR(__xludf.DUMMYFUNCTION("""COMPUTED_VALUE"""),"Medium")</f>
        <v>Medium</v>
      </c>
      <c r="D62" s="6" t="str">
        <f>IFERROR(__xludf.DUMMYFUNCTION("""COMPUTED_VALUE"""),"Array")</f>
        <v>Array</v>
      </c>
      <c r="E62" s="6" t="str">
        <f>IFERROR(__xludf.DUMMYFUNCTION("""COMPUTED_VALUE"""),"DE Shaw,Tesla,Citadel,Expedia,Intuit,Huawei,Robinhood,Hulu,Epic Systems,Quip (Salesforce),Twitch,ByteDance,Drawbridge,Visa,Walmart Labs,Snapchat,Paypal,Oracle,Cisco,EBay,Apple,Uber,Bloomberg,Adobe,Facebook,Amazon,LinkedIn,Microsoft,Goldman Sachs,Google")</f>
        <v>DE Shaw,Tesla,Citadel,Expedia,Intuit,Huawei,Robinhood,Hulu,Epic Systems,Quip (Salesforce),Twitch,ByteDance,Drawbridge,Visa,Walmart Labs,Snapchat,Paypal,Oracle,Cisco,EBay,Apple,Uber,Bloomberg,Adobe,Facebook,Amazon,LinkedIn,Microsoft,Goldman Sachs,Google</v>
      </c>
      <c r="F62" s="6" t="str">
        <f>IFERROR(__xludf.DUMMYFUNCTION("""COMPUTED_VALUE"""),"Microsoft,Amazon,Facebook,Apple,Intuit,Google,Expedia,eBay,Paypal,ByteDance,Bloomberg,Goldman Sachs")</f>
        <v>Microsoft,Amazon,Facebook,Apple,Intuit,Google,Expedia,eBay,Paypal,ByteDance,Bloomberg,Goldman Sachs</v>
      </c>
      <c r="G62" s="6" t="str">
        <f>IFERROR(__xludf.DUMMYFUNCTION("""COMPUTED_VALUE"""),"Oracle,Robinhood,Uber,Cisco,Microsoft,Amazon,Facebook,Apple,Intuit,Google,Expedia,eBay,Paypal,ByteDance,Bloomberg,Goldman Sachs")</f>
        <v>Oracle,Robinhood,Uber,Cisco,Microsoft,Amazon,Facebook,Apple,Intuit,Google,Expedia,eBay,Paypal,ByteDance,Bloomberg,Goldman Sachs</v>
      </c>
      <c r="H62" s="6" t="str">
        <f>IFERROR(__xludf.DUMMYFUNCTION("""COMPUTED_VALUE"""),"Epic Systems,Adobe,Visa,Walmart Labs,Drawbridge,LinkedIn,Snapchat,Twitch,Citadel,Tesla,Huawei,DE Shaw,Oracle,Robinhood,Uber,Cisco,Microsoft,Amazon,Facebook,Apple,Intuit,Google,Expedia,eBay,Paypal,ByteDance,Bloomberg,Goldman Sachs")</f>
        <v>Epic Systems,Adobe,Visa,Walmart Labs,Drawbridge,LinkedIn,Snapchat,Twitch,Citadel,Tesla,Huawei,DE Shaw,Oracle,Robinhood,Uber,Cisco,Microsoft,Amazon,Facebook,Apple,Intuit,Google,Expedia,eBay,Paypal,ByteDance,Bloomberg,Goldman Sachs</v>
      </c>
      <c r="I62" s="6">
        <f>IFERROR(__xludf.DUMMYFUNCTION("""COMPUTED_VALUE"""),36.25)</f>
        <v>36.25</v>
      </c>
      <c r="J62" s="6" t="str">
        <f>IFERROR(__xludf.DUMMYFUNCTION("""COMPUTED_VALUE"""),"算法")</f>
        <v>算法</v>
      </c>
    </row>
    <row r="63">
      <c r="A63" s="6">
        <f>IFERROR(__xludf.DUMMYFUNCTION("""COMPUTED_VALUE"""),55.0)</f>
        <v>55</v>
      </c>
      <c r="B63" s="53" t="str">
        <f>IFERROR(__xludf.DUMMYFUNCTION("""COMPUTED_VALUE"""),"Jump Game")</f>
        <v>Jump Game</v>
      </c>
      <c r="C63" s="6" t="str">
        <f>IFERROR(__xludf.DUMMYFUNCTION("""COMPUTED_VALUE"""),"Medium")</f>
        <v>Medium</v>
      </c>
      <c r="D63" s="6" t="str">
        <f>IFERROR(__xludf.DUMMYFUNCTION("""COMPUTED_VALUE"""),"Greedy,Array")</f>
        <v>Greedy,Array</v>
      </c>
      <c r="E63" s="6" t="str">
        <f>IFERROR(__xludf.DUMMYFUNCTION("""COMPUTED_VALUE"""),"Nutanix,Postmates,ByteDance,Oracle,Apple,Uber,Bloomberg,Adobe,Facebook,Amazon,Microsoft,Google")</f>
        <v>Nutanix,Postmates,ByteDance,Oracle,Apple,Uber,Bloomberg,Adobe,Facebook,Amazon,Microsoft,Google</v>
      </c>
      <c r="F63" s="6" t="str">
        <f>IFERROR(__xludf.DUMMYFUNCTION("""COMPUTED_VALUE"""),"Amazon,Microsoft,Facebook,Bloomberg")</f>
        <v>Amazon,Microsoft,Facebook,Bloomberg</v>
      </c>
      <c r="G63" s="6" t="str">
        <f>IFERROR(__xludf.DUMMYFUNCTION("""COMPUTED_VALUE"""),"Adobe,Apple,Nutanix,ByteDance,Amazon,Microsoft,Facebook,Bloomberg")</f>
        <v>Adobe,Apple,Nutanix,ByteDance,Amazon,Microsoft,Facebook,Bloomberg</v>
      </c>
      <c r="H63" s="6" t="str">
        <f>IFERROR(__xludf.DUMMYFUNCTION("""COMPUTED_VALUE"""),"Google,Uber,Oracle,Adobe,Apple,Nutanix,ByteDance,Amazon,Microsoft,Facebook,Bloomberg")</f>
        <v>Google,Uber,Oracle,Adobe,Apple,Nutanix,ByteDance,Amazon,Microsoft,Facebook,Bloomberg</v>
      </c>
      <c r="I63" s="6">
        <f>IFERROR(__xludf.DUMMYFUNCTION("""COMPUTED_VALUE"""),35.19)</f>
        <v>35.19</v>
      </c>
      <c r="J63" s="6" t="str">
        <f>IFERROR(__xludf.DUMMYFUNCTION("""COMPUTED_VALUE"""),"算法")</f>
        <v>算法</v>
      </c>
    </row>
    <row r="64">
      <c r="A64" s="6">
        <f>IFERROR(__xludf.DUMMYFUNCTION("""COMPUTED_VALUE"""),56.0)</f>
        <v>56</v>
      </c>
      <c r="B64" s="53" t="str">
        <f>IFERROR(__xludf.DUMMYFUNCTION("""COMPUTED_VALUE"""),"Merge Intervals")</f>
        <v>Merge Intervals</v>
      </c>
      <c r="C64" s="6" t="str">
        <f>IFERROR(__xludf.DUMMYFUNCTION("""COMPUTED_VALUE"""),"Medium")</f>
        <v>Medium</v>
      </c>
      <c r="D64" s="6" t="str">
        <f>IFERROR(__xludf.DUMMYFUNCTION("""COMPUTED_VALUE"""),"Sort,Array")</f>
        <v>Sort,Array</v>
      </c>
      <c r="E64" s="6" t="str">
        <f>IFERROR(__xludf.DUMMYFUNCTION("""COMPUTED_VALUE"""),"Netflix,Square,IXL,Qualtrics,Nutanix,Grab,Splunk,JPMorgan,Morgan Stanley,Dataminr,Sumologic,Cohesity,DoorDash,Postmates,Pinterest,Palantir Technologies,Cruise Automation,Wayfair,Zulily,Two Sigma,Zenefits,Coupang,Atlassian,Twitch,ByteDance,Salesforce,Visa,"&amp;"VMware,Walmart Labs,GoDaddy,Snapchat,Paypal,Twitter,ServiceNow,Wish,Yelp,Oracle,Intuit,Cisco,Yandex,EBay,Apple,Uber,Yahoo,Tencent,SAP,Bloomberg,Adobe,Facebook,Amazon,LinkedIn,Microsoft,Alibaba,Goldman Sachs,Google")</f>
        <v>Netflix,Square,IXL,Qualtrics,Nutanix,Grab,Splunk,JPMorgan,Morgan Stanley,Dataminr,Sumologic,Cohesity,DoorDash,Postmates,Pinterest,Palantir Technologies,Cruise Automation,Wayfair,Zulily,Two Sigma,Zenefits,Coupang,Atlassian,Twitch,ByteDance,Salesforce,Visa,VMware,Walmart Labs,GoDaddy,Snapchat,Paypal,Twitter,ServiceNow,Wish,Yelp,Oracle,Intuit,Cisco,Yandex,EBay,Apple,Uber,Yahoo,Tencent,SAP,Bloomberg,Adobe,Facebook,Amazon,LinkedIn,Microsoft,Alibaba,Goldman Sachs,Google</v>
      </c>
      <c r="F64" s="6" t="str">
        <f>IFERROR(__xludf.DUMMYFUNCTION("""COMPUTED_VALUE"""),"Facebook,Bloomberg,JPMorgan,Amazon,Apple,Microsoft,Google,Adobe,Uber,Twitter,Oracle,eBay,Yandex,Paypal,Cisco,Palantir Technologies,Walmart Labs,Salesforce,Goldman Sachs,Yahoo,VMware,Splunk,Qualtrics")</f>
        <v>Facebook,Bloomberg,JPMorgan,Amazon,Apple,Microsoft,Google,Adobe,Uber,Twitter,Oracle,eBay,Yandex,Paypal,Cisco,Palantir Technologies,Walmart Labs,Salesforce,Goldman Sachs,Yahoo,VMware,Splunk,Qualtrics</v>
      </c>
      <c r="G64" s="6" t="str">
        <f>IFERROR(__xludf.DUMMYFUNCTION("""COMPUTED_VALUE"""),"ByteDance,Square,IXL,LinkedIn,Netflix,DoorDash,ServiceNow,Morgan Stanley,Facebook,Bloomberg,JPMorgan,Amazon,Apple,Microsoft,Google,Adobe,Uber,Twitter,Oracle,eBay,Yandex,Paypal,Cisco,Palantir Technologies,Walmart Labs,Salesforce,Goldman Sachs,Yahoo,VMware,"&amp;"Splunk,Qualtrics")</f>
        <v>ByteDance,Square,IXL,LinkedIn,Netflix,DoorDash,ServiceNow,Morgan Stanley,Facebook,Bloomberg,JPMorgan,Amazon,Apple,Microsoft,Google,Adobe,Uber,Twitter,Oracle,eBay,Yandex,Paypal,Cisco,Palantir Technologies,Walmart Labs,Salesforce,Goldman Sachs,Yahoo,VMware,Splunk,Qualtrics</v>
      </c>
      <c r="H64" s="6" t="str">
        <f>IFERROR(__xludf.DUMMYFUNCTION("""COMPUTED_VALUE"""),"Zulily,Wish,Postmates,Snapchat,Wayfair,SAP,Sumologic,Coupang,Twitch,Two Sigma,Intuit,Nutanix,Yelp,Grab,Alibaba,Visa,Cohesity,Cruise Automation,Atlassian,ByteDance,Square,IXL,LinkedIn,Netflix,DoorDash,ServiceNow,Morgan Stanley,Facebook,Bloomberg,JPMorgan,A"&amp;"mazon,Apple,Microsoft,Google,Adobe,Uber,Twitter,Oracle,eBay,Yandex,Paypal,Cisco,Palantir Technologies,Walmart Labs,Salesforce,Goldman Sachs,Yahoo,VMware,Splunk,Qualtrics")</f>
        <v>Zulily,Wish,Postmates,Snapchat,Wayfair,SAP,Sumologic,Coupang,Twitch,Two Sigma,Intuit,Nutanix,Yelp,Grab,Alibaba,Visa,Cohesity,Cruise Automation,Atlassian,ByteDance,Square,IXL,LinkedIn,Netflix,DoorDash,ServiceNow,Morgan Stanley,Facebook,Bloomberg,JPMorgan,Amazon,Apple,Microsoft,Google,Adobe,Uber,Twitter,Oracle,eBay,Yandex,Paypal,Cisco,Palantir Technologies,Walmart Labs,Salesforce,Goldman Sachs,Yahoo,VMware,Splunk,Qualtrics</v>
      </c>
      <c r="I64" s="6">
        <f>IFERROR(__xludf.DUMMYFUNCTION("""COMPUTED_VALUE"""),41.21)</f>
        <v>41.21</v>
      </c>
      <c r="J64" s="6" t="str">
        <f>IFERROR(__xludf.DUMMYFUNCTION("""COMPUTED_VALUE"""),"算法")</f>
        <v>算法</v>
      </c>
    </row>
    <row r="65">
      <c r="A65" s="6">
        <f>IFERROR(__xludf.DUMMYFUNCTION("""COMPUTED_VALUE"""),57.0)</f>
        <v>57</v>
      </c>
      <c r="B65" s="53" t="str">
        <f>IFERROR(__xludf.DUMMYFUNCTION("""COMPUTED_VALUE"""),"Insert Interval")</f>
        <v>Insert Interval</v>
      </c>
      <c r="C65" s="6" t="str">
        <f>IFERROR(__xludf.DUMMYFUNCTION("""COMPUTED_VALUE"""),"Medium")</f>
        <v>Medium</v>
      </c>
      <c r="D65" s="6" t="str">
        <f>IFERROR(__xludf.DUMMYFUNCTION("""COMPUTED_VALUE"""),"Sort,Array")</f>
        <v>Sort,Array</v>
      </c>
      <c r="E65" s="6" t="str">
        <f>IFERROR(__xludf.DUMMYFUNCTION("""COMPUTED_VALUE"""),"ServiceNow,Bloomberg,Dataminr,Tableau,Twitter,Oracle,Apple,Uber,Adobe,Facebook,Amazon,LinkedIn,Microsoft,Google")</f>
        <v>ServiceNow,Bloomberg,Dataminr,Tableau,Twitter,Oracle,Apple,Uber,Adobe,Facebook,Amazon,LinkedIn,Microsoft,Google</v>
      </c>
      <c r="F65" s="6" t="str">
        <f>IFERROR(__xludf.DUMMYFUNCTION("""COMPUTED_VALUE"""),"Google,Twitter,Facebook,Microsoft,Amazon,ServiceNow")</f>
        <v>Google,Twitter,Facebook,Microsoft,Amazon,ServiceNow</v>
      </c>
      <c r="G65" s="6" t="str">
        <f>IFERROR(__xludf.DUMMYFUNCTION("""COMPUTED_VALUE"""),"Google,Twitter,Facebook,Microsoft,Amazon,ServiceNow")</f>
        <v>Google,Twitter,Facebook,Microsoft,Amazon,ServiceNow</v>
      </c>
      <c r="H65" s="6" t="str">
        <f>IFERROR(__xludf.DUMMYFUNCTION("""COMPUTED_VALUE"""),"LinkedIn,Uber,Oracle,Dataminr,Apple,Bloomberg,Google,Twitter,Facebook,Microsoft,Amazon,ServiceNow")</f>
        <v>LinkedIn,Uber,Oracle,Dataminr,Apple,Bloomberg,Google,Twitter,Facebook,Microsoft,Amazon,ServiceNow</v>
      </c>
      <c r="I65" s="6">
        <f>IFERROR(__xludf.DUMMYFUNCTION("""COMPUTED_VALUE"""),35.2)</f>
        <v>35.2</v>
      </c>
      <c r="J65" s="6" t="str">
        <f>IFERROR(__xludf.DUMMYFUNCTION("""COMPUTED_VALUE"""),"算法")</f>
        <v>算法</v>
      </c>
    </row>
    <row r="66">
      <c r="A66" s="6">
        <f>IFERROR(__xludf.DUMMYFUNCTION("""COMPUTED_VALUE"""),58.0)</f>
        <v>58</v>
      </c>
      <c r="B66" s="53" t="str">
        <f>IFERROR(__xludf.DUMMYFUNCTION("""COMPUTED_VALUE"""),"Length of Last Word")</f>
        <v>Length of Last Word</v>
      </c>
      <c r="C66" s="6" t="str">
        <f>IFERROR(__xludf.DUMMYFUNCTION("""COMPUTED_VALUE"""),"Easy")</f>
        <v>Easy</v>
      </c>
      <c r="D66" s="6" t="str">
        <f>IFERROR(__xludf.DUMMYFUNCTION("""COMPUTED_VALUE"""),"String")</f>
        <v>String</v>
      </c>
      <c r="E66" s="6" t="str">
        <f>IFERROR(__xludf.DUMMYFUNCTION("""COMPUTED_VALUE"""),"Bloomberg,Google")</f>
        <v>Bloomberg,Google</v>
      </c>
      <c r="F66" s="6"/>
      <c r="G66" s="6" t="str">
        <f>IFERROR(__xludf.DUMMYFUNCTION("""COMPUTED_VALUE"""),"Bloomberg,Google")</f>
        <v>Bloomberg,Google</v>
      </c>
      <c r="H66" s="6" t="str">
        <f>IFERROR(__xludf.DUMMYFUNCTION("""COMPUTED_VALUE"""),"Bloomberg,Google")</f>
        <v>Bloomberg,Google</v>
      </c>
      <c r="I66" s="6">
        <f>IFERROR(__xludf.DUMMYFUNCTION("""COMPUTED_VALUE"""),33.5)</f>
        <v>33.5</v>
      </c>
      <c r="J66" s="6" t="str">
        <f>IFERROR(__xludf.DUMMYFUNCTION("""COMPUTED_VALUE"""),"算法")</f>
        <v>算法</v>
      </c>
    </row>
    <row r="67">
      <c r="A67" s="6">
        <f>IFERROR(__xludf.DUMMYFUNCTION("""COMPUTED_VALUE"""),59.0)</f>
        <v>59</v>
      </c>
      <c r="B67" s="53" t="str">
        <f>IFERROR(__xludf.DUMMYFUNCTION("""COMPUTED_VALUE"""),"Spiral Matrix II")</f>
        <v>Spiral Matrix II</v>
      </c>
      <c r="C67" s="6" t="str">
        <f>IFERROR(__xludf.DUMMYFUNCTION("""COMPUTED_VALUE"""),"Medium")</f>
        <v>Medium</v>
      </c>
      <c r="D67" s="6" t="str">
        <f>IFERROR(__xludf.DUMMYFUNCTION("""COMPUTED_VALUE"""),"Array")</f>
        <v>Array</v>
      </c>
      <c r="E67" s="6" t="str">
        <f>IFERROR(__xludf.DUMMYFUNCTION("""COMPUTED_VALUE"""),"Goldman Sachs,Robinhood,Snapchat,Oracle,Yandex,Apple,Uber,Adobe,Facebook,Amazon,Microsoft,Google")</f>
        <v>Goldman Sachs,Robinhood,Snapchat,Oracle,Yandex,Apple,Uber,Adobe,Facebook,Amazon,Microsoft,Google</v>
      </c>
      <c r="F67" s="6" t="str">
        <f>IFERROR(__xludf.DUMMYFUNCTION("""COMPUTED_VALUE"""),"Microsoft")</f>
        <v>Microsoft</v>
      </c>
      <c r="G67" s="6" t="str">
        <f>IFERROR(__xludf.DUMMYFUNCTION("""COMPUTED_VALUE"""),"Google,Apple,Microsoft")</f>
        <v>Google,Apple,Microsoft</v>
      </c>
      <c r="H67" s="6" t="str">
        <f>IFERROR(__xludf.DUMMYFUNCTION("""COMPUTED_VALUE"""),"Amazon,Yandex,Adobe,Facebook,Goldman Sachs,Google,Apple,Microsoft")</f>
        <v>Amazon,Yandex,Adobe,Facebook,Goldman Sachs,Google,Apple,Microsoft</v>
      </c>
      <c r="I67" s="6">
        <f>IFERROR(__xludf.DUMMYFUNCTION("""COMPUTED_VALUE"""),58.03)</f>
        <v>58.03</v>
      </c>
      <c r="J67" s="6" t="str">
        <f>IFERROR(__xludf.DUMMYFUNCTION("""COMPUTED_VALUE"""),"算法")</f>
        <v>算法</v>
      </c>
    </row>
    <row r="68">
      <c r="A68" s="6">
        <f>IFERROR(__xludf.DUMMYFUNCTION("""COMPUTED_VALUE"""),60.0)</f>
        <v>60</v>
      </c>
      <c r="B68" s="53" t="str">
        <f>IFERROR(__xludf.DUMMYFUNCTION("""COMPUTED_VALUE"""),"Permutation Sequence")</f>
        <v>Permutation Sequence</v>
      </c>
      <c r="C68" s="6" t="str">
        <f>IFERROR(__xludf.DUMMYFUNCTION("""COMPUTED_VALUE"""),"Hard")</f>
        <v>Hard</v>
      </c>
      <c r="D68" s="6" t="str">
        <f>IFERROR(__xludf.DUMMYFUNCTION("""COMPUTED_VALUE"""),"Backtracking,Math")</f>
        <v>Backtracking,Math</v>
      </c>
      <c r="E68" s="6" t="str">
        <f>IFERROR(__xludf.DUMMYFUNCTION("""COMPUTED_VALUE"""),"Jump Trading,Apple,Yahoo,Twitter,Facebook,Amazon,Microsoft,Google")</f>
        <v>Jump Trading,Apple,Yahoo,Twitter,Facebook,Amazon,Microsoft,Google</v>
      </c>
      <c r="F68" s="6" t="str">
        <f>IFERROR(__xludf.DUMMYFUNCTION("""COMPUTED_VALUE"""),"Amazon")</f>
        <v>Amazon</v>
      </c>
      <c r="G68" s="6" t="str">
        <f>IFERROR(__xludf.DUMMYFUNCTION("""COMPUTED_VALUE"""),"Facebook,Google,Jump Trading,Amazon")</f>
        <v>Facebook,Google,Jump Trading,Amazon</v>
      </c>
      <c r="H68" s="6" t="str">
        <f>IFERROR(__xludf.DUMMYFUNCTION("""COMPUTED_VALUE"""),"Microsoft,Apple,Yahoo,Twitter,Facebook,Google,Jump Trading,Amazon")</f>
        <v>Microsoft,Apple,Yahoo,Twitter,Facebook,Google,Jump Trading,Amazon</v>
      </c>
      <c r="I68" s="6">
        <f>IFERROR(__xludf.DUMMYFUNCTION("""COMPUTED_VALUE"""),39.47)</f>
        <v>39.47</v>
      </c>
      <c r="J68" s="6" t="str">
        <f>IFERROR(__xludf.DUMMYFUNCTION("""COMPUTED_VALUE"""),"算法")</f>
        <v>算法</v>
      </c>
    </row>
    <row r="69">
      <c r="A69" s="6">
        <f>IFERROR(__xludf.DUMMYFUNCTION("""COMPUTED_VALUE"""),62.0)</f>
        <v>62</v>
      </c>
      <c r="B69" s="53" t="str">
        <f>IFERROR(__xludf.DUMMYFUNCTION("""COMPUTED_VALUE"""),"Unique Paths")</f>
        <v>Unique Paths</v>
      </c>
      <c r="C69" s="6" t="str">
        <f>IFERROR(__xludf.DUMMYFUNCTION("""COMPUTED_VALUE"""),"Medium")</f>
        <v>Medium</v>
      </c>
      <c r="D69" s="6" t="str">
        <f>IFERROR(__xludf.DUMMYFUNCTION("""COMPUTED_VALUE"""),"Dynamic Programming,Array")</f>
        <v>Dynamic Programming,Array</v>
      </c>
      <c r="E69" s="6" t="str">
        <f>IFERROR(__xludf.DUMMYFUNCTION("""COMPUTED_VALUE"""),"Qualtrics,ByteDance,Salesforce,EBay,VMware,Walmart Labs,Snapchat,Oracle,Mathworks,Apple,Uber,Bloomberg,Adobe,Facebook,Amazon,Microsoft,Alibaba,Goldman Sachs,Google")</f>
        <v>Qualtrics,ByteDance,Salesforce,EBay,VMware,Walmart Labs,Snapchat,Oracle,Mathworks,Apple,Uber,Bloomberg,Adobe,Facebook,Amazon,Microsoft,Alibaba,Goldman Sachs,Google</v>
      </c>
      <c r="F69" s="6" t="str">
        <f>IFERROR(__xludf.DUMMYFUNCTION("""COMPUTED_VALUE"""),"Microsoft,Amazon,Google,Facebook,Bloomberg,Qualtrics,VMware,ByteDance")</f>
        <v>Microsoft,Amazon,Google,Facebook,Bloomberg,Qualtrics,VMware,ByteDance</v>
      </c>
      <c r="G69" s="6" t="str">
        <f>IFERROR(__xludf.DUMMYFUNCTION("""COMPUTED_VALUE"""),"Goldman Sachs,Apple,Adobe,Microsoft,Amazon,Google,Facebook,Bloomberg,Qualtrics,VMware,ByteDance")</f>
        <v>Goldman Sachs,Apple,Adobe,Microsoft,Amazon,Google,Facebook,Bloomberg,Qualtrics,VMware,ByteDance</v>
      </c>
      <c r="H69" s="6" t="str">
        <f>IFERROR(__xludf.DUMMYFUNCTION("""COMPUTED_VALUE"""),"Mathworks,Uber,Oracle,eBay,Walmart Labs,Salesforce,Goldman Sachs,Apple,Adobe,Microsoft,Amazon,Google,Facebook,Bloomberg,Qualtrics,VMware,ByteDance")</f>
        <v>Mathworks,Uber,Oracle,eBay,Walmart Labs,Salesforce,Goldman Sachs,Apple,Adobe,Microsoft,Amazon,Google,Facebook,Bloomberg,Qualtrics,VMware,ByteDance</v>
      </c>
      <c r="I69" s="6">
        <f>IFERROR(__xludf.DUMMYFUNCTION("""COMPUTED_VALUE"""),56.17)</f>
        <v>56.17</v>
      </c>
      <c r="J69" s="6" t="str">
        <f>IFERROR(__xludf.DUMMYFUNCTION("""COMPUTED_VALUE"""),"算法")</f>
        <v>算法</v>
      </c>
    </row>
    <row r="70">
      <c r="A70" s="6">
        <f>IFERROR(__xludf.DUMMYFUNCTION("""COMPUTED_VALUE"""),63.0)</f>
        <v>63</v>
      </c>
      <c r="B70" s="53" t="str">
        <f>IFERROR(__xludf.DUMMYFUNCTION("""COMPUTED_VALUE"""),"Unique Paths II")</f>
        <v>Unique Paths II</v>
      </c>
      <c r="C70" s="6" t="str">
        <f>IFERROR(__xludf.DUMMYFUNCTION("""COMPUTED_VALUE"""),"Medium")</f>
        <v>Medium</v>
      </c>
      <c r="D70" s="6" t="str">
        <f>IFERROR(__xludf.DUMMYFUNCTION("""COMPUTED_VALUE"""),"Dynamic Programming,Array")</f>
        <v>Dynamic Programming,Array</v>
      </c>
      <c r="E70" s="6" t="str">
        <f>IFERROR(__xludf.DUMMYFUNCTION("""COMPUTED_VALUE"""),"Cruise Automation,VMware,Expedia,GoDaddy,Snapchat,Mathworks,Apple,Bloomberg,Facebook,Amazon,Microsoft,Goldman Sachs,Google")</f>
        <v>Cruise Automation,VMware,Expedia,GoDaddy,Snapchat,Mathworks,Apple,Bloomberg,Facebook,Amazon,Microsoft,Goldman Sachs,Google</v>
      </c>
      <c r="F70" s="6" t="str">
        <f>IFERROR(__xludf.DUMMYFUNCTION("""COMPUTED_VALUE"""),"Amazon,Bloomberg,Facebook")</f>
        <v>Amazon,Bloomberg,Facebook</v>
      </c>
      <c r="G70" s="6" t="str">
        <f>IFERROR(__xludf.DUMMYFUNCTION("""COMPUTED_VALUE"""),"Google,Microsoft,VMware,Expedia,Amazon,Bloomberg,Facebook")</f>
        <v>Google,Microsoft,VMware,Expedia,Amazon,Bloomberg,Facebook</v>
      </c>
      <c r="H70" s="6" t="str">
        <f>IFERROR(__xludf.DUMMYFUNCTION("""COMPUTED_VALUE"""),"Mathworks,Apple,Cruise Automation,Google,Microsoft,VMware,Expedia,Amazon,Bloomberg,Facebook")</f>
        <v>Mathworks,Apple,Cruise Automation,Google,Microsoft,VMware,Expedia,Amazon,Bloomberg,Facebook</v>
      </c>
      <c r="I70" s="6">
        <f>IFERROR(__xludf.DUMMYFUNCTION("""COMPUTED_VALUE"""),35.32)</f>
        <v>35.32</v>
      </c>
      <c r="J70" s="6" t="str">
        <f>IFERROR(__xludf.DUMMYFUNCTION("""COMPUTED_VALUE"""),"算法")</f>
        <v>算法</v>
      </c>
    </row>
    <row r="71">
      <c r="A71" s="6">
        <f>IFERROR(__xludf.DUMMYFUNCTION("""COMPUTED_VALUE"""),64.0)</f>
        <v>64</v>
      </c>
      <c r="B71" s="53" t="str">
        <f>IFERROR(__xludf.DUMMYFUNCTION("""COMPUTED_VALUE"""),"Minimum Path Sum")</f>
        <v>Minimum Path Sum</v>
      </c>
      <c r="C71" s="6" t="str">
        <f>IFERROR(__xludf.DUMMYFUNCTION("""COMPUTED_VALUE"""),"Medium")</f>
        <v>Medium</v>
      </c>
      <c r="D71" s="6" t="str">
        <f>IFERROR(__xludf.DUMMYFUNCTION("""COMPUTED_VALUE"""),"Dynamic Programming,Array")</f>
        <v>Dynamic Programming,Array</v>
      </c>
      <c r="E71" s="6" t="str">
        <f>IFERROR(__xludf.DUMMYFUNCTION("""COMPUTED_VALUE"""),"Tesla,Snapchat,EBay,Rubrik,Dropbox,Wish,Nvidia,Apple,Uber,Bloomberg,Adobe,Facebook,Amazon,Microsoft,Goldman Sachs,Google")</f>
        <v>Tesla,Snapchat,EBay,Rubrik,Dropbox,Wish,Nvidia,Apple,Uber,Bloomberg,Adobe,Facebook,Amazon,Microsoft,Goldman Sachs,Google</v>
      </c>
      <c r="F71" s="6" t="str">
        <f>IFERROR(__xludf.DUMMYFUNCTION("""COMPUTED_VALUE"""),"Amazon,Google,Bloomberg,Goldman Sachs,Apple,Facebook,Snapchat,Tesla")</f>
        <v>Amazon,Google,Bloomberg,Goldman Sachs,Apple,Facebook,Snapchat,Tesla</v>
      </c>
      <c r="G71" s="6" t="str">
        <f>IFERROR(__xludf.DUMMYFUNCTION("""COMPUTED_VALUE"""),"Microsoft,Adobe,eBay,Amazon,Google,Bloomberg,Goldman Sachs,Apple,Facebook,Snapchat,Tesla")</f>
        <v>Microsoft,Adobe,eBay,Amazon,Google,Bloomberg,Goldman Sachs,Apple,Facebook,Snapchat,Tesla</v>
      </c>
      <c r="H71" s="6" t="str">
        <f>IFERROR(__xludf.DUMMYFUNCTION("""COMPUTED_VALUE"""),"Nvidia,Uber,Dropbox,Wish,Microsoft,Adobe,eBay,Amazon,Google,Bloomberg,Goldman Sachs,Apple,Facebook,Snapchat,Tesla")</f>
        <v>Nvidia,Uber,Dropbox,Wish,Microsoft,Adobe,eBay,Amazon,Google,Bloomberg,Goldman Sachs,Apple,Facebook,Snapchat,Tesla</v>
      </c>
      <c r="I71" s="6">
        <f>IFERROR(__xludf.DUMMYFUNCTION("""COMPUTED_VALUE"""),56.34)</f>
        <v>56.34</v>
      </c>
      <c r="J71" s="6" t="str">
        <f>IFERROR(__xludf.DUMMYFUNCTION("""COMPUTED_VALUE"""),"算法")</f>
        <v>算法</v>
      </c>
    </row>
    <row r="72">
      <c r="A72" s="6">
        <f>IFERROR(__xludf.DUMMYFUNCTION("""COMPUTED_VALUE"""),65.0)</f>
        <v>65</v>
      </c>
      <c r="B72" s="53" t="str">
        <f>IFERROR(__xludf.DUMMYFUNCTION("""COMPUTED_VALUE"""),"Valid Number")</f>
        <v>Valid Number</v>
      </c>
      <c r="C72" s="6" t="str">
        <f>IFERROR(__xludf.DUMMYFUNCTION("""COMPUTED_VALUE"""),"Hard")</f>
        <v>Hard</v>
      </c>
      <c r="D72" s="6" t="str">
        <f>IFERROR(__xludf.DUMMYFUNCTION("""COMPUTED_VALUE"""),"String,Math")</f>
        <v>String,Math</v>
      </c>
      <c r="E72" s="6" t="str">
        <f>IFERROR(__xludf.DUMMYFUNCTION("""COMPUTED_VALUE"""),"Twitch,Oracle,TripAdvisor,Apple,Adobe,Facebook,Amazon,LinkedIn,Microsoft,Google")</f>
        <v>Twitch,Oracle,TripAdvisor,Apple,Adobe,Facebook,Amazon,LinkedIn,Microsoft,Google</v>
      </c>
      <c r="F72" s="6" t="str">
        <f>IFERROR(__xludf.DUMMYFUNCTION("""COMPUTED_VALUE"""),"Facebook,LinkedIn,Oracle")</f>
        <v>Facebook,LinkedIn,Oracle</v>
      </c>
      <c r="G72" s="6" t="str">
        <f>IFERROR(__xludf.DUMMYFUNCTION("""COMPUTED_VALUE"""),"Amazon,Google,Facebook,LinkedIn,Oracle")</f>
        <v>Amazon,Google,Facebook,LinkedIn,Oracle</v>
      </c>
      <c r="H72" s="6" t="str">
        <f>IFERROR(__xludf.DUMMYFUNCTION("""COMPUTED_VALUE"""),"Adobe,Microsoft,TripAdvisor,Twitch,Amazon,Google,Facebook,LinkedIn,Oracle")</f>
        <v>Adobe,Microsoft,TripAdvisor,Twitch,Amazon,Google,Facebook,LinkedIn,Oracle</v>
      </c>
      <c r="I72" s="6">
        <f>IFERROR(__xludf.DUMMYFUNCTION("""COMPUTED_VALUE"""),15.96)</f>
        <v>15.96</v>
      </c>
      <c r="J72" s="6" t="str">
        <f>IFERROR(__xludf.DUMMYFUNCTION("""COMPUTED_VALUE"""),"算法")</f>
        <v>算法</v>
      </c>
    </row>
    <row r="73">
      <c r="A73" s="6">
        <f>IFERROR(__xludf.DUMMYFUNCTION("""COMPUTED_VALUE"""),66.0)</f>
        <v>66</v>
      </c>
      <c r="B73" s="53" t="str">
        <f>IFERROR(__xludf.DUMMYFUNCTION("""COMPUTED_VALUE"""),"Plus One")</f>
        <v>Plus One</v>
      </c>
      <c r="C73" s="6" t="str">
        <f>IFERROR(__xludf.DUMMYFUNCTION("""COMPUTED_VALUE"""),"Easy")</f>
        <v>Easy</v>
      </c>
      <c r="D73" s="6" t="str">
        <f>IFERROR(__xludf.DUMMYFUNCTION("""COMPUTED_VALUE"""),"Array")</f>
        <v>Array</v>
      </c>
      <c r="E73" s="6" t="str">
        <f>IFERROR(__xludf.DUMMYFUNCTION("""COMPUTED_VALUE"""),"Capital One,ByteDance,Salesforce,Apple,Adobe,Microsoft,Spotify,EBay,Uber,Bloomberg,Facebook,Amazon,Google")</f>
        <v>Capital One,ByteDance,Salesforce,Apple,Adobe,Microsoft,Spotify,EBay,Uber,Bloomberg,Facebook,Amazon,Google</v>
      </c>
      <c r="F73" s="6" t="str">
        <f>IFERROR(__xludf.DUMMYFUNCTION("""COMPUTED_VALUE"""),"ByteDance,Facebook,Google,Adobe,Amazon,Spotify")</f>
        <v>ByteDance,Facebook,Google,Adobe,Amazon,Spotify</v>
      </c>
      <c r="G73" s="6" t="str">
        <f>IFERROR(__xludf.DUMMYFUNCTION("""COMPUTED_VALUE"""),"Microsoft,eBay,Apple,Capital One,ByteDance,Facebook,Google,Adobe,Amazon,Spotify")</f>
        <v>Microsoft,eBay,Apple,Capital One,ByteDance,Facebook,Google,Adobe,Amazon,Spotify</v>
      </c>
      <c r="H73" s="6" t="str">
        <f>IFERROR(__xludf.DUMMYFUNCTION("""COMPUTED_VALUE"""),"Bloomberg,Salesforce,Microsoft,eBay,Apple,Capital One,ByteDance,Facebook,Google,Adobe,Amazon,Spotify")</f>
        <v>Bloomberg,Salesforce,Microsoft,eBay,Apple,Capital One,ByteDance,Facebook,Google,Adobe,Amazon,Spotify</v>
      </c>
      <c r="I73" s="6">
        <f>IFERROR(__xludf.DUMMYFUNCTION("""COMPUTED_VALUE"""),42.29)</f>
        <v>42.29</v>
      </c>
      <c r="J73" s="6" t="str">
        <f>IFERROR(__xludf.DUMMYFUNCTION("""COMPUTED_VALUE"""),"算法")</f>
        <v>算法</v>
      </c>
    </row>
    <row r="74">
      <c r="A74" s="6">
        <f>IFERROR(__xludf.DUMMYFUNCTION("""COMPUTED_VALUE"""),67.0)</f>
        <v>67</v>
      </c>
      <c r="B74" s="53" t="str">
        <f>IFERROR(__xludf.DUMMYFUNCTION("""COMPUTED_VALUE"""),"Add Binary")</f>
        <v>Add Binary</v>
      </c>
      <c r="C74" s="6" t="str">
        <f>IFERROR(__xludf.DUMMYFUNCTION("""COMPUTED_VALUE"""),"Easy")</f>
        <v>Easy</v>
      </c>
      <c r="D74" s="6" t="str">
        <f>IFERROR(__xludf.DUMMYFUNCTION("""COMPUTED_VALUE"""),"String,Math")</f>
        <v>String,Math</v>
      </c>
      <c r="E74" s="6" t="str">
        <f>IFERROR(__xludf.DUMMYFUNCTION("""COMPUTED_VALUE"""),"ByteDance,Yahoo,Bloomberg,Oracle,Apple,Adobe,Facebook,Amazon,Microsoft,Google")</f>
        <v>ByteDance,Yahoo,Bloomberg,Oracle,Apple,Adobe,Facebook,Amazon,Microsoft,Google</v>
      </c>
      <c r="F74" s="6" t="str">
        <f>IFERROR(__xludf.DUMMYFUNCTION("""COMPUTED_VALUE"""),"Facebook,Amazon,ByteDance")</f>
        <v>Facebook,Amazon,ByteDance</v>
      </c>
      <c r="G74" s="6" t="str">
        <f>IFERROR(__xludf.DUMMYFUNCTION("""COMPUTED_VALUE"""),"Apple,Google,Microsoft,Yahoo,Facebook,Amazon,ByteDance")</f>
        <v>Apple,Google,Microsoft,Yahoo,Facebook,Amazon,ByteDance</v>
      </c>
      <c r="H74" s="6" t="str">
        <f>IFERROR(__xludf.DUMMYFUNCTION("""COMPUTED_VALUE"""),"Adobe,Bloomberg,Oracle,Apple,Google,Microsoft,Yahoo,Facebook,Amazon,ByteDance")</f>
        <v>Adobe,Bloomberg,Oracle,Apple,Google,Microsoft,Yahoo,Facebook,Amazon,ByteDance</v>
      </c>
      <c r="I74" s="6">
        <f>IFERROR(__xludf.DUMMYFUNCTION("""COMPUTED_VALUE"""),47.13)</f>
        <v>47.13</v>
      </c>
      <c r="J74" s="6" t="str">
        <f>IFERROR(__xludf.DUMMYFUNCTION("""COMPUTED_VALUE"""),"算法")</f>
        <v>算法</v>
      </c>
    </row>
    <row r="75">
      <c r="A75" s="6">
        <f>IFERROR(__xludf.DUMMYFUNCTION("""COMPUTED_VALUE"""),68.0)</f>
        <v>68</v>
      </c>
      <c r="B75" s="53" t="str">
        <f>IFERROR(__xludf.DUMMYFUNCTION("""COMPUTED_VALUE"""),"Text Justification")</f>
        <v>Text Justification</v>
      </c>
      <c r="C75" s="6" t="str">
        <f>IFERROR(__xludf.DUMMYFUNCTION("""COMPUTED_VALUE"""),"Hard")</f>
        <v>Hard</v>
      </c>
      <c r="D75" s="6" t="str">
        <f>IFERROR(__xludf.DUMMYFUNCTION("""COMPUTED_VALUE"""),"String")</f>
        <v>String</v>
      </c>
      <c r="E75" s="6" t="str">
        <f>IFERROR(__xludf.DUMMYFUNCTION("""COMPUTED_VALUE"""),"Karat,Netflix,Square,Databricks,Reddit,ByteDance,Paypal,EBay,Bloomberg,Robinhood,Pinterest,Coursera,Twilio,Box,Snapchat,Indeed,Twitter,Intuit,Lyft,Apple,Airbnb,Uber,Facebook,Amazon,LinkedIn,Microsoft,Google")</f>
        <v>Karat,Netflix,Square,Databricks,Reddit,ByteDance,Paypal,EBay,Bloomberg,Robinhood,Pinterest,Coursera,Twilio,Box,Snapchat,Indeed,Twitter,Intuit,Lyft,Apple,Airbnb,Uber,Facebook,Amazon,LinkedIn,Microsoft,Google</v>
      </c>
      <c r="F75" s="6" t="str">
        <f>IFERROR(__xludf.DUMMYFUNCTION("""COMPUTED_VALUE"""),"Intuit,Twilio,Uber,Karat,Indeed,Amazon,Google,Reddit,Databricks,Bloomberg,LinkedIn,Twitter,Paypal,Microsoft,ByteDance,Netflix,eBay")</f>
        <v>Intuit,Twilio,Uber,Karat,Indeed,Amazon,Google,Reddit,Databricks,Bloomberg,LinkedIn,Twitter,Paypal,Microsoft,ByteDance,Netflix,eBay</v>
      </c>
      <c r="G75" s="6" t="str">
        <f>IFERROR(__xludf.DUMMYFUNCTION("""COMPUTED_VALUE"""),"Coursera,Robinhood,Box,Intuit,Twilio,Uber,Karat,Indeed,Amazon,Google,Reddit,Databricks,Bloomberg,LinkedIn,Twitter,Paypal,Microsoft,ByteDance,Netflix,eBay")</f>
        <v>Coursera,Robinhood,Box,Intuit,Twilio,Uber,Karat,Indeed,Amazon,Google,Reddit,Databricks,Bloomberg,LinkedIn,Twitter,Paypal,Microsoft,ByteDance,Netflix,eBay</v>
      </c>
      <c r="H75" s="6" t="str">
        <f>IFERROR(__xludf.DUMMYFUNCTION("""COMPUTED_VALUE"""),"Airbnb,Pinterest,Snapchat,Square,Apple,Facebook,Coursera,Robinhood,Box,Intuit,Twilio,Uber,Karat,Indeed,Amazon,Google,Reddit,Databricks,Bloomberg,LinkedIn,Twitter,Paypal,Microsoft,ByteDance,Netflix,eBay")</f>
        <v>Airbnb,Pinterest,Snapchat,Square,Apple,Facebook,Coursera,Robinhood,Box,Intuit,Twilio,Uber,Karat,Indeed,Amazon,Google,Reddit,Databricks,Bloomberg,LinkedIn,Twitter,Paypal,Microsoft,ByteDance,Netflix,eBay</v>
      </c>
      <c r="I75" s="6">
        <f>IFERROR(__xludf.DUMMYFUNCTION("""COMPUTED_VALUE"""),29.93)</f>
        <v>29.93</v>
      </c>
      <c r="J75" s="6" t="str">
        <f>IFERROR(__xludf.DUMMYFUNCTION("""COMPUTED_VALUE"""),"算法")</f>
        <v>算法</v>
      </c>
    </row>
    <row r="76">
      <c r="A76" s="6">
        <f>IFERROR(__xludf.DUMMYFUNCTION("""COMPUTED_VALUE"""),69.0)</f>
        <v>69</v>
      </c>
      <c r="B76" s="53" t="str">
        <f>IFERROR(__xludf.DUMMYFUNCTION("""COMPUTED_VALUE"""),"Sqrt(x)")</f>
        <v>Sqrt(x)</v>
      </c>
      <c r="C76" s="6" t="str">
        <f>IFERROR(__xludf.DUMMYFUNCTION("""COMPUTED_VALUE"""),"Easy")</f>
        <v>Easy</v>
      </c>
      <c r="D76" s="6" t="str">
        <f>IFERROR(__xludf.DUMMYFUNCTION("""COMPUTED_VALUE"""),"Binary Search,Math")</f>
        <v>Binary Search,Math</v>
      </c>
      <c r="E76" s="6" t="str">
        <f>IFERROR(__xludf.DUMMYFUNCTION("""COMPUTED_VALUE"""),"ByteDance,Oracle,Goldman Sachs,Qualtrics,Wayfair,Lyft,Huawei,Apple,Uber,Bloomberg,Facebook,Amazon,LinkedIn,Microsoft,Google")</f>
        <v>ByteDance,Oracle,Goldman Sachs,Qualtrics,Wayfair,Lyft,Huawei,Apple,Uber,Bloomberg,Facebook,Amazon,LinkedIn,Microsoft,Google</v>
      </c>
      <c r="F76" s="6" t="str">
        <f>IFERROR(__xludf.DUMMYFUNCTION("""COMPUTED_VALUE"""),"Microsoft,Amazon,Uber,LinkedIn,Google")</f>
        <v>Microsoft,Amazon,Uber,LinkedIn,Google</v>
      </c>
      <c r="G76" s="6" t="str">
        <f>IFERROR(__xludf.DUMMYFUNCTION("""COMPUTED_VALUE"""),"Bloomberg,Apple,Goldman Sachs,Lyft,ByteDance,Microsoft,Amazon,Uber,LinkedIn,Google")</f>
        <v>Bloomberg,Apple,Goldman Sachs,Lyft,ByteDance,Microsoft,Amazon,Uber,LinkedIn,Google</v>
      </c>
      <c r="H76" s="6" t="str">
        <f>IFERROR(__xludf.DUMMYFUNCTION("""COMPUTED_VALUE"""),"Wayfair,Facebook,Huawei,Qualtrics,Oracle,Bloomberg,Apple,Goldman Sachs,Lyft,ByteDance,Microsoft,Amazon,Uber,LinkedIn,Google")</f>
        <v>Wayfair,Facebook,Huawei,Qualtrics,Oracle,Bloomberg,Apple,Goldman Sachs,Lyft,ByteDance,Microsoft,Amazon,Uber,LinkedIn,Google</v>
      </c>
      <c r="I76" s="6">
        <f>IFERROR(__xludf.DUMMYFUNCTION("""COMPUTED_VALUE"""),35.2)</f>
        <v>35.2</v>
      </c>
      <c r="J76" s="6" t="str">
        <f>IFERROR(__xludf.DUMMYFUNCTION("""COMPUTED_VALUE"""),"算法")</f>
        <v>算法</v>
      </c>
    </row>
    <row r="77">
      <c r="A77" s="6">
        <f>IFERROR(__xludf.DUMMYFUNCTION("""COMPUTED_VALUE"""),70.0)</f>
        <v>70</v>
      </c>
      <c r="B77" s="53" t="str">
        <f>IFERROR(__xludf.DUMMYFUNCTION("""COMPUTED_VALUE"""),"Climbing Stairs")</f>
        <v>Climbing Stairs</v>
      </c>
      <c r="C77" s="6" t="str">
        <f>IFERROR(__xludf.DUMMYFUNCTION("""COMPUTED_VALUE"""),"Easy")</f>
        <v>Easy</v>
      </c>
      <c r="D77" s="6" t="str">
        <f>IFERROR(__xludf.DUMMYFUNCTION("""COMPUTED_VALUE"""),"Dynamic Programming")</f>
        <v>Dynamic Programming</v>
      </c>
      <c r="E77" s="6" t="str">
        <f>IFERROR(__xludf.DUMMYFUNCTION("""COMPUTED_VALUE"""),"Expedia,Intuit,Samsung,Morgan Stanley,TripAdvisor,Zulily,Citadel,Walmart Labs,Nvidia,Oracle,Huawei,Baidu,Apple,Uber,Bloomberg,Adobe,Facebook,Amazon,LinkedIn,Microsoft,Alibaba,Goldman Sachs,Google")</f>
        <v>Expedia,Intuit,Samsung,Morgan Stanley,TripAdvisor,Zulily,Citadel,Walmart Labs,Nvidia,Oracle,Huawei,Baidu,Apple,Uber,Bloomberg,Adobe,Facebook,Amazon,LinkedIn,Microsoft,Alibaba,Goldman Sachs,Google</v>
      </c>
      <c r="F77" s="6" t="str">
        <f>IFERROR(__xludf.DUMMYFUNCTION("""COMPUTED_VALUE"""),"Expedia,Amazon,Adobe,Apple,Google,Goldman Sachs,Nvidia,Intuit")</f>
        <v>Expedia,Amazon,Adobe,Apple,Google,Goldman Sachs,Nvidia,Intuit</v>
      </c>
      <c r="G77" s="6" t="str">
        <f>IFERROR(__xludf.DUMMYFUNCTION("""COMPUTED_VALUE"""),"Facebook,Microsoft,Bloomberg,Morgan Stanley,Samsung,Expedia,Amazon,Adobe,Apple,Google,Goldman Sachs,Nvidia,Intuit")</f>
        <v>Facebook,Microsoft,Bloomberg,Morgan Stanley,Samsung,Expedia,Amazon,Adobe,Apple,Google,Goldman Sachs,Nvidia,Intuit</v>
      </c>
      <c r="H77" s="6" t="str">
        <f>IFERROR(__xludf.DUMMYFUNCTION("""COMPUTED_VALUE"""),"Uber,Oracle,LinkedIn,Huawei,Citadel,Zulily,TripAdvisor,Facebook,Microsoft,Bloomberg,Morgan Stanley,Samsung,Expedia,Amazon,Adobe,Apple,Google,Goldman Sachs,Nvidia,Intuit")</f>
        <v>Uber,Oracle,LinkedIn,Huawei,Citadel,Zulily,TripAdvisor,Facebook,Microsoft,Bloomberg,Morgan Stanley,Samsung,Expedia,Amazon,Adobe,Apple,Google,Goldman Sachs,Nvidia,Intuit</v>
      </c>
      <c r="I77" s="6">
        <f>IFERROR(__xludf.DUMMYFUNCTION("""COMPUTED_VALUE"""),48.7)</f>
        <v>48.7</v>
      </c>
      <c r="J77" s="6" t="str">
        <f>IFERROR(__xludf.DUMMYFUNCTION("""COMPUTED_VALUE"""),"算法")</f>
        <v>算法</v>
      </c>
    </row>
    <row r="78">
      <c r="A78" s="6">
        <f>IFERROR(__xludf.DUMMYFUNCTION("""COMPUTED_VALUE"""),71.0)</f>
        <v>71</v>
      </c>
      <c r="B78" s="53" t="str">
        <f>IFERROR(__xludf.DUMMYFUNCTION("""COMPUTED_VALUE"""),"Simplify Path")</f>
        <v>Simplify Path</v>
      </c>
      <c r="C78" s="6" t="str">
        <f>IFERROR(__xludf.DUMMYFUNCTION("""COMPUTED_VALUE"""),"Medium")</f>
        <v>Medium</v>
      </c>
      <c r="D78" s="6" t="str">
        <f>IFERROR(__xludf.DUMMYFUNCTION("""COMPUTED_VALUE"""),"Stack,String")</f>
        <v>Stack,String</v>
      </c>
      <c r="E78" s="6" t="str">
        <f>IFERROR(__xludf.DUMMYFUNCTION("""COMPUTED_VALUE"""),"Qualtrics,Adobe,Google,Docusign,ByteDance,Salesforce,Oracle,Yandex,Bloomberg,Facebook,Amazon,Microsoft")</f>
        <v>Qualtrics,Adobe,Google,Docusign,ByteDance,Salesforce,Oracle,Yandex,Bloomberg,Facebook,Amazon,Microsoft</v>
      </c>
      <c r="F78" s="6" t="str">
        <f>IFERROR(__xludf.DUMMYFUNCTION("""COMPUTED_VALUE"""),"Facebook,Amazon,Microsoft,Google")</f>
        <v>Facebook,Amazon,Microsoft,Google</v>
      </c>
      <c r="G78" s="6" t="str">
        <f>IFERROR(__xludf.DUMMYFUNCTION("""COMPUTED_VALUE"""),"Adobe,Bloomberg,Oracle,Facebook,Amazon,Microsoft,Google")</f>
        <v>Adobe,Bloomberg,Oracle,Facebook,Amazon,Microsoft,Google</v>
      </c>
      <c r="H78" s="6" t="str">
        <f>IFERROR(__xludf.DUMMYFUNCTION("""COMPUTED_VALUE"""),"Yandex,Qualtrics,Docusign,Adobe,Bloomberg,Oracle,Facebook,Amazon,Microsoft,Google")</f>
        <v>Yandex,Qualtrics,Docusign,Adobe,Bloomberg,Oracle,Facebook,Amazon,Microsoft,Google</v>
      </c>
      <c r="I78" s="6">
        <f>IFERROR(__xludf.DUMMYFUNCTION("""COMPUTED_VALUE"""),34.8)</f>
        <v>34.8</v>
      </c>
      <c r="J78" s="6" t="str">
        <f>IFERROR(__xludf.DUMMYFUNCTION("""COMPUTED_VALUE"""),"算法")</f>
        <v>算法</v>
      </c>
    </row>
    <row r="79">
      <c r="A79" s="6">
        <f>IFERROR(__xludf.DUMMYFUNCTION("""COMPUTED_VALUE"""),72.0)</f>
        <v>72</v>
      </c>
      <c r="B79" s="53" t="str">
        <f>IFERROR(__xludf.DUMMYFUNCTION("""COMPUTED_VALUE"""),"Edit Distance")</f>
        <v>Edit Distance</v>
      </c>
      <c r="C79" s="6" t="str">
        <f>IFERROR(__xludf.DUMMYFUNCTION("""COMPUTED_VALUE"""),"Hard")</f>
        <v>Hard</v>
      </c>
      <c r="D79" s="6" t="str">
        <f>IFERROR(__xludf.DUMMYFUNCTION("""COMPUTED_VALUE"""),"Dynamic Programming,String")</f>
        <v>Dynamic Programming,String</v>
      </c>
      <c r="E79" s="6" t="str">
        <f>IFERROR(__xludf.DUMMYFUNCTION("""COMPUTED_VALUE"""),"DiDi,Palantir Technologies,Cisco,Tencent,Square,ByteDance,Qualcomm,VMware,Paypal,Intuit,Baidu,Apple,Uber,Yahoo,Bloomberg,Adobe,Facebook,Amazon,LinkedIn,Microsoft,Goldman Sachs,Google")</f>
        <v>DiDi,Palantir Technologies,Cisco,Tencent,Square,ByteDance,Qualcomm,VMware,Paypal,Intuit,Baidu,Apple,Uber,Yahoo,Bloomberg,Adobe,Facebook,Amazon,LinkedIn,Microsoft,Goldman Sachs,Google</v>
      </c>
      <c r="F79" s="6" t="str">
        <f>IFERROR(__xludf.DUMMYFUNCTION("""COMPUTED_VALUE"""),"Amazon,Microsoft,Google,Palantir Technologies,Facebook")</f>
        <v>Amazon,Microsoft,Google,Palantir Technologies,Facebook</v>
      </c>
      <c r="G79" s="6" t="str">
        <f>IFERROR(__xludf.DUMMYFUNCTION("""COMPUTED_VALUE"""),"Square,ByteDance,Cisco,Tencent,Uber,Amazon,Microsoft,Google,Palantir Technologies,Facebook")</f>
        <v>Square,ByteDance,Cisco,Tencent,Uber,Amazon,Microsoft,Google,Palantir Technologies,Facebook</v>
      </c>
      <c r="H79" s="6" t="str">
        <f>IFERROR(__xludf.DUMMYFUNCTION("""COMPUTED_VALUE"""),"LinkedIn,Bloomberg,Intuit,Apple,Adobe,DiDi,Square,ByteDance,Cisco,Tencent,Uber,Amazon,Microsoft,Google,Palantir Technologies,Facebook")</f>
        <v>LinkedIn,Bloomberg,Intuit,Apple,Adobe,DiDi,Square,ByteDance,Cisco,Tencent,Uber,Amazon,Microsoft,Google,Palantir Technologies,Facebook</v>
      </c>
      <c r="I79" s="6">
        <f>IFERROR(__xludf.DUMMYFUNCTION("""COMPUTED_VALUE"""),46.92)</f>
        <v>46.92</v>
      </c>
      <c r="J79" s="6" t="str">
        <f>IFERROR(__xludf.DUMMYFUNCTION("""COMPUTED_VALUE"""),"算法")</f>
        <v>算法</v>
      </c>
    </row>
    <row r="80">
      <c r="A80" s="6">
        <f>IFERROR(__xludf.DUMMYFUNCTION("""COMPUTED_VALUE"""),73.0)</f>
        <v>73</v>
      </c>
      <c r="B80" s="53" t="str">
        <f>IFERROR(__xludf.DUMMYFUNCTION("""COMPUTED_VALUE"""),"Set Matrix Zeroes")</f>
        <v>Set Matrix Zeroes</v>
      </c>
      <c r="C80" s="6" t="str">
        <f>IFERROR(__xludf.DUMMYFUNCTION("""COMPUTED_VALUE"""),"Medium")</f>
        <v>Medium</v>
      </c>
      <c r="D80" s="6" t="str">
        <f>IFERROR(__xludf.DUMMYFUNCTION("""COMPUTED_VALUE"""),"Array")</f>
        <v>Array</v>
      </c>
      <c r="E80" s="6" t="str">
        <f>IFERROR(__xludf.DUMMYFUNCTION("""COMPUTED_VALUE"""),"PayTM,EBay,Samsung,Bloomberg,Adobe,Goldman Sachs,Google,Docusign,TripAdvisor,Audible,Salesforce,Paypal,Expedia,Oracle,Apple,Facebook,Amazon,Microsoft")</f>
        <v>PayTM,EBay,Samsung,Bloomberg,Adobe,Goldman Sachs,Google,Docusign,TripAdvisor,Audible,Salesforce,Paypal,Expedia,Oracle,Apple,Facebook,Amazon,Microsoft</v>
      </c>
      <c r="F80" s="6" t="str">
        <f>IFERROR(__xludf.DUMMYFUNCTION("""COMPUTED_VALUE"""),"Oracle,Facebook,Microsoft,Amazon,Expedia,Bloomberg,Goldman Sachs,Apple")</f>
        <v>Oracle,Facebook,Microsoft,Amazon,Expedia,Bloomberg,Goldman Sachs,Apple</v>
      </c>
      <c r="G80" s="6" t="str">
        <f>IFERROR(__xludf.DUMMYFUNCTION("""COMPUTED_VALUE"""),"PayTM,Samsung,Docusign,Audible,eBay,Oracle,Facebook,Microsoft,Amazon,Expedia,Bloomberg,Goldman Sachs,Apple")</f>
        <v>PayTM,Samsung,Docusign,Audible,eBay,Oracle,Facebook,Microsoft,Amazon,Expedia,Bloomberg,Goldman Sachs,Apple</v>
      </c>
      <c r="H80" s="6" t="str">
        <f>IFERROR(__xludf.DUMMYFUNCTION("""COMPUTED_VALUE"""),"Paypal,Google,Adobe,PayTM,Samsung,Docusign,Audible,eBay,Oracle,Facebook,Microsoft,Amazon,Expedia,Bloomberg,Goldman Sachs,Apple")</f>
        <v>Paypal,Google,Adobe,PayTM,Samsung,Docusign,Audible,eBay,Oracle,Facebook,Microsoft,Amazon,Expedia,Bloomberg,Goldman Sachs,Apple</v>
      </c>
      <c r="I80" s="6">
        <f>IFERROR(__xludf.DUMMYFUNCTION("""COMPUTED_VALUE"""),44.43)</f>
        <v>44.43</v>
      </c>
      <c r="J80" s="6" t="str">
        <f>IFERROR(__xludf.DUMMYFUNCTION("""COMPUTED_VALUE"""),"算法")</f>
        <v>算法</v>
      </c>
    </row>
    <row r="81">
      <c r="A81" s="6">
        <f>IFERROR(__xludf.DUMMYFUNCTION("""COMPUTED_VALUE"""),74.0)</f>
        <v>74</v>
      </c>
      <c r="B81" s="53" t="str">
        <f>IFERROR(__xludf.DUMMYFUNCTION("""COMPUTED_VALUE"""),"Search a 2D Matrix")</f>
        <v>Search a 2D Matrix</v>
      </c>
      <c r="C81" s="6" t="str">
        <f>IFERROR(__xludf.DUMMYFUNCTION("""COMPUTED_VALUE"""),"Medium")</f>
        <v>Medium</v>
      </c>
      <c r="D81" s="6" t="str">
        <f>IFERROR(__xludf.DUMMYFUNCTION("""COMPUTED_VALUE"""),"Binary Search,Array")</f>
        <v>Binary Search,Array</v>
      </c>
      <c r="E81" s="6" t="str">
        <f>IFERROR(__xludf.DUMMYFUNCTION("""COMPUTED_VALUE"""),"Nutanix,Cisco,EBay,Apple,Uber,Bloomberg,Adobe,Facebook,Amazon,Microsoft,Goldman Sachs,Google")</f>
        <v>Nutanix,Cisco,EBay,Apple,Uber,Bloomberg,Adobe,Facebook,Amazon,Microsoft,Goldman Sachs,Google</v>
      </c>
      <c r="F81" s="6" t="str">
        <f>IFERROR(__xludf.DUMMYFUNCTION("""COMPUTED_VALUE"""),"Amazon,Facebook,Microsoft,Apple,Nutanix")</f>
        <v>Amazon,Facebook,Microsoft,Apple,Nutanix</v>
      </c>
      <c r="G81" s="6" t="str">
        <f>IFERROR(__xludf.DUMMYFUNCTION("""COMPUTED_VALUE"""),"Bloomberg,Uber,Adobe,Cisco,eBay,Amazon,Facebook,Microsoft,Apple,Nutanix")</f>
        <v>Bloomberg,Uber,Adobe,Cisco,eBay,Amazon,Facebook,Microsoft,Apple,Nutanix</v>
      </c>
      <c r="H81" s="6" t="str">
        <f>IFERROR(__xludf.DUMMYFUNCTION("""COMPUTED_VALUE"""),"Goldman Sachs,Bloomberg,Uber,Adobe,Cisco,eBay,Amazon,Facebook,Microsoft,Apple,Nutanix")</f>
        <v>Goldman Sachs,Bloomberg,Uber,Adobe,Cisco,eBay,Amazon,Facebook,Microsoft,Apple,Nutanix</v>
      </c>
      <c r="I81" s="6">
        <f>IFERROR(__xludf.DUMMYFUNCTION("""COMPUTED_VALUE"""),37.95)</f>
        <v>37.95</v>
      </c>
      <c r="J81" s="6" t="str">
        <f>IFERROR(__xludf.DUMMYFUNCTION("""COMPUTED_VALUE"""),"算法")</f>
        <v>算法</v>
      </c>
    </row>
    <row r="82">
      <c r="A82" s="6">
        <f>IFERROR(__xludf.DUMMYFUNCTION("""COMPUTED_VALUE"""),75.0)</f>
        <v>75</v>
      </c>
      <c r="B82" s="53" t="str">
        <f>IFERROR(__xludf.DUMMYFUNCTION("""COMPUTED_VALUE"""),"Sort Colors")</f>
        <v>Sort Colors</v>
      </c>
      <c r="C82" s="6" t="str">
        <f>IFERROR(__xludf.DUMMYFUNCTION("""COMPUTED_VALUE"""),"Medium")</f>
        <v>Medium</v>
      </c>
      <c r="D82" s="6" t="str">
        <f>IFERROR(__xludf.DUMMYFUNCTION("""COMPUTED_VALUE"""),"Sort,Two Pointers,Array")</f>
        <v>Sort,Two Pointers,Array</v>
      </c>
      <c r="E82" s="6" t="str">
        <f>IFERROR(__xludf.DUMMYFUNCTION("""COMPUTED_VALUE"""),"VMware,Expedia,Nvidia,Spotify,Adobe,Goldman Sachs,Pocket Gems,Pure Storage,Walmart Labs,Paypal,Oracle,EBay,Apple,Uber,Yahoo,Bloomberg,Facebook,Amazon,LinkedIn,Microsoft,Google")</f>
        <v>VMware,Expedia,Nvidia,Spotify,Adobe,Goldman Sachs,Pocket Gems,Pure Storage,Walmart Labs,Paypal,Oracle,EBay,Apple,Uber,Yahoo,Bloomberg,Facebook,Amazon,LinkedIn,Microsoft,Google</v>
      </c>
      <c r="F82" s="6" t="str">
        <f>IFERROR(__xludf.DUMMYFUNCTION("""COMPUTED_VALUE"""),"Microsoft,Oracle,Amazon,Facebook,Adobe,eBay,Nvidia,Expedia,Spotify")</f>
        <v>Microsoft,Oracle,Amazon,Facebook,Adobe,eBay,Nvidia,Expedia,Spotify</v>
      </c>
      <c r="G82" s="6" t="str">
        <f>IFERROR(__xludf.DUMMYFUNCTION("""COMPUTED_VALUE"""),"Apple,Pure Storage,Goldman Sachs,Microsoft,Oracle,Amazon,Facebook,Adobe,eBay,Nvidia,Expedia,Spotify")</f>
        <v>Apple,Pure Storage,Goldman Sachs,Microsoft,Oracle,Amazon,Facebook,Adobe,eBay,Nvidia,Expedia,Spotify</v>
      </c>
      <c r="H82" s="6" t="str">
        <f>IFERROR(__xludf.DUMMYFUNCTION("""COMPUTED_VALUE"""),"LinkedIn,Uber,Google,Yahoo,Bloomberg,VMware,Paypal,Pocket Gems,Apple,Pure Storage,Goldman Sachs,Microsoft,Oracle,Amazon,Facebook,Adobe,eBay,Nvidia,Expedia,Spotify")</f>
        <v>LinkedIn,Uber,Google,Yahoo,Bloomberg,VMware,Paypal,Pocket Gems,Apple,Pure Storage,Goldman Sachs,Microsoft,Oracle,Amazon,Facebook,Adobe,eBay,Nvidia,Expedia,Spotify</v>
      </c>
      <c r="I82" s="6">
        <f>IFERROR(__xludf.DUMMYFUNCTION("""COMPUTED_VALUE"""),49.6)</f>
        <v>49.6</v>
      </c>
      <c r="J82" s="6" t="str">
        <f>IFERROR(__xludf.DUMMYFUNCTION("""COMPUTED_VALUE"""),"算法")</f>
        <v>算法</v>
      </c>
    </row>
    <row r="83">
      <c r="A83" s="6">
        <f>IFERROR(__xludf.DUMMYFUNCTION("""COMPUTED_VALUE"""),76.0)</f>
        <v>76</v>
      </c>
      <c r="B83" s="53" t="str">
        <f>IFERROR(__xludf.DUMMYFUNCTION("""COMPUTED_VALUE"""),"Minimum Window Substring")</f>
        <v>Minimum Window Substring</v>
      </c>
      <c r="C83" s="6" t="str">
        <f>IFERROR(__xludf.DUMMYFUNCTION("""COMPUTED_VALUE"""),"Hard")</f>
        <v>Hard</v>
      </c>
      <c r="D83" s="6" t="str">
        <f>IFERROR(__xludf.DUMMYFUNCTION("""COMPUTED_VALUE"""),"Sliding Window,String,Two Pointers,Hash Table")</f>
        <v>Sliding Window,String,Two Pointers,Hash Table</v>
      </c>
      <c r="E83" s="6" t="str">
        <f>IFERROR(__xludf.DUMMYFUNCTION("""COMPUTED_VALUE"""),"Pinterest,Cohesity,Nutanix,ByteDance,Deutsche Bank,Salesforce,Visa,VMware,Walmart Labs,GoDaddy,Snapchat,Twitter,Oracle,Lyft,EBay,Apple,Airbnb,Uber,Yahoo,Tencent,Bloomberg,Adobe,Facebook,Amazon,LinkedIn,Microsoft,Goldman Sachs,Google")</f>
        <v>Pinterest,Cohesity,Nutanix,ByteDance,Deutsche Bank,Salesforce,Visa,VMware,Walmart Labs,GoDaddy,Snapchat,Twitter,Oracle,Lyft,EBay,Apple,Airbnb,Uber,Yahoo,Tencent,Bloomberg,Adobe,Facebook,Amazon,LinkedIn,Microsoft,Goldman Sachs,Google</v>
      </c>
      <c r="F83" s="6" t="str">
        <f>IFERROR(__xludf.DUMMYFUNCTION("""COMPUTED_VALUE"""),"Facebook,Amazon,Microsoft,Google,Lyft,LinkedIn,Apple,Uber,Bloomberg,Pinterest,Snapchat,ByteDance")</f>
        <v>Facebook,Amazon,Microsoft,Google,Lyft,LinkedIn,Apple,Uber,Bloomberg,Pinterest,Snapchat,ByteDance</v>
      </c>
      <c r="G83" s="6" t="str">
        <f>IFERROR(__xludf.DUMMYFUNCTION("""COMPUTED_VALUE"""),"Adobe,Goldman Sachs,Facebook,Amazon,Microsoft,Google,Lyft,LinkedIn,Apple,Uber,Bloomberg,Pinterest,Snapchat,ByteDance")</f>
        <v>Adobe,Goldman Sachs,Facebook,Amazon,Microsoft,Google,Lyft,LinkedIn,Apple,Uber,Bloomberg,Pinterest,Snapchat,ByteDance</v>
      </c>
      <c r="H83" s="6" t="str">
        <f>IFERROR(__xludf.DUMMYFUNCTION("""COMPUTED_VALUE"""),"Cohesity,Walmart Labs,Deutsche Bank,Oracle,Visa,VMware,eBay,Twitter,GoDaddy,Salesforce,Adobe,Goldman Sachs,Facebook,Amazon,Microsoft,Google,Lyft,LinkedIn,Apple,Uber,Bloomberg,Pinterest,Snapchat,ByteDance")</f>
        <v>Cohesity,Walmart Labs,Deutsche Bank,Oracle,Visa,VMware,eBay,Twitter,GoDaddy,Salesforce,Adobe,Goldman Sachs,Facebook,Amazon,Microsoft,Google,Lyft,LinkedIn,Apple,Uber,Bloomberg,Pinterest,Snapchat,ByteDance</v>
      </c>
      <c r="I83" s="6">
        <f>IFERROR(__xludf.DUMMYFUNCTION("""COMPUTED_VALUE"""),36.07)</f>
        <v>36.07</v>
      </c>
      <c r="J83" s="6" t="str">
        <f>IFERROR(__xludf.DUMMYFUNCTION("""COMPUTED_VALUE"""),"算法")</f>
        <v>算法</v>
      </c>
    </row>
    <row r="84">
      <c r="A84" s="6">
        <f>IFERROR(__xludf.DUMMYFUNCTION("""COMPUTED_VALUE"""),77.0)</f>
        <v>77</v>
      </c>
      <c r="B84" s="53" t="str">
        <f>IFERROR(__xludf.DUMMYFUNCTION("""COMPUTED_VALUE"""),"Combinations")</f>
        <v>Combinations</v>
      </c>
      <c r="C84" s="6" t="str">
        <f>IFERROR(__xludf.DUMMYFUNCTION("""COMPUTED_VALUE"""),"Medium")</f>
        <v>Medium</v>
      </c>
      <c r="D84" s="6" t="str">
        <f>IFERROR(__xludf.DUMMYFUNCTION("""COMPUTED_VALUE"""),"Backtracking")</f>
        <v>Backtracking</v>
      </c>
      <c r="E84" s="6" t="str">
        <f>IFERROR(__xludf.DUMMYFUNCTION("""COMPUTED_VALUE"""),"Yahoo,Bloomberg,Apple,Adobe,Facebook,Amazon,Microsoft,Google")</f>
        <v>Yahoo,Bloomberg,Apple,Adobe,Facebook,Amazon,Microsoft,Google</v>
      </c>
      <c r="F84" s="6" t="str">
        <f>IFERROR(__xludf.DUMMYFUNCTION("""COMPUTED_VALUE"""),"Facebook")</f>
        <v>Facebook</v>
      </c>
      <c r="G84" s="6" t="str">
        <f>IFERROR(__xludf.DUMMYFUNCTION("""COMPUTED_VALUE"""),"Amazon,Apple,Google,Microsoft,Yahoo,Facebook")</f>
        <v>Amazon,Apple,Google,Microsoft,Yahoo,Facebook</v>
      </c>
      <c r="H84" s="6" t="str">
        <f>IFERROR(__xludf.DUMMYFUNCTION("""COMPUTED_VALUE"""),"Adobe,Bloomberg,Amazon,Apple,Google,Microsoft,Yahoo,Facebook")</f>
        <v>Adobe,Bloomberg,Amazon,Apple,Google,Microsoft,Yahoo,Facebook</v>
      </c>
      <c r="I84" s="6">
        <f>IFERROR(__xludf.DUMMYFUNCTION("""COMPUTED_VALUE"""),57.72)</f>
        <v>57.72</v>
      </c>
      <c r="J84" s="6" t="str">
        <f>IFERROR(__xludf.DUMMYFUNCTION("""COMPUTED_VALUE"""),"算法")</f>
        <v>算法</v>
      </c>
    </row>
    <row r="85">
      <c r="A85" s="6">
        <f>IFERROR(__xludf.DUMMYFUNCTION("""COMPUTED_VALUE"""),78.0)</f>
        <v>78</v>
      </c>
      <c r="B85" s="53" t="str">
        <f>IFERROR(__xludf.DUMMYFUNCTION("""COMPUTED_VALUE"""),"Subsets")</f>
        <v>Subsets</v>
      </c>
      <c r="C85" s="6" t="str">
        <f>IFERROR(__xludf.DUMMYFUNCTION("""COMPUTED_VALUE"""),"Medium")</f>
        <v>Medium</v>
      </c>
      <c r="D85" s="6" t="str">
        <f>IFERROR(__xludf.DUMMYFUNCTION("""COMPUTED_VALUE"""),"Bit Manipulation,Backtracking,Array")</f>
        <v>Bit Manipulation,Backtracking,Array</v>
      </c>
      <c r="E85" s="6" t="str">
        <f>IFERROR(__xludf.DUMMYFUNCTION("""COMPUTED_VALUE"""),"Coupang,Atlassian,ByteDance,Walmart Labs,Oracle,Lyft,EBay,Apple,Uber,Yahoo,Bloomberg,Adobe,Facebook,Amazon,Microsoft,Goldman Sachs,Google")</f>
        <v>Coupang,Atlassian,ByteDance,Walmart Labs,Oracle,Lyft,EBay,Apple,Uber,Yahoo,Bloomberg,Adobe,Facebook,Amazon,Microsoft,Goldman Sachs,Google</v>
      </c>
      <c r="F85" s="6" t="str">
        <f>IFERROR(__xludf.DUMMYFUNCTION("""COMPUTED_VALUE"""),"Facebook,Amazon,Bloomberg,Microsoft,Uber,Apple,ByteDance")</f>
        <v>Facebook,Amazon,Bloomberg,Microsoft,Uber,Apple,ByteDance</v>
      </c>
      <c r="G85" s="6" t="str">
        <f>IFERROR(__xludf.DUMMYFUNCTION("""COMPUTED_VALUE"""),"Google,Oracle,eBay,Facebook,Amazon,Bloomberg,Microsoft,Uber,Apple,ByteDance")</f>
        <v>Google,Oracle,eBay,Facebook,Amazon,Bloomberg,Microsoft,Uber,Apple,ByteDance</v>
      </c>
      <c r="H85" s="6" t="str">
        <f>IFERROR(__xludf.DUMMYFUNCTION("""COMPUTED_VALUE"""),"Adobe,Goldman Sachs,Walmart Labs,Atlassian,Coupang,Google,Oracle,eBay,Facebook,Amazon,Bloomberg,Microsoft,Uber,Apple,ByteDance")</f>
        <v>Adobe,Goldman Sachs,Walmart Labs,Atlassian,Coupang,Google,Oracle,eBay,Facebook,Amazon,Bloomberg,Microsoft,Uber,Apple,ByteDance</v>
      </c>
      <c r="I85" s="6">
        <f>IFERROR(__xludf.DUMMYFUNCTION("""COMPUTED_VALUE"""),65.37)</f>
        <v>65.37</v>
      </c>
      <c r="J85" s="6" t="str">
        <f>IFERROR(__xludf.DUMMYFUNCTION("""COMPUTED_VALUE"""),"算法")</f>
        <v>算法</v>
      </c>
    </row>
    <row r="86">
      <c r="A86" s="6">
        <f>IFERROR(__xludf.DUMMYFUNCTION("""COMPUTED_VALUE"""),79.0)</f>
        <v>79</v>
      </c>
      <c r="B86" s="53" t="str">
        <f>IFERROR(__xludf.DUMMYFUNCTION("""COMPUTED_VALUE"""),"Word Search")</f>
        <v>Word Search</v>
      </c>
      <c r="C86" s="6" t="str">
        <f>IFERROR(__xludf.DUMMYFUNCTION("""COMPUTED_VALUE"""),"Medium")</f>
        <v>Medium</v>
      </c>
      <c r="D86" s="6" t="str">
        <f>IFERROR(__xludf.DUMMYFUNCTION("""COMPUTED_VALUE"""),"Backtracking,Array")</f>
        <v>Backtracking,Array</v>
      </c>
      <c r="E86" s="6" t="str">
        <f>IFERROR(__xludf.DUMMYFUNCTION("""COMPUTED_VALUE"""),"Houzz,Twitter,ServiceNow,Expedia,Spotify,Cisco,EBay,Quantcast,Docusign,Pinterest,Cruise Automation,Coupang,ByteDance,VMware,Snapchat,JPMorgan,Zillow,Oracle,Intuit,Lyft,Apple,Uber,Yahoo,Aetion,Bloomberg,Adobe,Facebook,Amazon,LinkedIn,Microsoft,Google")</f>
        <v>Houzz,Twitter,ServiceNow,Expedia,Spotify,Cisco,EBay,Quantcast,Docusign,Pinterest,Cruise Automation,Coupang,ByteDance,VMware,Snapchat,JPMorgan,Zillow,Oracle,Intuit,Lyft,Apple,Uber,Yahoo,Aetion,Bloomberg,Adobe,Facebook,Amazon,LinkedIn,Microsoft,Google</v>
      </c>
      <c r="F86" s="6" t="str">
        <f>IFERROR(__xludf.DUMMYFUNCTION("""COMPUTED_VALUE"""),"Amazon,Bloomberg,Intuit,Facebook,Microsoft,Snapchat,Oracle,Apple,eBay,Pinterest,Expedia,ByteDance,ServiceNow")</f>
        <v>Amazon,Bloomberg,Intuit,Facebook,Microsoft,Snapchat,Oracle,Apple,eBay,Pinterest,Expedia,ByteDance,ServiceNow</v>
      </c>
      <c r="G86" s="6" t="str">
        <f>IFERROR(__xludf.DUMMYFUNCTION("""COMPUTED_VALUE"""),"Cisco,Google,Twitter,Adobe,Cruise Automation,Coupang,Amazon,Bloomberg,Intuit,Facebook,Microsoft,Snapchat,Oracle,Apple,eBay,Pinterest,Expedia,ByteDance,ServiceNow")</f>
        <v>Cisco,Google,Twitter,Adobe,Cruise Automation,Coupang,Amazon,Bloomberg,Intuit,Facebook,Microsoft,Snapchat,Oracle,Apple,eBay,Pinterest,Expedia,ByteDance,ServiceNow</v>
      </c>
      <c r="H86" s="6" t="str">
        <f>IFERROR(__xludf.DUMMYFUNCTION("""COMPUTED_VALUE"""),"Uber,Docusign,Yahoo,JPMorgan,Houzz,Spotify,Cisco,Google,Twitter,Adobe,Cruise Automation,Coupang,Amazon,Bloomberg,Intuit,Facebook,Microsoft,Snapchat,Oracle,Apple,eBay,Pinterest,Expedia,ByteDance,ServiceNow")</f>
        <v>Uber,Docusign,Yahoo,JPMorgan,Houzz,Spotify,Cisco,Google,Twitter,Adobe,Cruise Automation,Coupang,Amazon,Bloomberg,Intuit,Facebook,Microsoft,Snapchat,Oracle,Apple,eBay,Pinterest,Expedia,ByteDance,ServiceNow</v>
      </c>
      <c r="I86" s="6">
        <f>IFERROR(__xludf.DUMMYFUNCTION("""COMPUTED_VALUE"""),37.0)</f>
        <v>37</v>
      </c>
      <c r="J86" s="6" t="str">
        <f>IFERROR(__xludf.DUMMYFUNCTION("""COMPUTED_VALUE"""),"算法")</f>
        <v>算法</v>
      </c>
    </row>
    <row r="87">
      <c r="A87" s="6">
        <f>IFERROR(__xludf.DUMMYFUNCTION("""COMPUTED_VALUE"""),80.0)</f>
        <v>80</v>
      </c>
      <c r="B87" s="53" t="str">
        <f>IFERROR(__xludf.DUMMYFUNCTION("""COMPUTED_VALUE"""),"Remove Duplicates from Sorted Array II")</f>
        <v>Remove Duplicates from Sorted Array II</v>
      </c>
      <c r="C87" s="6" t="str">
        <f>IFERROR(__xludf.DUMMYFUNCTION("""COMPUTED_VALUE"""),"Medium")</f>
        <v>Medium</v>
      </c>
      <c r="D87" s="6" t="str">
        <f>IFERROR(__xludf.DUMMYFUNCTION("""COMPUTED_VALUE"""),"Two Pointers,Array")</f>
        <v>Two Pointers,Array</v>
      </c>
      <c r="E87" s="6" t="str">
        <f>IFERROR(__xludf.DUMMYFUNCTION("""COMPUTED_VALUE"""),"Amazon,Microsoft,VMware,Baidu,Facebook,Google")</f>
        <v>Amazon,Microsoft,VMware,Baidu,Facebook,Google</v>
      </c>
      <c r="F87" s="6" t="str">
        <f>IFERROR(__xludf.DUMMYFUNCTION("""COMPUTED_VALUE"""),"Microsoft")</f>
        <v>Microsoft</v>
      </c>
      <c r="G87" s="6" t="str">
        <f>IFERROR(__xludf.DUMMYFUNCTION("""COMPUTED_VALUE"""),"Google,Microsoft")</f>
        <v>Google,Microsoft</v>
      </c>
      <c r="H87" s="6" t="str">
        <f>IFERROR(__xludf.DUMMYFUNCTION("""COMPUTED_VALUE"""),"Amazon,VMware,Facebook,Google,Microsoft")</f>
        <v>Amazon,VMware,Facebook,Google,Microsoft</v>
      </c>
      <c r="I87" s="6">
        <f>IFERROR(__xludf.DUMMYFUNCTION("""COMPUTED_VALUE"""),46.23)</f>
        <v>46.23</v>
      </c>
      <c r="J87" s="6" t="str">
        <f>IFERROR(__xludf.DUMMYFUNCTION("""COMPUTED_VALUE"""),"算法")</f>
        <v>算法</v>
      </c>
    </row>
    <row r="88">
      <c r="A88" s="6">
        <f>IFERROR(__xludf.DUMMYFUNCTION("""COMPUTED_VALUE"""),81.0)</f>
        <v>81</v>
      </c>
      <c r="B88" s="53" t="str">
        <f>IFERROR(__xludf.DUMMYFUNCTION("""COMPUTED_VALUE"""),"Search in Rotated Sorted Array II")</f>
        <v>Search in Rotated Sorted Array II</v>
      </c>
      <c r="C88" s="6" t="str">
        <f>IFERROR(__xludf.DUMMYFUNCTION("""COMPUTED_VALUE"""),"Medium")</f>
        <v>Medium</v>
      </c>
      <c r="D88" s="6" t="str">
        <f>IFERROR(__xludf.DUMMYFUNCTION("""COMPUTED_VALUE"""),"Binary Search,Array")</f>
        <v>Binary Search,Array</v>
      </c>
      <c r="E88" s="6" t="str">
        <f>IFERROR(__xludf.DUMMYFUNCTION("""COMPUTED_VALUE"""),"Bloomberg,Adobe,Facebook,Amazon,Microsoft,Google")</f>
        <v>Bloomberg,Adobe,Facebook,Amazon,Microsoft,Google</v>
      </c>
      <c r="F88" s="6" t="str">
        <f>IFERROR(__xludf.DUMMYFUNCTION("""COMPUTED_VALUE"""),"Amazon")</f>
        <v>Amazon</v>
      </c>
      <c r="G88" s="6" t="str">
        <f>IFERROR(__xludf.DUMMYFUNCTION("""COMPUTED_VALUE"""),"Facebook,Adobe,Amazon")</f>
        <v>Facebook,Adobe,Amazon</v>
      </c>
      <c r="H88" s="6" t="str">
        <f>IFERROR(__xludf.DUMMYFUNCTION("""COMPUTED_VALUE"""),"Microsoft,Google,Bloomberg,Facebook,Adobe,Amazon")</f>
        <v>Microsoft,Google,Bloomberg,Facebook,Adobe,Amazon</v>
      </c>
      <c r="I88" s="6">
        <f>IFERROR(__xludf.DUMMYFUNCTION("""COMPUTED_VALUE"""),33.61)</f>
        <v>33.61</v>
      </c>
      <c r="J88" s="6" t="str">
        <f>IFERROR(__xludf.DUMMYFUNCTION("""COMPUTED_VALUE"""),"算法")</f>
        <v>算法</v>
      </c>
    </row>
    <row r="89">
      <c r="A89" s="6">
        <f>IFERROR(__xludf.DUMMYFUNCTION("""COMPUTED_VALUE"""),82.0)</f>
        <v>82</v>
      </c>
      <c r="B89" s="53" t="str">
        <f>IFERROR(__xludf.DUMMYFUNCTION("""COMPUTED_VALUE"""),"Remove Duplicates from Sorted List II")</f>
        <v>Remove Duplicates from Sorted List II</v>
      </c>
      <c r="C89" s="6" t="str">
        <f>IFERROR(__xludf.DUMMYFUNCTION("""COMPUTED_VALUE"""),"Medium")</f>
        <v>Medium</v>
      </c>
      <c r="D89" s="6" t="str">
        <f>IFERROR(__xludf.DUMMYFUNCTION("""COMPUTED_VALUE"""),"Linked List")</f>
        <v>Linked List</v>
      </c>
      <c r="E89" s="6" t="str">
        <f>IFERROR(__xludf.DUMMYFUNCTION("""COMPUTED_VALUE"""),"Qualcomm,Goldman Sachs,Salesforce,Paypal,Apple,Bloomberg,Adobe,Amazon,Microsoft,Google")</f>
        <v>Qualcomm,Goldman Sachs,Salesforce,Paypal,Apple,Bloomberg,Adobe,Amazon,Microsoft,Google</v>
      </c>
      <c r="F89" s="6" t="str">
        <f>IFERROR(__xludf.DUMMYFUNCTION("""COMPUTED_VALUE"""),"Amazon,Bloomberg")</f>
        <v>Amazon,Bloomberg</v>
      </c>
      <c r="G89" s="6" t="str">
        <f>IFERROR(__xludf.DUMMYFUNCTION("""COMPUTED_VALUE"""),"Microsoft,Google,Apple,Adobe,Amazon,Bloomberg")</f>
        <v>Microsoft,Google,Apple,Adobe,Amazon,Bloomberg</v>
      </c>
      <c r="H89" s="6" t="str">
        <f>IFERROR(__xludf.DUMMYFUNCTION("""COMPUTED_VALUE"""),"Salesforce,Goldman Sachs,Qualcomm,Microsoft,Google,Apple,Adobe,Amazon,Bloomberg")</f>
        <v>Salesforce,Goldman Sachs,Qualcomm,Microsoft,Google,Apple,Adobe,Amazon,Bloomberg</v>
      </c>
      <c r="I89" s="6">
        <f>IFERROR(__xludf.DUMMYFUNCTION("""COMPUTED_VALUE"""),39.37)</f>
        <v>39.37</v>
      </c>
      <c r="J89" s="6" t="str">
        <f>IFERROR(__xludf.DUMMYFUNCTION("""COMPUTED_VALUE"""),"算法")</f>
        <v>算法</v>
      </c>
    </row>
    <row r="90">
      <c r="A90" s="6">
        <f>IFERROR(__xludf.DUMMYFUNCTION("""COMPUTED_VALUE"""),83.0)</f>
        <v>83</v>
      </c>
      <c r="B90" s="53" t="str">
        <f>IFERROR(__xludf.DUMMYFUNCTION("""COMPUTED_VALUE"""),"Remove Duplicates from Sorted List")</f>
        <v>Remove Duplicates from Sorted List</v>
      </c>
      <c r="C90" s="6" t="str">
        <f>IFERROR(__xludf.DUMMYFUNCTION("""COMPUTED_VALUE"""),"Easy")</f>
        <v>Easy</v>
      </c>
      <c r="D90" s="6" t="str">
        <f>IFERROR(__xludf.DUMMYFUNCTION("""COMPUTED_VALUE"""),"Linked List")</f>
        <v>Linked List</v>
      </c>
      <c r="E90" s="6" t="str">
        <f>IFERROR(__xludf.DUMMYFUNCTION("""COMPUTED_VALUE"""),"Snapchat,Oracle,EBay,Yahoo,Goldman Sachs,ByteDance,Salesforce,Apple,Uber,Adobe,Facebook,Amazon,Microsoft,Google")</f>
        <v>Snapchat,Oracle,EBay,Yahoo,Goldman Sachs,ByteDance,Salesforce,Apple,Uber,Adobe,Facebook,Amazon,Microsoft,Google</v>
      </c>
      <c r="F90" s="6" t="str">
        <f>IFERROR(__xludf.DUMMYFUNCTION("""COMPUTED_VALUE"""),"Amazon,Goldman Sachs,Adobe,Oracle")</f>
        <v>Amazon,Goldman Sachs,Adobe,Oracle</v>
      </c>
      <c r="G90" s="6" t="str">
        <f>IFERROR(__xludf.DUMMYFUNCTION("""COMPUTED_VALUE"""),"Microsoft,Facebook,Apple,Snapchat,eBay,Yahoo,Amazon,Goldman Sachs,Adobe,Oracle")</f>
        <v>Microsoft,Facebook,Apple,Snapchat,eBay,Yahoo,Amazon,Goldman Sachs,Adobe,Oracle</v>
      </c>
      <c r="H90" s="6" t="str">
        <f>IFERROR(__xludf.DUMMYFUNCTION("""COMPUTED_VALUE"""),"Google,Microsoft,Facebook,Apple,Snapchat,eBay,Yahoo,Amazon,Goldman Sachs,Adobe,Oracle")</f>
        <v>Google,Microsoft,Facebook,Apple,Snapchat,eBay,Yahoo,Amazon,Goldman Sachs,Adobe,Oracle</v>
      </c>
      <c r="I90" s="6">
        <f>IFERROR(__xludf.DUMMYFUNCTION("""COMPUTED_VALUE"""),46.61)</f>
        <v>46.61</v>
      </c>
      <c r="J90" s="6" t="str">
        <f>IFERROR(__xludf.DUMMYFUNCTION("""COMPUTED_VALUE"""),"算法")</f>
        <v>算法</v>
      </c>
    </row>
    <row r="91">
      <c r="A91" s="6">
        <f>IFERROR(__xludf.DUMMYFUNCTION("""COMPUTED_VALUE"""),84.0)</f>
        <v>84</v>
      </c>
      <c r="B91" s="53" t="str">
        <f>IFERROR(__xludf.DUMMYFUNCTION("""COMPUTED_VALUE"""),"Largest Rectangle in Histogram")</f>
        <v>Largest Rectangle in Histogram</v>
      </c>
      <c r="C91" s="6" t="str">
        <f>IFERROR(__xludf.DUMMYFUNCTION("""COMPUTED_VALUE"""),"Hard")</f>
        <v>Hard</v>
      </c>
      <c r="D91" s="6" t="str">
        <f>IFERROR(__xludf.DUMMYFUNCTION("""COMPUTED_VALUE"""),"Stack,Array")</f>
        <v>Stack,Array</v>
      </c>
      <c r="E91" s="6" t="str">
        <f>IFERROR(__xludf.DUMMYFUNCTION("""COMPUTED_VALUE"""),"MAQ Software,Lyft,Tcs,ByteDance,Huawei,Uber,Flipkart,Walmart Labs,Twitter,Bloomberg,Adobe,Facebook,Amazon,Microsoft,Google")</f>
        <v>MAQ Software,Lyft,Tcs,ByteDance,Huawei,Uber,Flipkart,Walmart Labs,Twitter,Bloomberg,Adobe,Facebook,Amazon,Microsoft,Google</v>
      </c>
      <c r="F91" s="6" t="str">
        <f>IFERROR(__xludf.DUMMYFUNCTION("""COMPUTED_VALUE"""),"Amazon,ByteDance,Google,Adobe,Microsoft,Uber,Lyft,MAQ Software")</f>
        <v>Amazon,ByteDance,Google,Adobe,Microsoft,Uber,Lyft,MAQ Software</v>
      </c>
      <c r="G91" s="6" t="str">
        <f>IFERROR(__xludf.DUMMYFUNCTION("""COMPUTED_VALUE"""),"Bloomberg,Huawei,tcs,Amazon,ByteDance,Google,Adobe,Microsoft,Uber,Lyft,MAQ Software")</f>
        <v>Bloomberg,Huawei,tcs,Amazon,ByteDance,Google,Adobe,Microsoft,Uber,Lyft,MAQ Software</v>
      </c>
      <c r="H91" s="6" t="str">
        <f>IFERROR(__xludf.DUMMYFUNCTION("""COMPUTED_VALUE"""),"Flipkart,Facebook,Twitter,Bloomberg,Huawei,tcs,Amazon,ByteDance,Google,Adobe,Microsoft,Uber,Lyft,MAQ Software")</f>
        <v>Flipkart,Facebook,Twitter,Bloomberg,Huawei,tcs,Amazon,ByteDance,Google,Adobe,Microsoft,Uber,Lyft,MAQ Software</v>
      </c>
      <c r="I91" s="6">
        <f>IFERROR(__xludf.DUMMYFUNCTION("""COMPUTED_VALUE"""),37.28)</f>
        <v>37.28</v>
      </c>
      <c r="J91" s="6" t="str">
        <f>IFERROR(__xludf.DUMMYFUNCTION("""COMPUTED_VALUE"""),"算法")</f>
        <v>算法</v>
      </c>
    </row>
    <row r="92">
      <c r="A92" s="6">
        <f>IFERROR(__xludf.DUMMYFUNCTION("""COMPUTED_VALUE"""),85.0)</f>
        <v>85</v>
      </c>
      <c r="B92" s="53" t="str">
        <f>IFERROR(__xludf.DUMMYFUNCTION("""COMPUTED_VALUE"""),"Maximal Rectangle")</f>
        <v>Maximal Rectangle</v>
      </c>
      <c r="C92" s="6" t="str">
        <f>IFERROR(__xludf.DUMMYFUNCTION("""COMPUTED_VALUE"""),"Hard")</f>
        <v>Hard</v>
      </c>
      <c r="D92" s="6" t="str">
        <f>IFERROR(__xludf.DUMMYFUNCTION("""COMPUTED_VALUE"""),"Stack,Dynamic Programming,Hash Table,Array")</f>
        <v>Stack,Dynamic Programming,Hash Table,Array</v>
      </c>
      <c r="E92" s="6" t="str">
        <f>IFERROR(__xludf.DUMMYFUNCTION("""COMPUTED_VALUE"""),"Citadel,Yandex,Apple,Karat,Wayfair,VMware,Indeed,Uber,Samsung,Bloomberg,Adobe,Facebook,Amazon,Microsoft,Google")</f>
        <v>Citadel,Yandex,Apple,Karat,Wayfair,VMware,Indeed,Uber,Samsung,Bloomberg,Adobe,Facebook,Amazon,Microsoft,Google</v>
      </c>
      <c r="F92" s="6" t="str">
        <f>IFERROR(__xludf.DUMMYFUNCTION("""COMPUTED_VALUE"""),"Google,Amazon,Adobe,Bloomberg,Apple")</f>
        <v>Google,Amazon,Adobe,Bloomberg,Apple</v>
      </c>
      <c r="G92" s="6" t="str">
        <f>IFERROR(__xludf.DUMMYFUNCTION("""COMPUTED_VALUE"""),"Microsoft,Uber,Citadel,Wayfair,Karat,Yandex,Google,Amazon,Adobe,Bloomberg,Apple")</f>
        <v>Microsoft,Uber,Citadel,Wayfair,Karat,Yandex,Google,Amazon,Adobe,Bloomberg,Apple</v>
      </c>
      <c r="H92" s="6" t="str">
        <f>IFERROR(__xludf.DUMMYFUNCTION("""COMPUTED_VALUE"""),"Samsung,Indeed,VMware,Facebook,Microsoft,Uber,Citadel,Wayfair,Karat,Yandex,Google,Amazon,Adobe,Bloomberg,Apple")</f>
        <v>Samsung,Indeed,VMware,Facebook,Microsoft,Uber,Citadel,Wayfair,Karat,Yandex,Google,Amazon,Adobe,Bloomberg,Apple</v>
      </c>
      <c r="I92" s="6">
        <f>IFERROR(__xludf.DUMMYFUNCTION("""COMPUTED_VALUE"""),39.59)</f>
        <v>39.59</v>
      </c>
      <c r="J92" s="6" t="str">
        <f>IFERROR(__xludf.DUMMYFUNCTION("""COMPUTED_VALUE"""),"算法")</f>
        <v>算法</v>
      </c>
    </row>
    <row r="93">
      <c r="A93" s="6">
        <f>IFERROR(__xludf.DUMMYFUNCTION("""COMPUTED_VALUE"""),87.0)</f>
        <v>87</v>
      </c>
      <c r="B93" s="53" t="str">
        <f>IFERROR(__xludf.DUMMYFUNCTION("""COMPUTED_VALUE"""),"Scramble String")</f>
        <v>Scramble String</v>
      </c>
      <c r="C93" s="6" t="str">
        <f>IFERROR(__xludf.DUMMYFUNCTION("""COMPUTED_VALUE"""),"Hard")</f>
        <v>Hard</v>
      </c>
      <c r="D93" s="6" t="str">
        <f>IFERROR(__xludf.DUMMYFUNCTION("""COMPUTED_VALUE"""),"Dynamic Programming,String")</f>
        <v>Dynamic Programming,String</v>
      </c>
      <c r="E93" s="6" t="str">
        <f>IFERROR(__xludf.DUMMYFUNCTION("""COMPUTED_VALUE"""),"Amazon,Apple,Facebook,Google")</f>
        <v>Amazon,Apple,Facebook,Google</v>
      </c>
      <c r="F93" s="6"/>
      <c r="G93" s="6" t="str">
        <f>IFERROR(__xludf.DUMMYFUNCTION("""COMPUTED_VALUE"""),"Apple")</f>
        <v>Apple</v>
      </c>
      <c r="H93" s="6" t="str">
        <f>IFERROR(__xludf.DUMMYFUNCTION("""COMPUTED_VALUE"""),"Amazon,Apple")</f>
        <v>Amazon,Apple</v>
      </c>
      <c r="I93" s="6">
        <f>IFERROR(__xludf.DUMMYFUNCTION("""COMPUTED_VALUE"""),34.77)</f>
        <v>34.77</v>
      </c>
      <c r="J93" s="6" t="str">
        <f>IFERROR(__xludf.DUMMYFUNCTION("""COMPUTED_VALUE"""),"算法")</f>
        <v>算法</v>
      </c>
    </row>
    <row r="94">
      <c r="A94" s="6">
        <f>IFERROR(__xludf.DUMMYFUNCTION("""COMPUTED_VALUE"""),88.0)</f>
        <v>88</v>
      </c>
      <c r="B94" s="53" t="str">
        <f>IFERROR(__xludf.DUMMYFUNCTION("""COMPUTED_VALUE"""),"Merge Sorted Array")</f>
        <v>Merge Sorted Array</v>
      </c>
      <c r="C94" s="6" t="str">
        <f>IFERROR(__xludf.DUMMYFUNCTION("""COMPUTED_VALUE"""),"Easy")</f>
        <v>Easy</v>
      </c>
      <c r="D94" s="6" t="str">
        <f>IFERROR(__xludf.DUMMYFUNCTION("""COMPUTED_VALUE"""),"Two Pointers,Array")</f>
        <v>Two Pointers,Array</v>
      </c>
      <c r="E94" s="6" t="str">
        <f>IFERROR(__xludf.DUMMYFUNCTION("""COMPUTED_VALUE"""),"Wish,Walmart Labs,Netflix,Quip (Salesforce),ByteDance,Tableau,Intel,VMware,Indeed,Expedia,Oracle,IBM,Lyft,Cisco,Yandex,EBay,Baidu,Apple,Uber,Yahoo,Bloomberg,Adobe,Facebook,Amazon,LinkedIn,Microsoft,Goldman Sachs,Google")</f>
        <v>Wish,Walmart Labs,Netflix,Quip (Salesforce),ByteDance,Tableau,Intel,VMware,Indeed,Expedia,Oracle,IBM,Lyft,Cisco,Yandex,EBay,Baidu,Apple,Uber,Yahoo,Bloomberg,Adobe,Facebook,Amazon,LinkedIn,Microsoft,Goldman Sachs,Google</v>
      </c>
      <c r="F94" s="6" t="str">
        <f>IFERROR(__xludf.DUMMYFUNCTION("""COMPUTED_VALUE"""),"Facebook,Microsoft,Amazon,IBM,Bloomberg,Walmart Labs,Oracle,Apple,LinkedIn,Goldman Sachs,Yandex,Wish")</f>
        <v>Facebook,Microsoft,Amazon,IBM,Bloomberg,Walmart Labs,Oracle,Apple,LinkedIn,Goldman Sachs,Yandex,Wish</v>
      </c>
      <c r="G94" s="6" t="str">
        <f>IFERROR(__xludf.DUMMYFUNCTION("""COMPUTED_VALUE"""),"Adobe,ByteDance,Google,Lyft,Facebook,Microsoft,Amazon,IBM,Bloomberg,Walmart Labs,Oracle,Apple,LinkedIn,Goldman Sachs,Yandex,Wish")</f>
        <v>Adobe,ByteDance,Google,Lyft,Facebook,Microsoft,Amazon,IBM,Bloomberg,Walmart Labs,Oracle,Apple,LinkedIn,Goldman Sachs,Yandex,Wish</v>
      </c>
      <c r="H94" s="6" t="str">
        <f>IFERROR(__xludf.DUMMYFUNCTION("""COMPUTED_VALUE"""),"Cisco,Yahoo,Uber,VMware,eBay,Expedia,Adobe,ByteDance,Google,Lyft,Facebook,Microsoft,Amazon,IBM,Bloomberg,Walmart Labs,Oracle,Apple,LinkedIn,Goldman Sachs,Yandex,Wish")</f>
        <v>Cisco,Yahoo,Uber,VMware,eBay,Expedia,Adobe,ByteDance,Google,Lyft,Facebook,Microsoft,Amazon,IBM,Bloomberg,Walmart Labs,Oracle,Apple,LinkedIn,Goldman Sachs,Yandex,Wish</v>
      </c>
      <c r="I94" s="6">
        <f>IFERROR(__xludf.DUMMYFUNCTION("""COMPUTED_VALUE"""),40.79)</f>
        <v>40.79</v>
      </c>
      <c r="J94" s="6" t="str">
        <f>IFERROR(__xludf.DUMMYFUNCTION("""COMPUTED_VALUE"""),"算法")</f>
        <v>算法</v>
      </c>
    </row>
    <row r="95">
      <c r="A95" s="6">
        <f>IFERROR(__xludf.DUMMYFUNCTION("""COMPUTED_VALUE"""),91.0)</f>
        <v>91</v>
      </c>
      <c r="B95" s="53" t="str">
        <f>IFERROR(__xludf.DUMMYFUNCTION("""COMPUTED_VALUE"""),"Decode Ways")</f>
        <v>Decode Ways</v>
      </c>
      <c r="C95" s="6" t="str">
        <f>IFERROR(__xludf.DUMMYFUNCTION("""COMPUTED_VALUE"""),"Medium")</f>
        <v>Medium</v>
      </c>
      <c r="D95" s="6" t="str">
        <f>IFERROR(__xludf.DUMMYFUNCTION("""COMPUTED_VALUE"""),"Dynamic Programming,String")</f>
        <v>Dynamic Programming,String</v>
      </c>
      <c r="E95" s="6" t="str">
        <f>IFERROR(__xludf.DUMMYFUNCTION("""COMPUTED_VALUE"""),"PayTM,ByteDance,Walmart Labs,JPMorgan,Paypal,Oracle,Morgan Stanley,Square,Pinterest,Databricks,Barclays,Snapchat,Twitter,Expedia,Lyft,Cisco,Huawei,Baidu,Apple,Uber,Bloomberg,Adobe,Facebook,Amazon,Microsoft,Goldman Sachs,Google")</f>
        <v>PayTM,ByteDance,Walmart Labs,JPMorgan,Paypal,Oracle,Morgan Stanley,Square,Pinterest,Databricks,Barclays,Snapchat,Twitter,Expedia,Lyft,Cisco,Huawei,Baidu,Apple,Uber,Bloomberg,Adobe,Facebook,Amazon,Microsoft,Goldman Sachs,Google</v>
      </c>
      <c r="F95" s="6" t="str">
        <f>IFERROR(__xludf.DUMMYFUNCTION("""COMPUTED_VALUE"""),"JPMorgan,Cisco,Facebook,Amazon,Google,Goldman Sachs,ByteDance,Microsoft,Adobe,Lyft,Oracle")</f>
        <v>JPMorgan,Cisco,Facebook,Amazon,Google,Goldman Sachs,ByteDance,Microsoft,Adobe,Lyft,Oracle</v>
      </c>
      <c r="G95" s="6" t="str">
        <f>IFERROR(__xludf.DUMMYFUNCTION("""COMPUTED_VALUE"""),"Bloomberg,Morgan Stanley,Square,Apple,Databricks,PayTM,JPMorgan,Cisco,Facebook,Amazon,Google,Goldman Sachs,ByteDance,Microsoft,Adobe,Lyft,Oracle")</f>
        <v>Bloomberg,Morgan Stanley,Square,Apple,Databricks,PayTM,JPMorgan,Cisco,Facebook,Amazon,Google,Goldman Sachs,ByteDance,Microsoft,Adobe,Lyft,Oracle</v>
      </c>
      <c r="H95" s="6" t="str">
        <f>IFERROR(__xludf.DUMMYFUNCTION("""COMPUTED_VALUE"""),"Uber,Snapchat,Expedia,Huawei,Walmart Labs,Baidu,Paypal,Bloomberg,Morgan Stanley,Square,Apple,Databricks,PayTM,JPMorgan,Cisco,Facebook,Amazon,Google,Goldman Sachs,ByteDance,Microsoft,Adobe,Lyft,Oracle")</f>
        <v>Uber,Snapchat,Expedia,Huawei,Walmart Labs,Baidu,Paypal,Bloomberg,Morgan Stanley,Square,Apple,Databricks,PayTM,JPMorgan,Cisco,Facebook,Amazon,Google,Goldman Sachs,ByteDance,Microsoft,Adobe,Lyft,Oracle</v>
      </c>
      <c r="I95" s="6">
        <f>IFERROR(__xludf.DUMMYFUNCTION("""COMPUTED_VALUE"""),26.73)</f>
        <v>26.73</v>
      </c>
      <c r="J95" s="6" t="str">
        <f>IFERROR(__xludf.DUMMYFUNCTION("""COMPUTED_VALUE"""),"算法")</f>
        <v>算法</v>
      </c>
    </row>
    <row r="96">
      <c r="A96" s="6">
        <f>IFERROR(__xludf.DUMMYFUNCTION("""COMPUTED_VALUE"""),92.0)</f>
        <v>92</v>
      </c>
      <c r="B96" s="53" t="str">
        <f>IFERROR(__xludf.DUMMYFUNCTION("""COMPUTED_VALUE"""),"Reverse Linked List II")</f>
        <v>Reverse Linked List II</v>
      </c>
      <c r="C96" s="6" t="str">
        <f>IFERROR(__xludf.DUMMYFUNCTION("""COMPUTED_VALUE"""),"Medium")</f>
        <v>Medium</v>
      </c>
      <c r="D96" s="6" t="str">
        <f>IFERROR(__xludf.DUMMYFUNCTION("""COMPUTED_VALUE"""),"Linked List")</f>
        <v>Linked List</v>
      </c>
      <c r="E96" s="6" t="str">
        <f>IFERROR(__xludf.DUMMYFUNCTION("""COMPUTED_VALUE"""),"ByteDance,Docusign,Atlassian,Oracle,Apple,Bloomberg,Adobe,Facebook,Amazon,Microsoft,Google")</f>
        <v>ByteDance,Docusign,Atlassian,Oracle,Apple,Bloomberg,Adobe,Facebook,Amazon,Microsoft,Google</v>
      </c>
      <c r="F96" s="6" t="str">
        <f>IFERROR(__xludf.DUMMYFUNCTION("""COMPUTED_VALUE"""),"Amazon,Facebook,Microsoft,Oracle,Bloomberg,Google,ByteDance")</f>
        <v>Amazon,Facebook,Microsoft,Oracle,Bloomberg,Google,ByteDance</v>
      </c>
      <c r="G96" s="6" t="str">
        <f>IFERROR(__xludf.DUMMYFUNCTION("""COMPUTED_VALUE"""),"Apple,Adobe,Docusign,Amazon,Facebook,Microsoft,Oracle,Bloomberg,Google,ByteDance")</f>
        <v>Apple,Adobe,Docusign,Amazon,Facebook,Microsoft,Oracle,Bloomberg,Google,ByteDance</v>
      </c>
      <c r="H96" s="6" t="str">
        <f>IFERROR(__xludf.DUMMYFUNCTION("""COMPUTED_VALUE"""),"Apple,Adobe,Docusign,Amazon,Facebook,Microsoft,Oracle,Bloomberg,Google,ByteDance")</f>
        <v>Apple,Adobe,Docusign,Amazon,Facebook,Microsoft,Oracle,Bloomberg,Google,ByteDance</v>
      </c>
      <c r="I96" s="6">
        <f>IFERROR(__xludf.DUMMYFUNCTION("""COMPUTED_VALUE"""),40.71)</f>
        <v>40.71</v>
      </c>
      <c r="J96" s="6" t="str">
        <f>IFERROR(__xludf.DUMMYFUNCTION("""COMPUTED_VALUE"""),"算法")</f>
        <v>算法</v>
      </c>
    </row>
    <row r="97">
      <c r="A97" s="6">
        <f>IFERROR(__xludf.DUMMYFUNCTION("""COMPUTED_VALUE"""),93.0)</f>
        <v>93</v>
      </c>
      <c r="B97" s="53" t="str">
        <f>IFERROR(__xludf.DUMMYFUNCTION("""COMPUTED_VALUE"""),"Restore IP Addresses")</f>
        <v>Restore IP Addresses</v>
      </c>
      <c r="C97" s="6" t="str">
        <f>IFERROR(__xludf.DUMMYFUNCTION("""COMPUTED_VALUE"""),"Medium")</f>
        <v>Medium</v>
      </c>
      <c r="D97" s="6" t="str">
        <f>IFERROR(__xludf.DUMMYFUNCTION("""COMPUTED_VALUE"""),"Backtracking,String")</f>
        <v>Backtracking,String</v>
      </c>
      <c r="E97" s="6" t="str">
        <f>IFERROR(__xludf.DUMMYFUNCTION("""COMPUTED_VALUE"""),"Splunk,Oracle,Bloomberg,Google,VMware,Apple,Yahoo,Adobe,Facebook,Amazon,Microsoft")</f>
        <v>Splunk,Oracle,Bloomberg,Google,VMware,Apple,Yahoo,Adobe,Facebook,Amazon,Microsoft</v>
      </c>
      <c r="F97" s="6" t="str">
        <f>IFERROR(__xludf.DUMMYFUNCTION("""COMPUTED_VALUE"""),"Oracle")</f>
        <v>Oracle</v>
      </c>
      <c r="G97" s="6" t="str">
        <f>IFERROR(__xludf.DUMMYFUNCTION("""COMPUTED_VALUE"""),"Facebook,Amazon,Microsoft,Google,Bloomberg,Apple,Oracle")</f>
        <v>Facebook,Amazon,Microsoft,Google,Bloomberg,Apple,Oracle</v>
      </c>
      <c r="H97" s="6" t="str">
        <f>IFERROR(__xludf.DUMMYFUNCTION("""COMPUTED_VALUE"""),"VMware,Yahoo,Splunk,Facebook,Amazon,Microsoft,Google,Bloomberg,Apple,Oracle")</f>
        <v>VMware,Yahoo,Splunk,Facebook,Amazon,Microsoft,Google,Bloomberg,Apple,Oracle</v>
      </c>
      <c r="I97" s="6">
        <f>IFERROR(__xludf.DUMMYFUNCTION("""COMPUTED_VALUE"""),37.72)</f>
        <v>37.72</v>
      </c>
      <c r="J97" s="6" t="str">
        <f>IFERROR(__xludf.DUMMYFUNCTION("""COMPUTED_VALUE"""),"算法")</f>
        <v>算法</v>
      </c>
    </row>
    <row r="98">
      <c r="A98" s="6">
        <f>IFERROR(__xludf.DUMMYFUNCTION("""COMPUTED_VALUE"""),94.0)</f>
        <v>94</v>
      </c>
      <c r="B98" s="53" t="str">
        <f>IFERROR(__xludf.DUMMYFUNCTION("""COMPUTED_VALUE"""),"Binary Tree Inorder Traversal")</f>
        <v>Binary Tree Inorder Traversal</v>
      </c>
      <c r="C98" s="6" t="str">
        <f>IFERROR(__xludf.DUMMYFUNCTION("""COMPUTED_VALUE"""),"Medium")</f>
        <v>Medium</v>
      </c>
      <c r="D98" s="6" t="str">
        <f>IFERROR(__xludf.DUMMYFUNCTION("""COMPUTED_VALUE"""),"Tree,Stack,Hash Table")</f>
        <v>Tree,Stack,Hash Table</v>
      </c>
      <c r="E98" s="6" t="str">
        <f>IFERROR(__xludf.DUMMYFUNCTION("""COMPUTED_VALUE"""),"Cisco,Goldman Sachs,ByteDance,Oracle,EBay,Apple,Uber,SAP,Bloomberg,Facebook,Amazon,Microsoft,Alibaba,Google")</f>
        <v>Cisco,Goldman Sachs,ByteDance,Oracle,EBay,Apple,Uber,SAP,Bloomberg,Facebook,Amazon,Microsoft,Alibaba,Google</v>
      </c>
      <c r="F98" s="6" t="str">
        <f>IFERROR(__xludf.DUMMYFUNCTION("""COMPUTED_VALUE"""),"Microsoft,Oracle,Facebook,Amazon")</f>
        <v>Microsoft,Oracle,Facebook,Amazon</v>
      </c>
      <c r="G98" s="6" t="str">
        <f>IFERROR(__xludf.DUMMYFUNCTION("""COMPUTED_VALUE"""),"Google,Apple,Bloomberg,Microsoft,Oracle,Facebook,Amazon")</f>
        <v>Google,Apple,Bloomberg,Microsoft,Oracle,Facebook,Amazon</v>
      </c>
      <c r="H98" s="6" t="str">
        <f>IFERROR(__xludf.DUMMYFUNCTION("""COMPUTED_VALUE"""),"SAP,Cisco,Goldman Sachs,Google,Apple,Bloomberg,Microsoft,Oracle,Facebook,Amazon")</f>
        <v>SAP,Cisco,Goldman Sachs,Google,Apple,Bloomberg,Microsoft,Oracle,Facebook,Amazon</v>
      </c>
      <c r="I98" s="6">
        <f>IFERROR(__xludf.DUMMYFUNCTION("""COMPUTED_VALUE"""),66.07)</f>
        <v>66.07</v>
      </c>
      <c r="J98" s="6" t="str">
        <f>IFERROR(__xludf.DUMMYFUNCTION("""COMPUTED_VALUE"""),"算法")</f>
        <v>算法</v>
      </c>
    </row>
    <row r="99">
      <c r="A99" s="6">
        <f>IFERROR(__xludf.DUMMYFUNCTION("""COMPUTED_VALUE"""),95.0)</f>
        <v>95</v>
      </c>
      <c r="B99" s="53" t="str">
        <f>IFERROR(__xludf.DUMMYFUNCTION("""COMPUTED_VALUE"""),"Unique Binary Search Trees II")</f>
        <v>Unique Binary Search Trees II</v>
      </c>
      <c r="C99" s="6" t="str">
        <f>IFERROR(__xludf.DUMMYFUNCTION("""COMPUTED_VALUE"""),"Medium")</f>
        <v>Medium</v>
      </c>
      <c r="D99" s="6" t="str">
        <f>IFERROR(__xludf.DUMMYFUNCTION("""COMPUTED_VALUE"""),"Tree,Dynamic Programming")</f>
        <v>Tree,Dynamic Programming</v>
      </c>
      <c r="E99" s="6" t="str">
        <f>IFERROR(__xludf.DUMMYFUNCTION("""COMPUTED_VALUE"""),"Apple,Yahoo,Adobe,Facebook,Amazon,Microsoft,Google")</f>
        <v>Apple,Yahoo,Adobe,Facebook,Amazon,Microsoft,Google</v>
      </c>
      <c r="F99" s="6" t="str">
        <f>IFERROR(__xludf.DUMMYFUNCTION("""COMPUTED_VALUE"""),"Amazon,Google")</f>
        <v>Amazon,Google</v>
      </c>
      <c r="G99" s="6" t="str">
        <f>IFERROR(__xludf.DUMMYFUNCTION("""COMPUTED_VALUE"""),"Amazon,Google")</f>
        <v>Amazon,Google</v>
      </c>
      <c r="H99" s="6" t="str">
        <f>IFERROR(__xludf.DUMMYFUNCTION("""COMPUTED_VALUE"""),"Yahoo,Apple,Microsoft,Facebook,Amazon,Google")</f>
        <v>Yahoo,Apple,Microsoft,Facebook,Amazon,Google</v>
      </c>
      <c r="I99" s="6">
        <f>IFERROR(__xludf.DUMMYFUNCTION("""COMPUTED_VALUE"""),42.8)</f>
        <v>42.8</v>
      </c>
      <c r="J99" s="6" t="str">
        <f>IFERROR(__xludf.DUMMYFUNCTION("""COMPUTED_VALUE"""),"算法")</f>
        <v>算法</v>
      </c>
    </row>
    <row r="100">
      <c r="A100" s="6">
        <f>IFERROR(__xludf.DUMMYFUNCTION("""COMPUTED_VALUE"""),96.0)</f>
        <v>96</v>
      </c>
      <c r="B100" s="53" t="str">
        <f>IFERROR(__xludf.DUMMYFUNCTION("""COMPUTED_VALUE"""),"Unique Binary Search Trees")</f>
        <v>Unique Binary Search Trees</v>
      </c>
      <c r="C100" s="6" t="str">
        <f>IFERROR(__xludf.DUMMYFUNCTION("""COMPUTED_VALUE"""),"Medium")</f>
        <v>Medium</v>
      </c>
      <c r="D100" s="6" t="str">
        <f>IFERROR(__xludf.DUMMYFUNCTION("""COMPUTED_VALUE"""),"Tree,Dynamic Programming")</f>
        <v>Tree,Dynamic Programming</v>
      </c>
      <c r="E100" s="6" t="str">
        <f>IFERROR(__xludf.DUMMYFUNCTION("""COMPUTED_VALUE"""),"ByteDance,Snapchat,Expedia,Wish,Apple,Bloomberg,Adobe,Facebook,Amazon,Microsoft,Google")</f>
        <v>ByteDance,Snapchat,Expedia,Wish,Apple,Bloomberg,Adobe,Facebook,Amazon,Microsoft,Google</v>
      </c>
      <c r="F100" s="6" t="str">
        <f>IFERROR(__xludf.DUMMYFUNCTION("""COMPUTED_VALUE"""),"Bloomberg,Microsoft")</f>
        <v>Bloomberg,Microsoft</v>
      </c>
      <c r="G100" s="6" t="str">
        <f>IFERROR(__xludf.DUMMYFUNCTION("""COMPUTED_VALUE"""),"Amazon,Google,Adobe,ByteDance,Bloomberg,Microsoft")</f>
        <v>Amazon,Google,Adobe,ByteDance,Bloomberg,Microsoft</v>
      </c>
      <c r="H100" s="6" t="str">
        <f>IFERROR(__xludf.DUMMYFUNCTION("""COMPUTED_VALUE"""),"Apple,Wish,Facebook,Snapchat,Amazon,Google,Adobe,ByteDance,Bloomberg,Microsoft")</f>
        <v>Apple,Wish,Facebook,Snapchat,Amazon,Google,Adobe,ByteDance,Bloomberg,Microsoft</v>
      </c>
      <c r="I100" s="6">
        <f>IFERROR(__xludf.DUMMYFUNCTION("""COMPUTED_VALUE"""),54.55)</f>
        <v>54.55</v>
      </c>
      <c r="J100" s="6" t="str">
        <f>IFERROR(__xludf.DUMMYFUNCTION("""COMPUTED_VALUE"""),"算法")</f>
        <v>算法</v>
      </c>
    </row>
    <row r="101">
      <c r="A101" s="6">
        <f>IFERROR(__xludf.DUMMYFUNCTION("""COMPUTED_VALUE"""),97.0)</f>
        <v>97</v>
      </c>
      <c r="B101" s="53" t="str">
        <f>IFERROR(__xludf.DUMMYFUNCTION("""COMPUTED_VALUE"""),"Interleaving String")</f>
        <v>Interleaving String</v>
      </c>
      <c r="C101" s="6" t="str">
        <f>IFERROR(__xludf.DUMMYFUNCTION("""COMPUTED_VALUE"""),"Hard")</f>
        <v>Hard</v>
      </c>
      <c r="D101" s="6" t="str">
        <f>IFERROR(__xludf.DUMMYFUNCTION("""COMPUTED_VALUE"""),"Dynamic Programming,String")</f>
        <v>Dynamic Programming,String</v>
      </c>
      <c r="E101" s="6" t="str">
        <f>IFERROR(__xludf.DUMMYFUNCTION("""COMPUTED_VALUE"""),"VMware,Nvidia,Apple,Uber,Bloomberg,Amazon,Microsoft,Google")</f>
        <v>VMware,Nvidia,Apple,Uber,Bloomberg,Amazon,Microsoft,Google</v>
      </c>
      <c r="F101" s="6" t="str">
        <f>IFERROR(__xludf.DUMMYFUNCTION("""COMPUTED_VALUE"""),"Microsoft")</f>
        <v>Microsoft</v>
      </c>
      <c r="G101" s="6" t="str">
        <f>IFERROR(__xludf.DUMMYFUNCTION("""COMPUTED_VALUE"""),"Amazon,Apple,VMware,Microsoft")</f>
        <v>Amazon,Apple,VMware,Microsoft</v>
      </c>
      <c r="H101" s="6" t="str">
        <f>IFERROR(__xludf.DUMMYFUNCTION("""COMPUTED_VALUE"""),"Google,Bloomberg,Amazon,Apple,VMware,Microsoft")</f>
        <v>Google,Bloomberg,Amazon,Apple,VMware,Microsoft</v>
      </c>
      <c r="I101" s="6">
        <f>IFERROR(__xludf.DUMMYFUNCTION("""COMPUTED_VALUE"""),32.65)</f>
        <v>32.65</v>
      </c>
      <c r="J101" s="6" t="str">
        <f>IFERROR(__xludf.DUMMYFUNCTION("""COMPUTED_VALUE"""),"算法")</f>
        <v>算法</v>
      </c>
    </row>
    <row r="102">
      <c r="A102" s="6">
        <f>IFERROR(__xludf.DUMMYFUNCTION("""COMPUTED_VALUE"""),98.0)</f>
        <v>98</v>
      </c>
      <c r="B102" s="53" t="str">
        <f>IFERROR(__xludf.DUMMYFUNCTION("""COMPUTED_VALUE"""),"Validate Binary Search Tree")</f>
        <v>Validate Binary Search Tree</v>
      </c>
      <c r="C102" s="6" t="str">
        <f>IFERROR(__xludf.DUMMYFUNCTION("""COMPUTED_VALUE"""),"Medium")</f>
        <v>Medium</v>
      </c>
      <c r="D102" s="6" t="str">
        <f>IFERROR(__xludf.DUMMYFUNCTION("""COMPUTED_VALUE"""),"Recursion,Depth First Search,Tree")</f>
        <v>Recursion,Depth First Search,Tree</v>
      </c>
      <c r="E102" s="6" t="str">
        <f>IFERROR(__xludf.DUMMYFUNCTION("""COMPUTED_VALUE"""),"Qualtrics,Audible,ByteDance,Citadel,Zillow,Yahoo,Asana,TripAdvisor,Atlassian,Capital One,Salesforce,Visa,VMware,Walmart Labs,Oracle,Mathworks,Yandex,EBay,Apple,Uber,SAP,Bloomberg,Adobe,Facebook,Amazon,LinkedIn,Microsoft,Goldman Sachs,Google")</f>
        <v>Qualtrics,Audible,ByteDance,Citadel,Zillow,Yahoo,Asana,TripAdvisor,Atlassian,Capital One,Salesforce,Visa,VMware,Walmart Labs,Oracle,Mathworks,Yandex,EBay,Apple,Uber,SAP,Bloomberg,Adobe,Facebook,Amazon,LinkedIn,Microsoft,Goldman Sachs,Google</v>
      </c>
      <c r="F102" s="6" t="str">
        <f>IFERROR(__xludf.DUMMYFUNCTION("""COMPUTED_VALUE"""),"Bloomberg,Amazon,Microsoft,Facebook,Asana,Apple,Qualtrics,Zillow,Citadel,VMware,ByteDance,Oracle,Atlassian")</f>
        <v>Bloomberg,Amazon,Microsoft,Facebook,Asana,Apple,Qualtrics,Zillow,Citadel,VMware,ByteDance,Oracle,Atlassian</v>
      </c>
      <c r="G102" s="6" t="str">
        <f>IFERROR(__xludf.DUMMYFUNCTION("""COMPUTED_VALUE"""),"Google,Adobe,Yahoo,Walmart Labs,eBay,Bloomberg,Amazon,Microsoft,Facebook,Asana,Apple,Qualtrics,Zillow,Citadel,VMware,ByteDance,Oracle,Atlassian")</f>
        <v>Google,Adobe,Yahoo,Walmart Labs,eBay,Bloomberg,Amazon,Microsoft,Facebook,Asana,Apple,Qualtrics,Zillow,Citadel,VMware,ByteDance,Oracle,Atlassian</v>
      </c>
      <c r="H102" s="6" t="str">
        <f>IFERROR(__xludf.DUMMYFUNCTION("""COMPUTED_VALUE"""),"Yandex,Salesforce,Visa,Mathworks,Goldman Sachs,Audible,Google,Adobe,Yahoo,Walmart Labs,eBay,Bloomberg,Amazon,Microsoft,Facebook,Asana,Apple,Qualtrics,Zillow,Citadel,VMware,ByteDance,Oracle,Atlassian")</f>
        <v>Yandex,Salesforce,Visa,Mathworks,Goldman Sachs,Audible,Google,Adobe,Yahoo,Walmart Labs,eBay,Bloomberg,Amazon,Microsoft,Facebook,Asana,Apple,Qualtrics,Zillow,Citadel,VMware,ByteDance,Oracle,Atlassian</v>
      </c>
      <c r="I102" s="6">
        <f>IFERROR(__xludf.DUMMYFUNCTION("""COMPUTED_VALUE"""),28.84)</f>
        <v>28.84</v>
      </c>
      <c r="J102" s="6" t="str">
        <f>IFERROR(__xludf.DUMMYFUNCTION("""COMPUTED_VALUE"""),"算法")</f>
        <v>算法</v>
      </c>
    </row>
    <row r="103">
      <c r="A103" s="6">
        <f>IFERROR(__xludf.DUMMYFUNCTION("""COMPUTED_VALUE"""),99.0)</f>
        <v>99</v>
      </c>
      <c r="B103" s="53" t="str">
        <f>IFERROR(__xludf.DUMMYFUNCTION("""COMPUTED_VALUE"""),"Recover Binary Search Tree")</f>
        <v>Recover Binary Search Tree</v>
      </c>
      <c r="C103" s="6" t="str">
        <f>IFERROR(__xludf.DUMMYFUNCTION("""COMPUTED_VALUE"""),"Hard")</f>
        <v>Hard</v>
      </c>
      <c r="D103" s="6" t="str">
        <f>IFERROR(__xludf.DUMMYFUNCTION("""COMPUTED_VALUE"""),"Depth First Search,Tree")</f>
        <v>Depth First Search,Tree</v>
      </c>
      <c r="E103" s="6" t="str">
        <f>IFERROR(__xludf.DUMMYFUNCTION("""COMPUTED_VALUE"""),"ByteDance,VMware,Oracle,Uber,Bloomberg,Facebook,Amazon,Microsoft,Goldman Sachs,Google")</f>
        <v>ByteDance,VMware,Oracle,Uber,Bloomberg,Facebook,Amazon,Microsoft,Goldman Sachs,Google</v>
      </c>
      <c r="F103" s="6" t="str">
        <f>IFERROR(__xludf.DUMMYFUNCTION("""COMPUTED_VALUE"""),"Oracle,Microsoft,Amazon,Uber")</f>
        <v>Oracle,Microsoft,Amazon,Uber</v>
      </c>
      <c r="G103" s="6" t="str">
        <f>IFERROR(__xludf.DUMMYFUNCTION("""COMPUTED_VALUE"""),"Google,ByteDance,Oracle,Microsoft,Amazon,Uber")</f>
        <v>Google,ByteDance,Oracle,Microsoft,Amazon,Uber</v>
      </c>
      <c r="H103" s="6" t="str">
        <f>IFERROR(__xludf.DUMMYFUNCTION("""COMPUTED_VALUE"""),"Bloomberg,Goldman Sachs,VMware,Google,ByteDance,Oracle,Microsoft,Amazon,Uber")</f>
        <v>Bloomberg,Goldman Sachs,VMware,Google,ByteDance,Oracle,Microsoft,Amazon,Uber</v>
      </c>
      <c r="I103" s="6">
        <f>IFERROR(__xludf.DUMMYFUNCTION("""COMPUTED_VALUE"""),42.6)</f>
        <v>42.6</v>
      </c>
      <c r="J103" s="6" t="str">
        <f>IFERROR(__xludf.DUMMYFUNCTION("""COMPUTED_VALUE"""),"算法")</f>
        <v>算法</v>
      </c>
    </row>
    <row r="104">
      <c r="A104" s="6">
        <f>IFERROR(__xludf.DUMMYFUNCTION("""COMPUTED_VALUE"""),100.0)</f>
        <v>100</v>
      </c>
      <c r="B104" s="53" t="str">
        <f>IFERROR(__xludf.DUMMYFUNCTION("""COMPUTED_VALUE"""),"Same Tree")</f>
        <v>Same Tree</v>
      </c>
      <c r="C104" s="6" t="str">
        <f>IFERROR(__xludf.DUMMYFUNCTION("""COMPUTED_VALUE"""),"Easy")</f>
        <v>Easy</v>
      </c>
      <c r="D104" s="6" t="str">
        <f>IFERROR(__xludf.DUMMYFUNCTION("""COMPUTED_VALUE"""),"Depth First Search,Tree")</f>
        <v>Depth First Search,Tree</v>
      </c>
      <c r="E104" s="6" t="str">
        <f>IFERROR(__xludf.DUMMYFUNCTION("""COMPUTED_VALUE"""),"Apple,Bloomberg,Facebook,Amazon,LinkedIn,Microsoft,Google")</f>
        <v>Apple,Bloomberg,Facebook,Amazon,LinkedIn,Microsoft,Google</v>
      </c>
      <c r="F104" s="6" t="str">
        <f>IFERROR(__xludf.DUMMYFUNCTION("""COMPUTED_VALUE"""),"Amazon,Google,Microsoft,Apple")</f>
        <v>Amazon,Google,Microsoft,Apple</v>
      </c>
      <c r="G104" s="6" t="str">
        <f>IFERROR(__xludf.DUMMYFUNCTION("""COMPUTED_VALUE"""),"Facebook,Amazon,Google,Microsoft,Apple")</f>
        <v>Facebook,Amazon,Google,Microsoft,Apple</v>
      </c>
      <c r="H104" s="6" t="str">
        <f>IFERROR(__xludf.DUMMYFUNCTION("""COMPUTED_VALUE"""),"LinkedIn,Bloomberg,Facebook,Amazon,Google,Microsoft,Apple")</f>
        <v>LinkedIn,Bloomberg,Facebook,Amazon,Google,Microsoft,Apple</v>
      </c>
      <c r="I104" s="6">
        <f>IFERROR(__xludf.DUMMYFUNCTION("""COMPUTED_VALUE"""),54.18)</f>
        <v>54.18</v>
      </c>
      <c r="J104" s="6" t="str">
        <f>IFERROR(__xludf.DUMMYFUNCTION("""COMPUTED_VALUE"""),"算法")</f>
        <v>算法</v>
      </c>
    </row>
    <row r="105">
      <c r="A105" s="6">
        <f>IFERROR(__xludf.DUMMYFUNCTION("""COMPUTED_VALUE"""),101.0)</f>
        <v>101</v>
      </c>
      <c r="B105" s="53" t="str">
        <f>IFERROR(__xludf.DUMMYFUNCTION("""COMPUTED_VALUE"""),"Symmetric Tree")</f>
        <v>Symmetric Tree</v>
      </c>
      <c r="C105" s="6" t="str">
        <f>IFERROR(__xludf.DUMMYFUNCTION("""COMPUTED_VALUE"""),"Easy")</f>
        <v>Easy</v>
      </c>
      <c r="D105" s="6" t="str">
        <f>IFERROR(__xludf.DUMMYFUNCTION("""COMPUTED_VALUE"""),"Breadth First Search,Depth First Search,Tree")</f>
        <v>Breadth First Search,Depth First Search,Tree</v>
      </c>
      <c r="E105" s="6" t="str">
        <f>IFERROR(__xludf.DUMMYFUNCTION("""COMPUTED_VALUE"""),"Capital One,VMware,EBay,TripAdvisor,Atlassian,Audible,Salesforce,Visa,Twitter,Oracle,Yandex,Apple,Uber,SAP,Bloomberg,Adobe,Facebook,Amazon,LinkedIn,Microsoft,Alibaba,Google")</f>
        <v>Capital One,VMware,EBay,TripAdvisor,Atlassian,Audible,Salesforce,Visa,Twitter,Oracle,Yandex,Apple,Uber,SAP,Bloomberg,Adobe,Facebook,Amazon,LinkedIn,Microsoft,Alibaba,Google</v>
      </c>
      <c r="F105" s="6" t="str">
        <f>IFERROR(__xludf.DUMMYFUNCTION("""COMPUTED_VALUE"""),"Capital One,Amazon,Google,Yandex,Apple,Oracle")</f>
        <v>Capital One,Amazon,Google,Yandex,Apple,Oracle</v>
      </c>
      <c r="G105" s="6" t="str">
        <f>IFERROR(__xludf.DUMMYFUNCTION("""COMPUTED_VALUE"""),"Facebook,Bloomberg,eBay,Adobe,Capital One,Amazon,Google,Yandex,Apple,Oracle")</f>
        <v>Facebook,Bloomberg,eBay,Adobe,Capital One,Amazon,Google,Yandex,Apple,Oracle</v>
      </c>
      <c r="H105" s="6" t="str">
        <f>IFERROR(__xludf.DUMMYFUNCTION("""COMPUTED_VALUE"""),"LinkedIn,Microsoft,Uber,Atlassian,Twitter,Alibaba,VMware,SAP,Audible,Facebook,Bloomberg,eBay,Adobe,Capital One,Amazon,Google,Yandex,Apple,Oracle")</f>
        <v>LinkedIn,Microsoft,Uber,Atlassian,Twitter,Alibaba,VMware,SAP,Audible,Facebook,Bloomberg,eBay,Adobe,Capital One,Amazon,Google,Yandex,Apple,Oracle</v>
      </c>
      <c r="I105" s="6">
        <f>IFERROR(__xludf.DUMMYFUNCTION("""COMPUTED_VALUE"""),48.28)</f>
        <v>48.28</v>
      </c>
      <c r="J105" s="6" t="str">
        <f>IFERROR(__xludf.DUMMYFUNCTION("""COMPUTED_VALUE"""),"算法")</f>
        <v>算法</v>
      </c>
    </row>
    <row r="106">
      <c r="A106" s="6">
        <f>IFERROR(__xludf.DUMMYFUNCTION("""COMPUTED_VALUE"""),102.0)</f>
        <v>102</v>
      </c>
      <c r="B106" s="53" t="str">
        <f>IFERROR(__xludf.DUMMYFUNCTION("""COMPUTED_VALUE"""),"Binary Tree Level Order Traversal")</f>
        <v>Binary Tree Level Order Traversal</v>
      </c>
      <c r="C106" s="6" t="str">
        <f>IFERROR(__xludf.DUMMYFUNCTION("""COMPUTED_VALUE"""),"Medium")</f>
        <v>Medium</v>
      </c>
      <c r="D106" s="6" t="str">
        <f>IFERROR(__xludf.DUMMYFUNCTION("""COMPUTED_VALUE"""),"Breadth First Search,Tree")</f>
        <v>Breadth First Search,Tree</v>
      </c>
      <c r="E106" s="6" t="str">
        <f>IFERROR(__xludf.DUMMYFUNCTION("""COMPUTED_VALUE"""),"Visa,Paypal,Atlassian,VMware,Citadel,Walmart Labs,Expedia,Oracle,Cisco,Mathworks,EBay,Apple,Uber,Yahoo,SAP,Bloomberg,Adobe,Facebook,Amazon,LinkedIn,Microsoft,Alibaba,Google")</f>
        <v>Visa,Paypal,Atlassian,VMware,Citadel,Walmart Labs,Expedia,Oracle,Cisco,Mathworks,EBay,Apple,Uber,Yahoo,SAP,Bloomberg,Adobe,Facebook,Amazon,LinkedIn,Microsoft,Alibaba,Google</v>
      </c>
      <c r="F106" s="6" t="str">
        <f>IFERROR(__xludf.DUMMYFUNCTION("""COMPUTED_VALUE"""),"Bloomberg,Amazon,Facebook,Microsoft,LinkedIn,Adobe,Paypal,Uber,Apple,Yahoo")</f>
        <v>Bloomberg,Amazon,Facebook,Microsoft,LinkedIn,Adobe,Paypal,Uber,Apple,Yahoo</v>
      </c>
      <c r="G106" s="6" t="str">
        <f>IFERROR(__xludf.DUMMYFUNCTION("""COMPUTED_VALUE"""),"Google,eBay,Cisco,Atlassian,Bloomberg,Amazon,Facebook,Microsoft,LinkedIn,Adobe,Paypal,Uber,Apple,Yahoo")</f>
        <v>Google,eBay,Cisco,Atlassian,Bloomberg,Amazon,Facebook,Microsoft,LinkedIn,Adobe,Paypal,Uber,Apple,Yahoo</v>
      </c>
      <c r="H106" s="6" t="str">
        <f>IFERROR(__xludf.DUMMYFUNCTION("""COMPUTED_VALUE"""),"VMware,SAP,Visa,Walmart Labs,Expedia,Google,eBay,Cisco,Atlassian,Bloomberg,Amazon,Facebook,Microsoft,LinkedIn,Adobe,Paypal,Uber,Apple,Yahoo")</f>
        <v>VMware,SAP,Visa,Walmart Labs,Expedia,Google,eBay,Cisco,Atlassian,Bloomberg,Amazon,Facebook,Microsoft,LinkedIn,Adobe,Paypal,Uber,Apple,Yahoo</v>
      </c>
      <c r="I106" s="6">
        <f>IFERROR(__xludf.DUMMYFUNCTION("""COMPUTED_VALUE"""),56.8)</f>
        <v>56.8</v>
      </c>
      <c r="J106" s="6" t="str">
        <f>IFERROR(__xludf.DUMMYFUNCTION("""COMPUTED_VALUE"""),"算法")</f>
        <v>算法</v>
      </c>
    </row>
    <row r="107">
      <c r="A107" s="6">
        <f>IFERROR(__xludf.DUMMYFUNCTION("""COMPUTED_VALUE"""),103.0)</f>
        <v>103</v>
      </c>
      <c r="B107" s="53" t="str">
        <f>IFERROR(__xludf.DUMMYFUNCTION("""COMPUTED_VALUE"""),"Binary Tree Zigzag Level Order Traversal")</f>
        <v>Binary Tree Zigzag Level Order Traversal</v>
      </c>
      <c r="C107" s="6" t="str">
        <f>IFERROR(__xludf.DUMMYFUNCTION("""COMPUTED_VALUE"""),"Medium")</f>
        <v>Medium</v>
      </c>
      <c r="D107" s="6" t="str">
        <f>IFERROR(__xludf.DUMMYFUNCTION("""COMPUTED_VALUE"""),"Breadth First Search,Tree,Stack")</f>
        <v>Breadth First Search,Tree,Stack</v>
      </c>
      <c r="E107" s="6" t="str">
        <f>IFERROR(__xludf.DUMMYFUNCTION("""COMPUTED_VALUE"""),"Flipkart,VMware,Adobe,Goldman Sachs,Qualtrics,ByteDance,Walmart Labs,ServiceNow,Oracle,EBay,Apple,Uber,Yahoo,Samsung,Bloomberg,Facebook,Amazon,LinkedIn,Microsoft,Google")</f>
        <v>Flipkart,VMware,Adobe,Goldman Sachs,Qualtrics,ByteDance,Walmart Labs,ServiceNow,Oracle,EBay,Apple,Uber,Yahoo,Samsung,Bloomberg,Facebook,Amazon,LinkedIn,Microsoft,Google</v>
      </c>
      <c r="F107" s="6" t="str">
        <f>IFERROR(__xludf.DUMMYFUNCTION("""COMPUTED_VALUE"""),"Amazon,Microsoft,Bloomberg,Apple,Qualtrics,Adobe,Facebook,Google,eBay,Goldman Sachs,ServiceNow,Oracle")</f>
        <v>Amazon,Microsoft,Bloomberg,Apple,Qualtrics,Adobe,Facebook,Google,eBay,Goldman Sachs,ServiceNow,Oracle</v>
      </c>
      <c r="G107" s="6" t="str">
        <f>IFERROR(__xludf.DUMMYFUNCTION("""COMPUTED_VALUE"""),"ByteDance,Uber,VMware,Flipkart,Amazon,Microsoft,Bloomberg,Apple,Qualtrics,Adobe,Facebook,Google,eBay,Goldman Sachs,ServiceNow,Oracle")</f>
        <v>ByteDance,Uber,VMware,Flipkart,Amazon,Microsoft,Bloomberg,Apple,Qualtrics,Adobe,Facebook,Google,eBay,Goldman Sachs,ServiceNow,Oracle</v>
      </c>
      <c r="H107" s="6" t="str">
        <f>IFERROR(__xludf.DUMMYFUNCTION("""COMPUTED_VALUE"""),"LinkedIn,Walmart Labs,Samsung,ByteDance,Uber,VMware,Flipkart,Amazon,Microsoft,Bloomberg,Apple,Qualtrics,Adobe,Facebook,Google,eBay,Goldman Sachs,ServiceNow,Oracle")</f>
        <v>LinkedIn,Walmart Labs,Samsung,ByteDance,Uber,VMware,Flipkart,Amazon,Microsoft,Bloomberg,Apple,Qualtrics,Adobe,Facebook,Google,eBay,Goldman Sachs,ServiceNow,Oracle</v>
      </c>
      <c r="I107" s="6">
        <f>IFERROR(__xludf.DUMMYFUNCTION("""COMPUTED_VALUE"""),50.28)</f>
        <v>50.28</v>
      </c>
      <c r="J107" s="6" t="str">
        <f>IFERROR(__xludf.DUMMYFUNCTION("""COMPUTED_VALUE"""),"算法")</f>
        <v>算法</v>
      </c>
    </row>
    <row r="108">
      <c r="A108" s="6">
        <f>IFERROR(__xludf.DUMMYFUNCTION("""COMPUTED_VALUE"""),104.0)</f>
        <v>104</v>
      </c>
      <c r="B108" s="53" t="str">
        <f>IFERROR(__xludf.DUMMYFUNCTION("""COMPUTED_VALUE"""),"Maximum Depth of Binary Tree")</f>
        <v>Maximum Depth of Binary Tree</v>
      </c>
      <c r="C108" s="6" t="str">
        <f>IFERROR(__xludf.DUMMYFUNCTION("""COMPUTED_VALUE"""),"Easy")</f>
        <v>Easy</v>
      </c>
      <c r="D108" s="6" t="str">
        <f>IFERROR(__xludf.DUMMYFUNCTION("""COMPUTED_VALUE"""),"Recursion,Depth First Search,Tree")</f>
        <v>Recursion,Depth First Search,Tree</v>
      </c>
      <c r="E108" s="6" t="str">
        <f>IFERROR(__xludf.DUMMYFUNCTION("""COMPUTED_VALUE"""),"Intel,ByteDance,Paypal,Apple,Uber,Yahoo,SAP,Bloomberg,Adobe,Facebook,Amazon,LinkedIn,Microsoft,Goldman Sachs,Google")</f>
        <v>Intel,ByteDance,Paypal,Apple,Uber,Yahoo,SAP,Bloomberg,Adobe,Facebook,Amazon,LinkedIn,Microsoft,Goldman Sachs,Google</v>
      </c>
      <c r="F108" s="6" t="str">
        <f>IFERROR(__xludf.DUMMYFUNCTION("""COMPUTED_VALUE"""),"LinkedIn,Amazon,Microsoft,Facebook,Intel")</f>
        <v>LinkedIn,Amazon,Microsoft,Facebook,Intel</v>
      </c>
      <c r="G108" s="6" t="str">
        <f>IFERROR(__xludf.DUMMYFUNCTION("""COMPUTED_VALUE"""),"Apple,Adobe,Google,Uber,LinkedIn,Amazon,Microsoft,Facebook,Intel")</f>
        <v>Apple,Adobe,Google,Uber,LinkedIn,Amazon,Microsoft,Facebook,Intel</v>
      </c>
      <c r="H108" s="6" t="str">
        <f>IFERROR(__xludf.DUMMYFUNCTION("""COMPUTED_VALUE"""),"Bloomberg,Goldman Sachs,SAP,Yahoo,Apple,Adobe,Google,Uber,LinkedIn,Amazon,Microsoft,Facebook,Intel")</f>
        <v>Bloomberg,Goldman Sachs,SAP,Yahoo,Apple,Adobe,Google,Uber,LinkedIn,Amazon,Microsoft,Facebook,Intel</v>
      </c>
      <c r="I108" s="6">
        <f>IFERROR(__xludf.DUMMYFUNCTION("""COMPUTED_VALUE"""),68.19)</f>
        <v>68.19</v>
      </c>
      <c r="J108" s="6" t="str">
        <f>IFERROR(__xludf.DUMMYFUNCTION("""COMPUTED_VALUE"""),"算法")</f>
        <v>算法</v>
      </c>
    </row>
    <row r="109">
      <c r="A109" s="6">
        <f>IFERROR(__xludf.DUMMYFUNCTION("""COMPUTED_VALUE"""),105.0)</f>
        <v>105</v>
      </c>
      <c r="B109" s="53" t="str">
        <f>IFERROR(__xludf.DUMMYFUNCTION("""COMPUTED_VALUE"""),"Construct Binary Tree from Preorder and Inorder Traversal")</f>
        <v>Construct Binary Tree from Preorder and Inorder Traversal</v>
      </c>
      <c r="C109" s="6" t="str">
        <f>IFERROR(__xludf.DUMMYFUNCTION("""COMPUTED_VALUE"""),"Medium")</f>
        <v>Medium</v>
      </c>
      <c r="D109" s="6" t="str">
        <f>IFERROR(__xludf.DUMMYFUNCTION("""COMPUTED_VALUE"""),"Depth First Search,Tree,Array")</f>
        <v>Depth First Search,Tree,Array</v>
      </c>
      <c r="E109" s="6" t="str">
        <f>IFERROR(__xludf.DUMMYFUNCTION("""COMPUTED_VALUE"""),"Salesforce,Uber,Square,ByteDance,Citadel,Twitter,Oracle,Apple,Yahoo,Bloomberg,Adobe,Facebook,Amazon,Microsoft,Google")</f>
        <v>Salesforce,Uber,Square,ByteDance,Citadel,Twitter,Oracle,Apple,Yahoo,Bloomberg,Adobe,Facebook,Amazon,Microsoft,Google</v>
      </c>
      <c r="F109" s="6" t="str">
        <f>IFERROR(__xludf.DUMMYFUNCTION("""COMPUTED_VALUE"""),"Amazon,Microsoft,ByteDance,Facebook,Citadel,Oracle,Bloomberg")</f>
        <v>Amazon,Microsoft,ByteDance,Facebook,Citadel,Oracle,Bloomberg</v>
      </c>
      <c r="G109" s="6" t="str">
        <f>IFERROR(__xludf.DUMMYFUNCTION("""COMPUTED_VALUE"""),"Google,Apple,Amazon,Microsoft,ByteDance,Facebook,Citadel,Oracle,Bloomberg")</f>
        <v>Google,Apple,Amazon,Microsoft,ByteDance,Facebook,Citadel,Oracle,Bloomberg</v>
      </c>
      <c r="H109" s="6" t="str">
        <f>IFERROR(__xludf.DUMMYFUNCTION("""COMPUTED_VALUE"""),"Square,Salesforce,Twitter,Uber,Google,Apple,Amazon,Microsoft,ByteDance,Facebook,Citadel,Oracle,Bloomberg")</f>
        <v>Square,Salesforce,Twitter,Uber,Google,Apple,Amazon,Microsoft,ByteDance,Facebook,Citadel,Oracle,Bloomberg</v>
      </c>
      <c r="I109" s="6">
        <f>IFERROR(__xludf.DUMMYFUNCTION("""COMPUTED_VALUE"""),52.1)</f>
        <v>52.1</v>
      </c>
      <c r="J109" s="6" t="str">
        <f>IFERROR(__xludf.DUMMYFUNCTION("""COMPUTED_VALUE"""),"算法")</f>
        <v>算法</v>
      </c>
    </row>
    <row r="110">
      <c r="A110" s="6">
        <f>IFERROR(__xludf.DUMMYFUNCTION("""COMPUTED_VALUE"""),106.0)</f>
        <v>106</v>
      </c>
      <c r="B110" s="53" t="str">
        <f>IFERROR(__xludf.DUMMYFUNCTION("""COMPUTED_VALUE"""),"Construct Binary Tree from Inorder and Postorder Traversal")</f>
        <v>Construct Binary Tree from Inorder and Postorder Traversal</v>
      </c>
      <c r="C110" s="6" t="str">
        <f>IFERROR(__xludf.DUMMYFUNCTION("""COMPUTED_VALUE"""),"Medium")</f>
        <v>Medium</v>
      </c>
      <c r="D110" s="6" t="str">
        <f>IFERROR(__xludf.DUMMYFUNCTION("""COMPUTED_VALUE"""),"Depth First Search,Tree,Array")</f>
        <v>Depth First Search,Tree,Array</v>
      </c>
      <c r="E110" s="6" t="str">
        <f>IFERROR(__xludf.DUMMYFUNCTION("""COMPUTED_VALUE"""),"Google,Twitter,Mathworks,Bloomberg,Facebook,Amazon,Microsoft")</f>
        <v>Google,Twitter,Mathworks,Bloomberg,Facebook,Amazon,Microsoft</v>
      </c>
      <c r="F110" s="6" t="str">
        <f>IFERROR(__xludf.DUMMYFUNCTION("""COMPUTED_VALUE"""),"Bloomberg,Microsoft")</f>
        <v>Bloomberg,Microsoft</v>
      </c>
      <c r="G110" s="6" t="str">
        <f>IFERROR(__xludf.DUMMYFUNCTION("""COMPUTED_VALUE"""),"Amazon,Bloomberg,Microsoft")</f>
        <v>Amazon,Bloomberg,Microsoft</v>
      </c>
      <c r="H110" s="6" t="str">
        <f>IFERROR(__xludf.DUMMYFUNCTION("""COMPUTED_VALUE"""),"Facebook,Google,Mathworks,Amazon,Bloomberg,Microsoft")</f>
        <v>Facebook,Google,Mathworks,Amazon,Bloomberg,Microsoft</v>
      </c>
      <c r="I110" s="6">
        <f>IFERROR(__xludf.DUMMYFUNCTION("""COMPUTED_VALUE"""),49.89)</f>
        <v>49.89</v>
      </c>
      <c r="J110" s="6" t="str">
        <f>IFERROR(__xludf.DUMMYFUNCTION("""COMPUTED_VALUE"""),"算法")</f>
        <v>算法</v>
      </c>
    </row>
    <row r="111">
      <c r="A111" s="6">
        <f>IFERROR(__xludf.DUMMYFUNCTION("""COMPUTED_VALUE"""),108.0)</f>
        <v>108</v>
      </c>
      <c r="B111" s="53" t="str">
        <f>IFERROR(__xludf.DUMMYFUNCTION("""COMPUTED_VALUE"""),"Convert Sorted Array to Binary Search Tree")</f>
        <v>Convert Sorted Array to Binary Search Tree</v>
      </c>
      <c r="C111" s="6" t="str">
        <f>IFERROR(__xludf.DUMMYFUNCTION("""COMPUTED_VALUE"""),"Easy")</f>
        <v>Easy</v>
      </c>
      <c r="D111" s="6" t="str">
        <f>IFERROR(__xludf.DUMMYFUNCTION("""COMPUTED_VALUE"""),"Depth First Search,Tree")</f>
        <v>Depth First Search,Tree</v>
      </c>
      <c r="E111" s="6" t="str">
        <f>IFERROR(__xludf.DUMMYFUNCTION("""COMPUTED_VALUE"""),"VMware,Spotify,Adobe,Oracle,Cisco,Apple,Airbnb,Yahoo,Bloomberg,Facebook,Amazon,Microsoft,Google")</f>
        <v>VMware,Spotify,Adobe,Oracle,Cisco,Apple,Airbnb,Yahoo,Bloomberg,Facebook,Amazon,Microsoft,Google</v>
      </c>
      <c r="F111" s="6" t="str">
        <f>IFERROR(__xludf.DUMMYFUNCTION("""COMPUTED_VALUE"""),"Amazon,Adobe,Microsoft,Google,Bloomberg,Apple,Facebook")</f>
        <v>Amazon,Adobe,Microsoft,Google,Bloomberg,Apple,Facebook</v>
      </c>
      <c r="G111" s="6" t="str">
        <f>IFERROR(__xludf.DUMMYFUNCTION("""COMPUTED_VALUE"""),"VMware,Yahoo,Amazon,Adobe,Microsoft,Google,Bloomberg,Apple,Facebook")</f>
        <v>VMware,Yahoo,Amazon,Adobe,Microsoft,Google,Bloomberg,Apple,Facebook</v>
      </c>
      <c r="H111" s="6" t="str">
        <f>IFERROR(__xludf.DUMMYFUNCTION("""COMPUTED_VALUE"""),"Cisco,Oracle,Spotify,Airbnb,VMware,Yahoo,Amazon,Adobe,Microsoft,Google,Bloomberg,Apple,Facebook")</f>
        <v>Cisco,Oracle,Spotify,Airbnb,VMware,Yahoo,Amazon,Adobe,Microsoft,Google,Bloomberg,Apple,Facebook</v>
      </c>
      <c r="I111" s="6">
        <f>IFERROR(__xludf.DUMMYFUNCTION("""COMPUTED_VALUE"""),60.66)</f>
        <v>60.66</v>
      </c>
      <c r="J111" s="6" t="str">
        <f>IFERROR(__xludf.DUMMYFUNCTION("""COMPUTED_VALUE"""),"算法")</f>
        <v>算法</v>
      </c>
    </row>
    <row r="112">
      <c r="A112" s="6">
        <f>IFERROR(__xludf.DUMMYFUNCTION("""COMPUTED_VALUE"""),109.0)</f>
        <v>109</v>
      </c>
      <c r="B112" s="53" t="str">
        <f>IFERROR(__xludf.DUMMYFUNCTION("""COMPUTED_VALUE"""),"Convert Sorted List to Binary Search Tree")</f>
        <v>Convert Sorted List to Binary Search Tree</v>
      </c>
      <c r="C112" s="6" t="str">
        <f>IFERROR(__xludf.DUMMYFUNCTION("""COMPUTED_VALUE"""),"Medium")</f>
        <v>Medium</v>
      </c>
      <c r="D112" s="6" t="str">
        <f>IFERROR(__xludf.DUMMYFUNCTION("""COMPUTED_VALUE"""),"Depth First Search,Linked List")</f>
        <v>Depth First Search,Linked List</v>
      </c>
      <c r="E112" s="6" t="str">
        <f>IFERROR(__xludf.DUMMYFUNCTION("""COMPUTED_VALUE"""),"Zenefits,VMware,Oracle,Lyft,Bloomberg,Facebook,Amazon,Microsoft,Google")</f>
        <v>Zenefits,VMware,Oracle,Lyft,Bloomberg,Facebook,Amazon,Microsoft,Google</v>
      </c>
      <c r="F112" s="6" t="str">
        <f>IFERROR(__xludf.DUMMYFUNCTION("""COMPUTED_VALUE"""),"Facebook,Amazon,Oracle,Microsoft")</f>
        <v>Facebook,Amazon,Oracle,Microsoft</v>
      </c>
      <c r="G112" s="6" t="str">
        <f>IFERROR(__xludf.DUMMYFUNCTION("""COMPUTED_VALUE"""),"Google,Lyft,Facebook,Amazon,Oracle,Microsoft")</f>
        <v>Google,Lyft,Facebook,Amazon,Oracle,Microsoft</v>
      </c>
      <c r="H112" s="6" t="str">
        <f>IFERROR(__xludf.DUMMYFUNCTION("""COMPUTED_VALUE"""),"Bloomberg,Zenefits,Google,Lyft,Facebook,Amazon,Oracle,Microsoft")</f>
        <v>Bloomberg,Zenefits,Google,Lyft,Facebook,Amazon,Oracle,Microsoft</v>
      </c>
      <c r="I112" s="6">
        <f>IFERROR(__xludf.DUMMYFUNCTION("""COMPUTED_VALUE"""),50.42)</f>
        <v>50.42</v>
      </c>
      <c r="J112" s="6" t="str">
        <f>IFERROR(__xludf.DUMMYFUNCTION("""COMPUTED_VALUE"""),"算法")</f>
        <v>算法</v>
      </c>
    </row>
    <row r="113">
      <c r="A113" s="6">
        <f>IFERROR(__xludf.DUMMYFUNCTION("""COMPUTED_VALUE"""),110.0)</f>
        <v>110</v>
      </c>
      <c r="B113" s="53" t="str">
        <f>IFERROR(__xludf.DUMMYFUNCTION("""COMPUTED_VALUE"""),"Balanced Binary Tree")</f>
        <v>Balanced Binary Tree</v>
      </c>
      <c r="C113" s="6" t="str">
        <f>IFERROR(__xludf.DUMMYFUNCTION("""COMPUTED_VALUE"""),"Easy")</f>
        <v>Easy</v>
      </c>
      <c r="D113" s="6" t="str">
        <f>IFERROR(__xludf.DUMMYFUNCTION("""COMPUTED_VALUE"""),"Recursion,Depth First Search,Tree")</f>
        <v>Recursion,Depth First Search,Tree</v>
      </c>
      <c r="E113" s="6" t="str">
        <f>IFERROR(__xludf.DUMMYFUNCTION("""COMPUTED_VALUE"""),"ByteDance,VMware,Cisco,Apple,Bloomberg,Adobe,Facebook,Amazon,Microsoft,Google")</f>
        <v>ByteDance,VMware,Cisco,Apple,Bloomberg,Adobe,Facebook,Amazon,Microsoft,Google</v>
      </c>
      <c r="F113" s="6" t="str">
        <f>IFERROR(__xludf.DUMMYFUNCTION("""COMPUTED_VALUE"""),"Amazon,Google")</f>
        <v>Amazon,Google</v>
      </c>
      <c r="G113" s="6" t="str">
        <f>IFERROR(__xludf.DUMMYFUNCTION("""COMPUTED_VALUE"""),"Microsoft,Bloomberg,ByteDance,Amazon,Google")</f>
        <v>Microsoft,Bloomberg,ByteDance,Amazon,Google</v>
      </c>
      <c r="H113" s="6" t="str">
        <f>IFERROR(__xludf.DUMMYFUNCTION("""COMPUTED_VALUE"""),"Facebook,Adobe,VMware,Apple,Microsoft,Bloomberg,ByteDance,Amazon,Google")</f>
        <v>Facebook,Adobe,VMware,Apple,Microsoft,Bloomberg,ByteDance,Amazon,Google</v>
      </c>
      <c r="I113" s="6">
        <f>IFERROR(__xludf.DUMMYFUNCTION("""COMPUTED_VALUE"""),44.77)</f>
        <v>44.77</v>
      </c>
      <c r="J113" s="6" t="str">
        <f>IFERROR(__xludf.DUMMYFUNCTION("""COMPUTED_VALUE"""),"算法")</f>
        <v>算法</v>
      </c>
    </row>
    <row r="114">
      <c r="A114" s="6">
        <f>IFERROR(__xludf.DUMMYFUNCTION("""COMPUTED_VALUE"""),111.0)</f>
        <v>111</v>
      </c>
      <c r="B114" s="53" t="str">
        <f>IFERROR(__xludf.DUMMYFUNCTION("""COMPUTED_VALUE"""),"Minimum Depth of Binary Tree")</f>
        <v>Minimum Depth of Binary Tree</v>
      </c>
      <c r="C114" s="6" t="str">
        <f>IFERROR(__xludf.DUMMYFUNCTION("""COMPUTED_VALUE"""),"Easy")</f>
        <v>Easy</v>
      </c>
      <c r="D114" s="6" t="str">
        <f>IFERROR(__xludf.DUMMYFUNCTION("""COMPUTED_VALUE"""),"Breadth First Search,Depth First Search,Tree")</f>
        <v>Breadth First Search,Depth First Search,Tree</v>
      </c>
      <c r="E114" s="6" t="str">
        <f>IFERROR(__xludf.DUMMYFUNCTION("""COMPUTED_VALUE"""),"Adobe,Goldman Sachs,Google,Apple,Facebook,Amazon,Microsoft")</f>
        <v>Adobe,Goldman Sachs,Google,Apple,Facebook,Amazon,Microsoft</v>
      </c>
      <c r="F114" s="6" t="str">
        <f>IFERROR(__xludf.DUMMYFUNCTION("""COMPUTED_VALUE"""),"Amazon,Facebook,Adobe")</f>
        <v>Amazon,Facebook,Adobe</v>
      </c>
      <c r="G114" s="6" t="str">
        <f>IFERROR(__xludf.DUMMYFUNCTION("""COMPUTED_VALUE"""),"Google,Apple,Amazon,Facebook,Adobe")</f>
        <v>Google,Apple,Amazon,Facebook,Adobe</v>
      </c>
      <c r="H114" s="6" t="str">
        <f>IFERROR(__xludf.DUMMYFUNCTION("""COMPUTED_VALUE"""),"Goldman Sachs,Google,Apple,Amazon,Facebook,Adobe")</f>
        <v>Goldman Sachs,Google,Apple,Amazon,Facebook,Adobe</v>
      </c>
      <c r="I114" s="6">
        <f>IFERROR(__xludf.DUMMYFUNCTION("""COMPUTED_VALUE"""),39.67)</f>
        <v>39.67</v>
      </c>
      <c r="J114" s="6" t="str">
        <f>IFERROR(__xludf.DUMMYFUNCTION("""COMPUTED_VALUE"""),"算法")</f>
        <v>算法</v>
      </c>
    </row>
    <row r="115">
      <c r="A115" s="6">
        <f>IFERROR(__xludf.DUMMYFUNCTION("""COMPUTED_VALUE"""),112.0)</f>
        <v>112</v>
      </c>
      <c r="B115" s="53" t="str">
        <f>IFERROR(__xludf.DUMMYFUNCTION("""COMPUTED_VALUE"""),"Path Sum")</f>
        <v>Path Sum</v>
      </c>
      <c r="C115" s="6" t="str">
        <f>IFERROR(__xludf.DUMMYFUNCTION("""COMPUTED_VALUE"""),"Easy")</f>
        <v>Easy</v>
      </c>
      <c r="D115" s="6" t="str">
        <f>IFERROR(__xludf.DUMMYFUNCTION("""COMPUTED_VALUE"""),"Depth First Search,Tree")</f>
        <v>Depth First Search,Tree</v>
      </c>
      <c r="E115" s="6" t="str">
        <f>IFERROR(__xludf.DUMMYFUNCTION("""COMPUTED_VALUE"""),"Wish,ByteDance,SAP,Google,Zillow,Oracle,Apple,Yahoo,Bloomberg,Adobe,Facebook,Amazon,Microsoft")</f>
        <v>Wish,ByteDance,SAP,Google,Zillow,Oracle,Apple,Yahoo,Bloomberg,Adobe,Facebook,Amazon,Microsoft</v>
      </c>
      <c r="F115" s="6" t="str">
        <f>IFERROR(__xludf.DUMMYFUNCTION("""COMPUTED_VALUE"""),"Amazon,Facebook,Apple,Microsoft,Oracle,ByteDance")</f>
        <v>Amazon,Facebook,Apple,Microsoft,Oracle,ByteDance</v>
      </c>
      <c r="G115" s="6" t="str">
        <f>IFERROR(__xludf.DUMMYFUNCTION("""COMPUTED_VALUE"""),"Bloomberg,SAP,Amazon,Facebook,Apple,Microsoft,Oracle,ByteDance")</f>
        <v>Bloomberg,SAP,Amazon,Facebook,Apple,Microsoft,Oracle,ByteDance</v>
      </c>
      <c r="H115" s="6" t="str">
        <f>IFERROR(__xludf.DUMMYFUNCTION("""COMPUTED_VALUE"""),"Adobe,Google,Zillow,Wish,Bloomberg,SAP,Amazon,Facebook,Apple,Microsoft,Oracle,ByteDance")</f>
        <v>Adobe,Google,Zillow,Wish,Bloomberg,SAP,Amazon,Facebook,Apple,Microsoft,Oracle,ByteDance</v>
      </c>
      <c r="I115" s="6">
        <f>IFERROR(__xludf.DUMMYFUNCTION("""COMPUTED_VALUE"""),42.53)</f>
        <v>42.53</v>
      </c>
      <c r="J115" s="6" t="str">
        <f>IFERROR(__xludf.DUMMYFUNCTION("""COMPUTED_VALUE"""),"算法")</f>
        <v>算法</v>
      </c>
    </row>
    <row r="116">
      <c r="A116" s="6">
        <f>IFERROR(__xludf.DUMMYFUNCTION("""COMPUTED_VALUE"""),113.0)</f>
        <v>113</v>
      </c>
      <c r="B116" s="53" t="str">
        <f>IFERROR(__xludf.DUMMYFUNCTION("""COMPUTED_VALUE"""),"Path Sum II")</f>
        <v>Path Sum II</v>
      </c>
      <c r="C116" s="6" t="str">
        <f>IFERROR(__xludf.DUMMYFUNCTION("""COMPUTED_VALUE"""),"Medium")</f>
        <v>Medium</v>
      </c>
      <c r="D116" s="6" t="str">
        <f>IFERROR(__xludf.DUMMYFUNCTION("""COMPUTED_VALUE"""),"Depth First Search,Tree")</f>
        <v>Depth First Search,Tree</v>
      </c>
      <c r="E116" s="6" t="str">
        <f>IFERROR(__xludf.DUMMYFUNCTION("""COMPUTED_VALUE"""),"ByteDance,VMware,Quora,Zillow,Oracle,Baidu,Apple,Bloomberg,Adobe,Facebook,Amazon,LinkedIn,Microsoft,Google")</f>
        <v>ByteDance,VMware,Quora,Zillow,Oracle,Baidu,Apple,Bloomberg,Adobe,Facebook,Amazon,LinkedIn,Microsoft,Google</v>
      </c>
      <c r="F116" s="6" t="str">
        <f>IFERROR(__xludf.DUMMYFUNCTION("""COMPUTED_VALUE"""),"Amazon,Facebook,Microsoft,Zillow")</f>
        <v>Amazon,Facebook,Microsoft,Zillow</v>
      </c>
      <c r="G116" s="6" t="str">
        <f>IFERROR(__xludf.DUMMYFUNCTION("""COMPUTED_VALUE"""),"Adobe,Apple,Oracle,Google,Amazon,Facebook,Microsoft,Zillow")</f>
        <v>Adobe,Apple,Oracle,Google,Amazon,Facebook,Microsoft,Zillow</v>
      </c>
      <c r="H116" s="6" t="str">
        <f>IFERROR(__xludf.DUMMYFUNCTION("""COMPUTED_VALUE"""),"Quora,Baidu,VMware,ByteDance,Bloomberg,Adobe,Apple,Oracle,Google,Amazon,Facebook,Microsoft,Zillow")</f>
        <v>Quora,Baidu,VMware,ByteDance,Bloomberg,Adobe,Apple,Oracle,Google,Amazon,Facebook,Microsoft,Zillow</v>
      </c>
      <c r="I116" s="6">
        <f>IFERROR(__xludf.DUMMYFUNCTION("""COMPUTED_VALUE"""),49.3)</f>
        <v>49.3</v>
      </c>
      <c r="J116" s="6" t="str">
        <f>IFERROR(__xludf.DUMMYFUNCTION("""COMPUTED_VALUE"""),"算法")</f>
        <v>算法</v>
      </c>
    </row>
    <row r="117">
      <c r="A117" s="6">
        <f>IFERROR(__xludf.DUMMYFUNCTION("""COMPUTED_VALUE"""),114.0)</f>
        <v>114</v>
      </c>
      <c r="B117" s="53" t="str">
        <f>IFERROR(__xludf.DUMMYFUNCTION("""COMPUTED_VALUE"""),"Flatten Binary Tree to Linked List")</f>
        <v>Flatten Binary Tree to Linked List</v>
      </c>
      <c r="C117" s="6" t="str">
        <f>IFERROR(__xludf.DUMMYFUNCTION("""COMPUTED_VALUE"""),"Medium")</f>
        <v>Medium</v>
      </c>
      <c r="D117" s="6" t="str">
        <f>IFERROR(__xludf.DUMMYFUNCTION("""COMPUTED_VALUE"""),"Depth First Search,Tree")</f>
        <v>Depth First Search,Tree</v>
      </c>
      <c r="E117" s="6" t="str">
        <f>IFERROR(__xludf.DUMMYFUNCTION("""COMPUTED_VALUE"""),"ByteDance,Databricks,Coupang,Nvidia,Oracle,Apple,Uber,Yahoo,Bloomberg,Adobe,Facebook,Amazon,Microsoft,Google")</f>
        <v>ByteDance,Databricks,Coupang,Nvidia,Oracle,Apple,Uber,Yahoo,Bloomberg,Adobe,Facebook,Amazon,Microsoft,Google</v>
      </c>
      <c r="F117" s="6" t="str">
        <f>IFERROR(__xludf.DUMMYFUNCTION("""COMPUTED_VALUE"""),"Facebook,Amazon,Microsoft")</f>
        <v>Facebook,Amazon,Microsoft</v>
      </c>
      <c r="G117" s="6" t="str">
        <f>IFERROR(__xludf.DUMMYFUNCTION("""COMPUTED_VALUE"""),"Bloomberg,Adobe,Google,ByteDance,Facebook,Amazon,Microsoft")</f>
        <v>Bloomberg,Adobe,Google,ByteDance,Facebook,Amazon,Microsoft</v>
      </c>
      <c r="H117" s="6" t="str">
        <f>IFERROR(__xludf.DUMMYFUNCTION("""COMPUTED_VALUE"""),"Oracle,Coupang,Apple,Nvidia,Uber,Yahoo,Databricks,Bloomberg,Adobe,Google,ByteDance,Facebook,Amazon,Microsoft")</f>
        <v>Oracle,Coupang,Apple,Nvidia,Uber,Yahoo,Databricks,Bloomberg,Adobe,Google,ByteDance,Facebook,Amazon,Microsoft</v>
      </c>
      <c r="I117" s="6">
        <f>IFERROR(__xludf.DUMMYFUNCTION("""COMPUTED_VALUE"""),52.17)</f>
        <v>52.17</v>
      </c>
      <c r="J117" s="6" t="str">
        <f>IFERROR(__xludf.DUMMYFUNCTION("""COMPUTED_VALUE"""),"算法")</f>
        <v>算法</v>
      </c>
    </row>
    <row r="118">
      <c r="A118" s="6">
        <f>IFERROR(__xludf.DUMMYFUNCTION("""COMPUTED_VALUE"""),115.0)</f>
        <v>115</v>
      </c>
      <c r="B118" s="53" t="str">
        <f>IFERROR(__xludf.DUMMYFUNCTION("""COMPUTED_VALUE"""),"Distinct Subsequences")</f>
        <v>Distinct Subsequences</v>
      </c>
      <c r="C118" s="6" t="str">
        <f>IFERROR(__xludf.DUMMYFUNCTION("""COMPUTED_VALUE"""),"Hard")</f>
        <v>Hard</v>
      </c>
      <c r="D118" s="6" t="str">
        <f>IFERROR(__xludf.DUMMYFUNCTION("""COMPUTED_VALUE"""),"Dynamic Programming,String")</f>
        <v>Dynamic Programming,String</v>
      </c>
      <c r="E118" s="6" t="str">
        <f>IFERROR(__xludf.DUMMYFUNCTION("""COMPUTED_VALUE"""),"Uber,Bloomberg,Barclays,Mathworks,Adobe,Amazon,Google")</f>
        <v>Uber,Bloomberg,Barclays,Mathworks,Adobe,Amazon,Google</v>
      </c>
      <c r="F118" s="6" t="str">
        <f>IFERROR(__xludf.DUMMYFUNCTION("""COMPUTED_VALUE"""),"Mathworks,Google,Amazon,Bloomberg")</f>
        <v>Mathworks,Google,Amazon,Bloomberg</v>
      </c>
      <c r="G118" s="6" t="str">
        <f>IFERROR(__xludf.DUMMYFUNCTION("""COMPUTED_VALUE"""),"Adobe,Mathworks,Google,Amazon,Bloomberg")</f>
        <v>Adobe,Mathworks,Google,Amazon,Bloomberg</v>
      </c>
      <c r="H118" s="6" t="str">
        <f>IFERROR(__xludf.DUMMYFUNCTION("""COMPUTED_VALUE"""),"Uber,Adobe,Mathworks,Google,Amazon,Bloomberg")</f>
        <v>Uber,Adobe,Mathworks,Google,Amazon,Bloomberg</v>
      </c>
      <c r="I118" s="6">
        <f>IFERROR(__xludf.DUMMYFUNCTION("""COMPUTED_VALUE"""),39.86)</f>
        <v>39.86</v>
      </c>
      <c r="J118" s="6" t="str">
        <f>IFERROR(__xludf.DUMMYFUNCTION("""COMPUTED_VALUE"""),"算法")</f>
        <v>算法</v>
      </c>
    </row>
    <row r="119">
      <c r="A119" s="6">
        <f>IFERROR(__xludf.DUMMYFUNCTION("""COMPUTED_VALUE"""),116.0)</f>
        <v>116</v>
      </c>
      <c r="B119" s="53" t="str">
        <f>IFERROR(__xludf.DUMMYFUNCTION("""COMPUTED_VALUE"""),"Populating Next Right Pointers in Each Node")</f>
        <v>Populating Next Right Pointers in Each Node</v>
      </c>
      <c r="C119" s="6" t="str">
        <f>IFERROR(__xludf.DUMMYFUNCTION("""COMPUTED_VALUE"""),"Medium")</f>
        <v>Medium</v>
      </c>
      <c r="D119" s="6" t="str">
        <f>IFERROR(__xludf.DUMMYFUNCTION("""COMPUTED_VALUE"""),"Breadth First Search,Depth First Search,Tree")</f>
        <v>Breadth First Search,Depth First Search,Tree</v>
      </c>
      <c r="E119" s="6" t="str">
        <f>IFERROR(__xludf.DUMMYFUNCTION("""COMPUTED_VALUE"""),"Nutanix,VMware,Oracle,DiDi,Apple,SAP,Bloomberg,Facebook,Amazon,Microsoft,Google")</f>
        <v>Nutanix,VMware,Oracle,DiDi,Apple,SAP,Bloomberg,Facebook,Amazon,Microsoft,Google</v>
      </c>
      <c r="F119" s="6" t="str">
        <f>IFERROR(__xludf.DUMMYFUNCTION("""COMPUTED_VALUE"""),"Microsoft,Bloomberg,Facebook,Google,Amazon")</f>
        <v>Microsoft,Bloomberg,Facebook,Google,Amazon</v>
      </c>
      <c r="G119" s="6" t="str">
        <f>IFERROR(__xludf.DUMMYFUNCTION("""COMPUTED_VALUE"""),"DiDi,Microsoft,Bloomberg,Facebook,Google,Amazon")</f>
        <v>DiDi,Microsoft,Bloomberg,Facebook,Google,Amazon</v>
      </c>
      <c r="H119" s="6" t="str">
        <f>IFERROR(__xludf.DUMMYFUNCTION("""COMPUTED_VALUE"""),"Oracle,Apple,VMware,SAP,DiDi,Microsoft,Bloomberg,Facebook,Google,Amazon")</f>
        <v>Oracle,Apple,VMware,SAP,DiDi,Microsoft,Bloomberg,Facebook,Google,Amazon</v>
      </c>
      <c r="I119" s="6">
        <f>IFERROR(__xludf.DUMMYFUNCTION("""COMPUTED_VALUE"""),49.36)</f>
        <v>49.36</v>
      </c>
      <c r="J119" s="6" t="str">
        <f>IFERROR(__xludf.DUMMYFUNCTION("""COMPUTED_VALUE"""),"算法")</f>
        <v>算法</v>
      </c>
    </row>
    <row r="120">
      <c r="A120" s="6">
        <f>IFERROR(__xludf.DUMMYFUNCTION("""COMPUTED_VALUE"""),117.0)</f>
        <v>117</v>
      </c>
      <c r="B120" s="53" t="str">
        <f>IFERROR(__xludf.DUMMYFUNCTION("""COMPUTED_VALUE"""),"Populating Next Right Pointers in Each Node II")</f>
        <v>Populating Next Right Pointers in Each Node II</v>
      </c>
      <c r="C120" s="6" t="str">
        <f>IFERROR(__xludf.DUMMYFUNCTION("""COMPUTED_VALUE"""),"Medium")</f>
        <v>Medium</v>
      </c>
      <c r="D120" s="6" t="str">
        <f>IFERROR(__xludf.DUMMYFUNCTION("""COMPUTED_VALUE"""),"Depth First Search,Tree")</f>
        <v>Depth First Search,Tree</v>
      </c>
      <c r="E120" s="6" t="str">
        <f>IFERROR(__xludf.DUMMYFUNCTION("""COMPUTED_VALUE"""),"Oracle,Apple,Bloomberg,Facebook,Amazon,Microsoft,Google")</f>
        <v>Oracle,Apple,Bloomberg,Facebook,Amazon,Microsoft,Google</v>
      </c>
      <c r="F120" s="6" t="str">
        <f>IFERROR(__xludf.DUMMYFUNCTION("""COMPUTED_VALUE"""),"Microsoft,Amazon,Bloomberg")</f>
        <v>Microsoft,Amazon,Bloomberg</v>
      </c>
      <c r="G120" s="6" t="str">
        <f>IFERROR(__xludf.DUMMYFUNCTION("""COMPUTED_VALUE"""),"Facebook,Google,Microsoft,Amazon,Bloomberg")</f>
        <v>Facebook,Google,Microsoft,Amazon,Bloomberg</v>
      </c>
      <c r="H120" s="6" t="str">
        <f>IFERROR(__xludf.DUMMYFUNCTION("""COMPUTED_VALUE"""),"Apple,Oracle,Facebook,Google,Microsoft,Amazon,Bloomberg")</f>
        <v>Apple,Oracle,Facebook,Google,Microsoft,Amazon,Bloomberg</v>
      </c>
      <c r="I120" s="6">
        <f>IFERROR(__xludf.DUMMYFUNCTION("""COMPUTED_VALUE"""),42.25)</f>
        <v>42.25</v>
      </c>
      <c r="J120" s="6" t="str">
        <f>IFERROR(__xludf.DUMMYFUNCTION("""COMPUTED_VALUE"""),"算法")</f>
        <v>算法</v>
      </c>
    </row>
    <row r="121">
      <c r="A121" s="6">
        <f>IFERROR(__xludf.DUMMYFUNCTION("""COMPUTED_VALUE"""),118.0)</f>
        <v>118</v>
      </c>
      <c r="B121" s="53" t="str">
        <f>IFERROR(__xludf.DUMMYFUNCTION("""COMPUTED_VALUE"""),"Pascal's Triangle")</f>
        <v>Pascal's Triangle</v>
      </c>
      <c r="C121" s="6" t="str">
        <f>IFERROR(__xludf.DUMMYFUNCTION("""COMPUTED_VALUE"""),"Easy")</f>
        <v>Easy</v>
      </c>
      <c r="D121" s="6" t="str">
        <f>IFERROR(__xludf.DUMMYFUNCTION("""COMPUTED_VALUE"""),"Array")</f>
        <v>Array</v>
      </c>
      <c r="E121" s="6" t="str">
        <f>IFERROR(__xludf.DUMMYFUNCTION("""COMPUTED_VALUE"""),"Samsung,Twitter,Oracle,Apple,Uber,Bloomberg,Adobe,Facebook,Amazon,Microsoft,Goldman Sachs,Google")</f>
        <v>Samsung,Twitter,Oracle,Apple,Uber,Bloomberg,Adobe,Facebook,Amazon,Microsoft,Goldman Sachs,Google</v>
      </c>
      <c r="F121" s="6" t="str">
        <f>IFERROR(__xludf.DUMMYFUNCTION("""COMPUTED_VALUE"""),"Google,Adobe,Apple,Samsung")</f>
        <v>Google,Adobe,Apple,Samsung</v>
      </c>
      <c r="G121" s="6" t="str">
        <f>IFERROR(__xludf.DUMMYFUNCTION("""COMPUTED_VALUE"""),"Amazon,Bloomberg,Google,Adobe,Apple,Samsung")</f>
        <v>Amazon,Bloomberg,Google,Adobe,Apple,Samsung</v>
      </c>
      <c r="H121" s="6" t="str">
        <f>IFERROR(__xludf.DUMMYFUNCTION("""COMPUTED_VALUE"""),"Microsoft,Goldman Sachs,Uber,Facebook,Twitter,Amazon,Bloomberg,Google,Adobe,Apple,Samsung")</f>
        <v>Microsoft,Goldman Sachs,Uber,Facebook,Twitter,Amazon,Bloomberg,Google,Adobe,Apple,Samsung</v>
      </c>
      <c r="I121" s="6">
        <f>IFERROR(__xludf.DUMMYFUNCTION("""COMPUTED_VALUE"""),55.16)</f>
        <v>55.16</v>
      </c>
      <c r="J121" s="6" t="str">
        <f>IFERROR(__xludf.DUMMYFUNCTION("""COMPUTED_VALUE"""),"算法")</f>
        <v>算法</v>
      </c>
    </row>
    <row r="122">
      <c r="A122" s="6">
        <f>IFERROR(__xludf.DUMMYFUNCTION("""COMPUTED_VALUE"""),119.0)</f>
        <v>119</v>
      </c>
      <c r="B122" s="53" t="str">
        <f>IFERROR(__xludf.DUMMYFUNCTION("""COMPUTED_VALUE"""),"Pascal's Triangle II")</f>
        <v>Pascal's Triangle II</v>
      </c>
      <c r="C122" s="6" t="str">
        <f>IFERROR(__xludf.DUMMYFUNCTION("""COMPUTED_VALUE"""),"Easy")</f>
        <v>Easy</v>
      </c>
      <c r="D122" s="6" t="str">
        <f>IFERROR(__xludf.DUMMYFUNCTION("""COMPUTED_VALUE"""),"Array")</f>
        <v>Array</v>
      </c>
      <c r="E122" s="6" t="str">
        <f>IFERROR(__xludf.DUMMYFUNCTION("""COMPUTED_VALUE"""),"Microsoft,Qualtrics,Oracle,Amazon,Goldman Sachs,Google")</f>
        <v>Microsoft,Qualtrics,Oracle,Amazon,Goldman Sachs,Google</v>
      </c>
      <c r="F122" s="6"/>
      <c r="G122" s="6" t="str">
        <f>IFERROR(__xludf.DUMMYFUNCTION("""COMPUTED_VALUE"""),"Microsoft,Google,Amazon")</f>
        <v>Microsoft,Google,Amazon</v>
      </c>
      <c r="H122" s="6" t="str">
        <f>IFERROR(__xludf.DUMMYFUNCTION("""COMPUTED_VALUE"""),"Goldman Sachs,Qualtrics,Microsoft,Google,Amazon")</f>
        <v>Goldman Sachs,Qualtrics,Microsoft,Google,Amazon</v>
      </c>
      <c r="I122" s="6">
        <f>IFERROR(__xludf.DUMMYFUNCTION("""COMPUTED_VALUE"""),52.37)</f>
        <v>52.37</v>
      </c>
      <c r="J122" s="6" t="str">
        <f>IFERROR(__xludf.DUMMYFUNCTION("""COMPUTED_VALUE"""),"算法")</f>
        <v>算法</v>
      </c>
    </row>
    <row r="123">
      <c r="A123" s="6">
        <f>IFERROR(__xludf.DUMMYFUNCTION("""COMPUTED_VALUE"""),120.0)</f>
        <v>120</v>
      </c>
      <c r="B123" s="53" t="str">
        <f>IFERROR(__xludf.DUMMYFUNCTION("""COMPUTED_VALUE"""),"Triangle")</f>
        <v>Triangle</v>
      </c>
      <c r="C123" s="6" t="str">
        <f>IFERROR(__xludf.DUMMYFUNCTION("""COMPUTED_VALUE"""),"Medium")</f>
        <v>Medium</v>
      </c>
      <c r="D123" s="6" t="str">
        <f>IFERROR(__xludf.DUMMYFUNCTION("""COMPUTED_VALUE"""),"Dynamic Programming,Array")</f>
        <v>Dynamic Programming,Array</v>
      </c>
      <c r="E123" s="6" t="str">
        <f>IFERROR(__xludf.DUMMYFUNCTION("""COMPUTED_VALUE"""),"Flipkart,Goldman Sachs,Houzz,Apple,Bloomberg,Amazon,Google")</f>
        <v>Flipkart,Goldman Sachs,Houzz,Apple,Bloomberg,Amazon,Google</v>
      </c>
      <c r="F123" s="6" t="str">
        <f>IFERROR(__xludf.DUMMYFUNCTION("""COMPUTED_VALUE"""),"Amazon,Bloomberg")</f>
        <v>Amazon,Bloomberg</v>
      </c>
      <c r="G123" s="6" t="str">
        <f>IFERROR(__xludf.DUMMYFUNCTION("""COMPUTED_VALUE"""),"Apple,Amazon,Bloomberg")</f>
        <v>Apple,Amazon,Bloomberg</v>
      </c>
      <c r="H123" s="6" t="str">
        <f>IFERROR(__xludf.DUMMYFUNCTION("""COMPUTED_VALUE"""),"Google,Goldman Sachs,Flipkart,Apple,Amazon,Bloomberg")</f>
        <v>Google,Goldman Sachs,Flipkart,Apple,Amazon,Bloomberg</v>
      </c>
      <c r="I123" s="6">
        <f>IFERROR(__xludf.DUMMYFUNCTION("""COMPUTED_VALUE"""),45.92)</f>
        <v>45.92</v>
      </c>
      <c r="J123" s="6" t="str">
        <f>IFERROR(__xludf.DUMMYFUNCTION("""COMPUTED_VALUE"""),"算法")</f>
        <v>算法</v>
      </c>
    </row>
    <row r="124">
      <c r="A124" s="6">
        <f>IFERROR(__xludf.DUMMYFUNCTION("""COMPUTED_VALUE"""),121.0)</f>
        <v>121</v>
      </c>
      <c r="B124" s="53" t="str">
        <f>IFERROR(__xludf.DUMMYFUNCTION("""COMPUTED_VALUE"""),"Best Time to Buy and Sell Stock")</f>
        <v>Best Time to Buy and Sell Stock</v>
      </c>
      <c r="C124" s="6" t="str">
        <f>IFERROR(__xludf.DUMMYFUNCTION("""COMPUTED_VALUE"""),"Easy")</f>
        <v>Easy</v>
      </c>
      <c r="D124" s="6" t="str">
        <f>IFERROR(__xludf.DUMMYFUNCTION("""COMPUTED_VALUE"""),"Dynamic Programming,Array")</f>
        <v>Dynamic Programming,Array</v>
      </c>
      <c r="E124" s="6" t="str">
        <f>IFERROR(__xludf.DUMMYFUNCTION("""COMPUTED_VALUE"""),"MAQ Software,DE Shaw,Houzz,Qualtrics,Alation,Docusign,Tcs,Qualcomm,Salesforce,VMware,ServiceNow,Citrix,EBay,Samsung,DoorDash,Akuna Capital,Atlassian,Redfin,Grab,Audible,ByteDance,Deutsche Bank,Tableau,Groupon,Intel,Visa,Citadel,Walmart Labs,Snapchat,JPMor"&amp;"gan,Zillow,Paypal,Expedia,Oracle,Lyft,Cisco,BlackRock,Apple,Uber,Yahoo,Tencent,SAP,Morgan Stanley,Bloomberg,Adobe,Facebook,Amazon,LinkedIn,Microsoft,Alibaba,Goldman Sachs,Google")</f>
        <v>MAQ Software,DE Shaw,Houzz,Qualtrics,Alation,Docusign,Tcs,Qualcomm,Salesforce,VMware,ServiceNow,Citrix,EBay,Samsung,DoorDash,Akuna Capital,Atlassian,Redfin,Grab,Audible,ByteDance,Deutsche Bank,Tableau,Groupon,Intel,Visa,Citadel,Walmart Labs,Snapchat,JPMorgan,Zillow,Paypal,Expedia,Oracle,Lyft,Cisco,BlackRock,Apple,Uber,Yahoo,Tencent,SAP,Morgan Stanley,Bloomberg,Adobe,Facebook,Amazon,LinkedIn,Microsoft,Alibaba,Goldman Sachs,Google</v>
      </c>
      <c r="F124" s="6" t="str">
        <f>IFERROR(__xludf.DUMMYFUNCTION("""COMPUTED_VALUE"""),"Amazon,Microsoft,Facebook,Google,Apple,Adobe,tcs,Bloomberg,Goldman Sachs,Uber,eBay,Qualtrics,ByteDance,VMware,Yahoo,Morgan Stanley,Oracle,ServiceNow,Samsung,Paypal,Expedia,Houzz,Salesforce,Visa,Qualcomm")</f>
        <v>Amazon,Microsoft,Facebook,Google,Apple,Adobe,tcs,Bloomberg,Goldman Sachs,Uber,eBay,Qualtrics,ByteDance,VMware,Yahoo,Morgan Stanley,Oracle,ServiceNow,Samsung,Paypal,Expedia,Houzz,Salesforce,Visa,Qualcomm</v>
      </c>
      <c r="G124" s="6" t="str">
        <f>IFERROR(__xludf.DUMMYFUNCTION("""COMPUTED_VALUE"""),"JPMorgan,DE Shaw,Citadel,Cisco,Audible,MAQ Software,Amazon,Microsoft,Facebook,Google,Apple,Adobe,tcs,Bloomberg,Goldman Sachs,Uber,eBay,Qualtrics,ByteDance,VMware,Yahoo,Morgan Stanley,Oracle,ServiceNow,Samsung,Paypal,Expedia,Houzz,Salesforce,Visa,Qualcomm")</f>
        <v>JPMorgan,DE Shaw,Citadel,Cisco,Audible,MAQ Software,Amazon,Microsoft,Facebook,Google,Apple,Adobe,tcs,Bloomberg,Goldman Sachs,Uber,eBay,Qualtrics,ByteDance,VMware,Yahoo,Morgan Stanley,Oracle,ServiceNow,Samsung,Paypal,Expedia,Houzz,Salesforce,Visa,Qualcomm</v>
      </c>
      <c r="H124" s="6" t="str">
        <f>IFERROR(__xludf.DUMMYFUNCTION("""COMPUTED_VALUE"""),"DoorDash,Walmart Labs,SAP,Intel,Citrix,BlackRock,LinkedIn,Alibaba,Tencent,Groupon,Zillow,Atlassian,Docusign,Alation,JPMorgan,DE Shaw,Citadel,Cisco,Audible,MAQ Software,Amazon,Microsoft,Facebook,Google,Apple,Adobe,tcs,Bloomberg,Goldman Sachs,Uber,eBay,Qual"&amp;"trics,ByteDance,VMware,Yahoo,Morgan Stanley,Oracle,ServiceNow,Samsung,Paypal,Expedia,Houzz,Salesforce,Visa,Qualcomm")</f>
        <v>DoorDash,Walmart Labs,SAP,Intel,Citrix,BlackRock,LinkedIn,Alibaba,Tencent,Groupon,Zillow,Atlassian,Docusign,Alation,JPMorgan,DE Shaw,Citadel,Cisco,Audible,MAQ Software,Amazon,Microsoft,Facebook,Google,Apple,Adobe,tcs,Bloomberg,Goldman Sachs,Uber,eBay,Qualtrics,ByteDance,VMware,Yahoo,Morgan Stanley,Oracle,ServiceNow,Samsung,Paypal,Expedia,Houzz,Salesforce,Visa,Qualcomm</v>
      </c>
      <c r="I124" s="6">
        <f>IFERROR(__xludf.DUMMYFUNCTION("""COMPUTED_VALUE"""),51.73)</f>
        <v>51.73</v>
      </c>
      <c r="J124" s="6" t="str">
        <f>IFERROR(__xludf.DUMMYFUNCTION("""COMPUTED_VALUE"""),"算法")</f>
        <v>算法</v>
      </c>
    </row>
    <row r="125">
      <c r="A125" s="6">
        <f>IFERROR(__xludf.DUMMYFUNCTION("""COMPUTED_VALUE"""),122.0)</f>
        <v>122</v>
      </c>
      <c r="B125" s="53" t="str">
        <f>IFERROR(__xludf.DUMMYFUNCTION("""COMPUTED_VALUE"""),"Best Time to Buy and Sell Stock II")</f>
        <v>Best Time to Buy and Sell Stock II</v>
      </c>
      <c r="C125" s="6" t="str">
        <f>IFERROR(__xludf.DUMMYFUNCTION("""COMPUTED_VALUE"""),"Easy")</f>
        <v>Easy</v>
      </c>
      <c r="D125" s="6" t="str">
        <f>IFERROR(__xludf.DUMMYFUNCTION("""COMPUTED_VALUE"""),"Greedy,Array")</f>
        <v>Greedy,Array</v>
      </c>
      <c r="E125" s="6" t="str">
        <f>IFERROR(__xludf.DUMMYFUNCTION("""COMPUTED_VALUE"""),"DE Shaw,Square,Qualtrics,Atlassian,Tcs,Salesforce,Paypal,Intuit,Morgan Stanley,Citadel,Walmart Labs,Oracle,Apple,Uber,Yahoo,Bloomberg,Adobe,Facebook,Amazon,Microsoft,Goldman Sachs,Google")</f>
        <v>DE Shaw,Square,Qualtrics,Atlassian,Tcs,Salesforce,Paypal,Intuit,Morgan Stanley,Citadel,Walmart Labs,Oracle,Apple,Uber,Yahoo,Bloomberg,Adobe,Facebook,Amazon,Microsoft,Goldman Sachs,Google</v>
      </c>
      <c r="F125" s="6" t="str">
        <f>IFERROR(__xludf.DUMMYFUNCTION("""COMPUTED_VALUE"""),"Amazon,Apple,Morgan Stanley,tcs,Microsoft,Facebook,Uber")</f>
        <v>Amazon,Apple,Morgan Stanley,tcs,Microsoft,Facebook,Uber</v>
      </c>
      <c r="G125" s="6" t="str">
        <f>IFERROR(__xludf.DUMMYFUNCTION("""COMPUTED_VALUE"""),"Bloomberg,Paypal,Square,Qualtrics,DE Shaw,Amazon,Apple,Morgan Stanley,tcs,Microsoft,Facebook,Uber")</f>
        <v>Bloomberg,Paypal,Square,Qualtrics,DE Shaw,Amazon,Apple,Morgan Stanley,tcs,Microsoft,Facebook,Uber</v>
      </c>
      <c r="H125" s="6" t="str">
        <f>IFERROR(__xludf.DUMMYFUNCTION("""COMPUTED_VALUE"""),"Google,Goldman Sachs,Oracle,Adobe,Intuit,Atlassian,Salesforce,Bloomberg,Paypal,Square,Qualtrics,DE Shaw,Amazon,Apple,Morgan Stanley,tcs,Microsoft,Facebook,Uber")</f>
        <v>Google,Goldman Sachs,Oracle,Adobe,Intuit,Atlassian,Salesforce,Bloomberg,Paypal,Square,Qualtrics,DE Shaw,Amazon,Apple,Morgan Stanley,tcs,Microsoft,Facebook,Uber</v>
      </c>
      <c r="I125" s="6">
        <f>IFERROR(__xludf.DUMMYFUNCTION("""COMPUTED_VALUE"""),58.68)</f>
        <v>58.68</v>
      </c>
      <c r="J125" s="6" t="str">
        <f>IFERROR(__xludf.DUMMYFUNCTION("""COMPUTED_VALUE"""),"算法")</f>
        <v>算法</v>
      </c>
    </row>
    <row r="126">
      <c r="A126" s="6">
        <f>IFERROR(__xludf.DUMMYFUNCTION("""COMPUTED_VALUE"""),123.0)</f>
        <v>123</v>
      </c>
      <c r="B126" s="53" t="str">
        <f>IFERROR(__xludf.DUMMYFUNCTION("""COMPUTED_VALUE"""),"Best Time to Buy and Sell Stock III")</f>
        <v>Best Time to Buy and Sell Stock III</v>
      </c>
      <c r="C126" s="6" t="str">
        <f>IFERROR(__xludf.DUMMYFUNCTION("""COMPUTED_VALUE"""),"Hard")</f>
        <v>Hard</v>
      </c>
      <c r="D126" s="6" t="str">
        <f>IFERROR(__xludf.DUMMYFUNCTION("""COMPUTED_VALUE"""),"Dynamic Programming,Array")</f>
        <v>Dynamic Programming,Array</v>
      </c>
      <c r="E126" s="6" t="str">
        <f>IFERROR(__xludf.DUMMYFUNCTION("""COMPUTED_VALUE"""),"Adobe,Rubrik,Two Sigma,Atlassian,Flipkart,Citadel,Apple,Bloomberg,Facebook,Amazon,Microsoft,Google")</f>
        <v>Adobe,Rubrik,Two Sigma,Atlassian,Flipkart,Citadel,Apple,Bloomberg,Facebook,Amazon,Microsoft,Google</v>
      </c>
      <c r="F126" s="6" t="str">
        <f>IFERROR(__xludf.DUMMYFUNCTION("""COMPUTED_VALUE"""),"Amazon,Adobe")</f>
        <v>Amazon,Adobe</v>
      </c>
      <c r="G126" s="6" t="str">
        <f>IFERROR(__xludf.DUMMYFUNCTION("""COMPUTED_VALUE"""),"Microsoft,Apple,Amazon,Adobe")</f>
        <v>Microsoft,Apple,Amazon,Adobe</v>
      </c>
      <c r="H126" s="6" t="str">
        <f>IFERROR(__xludf.DUMMYFUNCTION("""COMPUTED_VALUE"""),"Two Sigma,Bloomberg,Facebook,Google,Rubrik,Atlassian,Microsoft,Apple,Amazon,Adobe")</f>
        <v>Two Sigma,Bloomberg,Facebook,Google,Rubrik,Atlassian,Microsoft,Apple,Amazon,Adobe</v>
      </c>
      <c r="I126" s="6">
        <f>IFERROR(__xludf.DUMMYFUNCTION("""COMPUTED_VALUE"""),40.05)</f>
        <v>40.05</v>
      </c>
      <c r="J126" s="6" t="str">
        <f>IFERROR(__xludf.DUMMYFUNCTION("""COMPUTED_VALUE"""),"算法")</f>
        <v>算法</v>
      </c>
    </row>
    <row r="127">
      <c r="A127" s="6">
        <f>IFERROR(__xludf.DUMMYFUNCTION("""COMPUTED_VALUE"""),124.0)</f>
        <v>124</v>
      </c>
      <c r="B127" s="53" t="str">
        <f>IFERROR(__xludf.DUMMYFUNCTION("""COMPUTED_VALUE"""),"Binary Tree Maximum Path Sum")</f>
        <v>Binary Tree Maximum Path Sum</v>
      </c>
      <c r="C127" s="6" t="str">
        <f>IFERROR(__xludf.DUMMYFUNCTION("""COMPUTED_VALUE"""),"Hard")</f>
        <v>Hard</v>
      </c>
      <c r="D127" s="6" t="str">
        <f>IFERROR(__xludf.DUMMYFUNCTION("""COMPUTED_VALUE"""),"Recursion,Depth First Search,Tree")</f>
        <v>Recursion,Depth First Search,Tree</v>
      </c>
      <c r="E127" s="6" t="str">
        <f>IFERROR(__xludf.DUMMYFUNCTION("""COMPUTED_VALUE"""),"Oracle,Yahoo,AppDynamics,ByteDance,VMware,Walmart Labs,Twitter,Intuit,Baidu,Apple,Uber,Bloomberg,Adobe,Facebook,Amazon,Microsoft,Google")</f>
        <v>Oracle,Yahoo,AppDynamics,ByteDance,VMware,Walmart Labs,Twitter,Intuit,Baidu,Apple,Uber,Bloomberg,Adobe,Facebook,Amazon,Microsoft,Google</v>
      </c>
      <c r="F127" s="6" t="str">
        <f>IFERROR(__xludf.DUMMYFUNCTION("""COMPUTED_VALUE"""),"Facebook,Amazon,Google,Microsoft,Bloomberg,Oracle,Adobe,Apple,Yahoo,ByteDance")</f>
        <v>Facebook,Amazon,Google,Microsoft,Bloomberg,Oracle,Adobe,Apple,Yahoo,ByteDance</v>
      </c>
      <c r="G127" s="6" t="str">
        <f>IFERROR(__xludf.DUMMYFUNCTION("""COMPUTED_VALUE"""),"Uber,Facebook,Amazon,Google,Microsoft,Bloomberg,Oracle,Adobe,Apple,Yahoo,ByteDance")</f>
        <v>Uber,Facebook,Amazon,Google,Microsoft,Bloomberg,Oracle,Adobe,Apple,Yahoo,ByteDance</v>
      </c>
      <c r="H127" s="6" t="str">
        <f>IFERROR(__xludf.DUMMYFUNCTION("""COMPUTED_VALUE"""),"Intuit,AppDynamics,Baidu,Uber,Facebook,Amazon,Google,Microsoft,Bloomberg,Oracle,Adobe,Apple,Yahoo,ByteDance")</f>
        <v>Intuit,AppDynamics,Baidu,Uber,Facebook,Amazon,Google,Microsoft,Bloomberg,Oracle,Adobe,Apple,Yahoo,ByteDance</v>
      </c>
      <c r="I127" s="6">
        <f>IFERROR(__xludf.DUMMYFUNCTION("""COMPUTED_VALUE"""),35.55)</f>
        <v>35.55</v>
      </c>
      <c r="J127" s="6" t="str">
        <f>IFERROR(__xludf.DUMMYFUNCTION("""COMPUTED_VALUE"""),"算法")</f>
        <v>算法</v>
      </c>
    </row>
    <row r="128">
      <c r="A128" s="6">
        <f>IFERROR(__xludf.DUMMYFUNCTION("""COMPUTED_VALUE"""),125.0)</f>
        <v>125</v>
      </c>
      <c r="B128" s="53" t="str">
        <f>IFERROR(__xludf.DUMMYFUNCTION("""COMPUTED_VALUE"""),"Valid Palindrome")</f>
        <v>Valid Palindrome</v>
      </c>
      <c r="C128" s="6" t="str">
        <f>IFERROR(__xludf.DUMMYFUNCTION("""COMPUTED_VALUE"""),"Easy")</f>
        <v>Easy</v>
      </c>
      <c r="D128" s="6" t="str">
        <f>IFERROR(__xludf.DUMMYFUNCTION("""COMPUTED_VALUE"""),"String,Two Pointers")</f>
        <v>String,Two Pointers</v>
      </c>
      <c r="E128" s="6" t="str">
        <f>IFERROR(__xludf.DUMMYFUNCTION("""COMPUTED_VALUE"""),"IBM,Wayfair,Zenefits,Wish,Oracle,Cisco,Yandex,EBay,Apple,Uber,Bloomberg,Adobe,Facebook,Amazon,LinkedIn,Microsoft,Google")</f>
        <v>IBM,Wayfair,Zenefits,Wish,Oracle,Cisco,Yandex,EBay,Apple,Uber,Bloomberg,Adobe,Facebook,Amazon,LinkedIn,Microsoft,Google</v>
      </c>
      <c r="F128" s="6" t="str">
        <f>IFERROR(__xludf.DUMMYFUNCTION("""COMPUTED_VALUE"""),"Facebook,Microsoft,Apple,Wayfair,Amazon,Yandex,Bloomberg,Oracle")</f>
        <v>Facebook,Microsoft,Apple,Wayfair,Amazon,Yandex,Bloomberg,Oracle</v>
      </c>
      <c r="G128" s="6" t="str">
        <f>IFERROR(__xludf.DUMMYFUNCTION("""COMPUTED_VALUE"""),"eBay,IBM,Facebook,Microsoft,Apple,Wayfair,Amazon,Yandex,Bloomberg,Oracle")</f>
        <v>eBay,IBM,Facebook,Microsoft,Apple,Wayfair,Amazon,Yandex,Bloomberg,Oracle</v>
      </c>
      <c r="H128" s="6" t="str">
        <f>IFERROR(__xludf.DUMMYFUNCTION("""COMPUTED_VALUE"""),"Google,Adobe,LinkedIn,Cisco,Wish,Uber,Zenefits,eBay,IBM,Facebook,Microsoft,Apple,Wayfair,Amazon,Yandex,Bloomberg,Oracle")</f>
        <v>Google,Adobe,LinkedIn,Cisco,Wish,Uber,Zenefits,eBay,IBM,Facebook,Microsoft,Apple,Wayfair,Amazon,Yandex,Bloomberg,Oracle</v>
      </c>
      <c r="I128" s="6">
        <f>IFERROR(__xludf.DUMMYFUNCTION("""COMPUTED_VALUE"""),38.37)</f>
        <v>38.37</v>
      </c>
      <c r="J128" s="6" t="str">
        <f>IFERROR(__xludf.DUMMYFUNCTION("""COMPUTED_VALUE"""),"算法")</f>
        <v>算法</v>
      </c>
    </row>
    <row r="129">
      <c r="A129" s="6">
        <f>IFERROR(__xludf.DUMMYFUNCTION("""COMPUTED_VALUE"""),126.0)</f>
        <v>126</v>
      </c>
      <c r="B129" s="53" t="str">
        <f>IFERROR(__xludf.DUMMYFUNCTION("""COMPUTED_VALUE"""),"Word Ladder II")</f>
        <v>Word Ladder II</v>
      </c>
      <c r="C129" s="6" t="str">
        <f>IFERROR(__xludf.DUMMYFUNCTION("""COMPUTED_VALUE"""),"Hard")</f>
        <v>Hard</v>
      </c>
      <c r="D129" s="6" t="str">
        <f>IFERROR(__xludf.DUMMYFUNCTION("""COMPUTED_VALUE"""),"Breadth First Search,Backtracking,String,Array")</f>
        <v>Breadth First Search,Backtracking,String,Array</v>
      </c>
      <c r="E129" s="6" t="str">
        <f>IFERROR(__xludf.DUMMYFUNCTION("""COMPUTED_VALUE"""),"Snapchat,Bloomberg,Pinterest,Box,Yelp,Oracle,Lyft,Apple,Uber,Yahoo,Facebook,Amazon,LinkedIn,Microsoft,Google")</f>
        <v>Snapchat,Bloomberg,Pinterest,Box,Yelp,Oracle,Lyft,Apple,Uber,Yahoo,Facebook,Amazon,LinkedIn,Microsoft,Google</v>
      </c>
      <c r="F129" s="6" t="str">
        <f>IFERROR(__xludf.DUMMYFUNCTION("""COMPUTED_VALUE"""),"Amazon,Bloomberg,Uber,Facebook,Box,Lyft,Microsoft,Google")</f>
        <v>Amazon,Bloomberg,Uber,Facebook,Box,Lyft,Microsoft,Google</v>
      </c>
      <c r="G129" s="6" t="str">
        <f>IFERROR(__xludf.DUMMYFUNCTION("""COMPUTED_VALUE"""),"Apple,Amazon,Bloomberg,Uber,Facebook,Box,Lyft,Microsoft,Google")</f>
        <v>Apple,Amazon,Bloomberg,Uber,Facebook,Box,Lyft,Microsoft,Google</v>
      </c>
      <c r="H129" s="6" t="str">
        <f>IFERROR(__xludf.DUMMYFUNCTION("""COMPUTED_VALUE"""),"Oracle,Pinterest,LinkedIn,Snapchat,Yahoo,Yelp,Apple,Amazon,Bloomberg,Uber,Facebook,Box,Lyft,Microsoft,Google")</f>
        <v>Oracle,Pinterest,LinkedIn,Snapchat,Yahoo,Yelp,Apple,Amazon,Bloomberg,Uber,Facebook,Box,Lyft,Microsoft,Google</v>
      </c>
      <c r="I129" s="6">
        <f>IFERROR(__xludf.DUMMYFUNCTION("""COMPUTED_VALUE"""),23.85)</f>
        <v>23.85</v>
      </c>
      <c r="J129" s="6" t="str">
        <f>IFERROR(__xludf.DUMMYFUNCTION("""COMPUTED_VALUE"""),"算法")</f>
        <v>算法</v>
      </c>
    </row>
    <row r="130">
      <c r="A130" s="6">
        <f>IFERROR(__xludf.DUMMYFUNCTION("""COMPUTED_VALUE"""),127.0)</f>
        <v>127</v>
      </c>
      <c r="B130" s="53" t="str">
        <f>IFERROR(__xludf.DUMMYFUNCTION("""COMPUTED_VALUE"""),"Word Ladder")</f>
        <v>Word Ladder</v>
      </c>
      <c r="C130" s="6" t="str">
        <f>IFERROR(__xludf.DUMMYFUNCTION("""COMPUTED_VALUE"""),"Hard")</f>
        <v>Hard</v>
      </c>
      <c r="D130" s="6" t="str">
        <f>IFERROR(__xludf.DUMMYFUNCTION("""COMPUTED_VALUE"""),"Breadth First Search")</f>
        <v>Breadth First Search</v>
      </c>
      <c r="E130" s="6" t="str">
        <f>IFERROR(__xludf.DUMMYFUNCTION("""COMPUTED_VALUE"""),"Citadel,EBay,Yahoo,Cohesity,Tesla,Square,Pinterest,Qualtrics,Audible,Salesforce,VMware,Affirm,Walmart Labs,Snapchat,Zillow,ServiceNow,Expedia,Yelp,Oracle,Spotify,Lyft,Apple,Airbnb,Uber,Samsung,Bloomberg,Facebook,Amazon,LinkedIn,Microsoft,Google")</f>
        <v>Citadel,EBay,Yahoo,Cohesity,Tesla,Square,Pinterest,Qualtrics,Audible,Salesforce,VMware,Affirm,Walmart Labs,Snapchat,Zillow,ServiceNow,Expedia,Yelp,Oracle,Spotify,Lyft,Apple,Airbnb,Uber,Samsung,Bloomberg,Facebook,Amazon,LinkedIn,Microsoft,Google</v>
      </c>
      <c r="F130" s="6" t="str">
        <f>IFERROR(__xludf.DUMMYFUNCTION("""COMPUTED_VALUE"""),"Amazon,Facebook,Lyft,Google,Bloomberg,Uber,Microsoft,Oracle,Apple,Zillow,Snapchat,Yahoo,Qualtrics,Citadel")</f>
        <v>Amazon,Facebook,Lyft,Google,Bloomberg,Uber,Microsoft,Oracle,Apple,Zillow,Snapchat,Yahoo,Qualtrics,Citadel</v>
      </c>
      <c r="G130" s="6" t="str">
        <f>IFERROR(__xludf.DUMMYFUNCTION("""COMPUTED_VALUE"""),"Salesforce,eBay,LinkedIn,ServiceNow,Amazon,Facebook,Lyft,Google,Bloomberg,Uber,Microsoft,Oracle,Apple,Zillow,Snapchat,Yahoo,Qualtrics,Citadel")</f>
        <v>Salesforce,eBay,LinkedIn,ServiceNow,Amazon,Facebook,Lyft,Google,Bloomberg,Uber,Microsoft,Oracle,Apple,Zillow,Snapchat,Yahoo,Qualtrics,Citadel</v>
      </c>
      <c r="H130" s="6" t="str">
        <f>IFERROR(__xludf.DUMMYFUNCTION("""COMPUTED_VALUE"""),"Walmart Labs,VMware,Pinterest,Spotify,Yelp,Salesforce,eBay,LinkedIn,ServiceNow,Amazon,Facebook,Lyft,Google,Bloomberg,Uber,Microsoft,Oracle,Apple,Zillow,Snapchat,Yahoo,Qualtrics,Citadel")</f>
        <v>Walmart Labs,VMware,Pinterest,Spotify,Yelp,Salesforce,eBay,LinkedIn,ServiceNow,Amazon,Facebook,Lyft,Google,Bloomberg,Uber,Microsoft,Oracle,Apple,Zillow,Snapchat,Yahoo,Qualtrics,Citadel</v>
      </c>
      <c r="I130" s="6">
        <f>IFERROR(__xludf.DUMMYFUNCTION("""COMPUTED_VALUE"""),31.97)</f>
        <v>31.97</v>
      </c>
      <c r="J130" s="6" t="str">
        <f>IFERROR(__xludf.DUMMYFUNCTION("""COMPUTED_VALUE"""),"算法")</f>
        <v>算法</v>
      </c>
    </row>
    <row r="131">
      <c r="A131" s="6">
        <f>IFERROR(__xludf.DUMMYFUNCTION("""COMPUTED_VALUE"""),128.0)</f>
        <v>128</v>
      </c>
      <c r="B131" s="53" t="str">
        <f>IFERROR(__xludf.DUMMYFUNCTION("""COMPUTED_VALUE"""),"Longest Consecutive Sequence")</f>
        <v>Longest Consecutive Sequence</v>
      </c>
      <c r="C131" s="6" t="str">
        <f>IFERROR(__xludf.DUMMYFUNCTION("""COMPUTED_VALUE"""),"Hard")</f>
        <v>Hard</v>
      </c>
      <c r="D131" s="6" t="str">
        <f>IFERROR(__xludf.DUMMYFUNCTION("""COMPUTED_VALUE"""),"Union Find,Array")</f>
        <v>Union Find,Array</v>
      </c>
      <c r="E131" s="6" t="str">
        <f>IFERROR(__xludf.DUMMYFUNCTION("""COMPUTED_VALUE"""),"Qualtrics,Twitter,Adobe,Goldman Sachs,Nutanix,Paypal,Wish,Oracle,Spotify,Apple,Uber,Bloomberg,Facebook,Amazon,Microsoft,Google")</f>
        <v>Qualtrics,Twitter,Adobe,Goldman Sachs,Nutanix,Paypal,Wish,Oracle,Spotify,Apple,Uber,Bloomberg,Facebook,Amazon,Microsoft,Google</v>
      </c>
      <c r="F131" s="6" t="str">
        <f>IFERROR(__xludf.DUMMYFUNCTION("""COMPUTED_VALUE"""),"Amazon,Microsoft,Bloomberg,Google,Facebook,Oracle,Goldman Sachs")</f>
        <v>Amazon,Microsoft,Bloomberg,Google,Facebook,Oracle,Goldman Sachs</v>
      </c>
      <c r="G131" s="6" t="str">
        <f>IFERROR(__xludf.DUMMYFUNCTION("""COMPUTED_VALUE"""),"Uber,Adobe,Apple,Paypal,Spotify,Amazon,Microsoft,Bloomberg,Google,Facebook,Oracle,Goldman Sachs")</f>
        <v>Uber,Adobe,Apple,Paypal,Spotify,Amazon,Microsoft,Bloomberg,Google,Facebook,Oracle,Goldman Sachs</v>
      </c>
      <c r="H131" s="6" t="str">
        <f>IFERROR(__xludf.DUMMYFUNCTION("""COMPUTED_VALUE"""),"Wish,Twitter,Nutanix,Qualtrics,Uber,Adobe,Apple,Paypal,Spotify,Amazon,Microsoft,Bloomberg,Google,Facebook,Oracle,Goldman Sachs")</f>
        <v>Wish,Twitter,Nutanix,Qualtrics,Uber,Adobe,Apple,Paypal,Spotify,Amazon,Microsoft,Bloomberg,Google,Facebook,Oracle,Goldman Sachs</v>
      </c>
      <c r="I131" s="6">
        <f>IFERROR(__xludf.DUMMYFUNCTION("""COMPUTED_VALUE"""),46.36)</f>
        <v>46.36</v>
      </c>
      <c r="J131" s="6" t="str">
        <f>IFERROR(__xludf.DUMMYFUNCTION("""COMPUTED_VALUE"""),"算法")</f>
        <v>算法</v>
      </c>
    </row>
    <row r="132">
      <c r="A132" s="6">
        <f>IFERROR(__xludf.DUMMYFUNCTION("""COMPUTED_VALUE"""),129.0)</f>
        <v>129</v>
      </c>
      <c r="B132" s="53" t="str">
        <f>IFERROR(__xludf.DUMMYFUNCTION("""COMPUTED_VALUE"""),"Sum Root to Leaf Numbers")</f>
        <v>Sum Root to Leaf Numbers</v>
      </c>
      <c r="C132" s="6" t="str">
        <f>IFERROR(__xludf.DUMMYFUNCTION("""COMPUTED_VALUE"""),"Medium")</f>
        <v>Medium</v>
      </c>
      <c r="D132" s="6" t="str">
        <f>IFERROR(__xludf.DUMMYFUNCTION("""COMPUTED_VALUE"""),"Depth First Search,Tree")</f>
        <v>Depth First Search,Tree</v>
      </c>
      <c r="E132" s="6" t="str">
        <f>IFERROR(__xludf.DUMMYFUNCTION("""COMPUTED_VALUE"""),"EBay,Bloomberg,Facebook,Amazon,Microsoft,Google")</f>
        <v>EBay,Bloomberg,Facebook,Amazon,Microsoft,Google</v>
      </c>
      <c r="F132" s="6" t="str">
        <f>IFERROR(__xludf.DUMMYFUNCTION("""COMPUTED_VALUE"""),"Facebook,Bloomberg,Amazon")</f>
        <v>Facebook,Bloomberg,Amazon</v>
      </c>
      <c r="G132" s="6" t="str">
        <f>IFERROR(__xludf.DUMMYFUNCTION("""COMPUTED_VALUE"""),"Microsoft,Google,eBay,Facebook,Bloomberg,Amazon")</f>
        <v>Microsoft,Google,eBay,Facebook,Bloomberg,Amazon</v>
      </c>
      <c r="H132" s="6" t="str">
        <f>IFERROR(__xludf.DUMMYFUNCTION("""COMPUTED_VALUE"""),"Microsoft,Google,eBay,Facebook,Bloomberg,Amazon")</f>
        <v>Microsoft,Google,eBay,Facebook,Bloomberg,Amazon</v>
      </c>
      <c r="I132" s="6">
        <f>IFERROR(__xludf.DUMMYFUNCTION("""COMPUTED_VALUE"""),51.11)</f>
        <v>51.11</v>
      </c>
      <c r="J132" s="6" t="str">
        <f>IFERROR(__xludf.DUMMYFUNCTION("""COMPUTED_VALUE"""),"算法")</f>
        <v>算法</v>
      </c>
    </row>
    <row r="133">
      <c r="A133" s="6">
        <f>IFERROR(__xludf.DUMMYFUNCTION("""COMPUTED_VALUE"""),130.0)</f>
        <v>130</v>
      </c>
      <c r="B133" s="53" t="str">
        <f>IFERROR(__xludf.DUMMYFUNCTION("""COMPUTED_VALUE"""),"Surrounded Regions")</f>
        <v>Surrounded Regions</v>
      </c>
      <c r="C133" s="6" t="str">
        <f>IFERROR(__xludf.DUMMYFUNCTION("""COMPUTED_VALUE"""),"Medium")</f>
        <v>Medium</v>
      </c>
      <c r="D133" s="6" t="str">
        <f>IFERROR(__xludf.DUMMYFUNCTION("""COMPUTED_VALUE"""),"Union Find,Breadth First Search,Depth First Search")</f>
        <v>Union Find,Breadth First Search,Depth First Search</v>
      </c>
      <c r="E133" s="6" t="str">
        <f>IFERROR(__xludf.DUMMYFUNCTION("""COMPUTED_VALUE"""),"Splunk,EBay,Uber,Facebook,Amazon,Google")</f>
        <v>Splunk,EBay,Uber,Facebook,Amazon,Google</v>
      </c>
      <c r="F133" s="6" t="str">
        <f>IFERROR(__xludf.DUMMYFUNCTION("""COMPUTED_VALUE"""),"Google,Amazon,Uber")</f>
        <v>Google,Amazon,Uber</v>
      </c>
      <c r="G133" s="6" t="str">
        <f>IFERROR(__xludf.DUMMYFUNCTION("""COMPUTED_VALUE"""),"eBay,Google,Amazon,Uber")</f>
        <v>eBay,Google,Amazon,Uber</v>
      </c>
      <c r="H133" s="6" t="str">
        <f>IFERROR(__xludf.DUMMYFUNCTION("""COMPUTED_VALUE"""),"Splunk,Facebook,eBay,Google,Amazon,Uber")</f>
        <v>Splunk,Facebook,eBay,Google,Amazon,Uber</v>
      </c>
      <c r="I133" s="6">
        <f>IFERROR(__xludf.DUMMYFUNCTION("""COMPUTED_VALUE"""),29.58)</f>
        <v>29.58</v>
      </c>
      <c r="J133" s="6" t="str">
        <f>IFERROR(__xludf.DUMMYFUNCTION("""COMPUTED_VALUE"""),"算法")</f>
        <v>算法</v>
      </c>
    </row>
    <row r="134">
      <c r="A134" s="6">
        <f>IFERROR(__xludf.DUMMYFUNCTION("""COMPUTED_VALUE"""),131.0)</f>
        <v>131</v>
      </c>
      <c r="B134" s="53" t="str">
        <f>IFERROR(__xludf.DUMMYFUNCTION("""COMPUTED_VALUE"""),"Palindrome Partitioning")</f>
        <v>Palindrome Partitioning</v>
      </c>
      <c r="C134" s="6" t="str">
        <f>IFERROR(__xludf.DUMMYFUNCTION("""COMPUTED_VALUE"""),"Medium")</f>
        <v>Medium</v>
      </c>
      <c r="D134" s="6" t="str">
        <f>IFERROR(__xludf.DUMMYFUNCTION("""COMPUTED_VALUE"""),"Depth First Search,Dynamic Programming,Backtracking")</f>
        <v>Depth First Search,Dynamic Programming,Backtracking</v>
      </c>
      <c r="E134" s="6" t="str">
        <f>IFERROR(__xludf.DUMMYFUNCTION("""COMPUTED_VALUE"""),"Apple,Facebook,Microsoft,Qualtrics,Uber,Yahoo,Bloomberg,Adobe,Amazon,Google")</f>
        <v>Apple,Facebook,Microsoft,Qualtrics,Uber,Yahoo,Bloomberg,Adobe,Amazon,Google</v>
      </c>
      <c r="F134" s="6" t="str">
        <f>IFERROR(__xludf.DUMMYFUNCTION("""COMPUTED_VALUE"""),"Amazon,Apple,Google")</f>
        <v>Amazon,Apple,Google</v>
      </c>
      <c r="G134" s="6" t="str">
        <f>IFERROR(__xludf.DUMMYFUNCTION("""COMPUTED_VALUE"""),"Microsoft,Facebook,Amazon,Apple,Google")</f>
        <v>Microsoft,Facebook,Amazon,Apple,Google</v>
      </c>
      <c r="H134" s="6" t="str">
        <f>IFERROR(__xludf.DUMMYFUNCTION("""COMPUTED_VALUE"""),"Uber,Adobe,Bloomberg,Yahoo,Qualtrics,Microsoft,Facebook,Amazon,Apple,Google")</f>
        <v>Uber,Adobe,Bloomberg,Yahoo,Qualtrics,Microsoft,Facebook,Amazon,Apple,Google</v>
      </c>
      <c r="I134" s="6">
        <f>IFERROR(__xludf.DUMMYFUNCTION("""COMPUTED_VALUE"""),52.33)</f>
        <v>52.33</v>
      </c>
      <c r="J134" s="6" t="str">
        <f>IFERROR(__xludf.DUMMYFUNCTION("""COMPUTED_VALUE"""),"算法")</f>
        <v>算法</v>
      </c>
    </row>
    <row r="135">
      <c r="A135" s="6">
        <f>IFERROR(__xludf.DUMMYFUNCTION("""COMPUTED_VALUE"""),132.0)</f>
        <v>132</v>
      </c>
      <c r="B135" s="53" t="str">
        <f>IFERROR(__xludf.DUMMYFUNCTION("""COMPUTED_VALUE"""),"Palindrome Partitioning II")</f>
        <v>Palindrome Partitioning II</v>
      </c>
      <c r="C135" s="6" t="str">
        <f>IFERROR(__xludf.DUMMYFUNCTION("""COMPUTED_VALUE"""),"Hard")</f>
        <v>Hard</v>
      </c>
      <c r="D135" s="6" t="str">
        <f>IFERROR(__xludf.DUMMYFUNCTION("""COMPUTED_VALUE"""),"Dynamic Programming")</f>
        <v>Dynamic Programming</v>
      </c>
      <c r="E135" s="6" t="str">
        <f>IFERROR(__xludf.DUMMYFUNCTION("""COMPUTED_VALUE"""),"Duolingo,Amazon,Google")</f>
        <v>Duolingo,Amazon,Google</v>
      </c>
      <c r="F135" s="6" t="str">
        <f>IFERROR(__xludf.DUMMYFUNCTION("""COMPUTED_VALUE"""),"Amazon")</f>
        <v>Amazon</v>
      </c>
      <c r="G135" s="6" t="str">
        <f>IFERROR(__xludf.DUMMYFUNCTION("""COMPUTED_VALUE"""),"Google,Amazon")</f>
        <v>Google,Amazon</v>
      </c>
      <c r="H135" s="6" t="str">
        <f>IFERROR(__xludf.DUMMYFUNCTION("""COMPUTED_VALUE"""),"Duolingo,Google,Amazon")</f>
        <v>Duolingo,Google,Amazon</v>
      </c>
      <c r="I135" s="6">
        <f>IFERROR(__xludf.DUMMYFUNCTION("""COMPUTED_VALUE"""),31.35)</f>
        <v>31.35</v>
      </c>
      <c r="J135" s="6" t="str">
        <f>IFERROR(__xludf.DUMMYFUNCTION("""COMPUTED_VALUE"""),"算法")</f>
        <v>算法</v>
      </c>
    </row>
    <row r="136">
      <c r="A136" s="6">
        <f>IFERROR(__xludf.DUMMYFUNCTION("""COMPUTED_VALUE"""),133.0)</f>
        <v>133</v>
      </c>
      <c r="B136" s="53" t="str">
        <f>IFERROR(__xludf.DUMMYFUNCTION("""COMPUTED_VALUE"""),"Clone Graph")</f>
        <v>Clone Graph</v>
      </c>
      <c r="C136" s="6" t="str">
        <f>IFERROR(__xludf.DUMMYFUNCTION("""COMPUTED_VALUE"""),"Medium")</f>
        <v>Medium</v>
      </c>
      <c r="D136" s="6" t="str">
        <f>IFERROR(__xludf.DUMMYFUNCTION("""COMPUTED_VALUE"""),"Graph,Breadth First Search,Depth First Search")</f>
        <v>Graph,Breadth First Search,Depth First Search</v>
      </c>
      <c r="E136" s="6" t="str">
        <f>IFERROR(__xludf.DUMMYFUNCTION("""COMPUTED_VALUE"""),"DiDi,Qualtrics,Docusign,VMware,Pocket Gems,Splunk,Walmart Labs,Twitter,Mathworks,Apple,Uber,Bloomberg,Facebook,Amazon,LinkedIn,Microsoft,Google")</f>
        <v>DiDi,Qualtrics,Docusign,VMware,Pocket Gems,Splunk,Walmart Labs,Twitter,Mathworks,Apple,Uber,Bloomberg,Facebook,Amazon,LinkedIn,Microsoft,Google</v>
      </c>
      <c r="F136" s="6" t="str">
        <f>IFERROR(__xludf.DUMMYFUNCTION("""COMPUTED_VALUE"""),"Facebook,Amazon,Microsoft,Bloomberg,Apple,Google,Twitter,Uber,Qualtrics")</f>
        <v>Facebook,Amazon,Microsoft,Bloomberg,Apple,Google,Twitter,Uber,Qualtrics</v>
      </c>
      <c r="G136" s="6" t="str">
        <f>IFERROR(__xludf.DUMMYFUNCTION("""COMPUTED_VALUE"""),"DiDi,Docusign,Facebook,Amazon,Microsoft,Bloomberg,Apple,Google,Twitter,Uber,Qualtrics")</f>
        <v>DiDi,Docusign,Facebook,Amazon,Microsoft,Bloomberg,Apple,Google,Twitter,Uber,Qualtrics</v>
      </c>
      <c r="H136" s="6" t="str">
        <f>IFERROR(__xludf.DUMMYFUNCTION("""COMPUTED_VALUE"""),"Mathworks,Walmart Labs,Splunk,VMware,Pocket Gems,DiDi,Docusign,Facebook,Amazon,Microsoft,Bloomberg,Apple,Google,Twitter,Uber,Qualtrics")</f>
        <v>Mathworks,Walmart Labs,Splunk,VMware,Pocket Gems,DiDi,Docusign,Facebook,Amazon,Microsoft,Bloomberg,Apple,Google,Twitter,Uber,Qualtrics</v>
      </c>
      <c r="I136" s="6">
        <f>IFERROR(__xludf.DUMMYFUNCTION("""COMPUTED_VALUE"""),39.51)</f>
        <v>39.51</v>
      </c>
      <c r="J136" s="6" t="str">
        <f>IFERROR(__xludf.DUMMYFUNCTION("""COMPUTED_VALUE"""),"算法")</f>
        <v>算法</v>
      </c>
    </row>
    <row r="137">
      <c r="A137" s="6">
        <f>IFERROR(__xludf.DUMMYFUNCTION("""COMPUTED_VALUE"""),134.0)</f>
        <v>134</v>
      </c>
      <c r="B137" s="53" t="str">
        <f>IFERROR(__xludf.DUMMYFUNCTION("""COMPUTED_VALUE"""),"Gas Station")</f>
        <v>Gas Station</v>
      </c>
      <c r="C137" s="6" t="str">
        <f>IFERROR(__xludf.DUMMYFUNCTION("""COMPUTED_VALUE"""),"Medium")</f>
        <v>Medium</v>
      </c>
      <c r="D137" s="6" t="str">
        <f>IFERROR(__xludf.DUMMYFUNCTION("""COMPUTED_VALUE"""),"Greedy")</f>
        <v>Greedy</v>
      </c>
      <c r="E137" s="6" t="str">
        <f>IFERROR(__xludf.DUMMYFUNCTION("""COMPUTED_VALUE"""),"Hotstar,Citrix,Uber,Bloomberg,Facebook,Paypal,Expedia,IBM,Apple,Amazon,Microsoft,Google")</f>
        <v>Hotstar,Citrix,Uber,Bloomberg,Facebook,Paypal,Expedia,IBM,Apple,Amazon,Microsoft,Google</v>
      </c>
      <c r="F137" s="6" t="str">
        <f>IFERROR(__xludf.DUMMYFUNCTION("""COMPUTED_VALUE"""),"Amazon,Google,Microsoft,Bloomberg,Facebook,Apple,Citrix,Hotstar")</f>
        <v>Amazon,Google,Microsoft,Bloomberg,Facebook,Apple,Citrix,Hotstar</v>
      </c>
      <c r="G137" s="6" t="str">
        <f>IFERROR(__xludf.DUMMYFUNCTION("""COMPUTED_VALUE"""),"Uber,IBM,Amazon,Google,Microsoft,Bloomberg,Facebook,Apple,Citrix,Hotstar")</f>
        <v>Uber,IBM,Amazon,Google,Microsoft,Bloomberg,Facebook,Apple,Citrix,Hotstar</v>
      </c>
      <c r="H137" s="6" t="str">
        <f>IFERROR(__xludf.DUMMYFUNCTION("""COMPUTED_VALUE"""),"Expedia,Uber,IBM,Amazon,Google,Microsoft,Bloomberg,Facebook,Apple,Citrix,Hotstar")</f>
        <v>Expedia,Uber,IBM,Amazon,Google,Microsoft,Bloomberg,Facebook,Apple,Citrix,Hotstar</v>
      </c>
      <c r="I137" s="6">
        <f>IFERROR(__xludf.DUMMYFUNCTION("""COMPUTED_VALUE"""),41.4)</f>
        <v>41.4</v>
      </c>
      <c r="J137" s="6" t="str">
        <f>IFERROR(__xludf.DUMMYFUNCTION("""COMPUTED_VALUE"""),"算法")</f>
        <v>算法</v>
      </c>
    </row>
    <row r="138">
      <c r="A138" s="6">
        <f>IFERROR(__xludf.DUMMYFUNCTION("""COMPUTED_VALUE"""),135.0)</f>
        <v>135</v>
      </c>
      <c r="B138" s="53" t="str">
        <f>IFERROR(__xludf.DUMMYFUNCTION("""COMPUTED_VALUE"""),"Candy")</f>
        <v>Candy</v>
      </c>
      <c r="C138" s="6" t="str">
        <f>IFERROR(__xludf.DUMMYFUNCTION("""COMPUTED_VALUE"""),"Hard")</f>
        <v>Hard</v>
      </c>
      <c r="D138" s="6" t="str">
        <f>IFERROR(__xludf.DUMMYFUNCTION("""COMPUTED_VALUE"""),"Greedy")</f>
        <v>Greedy</v>
      </c>
      <c r="E138" s="6" t="str">
        <f>IFERROR(__xludf.DUMMYFUNCTION("""COMPUTED_VALUE"""),"Flipkart,Apple,Goldman Sachs,Salesforce,Uber,Amazon,Microsoft,Google")</f>
        <v>Flipkart,Apple,Goldman Sachs,Salesforce,Uber,Amazon,Microsoft,Google</v>
      </c>
      <c r="F138" s="6" t="str">
        <f>IFERROR(__xludf.DUMMYFUNCTION("""COMPUTED_VALUE"""),"Amazon")</f>
        <v>Amazon</v>
      </c>
      <c r="G138" s="6" t="str">
        <f>IFERROR(__xludf.DUMMYFUNCTION("""COMPUTED_VALUE"""),"Apple,Goldman Sachs,Amazon")</f>
        <v>Apple,Goldman Sachs,Amazon</v>
      </c>
      <c r="H138" s="6" t="str">
        <f>IFERROR(__xludf.DUMMYFUNCTION("""COMPUTED_VALUE"""),"Microsoft,Flipkart,Google,Salesforce,Apple,Goldman Sachs,Amazon")</f>
        <v>Microsoft,Flipkart,Google,Salesforce,Apple,Goldman Sachs,Amazon</v>
      </c>
      <c r="I138" s="6">
        <f>IFERROR(__xludf.DUMMYFUNCTION("""COMPUTED_VALUE"""),33.19)</f>
        <v>33.19</v>
      </c>
      <c r="J138" s="6" t="str">
        <f>IFERROR(__xludf.DUMMYFUNCTION("""COMPUTED_VALUE"""),"算法")</f>
        <v>算法</v>
      </c>
    </row>
    <row r="139">
      <c r="A139" s="6">
        <f>IFERROR(__xludf.DUMMYFUNCTION("""COMPUTED_VALUE"""),136.0)</f>
        <v>136</v>
      </c>
      <c r="B139" s="53" t="str">
        <f>IFERROR(__xludf.DUMMYFUNCTION("""COMPUTED_VALUE"""),"Single Number")</f>
        <v>Single Number</v>
      </c>
      <c r="C139" s="6" t="str">
        <f>IFERROR(__xludf.DUMMYFUNCTION("""COMPUTED_VALUE"""),"Easy")</f>
        <v>Easy</v>
      </c>
      <c r="D139" s="6" t="str">
        <f>IFERROR(__xludf.DUMMYFUNCTION("""COMPUTED_VALUE"""),"Bit Manipulation,Hash Table")</f>
        <v>Bit Manipulation,Hash Table</v>
      </c>
      <c r="E139" s="6" t="str">
        <f>IFERROR(__xludf.DUMMYFUNCTION("""COMPUTED_VALUE"""),"Palantir Technologies,Atlassian,Oracle,Apple,Airbnb,Tencent,SAP,Bloomberg,Adobe,Facebook,Amazon,Microsoft,Google")</f>
        <v>Palantir Technologies,Atlassian,Oracle,Apple,Airbnb,Tencent,SAP,Bloomberg,Adobe,Facebook,Amazon,Microsoft,Google</v>
      </c>
      <c r="F139" s="6" t="str">
        <f>IFERROR(__xludf.DUMMYFUNCTION("""COMPUTED_VALUE"""),"Google,Facebook,Microsoft,Amazon")</f>
        <v>Google,Facebook,Microsoft,Amazon</v>
      </c>
      <c r="G139" s="6" t="str">
        <f>IFERROR(__xludf.DUMMYFUNCTION("""COMPUTED_VALUE"""),"Apple,Bloomberg,Adobe,Google,Facebook,Microsoft,Amazon")</f>
        <v>Apple,Bloomberg,Adobe,Google,Facebook,Microsoft,Amazon</v>
      </c>
      <c r="H139" s="6" t="str">
        <f>IFERROR(__xludf.DUMMYFUNCTION("""COMPUTED_VALUE"""),"Tencent,Oracle,Atlassian,Airbnb,Palantir Technologies,Apple,Bloomberg,Adobe,Google,Facebook,Microsoft,Amazon")</f>
        <v>Tencent,Oracle,Atlassian,Airbnb,Palantir Technologies,Apple,Bloomberg,Adobe,Google,Facebook,Microsoft,Amazon</v>
      </c>
      <c r="I139" s="6">
        <f>IFERROR(__xludf.DUMMYFUNCTION("""COMPUTED_VALUE"""),66.61)</f>
        <v>66.61</v>
      </c>
      <c r="J139" s="6" t="str">
        <f>IFERROR(__xludf.DUMMYFUNCTION("""COMPUTED_VALUE"""),"算法")</f>
        <v>算法</v>
      </c>
    </row>
    <row r="140">
      <c r="A140" s="6">
        <f>IFERROR(__xludf.DUMMYFUNCTION("""COMPUTED_VALUE"""),137.0)</f>
        <v>137</v>
      </c>
      <c r="B140" s="53" t="str">
        <f>IFERROR(__xludf.DUMMYFUNCTION("""COMPUTED_VALUE"""),"Single Number II")</f>
        <v>Single Number II</v>
      </c>
      <c r="C140" s="6" t="str">
        <f>IFERROR(__xludf.DUMMYFUNCTION("""COMPUTED_VALUE"""),"Medium")</f>
        <v>Medium</v>
      </c>
      <c r="D140" s="6" t="str">
        <f>IFERROR(__xludf.DUMMYFUNCTION("""COMPUTED_VALUE"""),"Bit Manipulation")</f>
        <v>Bit Manipulation</v>
      </c>
      <c r="E140" s="6" t="str">
        <f>IFERROR(__xludf.DUMMYFUNCTION("""COMPUTED_VALUE"""),"Apple,Adobe,Facebook,Amazon,Google")</f>
        <v>Apple,Adobe,Facebook,Amazon,Google</v>
      </c>
      <c r="F140" s="6" t="str">
        <f>IFERROR(__xludf.DUMMYFUNCTION("""COMPUTED_VALUE"""),"Amazon,Adobe")</f>
        <v>Amazon,Adobe</v>
      </c>
      <c r="G140" s="6" t="str">
        <f>IFERROR(__xludf.DUMMYFUNCTION("""COMPUTED_VALUE"""),"Facebook,Google,Amazon,Adobe")</f>
        <v>Facebook,Google,Amazon,Adobe</v>
      </c>
      <c r="H140" s="6" t="str">
        <f>IFERROR(__xludf.DUMMYFUNCTION("""COMPUTED_VALUE"""),"Apple,Facebook,Google,Amazon,Adobe")</f>
        <v>Apple,Facebook,Google,Amazon,Adobe</v>
      </c>
      <c r="I140" s="6">
        <f>IFERROR(__xludf.DUMMYFUNCTION("""COMPUTED_VALUE"""),53.96)</f>
        <v>53.96</v>
      </c>
      <c r="J140" s="6" t="str">
        <f>IFERROR(__xludf.DUMMYFUNCTION("""COMPUTED_VALUE"""),"算法")</f>
        <v>算法</v>
      </c>
    </row>
    <row r="141">
      <c r="A141" s="6">
        <f>IFERROR(__xludf.DUMMYFUNCTION("""COMPUTED_VALUE"""),138.0)</f>
        <v>138</v>
      </c>
      <c r="B141" s="53" t="str">
        <f>IFERROR(__xludf.DUMMYFUNCTION("""COMPUTED_VALUE"""),"Copy List with Random Pointer")</f>
        <v>Copy List with Random Pointer</v>
      </c>
      <c r="C141" s="6" t="str">
        <f>IFERROR(__xludf.DUMMYFUNCTION("""COMPUTED_VALUE"""),"Medium")</f>
        <v>Medium</v>
      </c>
      <c r="D141" s="6" t="str">
        <f>IFERROR(__xludf.DUMMYFUNCTION("""COMPUTED_VALUE"""),"Linked List,Hash Table")</f>
        <v>Linked List,Hash Table</v>
      </c>
      <c r="E141" s="6" t="str">
        <f>IFERROR(__xludf.DUMMYFUNCTION("""COMPUTED_VALUE"""),"ByteDance,Qualcomm,Salesforce,Citadel,Nutanix,Qualtrics,Capital One,Visa,Expedia,Oracle,EBay,Apple,Uber,Yahoo,Bloomberg,Adobe,Facebook,Amazon,Microsoft,Google")</f>
        <v>ByteDance,Qualcomm,Salesforce,Citadel,Nutanix,Qualtrics,Capital One,Visa,Expedia,Oracle,EBay,Apple,Uber,Yahoo,Bloomberg,Adobe,Facebook,Amazon,Microsoft,Google</v>
      </c>
      <c r="F141" s="6" t="str">
        <f>IFERROR(__xludf.DUMMYFUNCTION("""COMPUTED_VALUE"""),"Amazon,Facebook,Microsoft,Bloomberg,eBay,Oracle,Yahoo")</f>
        <v>Amazon,Facebook,Microsoft,Bloomberg,eBay,Oracle,Yahoo</v>
      </c>
      <c r="G141" s="6" t="str">
        <f>IFERROR(__xludf.DUMMYFUNCTION("""COMPUTED_VALUE"""),"Qualtrics,Capital One,ByteDance,Qualcomm,Amazon,Facebook,Microsoft,Bloomberg,eBay,Oracle,Yahoo")</f>
        <v>Qualtrics,Capital One,ByteDance,Qualcomm,Amazon,Facebook,Microsoft,Bloomberg,eBay,Oracle,Yahoo</v>
      </c>
      <c r="H141" s="6" t="str">
        <f>IFERROR(__xludf.DUMMYFUNCTION("""COMPUTED_VALUE"""),"Apple,Google,Salesforce,Nutanix,Citadel,Uber,Qualtrics,Capital One,ByteDance,Qualcomm,Amazon,Facebook,Microsoft,Bloomberg,eBay,Oracle,Yahoo")</f>
        <v>Apple,Google,Salesforce,Nutanix,Citadel,Uber,Qualtrics,Capital One,ByteDance,Qualcomm,Amazon,Facebook,Microsoft,Bloomberg,eBay,Oracle,Yahoo</v>
      </c>
      <c r="I141" s="6">
        <f>IFERROR(__xludf.DUMMYFUNCTION("""COMPUTED_VALUE"""),41.17)</f>
        <v>41.17</v>
      </c>
      <c r="J141" s="6" t="str">
        <f>IFERROR(__xludf.DUMMYFUNCTION("""COMPUTED_VALUE"""),"算法")</f>
        <v>算法</v>
      </c>
    </row>
    <row r="142">
      <c r="A142" s="6">
        <f>IFERROR(__xludf.DUMMYFUNCTION("""COMPUTED_VALUE"""),139.0)</f>
        <v>139</v>
      </c>
      <c r="B142" s="53" t="str">
        <f>IFERROR(__xludf.DUMMYFUNCTION("""COMPUTED_VALUE"""),"Word Break")</f>
        <v>Word Break</v>
      </c>
      <c r="C142" s="6" t="str">
        <f>IFERROR(__xludf.DUMMYFUNCTION("""COMPUTED_VALUE"""),"Medium")</f>
        <v>Medium</v>
      </c>
      <c r="D142" s="6" t="str">
        <f>IFERROR(__xludf.DUMMYFUNCTION("""COMPUTED_VALUE"""),"Dynamic Programming")</f>
        <v>Dynamic Programming</v>
      </c>
      <c r="E142" s="6" t="str">
        <f>IFERROR(__xludf.DUMMYFUNCTION("""COMPUTED_VALUE"""),"Pinterest,Reddit,Twitter,HBO,TripAdvisor,Hulu,Square,Qualtrics,Pocket Gems,Coupang,Audible,ByteDance,Twilio,Salesforce,VMware,Walmart Labs,GoDaddy,Snapchat,Zillow,Yelp,Oracle,EBay,Apple,Uber,Yahoo,Bloomberg,Adobe,Facebook,Amazon,Microsoft,Google")</f>
        <v>Pinterest,Reddit,Twitter,HBO,TripAdvisor,Hulu,Square,Qualtrics,Pocket Gems,Coupang,Audible,ByteDance,Twilio,Salesforce,VMware,Walmart Labs,GoDaddy,Snapchat,Zillow,Yelp,Oracle,EBay,Apple,Uber,Yahoo,Bloomberg,Adobe,Facebook,Amazon,Microsoft,Google</v>
      </c>
      <c r="F142" s="6" t="str">
        <f>IFERROR(__xludf.DUMMYFUNCTION("""COMPUTED_VALUE"""),"Facebook,Amazon,Bloomberg,Microsoft,ByteDance,Apple,eBay,Qualtrics,Oracle,Google,Adobe")</f>
        <v>Facebook,Amazon,Bloomberg,Microsoft,ByteDance,Apple,eBay,Qualtrics,Oracle,Google,Adobe</v>
      </c>
      <c r="G142" s="6" t="str">
        <f>IFERROR(__xludf.DUMMYFUNCTION("""COMPUTED_VALUE"""),"Twitter,Uber,Yahoo,VMware,GoDaddy,Facebook,Amazon,Bloomberg,Microsoft,ByteDance,Apple,eBay,Qualtrics,Oracle,Google,Adobe")</f>
        <v>Twitter,Uber,Yahoo,VMware,GoDaddy,Facebook,Amazon,Bloomberg,Microsoft,ByteDance,Apple,eBay,Qualtrics,Oracle,Google,Adobe</v>
      </c>
      <c r="H142" s="6" t="str">
        <f>IFERROR(__xludf.DUMMYFUNCTION("""COMPUTED_VALUE"""),"Snapchat,Zillow,Audible,Pinterest,Hulu,Square,Salesforce,Walmart Labs,TripAdvisor,Reddit,Pocket Gems,Coupang,Twitter,Uber,Yahoo,VMware,GoDaddy,Facebook,Amazon,Bloomberg,Microsoft,ByteDance,Apple,eBay,Qualtrics,Oracle,Google,Adobe")</f>
        <v>Snapchat,Zillow,Audible,Pinterest,Hulu,Square,Salesforce,Walmart Labs,TripAdvisor,Reddit,Pocket Gems,Coupang,Twitter,Uber,Yahoo,VMware,GoDaddy,Facebook,Amazon,Bloomberg,Microsoft,ByteDance,Apple,eBay,Qualtrics,Oracle,Google,Adobe</v>
      </c>
      <c r="I142" s="6">
        <f>IFERROR(__xludf.DUMMYFUNCTION("""COMPUTED_VALUE"""),41.8)</f>
        <v>41.8</v>
      </c>
      <c r="J142" s="6" t="str">
        <f>IFERROR(__xludf.DUMMYFUNCTION("""COMPUTED_VALUE"""),"算法")</f>
        <v>算法</v>
      </c>
    </row>
    <row r="143">
      <c r="A143" s="6">
        <f>IFERROR(__xludf.DUMMYFUNCTION("""COMPUTED_VALUE"""),140.0)</f>
        <v>140</v>
      </c>
      <c r="B143" s="53" t="str">
        <f>IFERROR(__xludf.DUMMYFUNCTION("""COMPUTED_VALUE"""),"Word Break II")</f>
        <v>Word Break II</v>
      </c>
      <c r="C143" s="6" t="str">
        <f>IFERROR(__xludf.DUMMYFUNCTION("""COMPUTED_VALUE"""),"Hard")</f>
        <v>Hard</v>
      </c>
      <c r="D143" s="6" t="str">
        <f>IFERROR(__xludf.DUMMYFUNCTION("""COMPUTED_VALUE"""),"Backtracking,Dynamic Programming")</f>
        <v>Backtracking,Dynamic Programming</v>
      </c>
      <c r="E143" s="6" t="str">
        <f>IFERROR(__xludf.DUMMYFUNCTION("""COMPUTED_VALUE"""),"ByteDance,EBay,Adobe,Pinterest,Audible,Booking.com,Dropbox,Snapchat,Zillow,Twitter,Oracle,Apple,Uber,Bloomberg,Facebook,Amazon,Microsoft,Google")</f>
        <v>ByteDance,EBay,Adobe,Pinterest,Audible,Booking.com,Dropbox,Snapchat,Zillow,Twitter,Oracle,Apple,Uber,Bloomberg,Facebook,Amazon,Microsoft,Google</v>
      </c>
      <c r="F143" s="6" t="str">
        <f>IFERROR(__xludf.DUMMYFUNCTION("""COMPUTED_VALUE"""),"Amazon,Facebook,Bloomberg,ByteDance,Google,Apple,Microsoft")</f>
        <v>Amazon,Facebook,Bloomberg,ByteDance,Google,Apple,Microsoft</v>
      </c>
      <c r="G143" s="6" t="str">
        <f>IFERROR(__xludf.DUMMYFUNCTION("""COMPUTED_VALUE"""),"Audible,eBay,Adobe,Amazon,Facebook,Bloomberg,ByteDance,Google,Apple,Microsoft")</f>
        <v>Audible,eBay,Adobe,Amazon,Facebook,Bloomberg,ByteDance,Google,Apple,Microsoft</v>
      </c>
      <c r="H143" s="6" t="str">
        <f>IFERROR(__xludf.DUMMYFUNCTION("""COMPUTED_VALUE"""),"Uber,Oracle,Snapchat,Twitter,Dropbox,Audible,eBay,Adobe,Amazon,Facebook,Bloomberg,ByteDance,Google,Apple,Microsoft")</f>
        <v>Uber,Oracle,Snapchat,Twitter,Dropbox,Audible,eBay,Adobe,Amazon,Facebook,Bloomberg,ByteDance,Google,Apple,Microsoft</v>
      </c>
      <c r="I143" s="6">
        <f>IFERROR(__xludf.DUMMYFUNCTION("""COMPUTED_VALUE"""),34.99)</f>
        <v>34.99</v>
      </c>
      <c r="J143" s="6" t="str">
        <f>IFERROR(__xludf.DUMMYFUNCTION("""COMPUTED_VALUE"""),"算法")</f>
        <v>算法</v>
      </c>
    </row>
    <row r="144">
      <c r="A144" s="6">
        <f>IFERROR(__xludf.DUMMYFUNCTION("""COMPUTED_VALUE"""),141.0)</f>
        <v>141</v>
      </c>
      <c r="B144" s="53" t="str">
        <f>IFERROR(__xludf.DUMMYFUNCTION("""COMPUTED_VALUE"""),"Linked List Cycle")</f>
        <v>Linked List Cycle</v>
      </c>
      <c r="C144" s="6" t="str">
        <f>IFERROR(__xludf.DUMMYFUNCTION("""COMPUTED_VALUE"""),"Easy")</f>
        <v>Easy</v>
      </c>
      <c r="D144" s="6" t="str">
        <f>IFERROR(__xludf.DUMMYFUNCTION("""COMPUTED_VALUE"""),"Two Pointers,Linked List")</f>
        <v>Two Pointers,Linked List</v>
      </c>
      <c r="E144" s="6" t="str">
        <f>IFERROR(__xludf.DUMMYFUNCTION("""COMPUTED_VALUE"""),"Tesla,JPMorgan,Expedia,VMware,Walmart Labs,Oracle,Cisco,EBay,Apple,Uber,Yahoo,Bloomberg,Adobe,Facebook,Amazon,LinkedIn,Microsoft,Goldman Sachs,Google")</f>
        <v>Tesla,JPMorgan,Expedia,VMware,Walmart Labs,Oracle,Cisco,EBay,Apple,Uber,Yahoo,Bloomberg,Adobe,Facebook,Amazon,LinkedIn,Microsoft,Goldman Sachs,Google</v>
      </c>
      <c r="F144" s="6" t="str">
        <f>IFERROR(__xludf.DUMMYFUNCTION("""COMPUTED_VALUE"""),"Apple,Microsoft,Amazon,Goldman Sachs,Facebook,Google")</f>
        <v>Apple,Microsoft,Amazon,Goldman Sachs,Facebook,Google</v>
      </c>
      <c r="G144" s="6" t="str">
        <f>IFERROR(__xludf.DUMMYFUNCTION("""COMPUTED_VALUE"""),"Adobe,eBay,Tesla,Apple,Microsoft,Amazon,Goldman Sachs,Facebook,Google")</f>
        <v>Adobe,eBay,Tesla,Apple,Microsoft,Amazon,Goldman Sachs,Facebook,Google</v>
      </c>
      <c r="H144" s="6" t="str">
        <f>IFERROR(__xludf.DUMMYFUNCTION("""COMPUTED_VALUE"""),"Oracle,Walmart Labs,Cisco,Expedia,VMware,JPMorgan,Bloomberg,Yahoo,Adobe,eBay,Tesla,Apple,Microsoft,Amazon,Goldman Sachs,Facebook,Google")</f>
        <v>Oracle,Walmart Labs,Cisco,Expedia,VMware,JPMorgan,Bloomberg,Yahoo,Adobe,eBay,Tesla,Apple,Microsoft,Amazon,Goldman Sachs,Facebook,Google</v>
      </c>
      <c r="I144" s="6">
        <f>IFERROR(__xludf.DUMMYFUNCTION("""COMPUTED_VALUE"""),43.0)</f>
        <v>43</v>
      </c>
      <c r="J144" s="6" t="str">
        <f>IFERROR(__xludf.DUMMYFUNCTION("""COMPUTED_VALUE"""),"算法")</f>
        <v>算法</v>
      </c>
    </row>
    <row r="145">
      <c r="A145" s="6">
        <f>IFERROR(__xludf.DUMMYFUNCTION("""COMPUTED_VALUE"""),142.0)</f>
        <v>142</v>
      </c>
      <c r="B145" s="53" t="str">
        <f>IFERROR(__xludf.DUMMYFUNCTION("""COMPUTED_VALUE"""),"Linked List Cycle II")</f>
        <v>Linked List Cycle II</v>
      </c>
      <c r="C145" s="6" t="str">
        <f>IFERROR(__xludf.DUMMYFUNCTION("""COMPUTED_VALUE"""),"Medium")</f>
        <v>Medium</v>
      </c>
      <c r="D145" s="6" t="str">
        <f>IFERROR(__xludf.DUMMYFUNCTION("""COMPUTED_VALUE"""),"Two Pointers,Linked List")</f>
        <v>Two Pointers,Linked List</v>
      </c>
      <c r="E145" s="6" t="str">
        <f>IFERROR(__xludf.DUMMYFUNCTION("""COMPUTED_VALUE"""),"Oracle,Goldman Sachs,EBay,Apple,Adobe,Amazon,LinkedIn,Microsoft,Google")</f>
        <v>Oracle,Goldman Sachs,EBay,Apple,Adobe,Amazon,LinkedIn,Microsoft,Google</v>
      </c>
      <c r="F145" s="6" t="str">
        <f>IFERROR(__xludf.DUMMYFUNCTION("""COMPUTED_VALUE"""),"Microsoft,Amazon,Apple")</f>
        <v>Microsoft,Amazon,Apple</v>
      </c>
      <c r="G145" s="6" t="str">
        <f>IFERROR(__xludf.DUMMYFUNCTION("""COMPUTED_VALUE"""),"Microsoft,Amazon,Apple")</f>
        <v>Microsoft,Amazon,Apple</v>
      </c>
      <c r="H145" s="6" t="str">
        <f>IFERROR(__xludf.DUMMYFUNCTION("""COMPUTED_VALUE"""),"Adobe,Goldman Sachs,eBay,Oracle,Microsoft,Amazon,Apple")</f>
        <v>Adobe,Goldman Sachs,eBay,Oracle,Microsoft,Amazon,Apple</v>
      </c>
      <c r="I145" s="6">
        <f>IFERROR(__xludf.DUMMYFUNCTION("""COMPUTED_VALUE"""),39.84)</f>
        <v>39.84</v>
      </c>
      <c r="J145" s="6" t="str">
        <f>IFERROR(__xludf.DUMMYFUNCTION("""COMPUTED_VALUE"""),"算法")</f>
        <v>算法</v>
      </c>
    </row>
    <row r="146">
      <c r="A146" s="6">
        <f>IFERROR(__xludf.DUMMYFUNCTION("""COMPUTED_VALUE"""),143.0)</f>
        <v>143</v>
      </c>
      <c r="B146" s="53" t="str">
        <f>IFERROR(__xludf.DUMMYFUNCTION("""COMPUTED_VALUE"""),"Reorder List")</f>
        <v>Reorder List</v>
      </c>
      <c r="C146" s="6" t="str">
        <f>IFERROR(__xludf.DUMMYFUNCTION("""COMPUTED_VALUE"""),"Medium")</f>
        <v>Medium</v>
      </c>
      <c r="D146" s="6" t="str">
        <f>IFERROR(__xludf.DUMMYFUNCTION("""COMPUTED_VALUE"""),"Linked List")</f>
        <v>Linked List</v>
      </c>
      <c r="E146" s="6" t="str">
        <f>IFERROR(__xludf.DUMMYFUNCTION("""COMPUTED_VALUE"""),"Snapchat,Walmart Labs,Apple,Bloomberg,Splunk,ByteDance,Cisco,EBay,Tencent,Adobe,Facebook,Amazon,Microsoft,Google")</f>
        <v>Snapchat,Walmart Labs,Apple,Bloomberg,Splunk,ByteDance,Cisco,EBay,Tencent,Adobe,Facebook,Amazon,Microsoft,Google</v>
      </c>
      <c r="F146" s="6" t="str">
        <f>IFERROR(__xludf.DUMMYFUNCTION("""COMPUTED_VALUE"""),"Amazon,Facebook,Splunk")</f>
        <v>Amazon,Facebook,Splunk</v>
      </c>
      <c r="G146" s="6" t="str">
        <f>IFERROR(__xludf.DUMMYFUNCTION("""COMPUTED_VALUE"""),"Apple,eBay,ByteDance,Microsoft,Bloomberg,Snapchat,Amazon,Facebook,Splunk")</f>
        <v>Apple,eBay,ByteDance,Microsoft,Bloomberg,Snapchat,Amazon,Facebook,Splunk</v>
      </c>
      <c r="H146" s="6" t="str">
        <f>IFERROR(__xludf.DUMMYFUNCTION("""COMPUTED_VALUE"""),"Adobe,Tencent,Walmart Labs,Apple,eBay,ByteDance,Microsoft,Bloomberg,Snapchat,Amazon,Facebook,Splunk")</f>
        <v>Adobe,Tencent,Walmart Labs,Apple,eBay,ByteDance,Microsoft,Bloomberg,Snapchat,Amazon,Facebook,Splunk</v>
      </c>
      <c r="I146" s="6">
        <f>IFERROR(__xludf.DUMMYFUNCTION("""COMPUTED_VALUE"""),40.83)</f>
        <v>40.83</v>
      </c>
      <c r="J146" s="6" t="str">
        <f>IFERROR(__xludf.DUMMYFUNCTION("""COMPUTED_VALUE"""),"算法")</f>
        <v>算法</v>
      </c>
    </row>
    <row r="147">
      <c r="A147" s="6">
        <f>IFERROR(__xludf.DUMMYFUNCTION("""COMPUTED_VALUE"""),144.0)</f>
        <v>144</v>
      </c>
      <c r="B147" s="53" t="str">
        <f>IFERROR(__xludf.DUMMYFUNCTION("""COMPUTED_VALUE"""),"Binary Tree Preorder Traversal")</f>
        <v>Binary Tree Preorder Traversal</v>
      </c>
      <c r="C147" s="6" t="str">
        <f>IFERROR(__xludf.DUMMYFUNCTION("""COMPUTED_VALUE"""),"Medium")</f>
        <v>Medium</v>
      </c>
      <c r="D147" s="6" t="str">
        <f>IFERROR(__xludf.DUMMYFUNCTION("""COMPUTED_VALUE"""),"Tree,Stack")</f>
        <v>Tree,Stack</v>
      </c>
      <c r="E147" s="6" t="str">
        <f>IFERROR(__xludf.DUMMYFUNCTION("""COMPUTED_VALUE"""),"Oracle,Cisco,Bloomberg,Amazon,Microsoft,Google")</f>
        <v>Oracle,Cisco,Bloomberg,Amazon,Microsoft,Google</v>
      </c>
      <c r="F147" s="6" t="str">
        <f>IFERROR(__xludf.DUMMYFUNCTION("""COMPUTED_VALUE"""),"Amazon,Microsoft")</f>
        <v>Amazon,Microsoft</v>
      </c>
      <c r="G147" s="6" t="str">
        <f>IFERROR(__xludf.DUMMYFUNCTION("""COMPUTED_VALUE"""),"Google,Amazon,Microsoft")</f>
        <v>Google,Amazon,Microsoft</v>
      </c>
      <c r="H147" s="6" t="str">
        <f>IFERROR(__xludf.DUMMYFUNCTION("""COMPUTED_VALUE"""),"Oracle,Bloomberg,Google,Amazon,Microsoft")</f>
        <v>Oracle,Bloomberg,Google,Amazon,Microsoft</v>
      </c>
      <c r="I147" s="6">
        <f>IFERROR(__xludf.DUMMYFUNCTION("""COMPUTED_VALUE"""),57.66)</f>
        <v>57.66</v>
      </c>
      <c r="J147" s="6" t="str">
        <f>IFERROR(__xludf.DUMMYFUNCTION("""COMPUTED_VALUE"""),"算法")</f>
        <v>算法</v>
      </c>
    </row>
    <row r="148">
      <c r="A148" s="6">
        <f>IFERROR(__xludf.DUMMYFUNCTION("""COMPUTED_VALUE"""),145.0)</f>
        <v>145</v>
      </c>
      <c r="B148" s="53" t="str">
        <f>IFERROR(__xludf.DUMMYFUNCTION("""COMPUTED_VALUE"""),"Binary Tree Postorder Traversal")</f>
        <v>Binary Tree Postorder Traversal</v>
      </c>
      <c r="C148" s="6" t="str">
        <f>IFERROR(__xludf.DUMMYFUNCTION("""COMPUTED_VALUE"""),"Medium")</f>
        <v>Medium</v>
      </c>
      <c r="D148" s="6" t="str">
        <f>IFERROR(__xludf.DUMMYFUNCTION("""COMPUTED_VALUE"""),"Tree,Stack")</f>
        <v>Tree,Stack</v>
      </c>
      <c r="E148" s="6" t="str">
        <f>IFERROR(__xludf.DUMMYFUNCTION("""COMPUTED_VALUE"""),"Microsoft,Uber,Adobe,Facebook,Amazon,Google")</f>
        <v>Microsoft,Uber,Adobe,Facebook,Amazon,Google</v>
      </c>
      <c r="F148" s="6" t="str">
        <f>IFERROR(__xludf.DUMMYFUNCTION("""COMPUTED_VALUE"""),"Amazon")</f>
        <v>Amazon</v>
      </c>
      <c r="G148" s="6" t="str">
        <f>IFERROR(__xludf.DUMMYFUNCTION("""COMPUTED_VALUE"""),"Facebook,Microsoft,Amazon")</f>
        <v>Facebook,Microsoft,Amazon</v>
      </c>
      <c r="H148" s="6" t="str">
        <f>IFERROR(__xludf.DUMMYFUNCTION("""COMPUTED_VALUE"""),"Google,Uber,Facebook,Microsoft,Amazon")</f>
        <v>Google,Uber,Facebook,Microsoft,Amazon</v>
      </c>
      <c r="I148" s="6">
        <f>IFERROR(__xludf.DUMMYFUNCTION("""COMPUTED_VALUE"""),57.82)</f>
        <v>57.82</v>
      </c>
      <c r="J148" s="6" t="str">
        <f>IFERROR(__xludf.DUMMYFUNCTION("""COMPUTED_VALUE"""),"算法")</f>
        <v>算法</v>
      </c>
    </row>
    <row r="149">
      <c r="A149" s="6">
        <f>IFERROR(__xludf.DUMMYFUNCTION("""COMPUTED_VALUE"""),146.0)</f>
        <v>146</v>
      </c>
      <c r="B149" s="53" t="str">
        <f>IFERROR(__xludf.DUMMYFUNCTION("""COMPUTED_VALUE"""),"LRU Cache")</f>
        <v>LRU Cache</v>
      </c>
      <c r="C149" s="6" t="str">
        <f>IFERROR(__xludf.DUMMYFUNCTION("""COMPUTED_VALUE"""),"Medium")</f>
        <v>Medium</v>
      </c>
      <c r="D149" s="6" t="str">
        <f>IFERROR(__xludf.DUMMYFUNCTION("""COMPUTED_VALUE"""),"Design")</f>
        <v>Design</v>
      </c>
      <c r="E149" s="6" t="str">
        <f>IFERROR(__xludf.DUMMYFUNCTION("""COMPUTED_VALUE"""),"MakeMyTrip,DiDi,Garena,Cohesity,Atlassian,Capital One,PayTM,Infosys,Intel,Cloudera,HBO,Asana,Docusign,TripAdvisor,Tesla,Nutanix,DoorDash,Pinterest,Palantir Technologies,Cruise Automation,Two Sigma,Zenefits,Twitch,Roblox,Splunk,ByteDance,Twilio,Salesforce,"&amp;"Groupon,Zynga,Visa,VMware,Citadel,Walmart Labs,Dropbox,GoDaddy,Snapchat,JPMorgan,Zillow,Paypal,Twitter,Expedia,Wish,Nvidia,Oracle,Spotify,Intuit,Lyft,Cisco,Yandex,EBay,Baidu,Apple,Uber,Yahoo,SAP,Morgan Stanley,Bloomberg,Adobe,Facebook,Amazon,LinkedIn,Micr"&amp;"osoft,Alibaba,Goldman Sachs,Google")</f>
        <v>MakeMyTrip,DiDi,Garena,Cohesity,Atlassian,Capital One,PayTM,Infosys,Intel,Cloudera,HBO,Asana,Docusign,TripAdvisor,Tesla,Nutanix,DoorDash,Pinterest,Palantir Technologies,Cruise Automation,Two Sigma,Zenefits,Twitch,Roblox,Splunk,ByteDance,Twilio,Salesforce,Groupon,Zynga,Visa,VMware,Citadel,Walmart Labs,Dropbox,GoDaddy,Snapchat,JPMorgan,Zillow,Paypal,Twitter,Expedia,Wish,Nvidia,Oracle,Spotify,Intuit,Lyft,Cisco,Yandex,EBay,Baidu,Apple,Uber,Yahoo,SAP,Morgan Stanley,Bloomberg,Adobe,Facebook,Amazon,LinkedIn,Microsoft,Alibaba,Goldman Sachs,Google</v>
      </c>
      <c r="F149" s="6" t="str">
        <f>IFERROR(__xludf.DUMMYFUNCTION("""COMPUTED_VALUE"""),"Amazon,Microsoft,Bloomberg,Facebook,Apple,Capital One,Snapchat,eBay,Oracle,Intuit,Google,ByteDance,Zillow,Uber,Paypal,Twilio,VMware,Dropbox,Adobe,Walmart Labs,Goldman Sachs,Cohesity,Citadel,Salesforce,Tesla,Cruise Automation,Wish,Nutanix,HBO,Morgan Stanle"&amp;"y")</f>
        <v>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G149" s="6" t="str">
        <f>IFERROR(__xludf.DUMMYFUNCTION("""COMPUTED_VALUE"""),"Cisco,Roblox,Pinterest,Nvidia,Yandex,Alibaba,Twitter,Expedia,Zynga,Docusign,Garena,DiDi,Infosys,Amazon,Microsoft,Bloomberg,Facebook,Apple,Capital One,Snapchat,eBay,Oracle,Intuit,Google,ByteDance,Zillow,Uber,Paypal,Twilio,VMware,Dropbox,Adobe,Walmart Labs,"&amp;"Goldman Sachs,Cohesity,Citadel,Salesforce,Tesla,Cruise Automation,Wish,Nutanix,HBO,Morgan Stanley")</f>
        <v>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H149" s="6" t="str">
        <f>IFERROR(__xludf.DUMMYFUNCTION("""COMPUTED_VALUE"""),"Two Sigma,Asana,Yahoo,LinkedIn,Spotify,Cloudera,GoDaddy,Groupon,DoorDash,PayTM,Baidu,Lyft,JPMorgan,TripAdvisor,Intel,Atlassian,Splunk,MakeMyTrip,Palantir Technologies,Zenefits,Cisco,Roblox,Pinterest,Nvidia,Yandex,Alibaba,Twitter,Expedia,Zynga,Docusign,Gar"&amp;"ena,DiDi,Infosys,Amazon,Microsoft,Bloomberg,Facebook,Apple,Capital One,Snapchat,eBay,Oracle,Intuit,Google,ByteDance,Zillow,Uber,Paypal,Twilio,VMware,Dropbox,Adobe,Walmart Labs,Goldman Sachs,Cohesity,Citadel,Salesforce,Tesla,Cruise Automation,Wish,Nutanix,"&amp;"HBO,Morgan Stanley")</f>
        <v>Two Sigma,Asana,Yahoo,LinkedIn,Spotify,Cloudera,GoDaddy,Groupon,DoorDash,PayTM,Baidu,Lyft,JPMorgan,TripAdvisor,Intel,Atlassian,Splunk,MakeMyTrip,Palantir Technologies,Zenefits,Cisco,Roblox,Pinterest,Nvidia,Yandex,Alibaba,Twitter,Expedia,Zynga,Docusign,Garena,DiDi,Infosys,Amazon,Microsoft,Bloomberg,Facebook,Apple,Capital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I149" s="6">
        <f>IFERROR(__xludf.DUMMYFUNCTION("""COMPUTED_VALUE"""),36.03)</f>
        <v>36.03</v>
      </c>
      <c r="J149" s="6" t="str">
        <f>IFERROR(__xludf.DUMMYFUNCTION("""COMPUTED_VALUE"""),"算法")</f>
        <v>算法</v>
      </c>
    </row>
    <row r="150">
      <c r="A150" s="6">
        <f>IFERROR(__xludf.DUMMYFUNCTION("""COMPUTED_VALUE"""),148.0)</f>
        <v>148</v>
      </c>
      <c r="B150" s="53" t="str">
        <f>IFERROR(__xludf.DUMMYFUNCTION("""COMPUTED_VALUE"""),"Sort List")</f>
        <v>Sort List</v>
      </c>
      <c r="C150" s="6" t="str">
        <f>IFERROR(__xludf.DUMMYFUNCTION("""COMPUTED_VALUE"""),"Medium")</f>
        <v>Medium</v>
      </c>
      <c r="D150" s="6" t="str">
        <f>IFERROR(__xludf.DUMMYFUNCTION("""COMPUTED_VALUE"""),"Sort,Linked List")</f>
        <v>Sort,Linked List</v>
      </c>
      <c r="E150" s="6" t="str">
        <f>IFERROR(__xludf.DUMMYFUNCTION("""COMPUTED_VALUE"""),"ByteDance,Apple,Yahoo,Bloomberg,VMware,Baidu,Adobe,Facebook,Amazon,Microsoft,Google")</f>
        <v>ByteDance,Apple,Yahoo,Bloomberg,VMware,Baidu,Adobe,Facebook,Amazon,Microsoft,Google</v>
      </c>
      <c r="F150" s="6" t="str">
        <f>IFERROR(__xludf.DUMMYFUNCTION("""COMPUTED_VALUE"""),"Facebook,Microsoft,Amazon,Google,ByteDance")</f>
        <v>Facebook,Microsoft,Amazon,Google,ByteDance</v>
      </c>
      <c r="G150" s="6" t="str">
        <f>IFERROR(__xludf.DUMMYFUNCTION("""COMPUTED_VALUE"""),"Yahoo,Facebook,Microsoft,Amazon,Google,ByteDance")</f>
        <v>Yahoo,Facebook,Microsoft,Amazon,Google,ByteDance</v>
      </c>
      <c r="H150" s="6" t="str">
        <f>IFERROR(__xludf.DUMMYFUNCTION("""COMPUTED_VALUE"""),"Adobe,Bloomberg,Apple,Yahoo,Facebook,Microsoft,Amazon,Google,ByteDance")</f>
        <v>Adobe,Bloomberg,Apple,Yahoo,Facebook,Microsoft,Amazon,Google,ByteDance</v>
      </c>
      <c r="I150" s="6">
        <f>IFERROR(__xludf.DUMMYFUNCTION("""COMPUTED_VALUE"""),46.46)</f>
        <v>46.46</v>
      </c>
      <c r="J150" s="6" t="str">
        <f>IFERROR(__xludf.DUMMYFUNCTION("""COMPUTED_VALUE"""),"算法")</f>
        <v>算法</v>
      </c>
    </row>
    <row r="151">
      <c r="A151" s="6">
        <f>IFERROR(__xludf.DUMMYFUNCTION("""COMPUTED_VALUE"""),149.0)</f>
        <v>149</v>
      </c>
      <c r="B151" s="53" t="str">
        <f>IFERROR(__xludf.DUMMYFUNCTION("""COMPUTED_VALUE"""),"Max Points on a Line")</f>
        <v>Max Points on a Line</v>
      </c>
      <c r="C151" s="6" t="str">
        <f>IFERROR(__xludf.DUMMYFUNCTION("""COMPUTED_VALUE"""),"Hard")</f>
        <v>Hard</v>
      </c>
      <c r="D151" s="6" t="str">
        <f>IFERROR(__xludf.DUMMYFUNCTION("""COMPUTED_VALUE"""),"Math,Hash Table")</f>
        <v>Math,Hash Table</v>
      </c>
      <c r="E151" s="6" t="str">
        <f>IFERROR(__xludf.DUMMYFUNCTION("""COMPUTED_VALUE"""),"Paypal,Yahoo,Adobe,TripAdvisor,Twitter,Apple,Uber,Bloomberg,Amazon,LinkedIn,Microsoft,Alibaba,Google")</f>
        <v>Paypal,Yahoo,Adobe,TripAdvisor,Twitter,Apple,Uber,Bloomberg,Amazon,LinkedIn,Microsoft,Alibaba,Google</v>
      </c>
      <c r="F151" s="6" t="str">
        <f>IFERROR(__xludf.DUMMYFUNCTION("""COMPUTED_VALUE"""),"Apple,Google,LinkedIn,Amazon,Paypal")</f>
        <v>Apple,Google,LinkedIn,Amazon,Paypal</v>
      </c>
      <c r="G151" s="6" t="str">
        <f>IFERROR(__xludf.DUMMYFUNCTION("""COMPUTED_VALUE"""),"Adobe,Microsoft,Uber,Apple,Google,LinkedIn,Amazon,Paypal")</f>
        <v>Adobe,Microsoft,Uber,Apple,Google,LinkedIn,Amazon,Paypal</v>
      </c>
      <c r="H151" s="6" t="str">
        <f>IFERROR(__xludf.DUMMYFUNCTION("""COMPUTED_VALUE"""),"Bloomberg,TripAdvisor,Yahoo,Twitter,Adobe,Microsoft,Uber,Apple,Google,LinkedIn,Amazon,Paypal")</f>
        <v>Bloomberg,TripAdvisor,Yahoo,Twitter,Adobe,Microsoft,Uber,Apple,Google,LinkedIn,Amazon,Paypal</v>
      </c>
      <c r="I151" s="6">
        <f>IFERROR(__xludf.DUMMYFUNCTION("""COMPUTED_VALUE"""),17.51)</f>
        <v>17.51</v>
      </c>
      <c r="J151" s="6" t="str">
        <f>IFERROR(__xludf.DUMMYFUNCTION("""COMPUTED_VALUE"""),"算法")</f>
        <v>算法</v>
      </c>
    </row>
    <row r="152">
      <c r="A152" s="6">
        <f>IFERROR(__xludf.DUMMYFUNCTION("""COMPUTED_VALUE"""),150.0)</f>
        <v>150</v>
      </c>
      <c r="B152" s="53" t="str">
        <f>IFERROR(__xludf.DUMMYFUNCTION("""COMPUTED_VALUE"""),"Evaluate Reverse Polish Notation")</f>
        <v>Evaluate Reverse Polish Notation</v>
      </c>
      <c r="C152" s="6" t="str">
        <f>IFERROR(__xludf.DUMMYFUNCTION("""COMPUTED_VALUE"""),"Medium")</f>
        <v>Medium</v>
      </c>
      <c r="D152" s="6" t="str">
        <f>IFERROR(__xludf.DUMMYFUNCTION("""COMPUTED_VALUE"""),"Stack")</f>
        <v>Stack</v>
      </c>
      <c r="E152" s="6" t="str">
        <f>IFERROR(__xludf.DUMMYFUNCTION("""COMPUTED_VALUE"""),"Toptal,Oracle,Adobe,Opendoor,Atlassian,VMware,Zillow,Yandex,Uber,Facebook,Amazon,LinkedIn,Microsoft,Google")</f>
        <v>Toptal,Oracle,Adobe,Opendoor,Atlassian,VMware,Zillow,Yandex,Uber,Facebook,Amazon,LinkedIn,Microsoft,Google</v>
      </c>
      <c r="F152" s="6" t="str">
        <f>IFERROR(__xludf.DUMMYFUNCTION("""COMPUTED_VALUE"""),"Amazon,Oracle,LinkedIn,Google,Microsoft")</f>
        <v>Amazon,Oracle,LinkedIn,Google,Microsoft</v>
      </c>
      <c r="G152" s="6" t="str">
        <f>IFERROR(__xludf.DUMMYFUNCTION("""COMPUTED_VALUE"""),"Facebook,Atlassian,VMware,Adobe,Yandex,Toptal,Amazon,Oracle,LinkedIn,Google,Microsoft")</f>
        <v>Facebook,Atlassian,VMware,Adobe,Yandex,Toptal,Amazon,Oracle,LinkedIn,Google,Microsoft</v>
      </c>
      <c r="H152" s="6" t="str">
        <f>IFERROR(__xludf.DUMMYFUNCTION("""COMPUTED_VALUE"""),"Opendoor,Zillow,Facebook,Atlassian,VMware,Adobe,Yandex,Toptal,Amazon,Oracle,LinkedIn,Google,Microsoft")</f>
        <v>Opendoor,Zillow,Facebook,Atlassian,VMware,Adobe,Yandex,Toptal,Amazon,Oracle,LinkedIn,Google,Microsoft</v>
      </c>
      <c r="I152" s="6">
        <f>IFERROR(__xludf.DUMMYFUNCTION("""COMPUTED_VALUE"""),38.06)</f>
        <v>38.06</v>
      </c>
      <c r="J152" s="6" t="str">
        <f>IFERROR(__xludf.DUMMYFUNCTION("""COMPUTED_VALUE"""),"算法")</f>
        <v>算法</v>
      </c>
    </row>
    <row r="153">
      <c r="A153" s="6">
        <f>IFERROR(__xludf.DUMMYFUNCTION("""COMPUTED_VALUE"""),151.0)</f>
        <v>151</v>
      </c>
      <c r="B153" s="53" t="str">
        <f>IFERROR(__xludf.DUMMYFUNCTION("""COMPUTED_VALUE"""),"Reverse Words in a String")</f>
        <v>Reverse Words in a String</v>
      </c>
      <c r="C153" s="6" t="str">
        <f>IFERROR(__xludf.DUMMYFUNCTION("""COMPUTED_VALUE"""),"Medium")</f>
        <v>Medium</v>
      </c>
      <c r="D153" s="6" t="str">
        <f>IFERROR(__xludf.DUMMYFUNCTION("""COMPUTED_VALUE"""),"String")</f>
        <v>String</v>
      </c>
      <c r="E153" s="6" t="str">
        <f>IFERROR(__xludf.DUMMYFUNCTION("""COMPUTED_VALUE"""),"PayTM,ByteDance,Qualcomm,SAP,LinkedIn,Salesforce,VMware,Citadel,Walmart Labs,Snapchat,Zillow,Yelp,Nvidia,Oracle,Cisco,Huawei,Apple,Bloomberg,Facebook,Amazon,Microsoft,Alibaba,Google")</f>
        <v>PayTM,ByteDance,Qualcomm,SAP,LinkedIn,Salesforce,VMware,Citadel,Walmart Labs,Snapchat,Zillow,Yelp,Nvidia,Oracle,Cisco,Huawei,Apple,Bloomberg,Facebook,Amazon,Microsoft,Alibaba,Google</v>
      </c>
      <c r="F153" s="6" t="str">
        <f>IFERROR(__xludf.DUMMYFUNCTION("""COMPUTED_VALUE"""),"Microsoft,Oracle,LinkedIn,Apple,Salesforce")</f>
        <v>Microsoft,Oracle,LinkedIn,Apple,Salesforce</v>
      </c>
      <c r="G153" s="6" t="str">
        <f>IFERROR(__xludf.DUMMYFUNCTION("""COMPUTED_VALUE"""),"Facebook,Amazon,Qualcomm,VMware,ByteDance,Microsoft,Oracle,LinkedIn,Apple,Salesforce")</f>
        <v>Facebook,Amazon,Qualcomm,VMware,ByteDance,Microsoft,Oracle,LinkedIn,Apple,Salesforce</v>
      </c>
      <c r="H153" s="6" t="str">
        <f>IFERROR(__xludf.DUMMYFUNCTION("""COMPUTED_VALUE"""),"Zillow,Nvidia,SAP,Huawei,Cisco,Citadel,PayTM,Bloomberg,Snapchat,Yelp,Facebook,Amazon,Qualcomm,VMware,ByteDance,Microsoft,Oracle,LinkedIn,Apple,Salesforce")</f>
        <v>Zillow,Nvidia,SAP,Huawei,Cisco,Citadel,PayTM,Bloomberg,Snapchat,Yelp,Facebook,Amazon,Qualcomm,VMware,ByteDance,Microsoft,Oracle,LinkedIn,Apple,Salesforce</v>
      </c>
      <c r="I153" s="6">
        <f>IFERROR(__xludf.DUMMYFUNCTION("""COMPUTED_VALUE"""),23.94)</f>
        <v>23.94</v>
      </c>
      <c r="J153" s="6" t="str">
        <f>IFERROR(__xludf.DUMMYFUNCTION("""COMPUTED_VALUE"""),"算法")</f>
        <v>算法</v>
      </c>
    </row>
    <row r="154">
      <c r="A154" s="6">
        <f>IFERROR(__xludf.DUMMYFUNCTION("""COMPUTED_VALUE"""),152.0)</f>
        <v>152</v>
      </c>
      <c r="B154" s="53" t="str">
        <f>IFERROR(__xludf.DUMMYFUNCTION("""COMPUTED_VALUE"""),"Maximum Product Subarray")</f>
        <v>Maximum Product Subarray</v>
      </c>
      <c r="C154" s="6" t="str">
        <f>IFERROR(__xludf.DUMMYFUNCTION("""COMPUTED_VALUE"""),"Medium")</f>
        <v>Medium</v>
      </c>
      <c r="D154" s="6" t="str">
        <f>IFERROR(__xludf.DUMMYFUNCTION("""COMPUTED_VALUE"""),"Dynamic Programming,Array")</f>
        <v>Dynamic Programming,Array</v>
      </c>
      <c r="E154" s="6" t="str">
        <f>IFERROR(__xludf.DUMMYFUNCTION("""COMPUTED_VALUE"""),"Apple,Akuna Capital,ByteDance,Oracle,Uber,Bloomberg,Adobe,Facebook,Amazon,LinkedIn,Microsoft,Alibaba,Google")</f>
        <v>Apple,Akuna Capital,ByteDance,Oracle,Uber,Bloomberg,Adobe,Facebook,Amazon,LinkedIn,Microsoft,Alibaba,Google</v>
      </c>
      <c r="F154" s="6" t="str">
        <f>IFERROR(__xludf.DUMMYFUNCTION("""COMPUTED_VALUE"""),"LinkedIn,Amazon,Google,Apple,Facebook,Bloomberg,Akuna Capital")</f>
        <v>LinkedIn,Amazon,Google,Apple,Facebook,Bloomberg,Akuna Capital</v>
      </c>
      <c r="G154" s="6" t="str">
        <f>IFERROR(__xludf.DUMMYFUNCTION("""COMPUTED_VALUE"""),"Microsoft,Adobe,ByteDance,Uber,LinkedIn,Amazon,Google,Apple,Facebook,Bloomberg,Akuna Capital")</f>
        <v>Microsoft,Adobe,ByteDance,Uber,LinkedIn,Amazon,Google,Apple,Facebook,Bloomberg,Akuna Capital</v>
      </c>
      <c r="H154" s="6" t="str">
        <f>IFERROR(__xludf.DUMMYFUNCTION("""COMPUTED_VALUE"""),"Alibaba,Oracle,Microsoft,Adobe,ByteDance,Uber,LinkedIn,Amazon,Google,Apple,Facebook,Bloomberg,Akuna Capital")</f>
        <v>Alibaba,Oracle,Microsoft,Adobe,ByteDance,Uber,LinkedIn,Amazon,Google,Apple,Facebook,Bloomberg,Akuna Capital</v>
      </c>
      <c r="I154" s="6">
        <f>IFERROR(__xludf.DUMMYFUNCTION("""COMPUTED_VALUE"""),32.82)</f>
        <v>32.82</v>
      </c>
      <c r="J154" s="6" t="str">
        <f>IFERROR(__xludf.DUMMYFUNCTION("""COMPUTED_VALUE"""),"算法")</f>
        <v>算法</v>
      </c>
    </row>
    <row r="155">
      <c r="A155" s="6">
        <f>IFERROR(__xludf.DUMMYFUNCTION("""COMPUTED_VALUE"""),153.0)</f>
        <v>153</v>
      </c>
      <c r="B155" s="53" t="str">
        <f>IFERROR(__xludf.DUMMYFUNCTION("""COMPUTED_VALUE"""),"Find Minimum in Rotated Sorted Array")</f>
        <v>Find Minimum in Rotated Sorted Array</v>
      </c>
      <c r="C155" s="6" t="str">
        <f>IFERROR(__xludf.DUMMYFUNCTION("""COMPUTED_VALUE"""),"Medium")</f>
        <v>Medium</v>
      </c>
      <c r="D155" s="6" t="str">
        <f>IFERROR(__xludf.DUMMYFUNCTION("""COMPUTED_VALUE"""),"Binary Search,Array")</f>
        <v>Binary Search,Array</v>
      </c>
      <c r="E155" s="6" t="str">
        <f>IFERROR(__xludf.DUMMYFUNCTION("""COMPUTED_VALUE"""),"Snapchat,Wish,Atlassian,ByteDance,Salesforce,VMware,Walmart Labs,Oracle,EBay,Apple,Uber,Bloomberg,Facebook,Amazon,Microsoft,Goldman Sachs,Google")</f>
        <v>Snapchat,Wish,Atlassian,ByteDance,Salesforce,VMware,Walmart Labs,Oracle,EBay,Apple,Uber,Bloomberg,Facebook,Amazon,Microsoft,Goldman Sachs,Google</v>
      </c>
      <c r="F155" s="6" t="str">
        <f>IFERROR(__xludf.DUMMYFUNCTION("""COMPUTED_VALUE"""),"Facebook,Amazon,Oracle,Bloomberg,Goldman Sachs,Microsoft")</f>
        <v>Facebook,Amazon,Oracle,Bloomberg,Goldman Sachs,Microsoft</v>
      </c>
      <c r="G155" s="6" t="str">
        <f>IFERROR(__xludf.DUMMYFUNCTION("""COMPUTED_VALUE"""),"eBay,Apple,Google,Wish,ByteDance,Facebook,Amazon,Oracle,Bloomberg,Goldman Sachs,Microsoft")</f>
        <v>eBay,Apple,Google,Wish,ByteDance,Facebook,Amazon,Oracle,Bloomberg,Goldman Sachs,Microsoft</v>
      </c>
      <c r="H155" s="6" t="str">
        <f>IFERROR(__xludf.DUMMYFUNCTION("""COMPUTED_VALUE"""),"Uber,Snapchat,Walmart Labs,Salesforce,Atlassian,eBay,Apple,Google,Wish,ByteDance,Facebook,Amazon,Oracle,Bloomberg,Goldman Sachs,Microsoft")</f>
        <v>Uber,Snapchat,Walmart Labs,Salesforce,Atlassian,eBay,Apple,Google,Wish,ByteDance,Facebook,Amazon,Oracle,Bloomberg,Goldman Sachs,Microsoft</v>
      </c>
      <c r="I155" s="6">
        <f>IFERROR(__xludf.DUMMYFUNCTION("""COMPUTED_VALUE"""),46.25)</f>
        <v>46.25</v>
      </c>
      <c r="J155" s="6" t="str">
        <f>IFERROR(__xludf.DUMMYFUNCTION("""COMPUTED_VALUE"""),"算法")</f>
        <v>算法</v>
      </c>
    </row>
    <row r="156">
      <c r="A156" s="6">
        <f>IFERROR(__xludf.DUMMYFUNCTION("""COMPUTED_VALUE"""),154.0)</f>
        <v>154</v>
      </c>
      <c r="B156" s="53" t="str">
        <f>IFERROR(__xludf.DUMMYFUNCTION("""COMPUTED_VALUE"""),"Find Minimum in Rotated Sorted Array II")</f>
        <v>Find Minimum in Rotated Sorted Array II</v>
      </c>
      <c r="C156" s="6" t="str">
        <f>IFERROR(__xludf.DUMMYFUNCTION("""COMPUTED_VALUE"""),"Hard")</f>
        <v>Hard</v>
      </c>
      <c r="D156" s="6" t="str">
        <f>IFERROR(__xludf.DUMMYFUNCTION("""COMPUTED_VALUE"""),"Binary Search,Array")</f>
        <v>Binary Search,Array</v>
      </c>
      <c r="E156" s="6" t="str">
        <f>IFERROR(__xludf.DUMMYFUNCTION("""COMPUTED_VALUE"""),"Wish,Oracle,Microsoft,Uber,Adobe,Facebook,Amazon,Google")</f>
        <v>Wish,Oracle,Microsoft,Uber,Adobe,Facebook,Amazon,Google</v>
      </c>
      <c r="F156" s="6" t="str">
        <f>IFERROR(__xludf.DUMMYFUNCTION("""COMPUTED_VALUE"""),"Google,Amazon,Oracle")</f>
        <v>Google,Amazon,Oracle</v>
      </c>
      <c r="G156" s="6" t="str">
        <f>IFERROR(__xludf.DUMMYFUNCTION("""COMPUTED_VALUE"""),"Facebook,Google,Amazon,Oracle")</f>
        <v>Facebook,Google,Amazon,Oracle</v>
      </c>
      <c r="H156" s="6" t="str">
        <f>IFERROR(__xludf.DUMMYFUNCTION("""COMPUTED_VALUE"""),"Uber,Microsoft,Wish,Facebook,Google,Amazon,Oracle")</f>
        <v>Uber,Microsoft,Wish,Facebook,Google,Amazon,Oracle</v>
      </c>
      <c r="I156" s="6">
        <f>IFERROR(__xludf.DUMMYFUNCTION("""COMPUTED_VALUE"""),42.07)</f>
        <v>42.07</v>
      </c>
      <c r="J156" s="6" t="str">
        <f>IFERROR(__xludf.DUMMYFUNCTION("""COMPUTED_VALUE"""),"算法")</f>
        <v>算法</v>
      </c>
    </row>
    <row r="157">
      <c r="A157" s="6">
        <f>IFERROR(__xludf.DUMMYFUNCTION("""COMPUTED_VALUE"""),155.0)</f>
        <v>155</v>
      </c>
      <c r="B157" s="53" t="str">
        <f>IFERROR(__xludf.DUMMYFUNCTION("""COMPUTED_VALUE"""),"Min Stack")</f>
        <v>Min Stack</v>
      </c>
      <c r="C157" s="6" t="str">
        <f>IFERROR(__xludf.DUMMYFUNCTION("""COMPUTED_VALUE"""),"Easy")</f>
        <v>Easy</v>
      </c>
      <c r="D157" s="6" t="str">
        <f>IFERROR(__xludf.DUMMYFUNCTION("""COMPUTED_VALUE"""),"Design,Stack")</f>
        <v>Design,Stack</v>
      </c>
      <c r="E157" s="6" t="str">
        <f>IFERROR(__xludf.DUMMYFUNCTION("""COMPUTED_VALUE"""),"Deutsche Bank,Capital One,Groupon,VMware,Twitter,Cisco,Netflix,Pure Storage,Zenefits,Flipkart,Visa,Walmart Labs,Snapchat,ServiceNow,Wish,Oracle,Intuit,Lyft,EBay,Apple,Uber,Bloomberg,Adobe,Facebook,Amazon,LinkedIn,Microsoft,Goldman Sachs,Google")</f>
        <v>Deutsche Bank,Capital One,Groupon,VMware,Twitter,Cisco,Netflix,Pure Storage,Zenefits,Flipkart,Visa,Walmart Labs,Snapchat,ServiceNow,Wish,Oracle,Intuit,Lyft,EBay,Apple,Uber,Bloomberg,Adobe,Facebook,Amazon,LinkedIn,Microsoft,Goldman Sachs,Google</v>
      </c>
      <c r="F157" s="6" t="str">
        <f>IFERROR(__xludf.DUMMYFUNCTION("""COMPUTED_VALUE"""),"Capital One,Amazon,Bloomberg,Microsoft,Oracle,eBay,Apple")</f>
        <v>Capital One,Amazon,Bloomberg,Microsoft,Oracle,eBay,Apple</v>
      </c>
      <c r="G157" s="6" t="str">
        <f>IFERROR(__xludf.DUMMYFUNCTION("""COMPUTED_VALUE"""),"Goldman Sachs,Google,Facebook,Walmart Labs,Netflix,Deutsche Bank,Capital One,Amazon,Bloomberg,Microsoft,Oracle,eBay,Apple")</f>
        <v>Goldman Sachs,Google,Facebook,Walmart Labs,Netflix,Deutsche Bank,Capital One,Amazon,Bloomberg,Microsoft,Oracle,eBay,Apple</v>
      </c>
      <c r="H157" s="6" t="str">
        <f>IFERROR(__xludf.DUMMYFUNCTION("""COMPUTED_VALUE"""),"Adobe,Wish,Pure Storage,Lyft,Cisco,Uber,VMware,Visa,Intuit,ServiceNow,Flipkart,Groupon,Twitter,Snapchat,Zenefits,Goldman Sachs,Google,Facebook,Walmart Labs,Netflix,Deutsche Bank,Capital One,Amazon,Bloomberg,Microsoft,Oracle,eBay,Apple")</f>
        <v>Adobe,Wish,Pure Storage,Lyft,Cisco,Uber,VMware,Visa,Intuit,ServiceNow,Flipkart,Groupon,Twitter,Snapchat,Zenefits,Goldman Sachs,Google,Facebook,Walmart Labs,Netflix,Deutsche Bank,Capital One,Amazon,Bloomberg,Microsoft,Oracle,eBay,Apple</v>
      </c>
      <c r="I157" s="6">
        <f>IFERROR(__xludf.DUMMYFUNCTION("""COMPUTED_VALUE"""),46.6)</f>
        <v>46.6</v>
      </c>
      <c r="J157" s="6" t="str">
        <f>IFERROR(__xludf.DUMMYFUNCTION("""COMPUTED_VALUE"""),"算法")</f>
        <v>算法</v>
      </c>
    </row>
    <row r="158">
      <c r="A158" s="6">
        <f>IFERROR(__xludf.DUMMYFUNCTION("""COMPUTED_VALUE"""),156.0)</f>
        <v>156</v>
      </c>
      <c r="B158" s="53" t="str">
        <f>IFERROR(__xludf.DUMMYFUNCTION("""COMPUTED_VALUE"""),"Binary Tree Upside Down")</f>
        <v>Binary Tree Upside Down</v>
      </c>
      <c r="C158" s="6" t="str">
        <f>IFERROR(__xludf.DUMMYFUNCTION("""COMPUTED_VALUE"""),"Medium")</f>
        <v>Medium</v>
      </c>
      <c r="D158" s="6" t="str">
        <f>IFERROR(__xludf.DUMMYFUNCTION("""COMPUTED_VALUE"""),"Tree")</f>
        <v>Tree</v>
      </c>
      <c r="E158" s="6" t="str">
        <f>IFERROR(__xludf.DUMMYFUNCTION("""COMPUTED_VALUE"""),"LinkedIn,Google")</f>
        <v>LinkedIn,Google</v>
      </c>
      <c r="F158" s="6"/>
      <c r="G158" s="6" t="str">
        <f>IFERROR(__xludf.DUMMYFUNCTION("""COMPUTED_VALUE"""),"LinkedIn")</f>
        <v>LinkedIn</v>
      </c>
      <c r="H158" s="6" t="str">
        <f>IFERROR(__xludf.DUMMYFUNCTION("""COMPUTED_VALUE"""),"LinkedIn")</f>
        <v>LinkedIn</v>
      </c>
      <c r="I158" s="6">
        <f>IFERROR(__xludf.DUMMYFUNCTION("""COMPUTED_VALUE"""),56.49)</f>
        <v>56.49</v>
      </c>
      <c r="J158" s="6" t="str">
        <f>IFERROR(__xludf.DUMMYFUNCTION("""COMPUTED_VALUE"""),"算法")</f>
        <v>算法</v>
      </c>
    </row>
    <row r="159">
      <c r="A159" s="6">
        <f>IFERROR(__xludf.DUMMYFUNCTION("""COMPUTED_VALUE"""),157.0)</f>
        <v>157</v>
      </c>
      <c r="B159" s="53" t="str">
        <f>IFERROR(__xludf.DUMMYFUNCTION("""COMPUTED_VALUE"""),"Read N Characters Given Read4")</f>
        <v>Read N Characters Given Read4</v>
      </c>
      <c r="C159" s="6" t="str">
        <f>IFERROR(__xludf.DUMMYFUNCTION("""COMPUTED_VALUE"""),"Easy")</f>
        <v>Easy</v>
      </c>
      <c r="D159" s="6" t="str">
        <f>IFERROR(__xludf.DUMMYFUNCTION("""COMPUTED_VALUE"""),"String")</f>
        <v>String</v>
      </c>
      <c r="E159" s="6" t="str">
        <f>IFERROR(__xludf.DUMMYFUNCTION("""COMPUTED_VALUE"""),"Rubrik,Lyft,Oracle,Microsoft,Facebook,Google")</f>
        <v>Rubrik,Lyft,Oracle,Microsoft,Facebook,Google</v>
      </c>
      <c r="F159" s="6" t="str">
        <f>IFERROR(__xludf.DUMMYFUNCTION("""COMPUTED_VALUE"""),"Facebook,Rubrik,Lyft")</f>
        <v>Facebook,Rubrik,Lyft</v>
      </c>
      <c r="G159" s="6" t="str">
        <f>IFERROR(__xludf.DUMMYFUNCTION("""COMPUTED_VALUE"""),"Google,Facebook,Rubrik,Lyft")</f>
        <v>Google,Facebook,Rubrik,Lyft</v>
      </c>
      <c r="H159" s="6" t="str">
        <f>IFERROR(__xludf.DUMMYFUNCTION("""COMPUTED_VALUE"""),"Oracle,Microsoft,Google,Facebook,Rubrik,Lyft")</f>
        <v>Oracle,Microsoft,Google,Facebook,Rubrik,Lyft</v>
      </c>
      <c r="I159" s="6">
        <f>IFERROR(__xludf.DUMMYFUNCTION("""COMPUTED_VALUE"""),37.48)</f>
        <v>37.48</v>
      </c>
      <c r="J159" s="6" t="str">
        <f>IFERROR(__xludf.DUMMYFUNCTION("""COMPUTED_VALUE"""),"算法")</f>
        <v>算法</v>
      </c>
    </row>
    <row r="160">
      <c r="A160" s="6">
        <f>IFERROR(__xludf.DUMMYFUNCTION("""COMPUTED_VALUE"""),158.0)</f>
        <v>158</v>
      </c>
      <c r="B160" s="53" t="str">
        <f>IFERROR(__xludf.DUMMYFUNCTION("""COMPUTED_VALUE"""),"Read N Characters Given Read4 II - Call multiple times")</f>
        <v>Read N Characters Given Read4 II - Call multiple times</v>
      </c>
      <c r="C160" s="6" t="str">
        <f>IFERROR(__xludf.DUMMYFUNCTION("""COMPUTED_VALUE"""),"Hard")</f>
        <v>Hard</v>
      </c>
      <c r="D160" s="6" t="str">
        <f>IFERROR(__xludf.DUMMYFUNCTION("""COMPUTED_VALUE"""),"String")</f>
        <v>String</v>
      </c>
      <c r="E160" s="6" t="str">
        <f>IFERROR(__xludf.DUMMYFUNCTION("""COMPUTED_VALUE"""),"Oracle,Apple,Pinterest,Lyft,Uber,Bloomberg,Facebook,Amazon,Microsoft,Google")</f>
        <v>Oracle,Apple,Pinterest,Lyft,Uber,Bloomberg,Facebook,Amazon,Microsoft,Google</v>
      </c>
      <c r="F160" s="6" t="str">
        <f>IFERROR(__xludf.DUMMYFUNCTION("""COMPUTED_VALUE"""),"Facebook,Lyft,Google,Oracle")</f>
        <v>Facebook,Lyft,Google,Oracle</v>
      </c>
      <c r="G160" s="6" t="str">
        <f>IFERROR(__xludf.DUMMYFUNCTION("""COMPUTED_VALUE"""),"Amazon,Facebook,Lyft,Google,Oracle")</f>
        <v>Amazon,Facebook,Lyft,Google,Oracle</v>
      </c>
      <c r="H160" s="6" t="str">
        <f>IFERROR(__xludf.DUMMYFUNCTION("""COMPUTED_VALUE"""),"Microsoft,Uber,Pinterest,Apple,Bloomberg,Amazon,Facebook,Lyft,Google,Oracle")</f>
        <v>Microsoft,Uber,Pinterest,Apple,Bloomberg,Amazon,Facebook,Lyft,Google,Oracle</v>
      </c>
      <c r="I160" s="6">
        <f>IFERROR(__xludf.DUMMYFUNCTION("""COMPUTED_VALUE"""),37.11)</f>
        <v>37.11</v>
      </c>
      <c r="J160" s="6" t="str">
        <f>IFERROR(__xludf.DUMMYFUNCTION("""COMPUTED_VALUE"""),"算法")</f>
        <v>算法</v>
      </c>
    </row>
    <row r="161">
      <c r="A161" s="6">
        <f>IFERROR(__xludf.DUMMYFUNCTION("""COMPUTED_VALUE"""),159.0)</f>
        <v>159</v>
      </c>
      <c r="B161" s="53" t="str">
        <f>IFERROR(__xludf.DUMMYFUNCTION("""COMPUTED_VALUE"""),"Longest Substring with At Most Two Distinct Characters")</f>
        <v>Longest Substring with At Most Two Distinct Characters</v>
      </c>
      <c r="C161" s="6" t="str">
        <f>IFERROR(__xludf.DUMMYFUNCTION("""COMPUTED_VALUE"""),"Medium")</f>
        <v>Medium</v>
      </c>
      <c r="D161" s="6" t="str">
        <f>IFERROR(__xludf.DUMMYFUNCTION("""COMPUTED_VALUE"""),"Sliding Window,String,Two Pointers,Hash Table")</f>
        <v>Sliding Window,String,Two Pointers,Hash Table</v>
      </c>
      <c r="E161" s="6" t="str">
        <f>IFERROR(__xludf.DUMMYFUNCTION("""COMPUTED_VALUE"""),"Adobe,Facebook,Amazon,Microsoft,Google")</f>
        <v>Adobe,Facebook,Amazon,Microsoft,Google</v>
      </c>
      <c r="F161" s="6" t="str">
        <f>IFERROR(__xludf.DUMMYFUNCTION("""COMPUTED_VALUE"""),"Facebook")</f>
        <v>Facebook</v>
      </c>
      <c r="G161" s="6" t="str">
        <f>IFERROR(__xludf.DUMMYFUNCTION("""COMPUTED_VALUE"""),"Google,Microsoft,Facebook")</f>
        <v>Google,Microsoft,Facebook</v>
      </c>
      <c r="H161" s="6" t="str">
        <f>IFERROR(__xludf.DUMMYFUNCTION("""COMPUTED_VALUE"""),"Amazon,Adobe,Google,Microsoft,Facebook")</f>
        <v>Amazon,Adobe,Google,Microsoft,Facebook</v>
      </c>
      <c r="I161" s="6">
        <f>IFERROR(__xludf.DUMMYFUNCTION("""COMPUTED_VALUE"""),50.57)</f>
        <v>50.57</v>
      </c>
      <c r="J161" s="6" t="str">
        <f>IFERROR(__xludf.DUMMYFUNCTION("""COMPUTED_VALUE"""),"算法")</f>
        <v>算法</v>
      </c>
    </row>
    <row r="162">
      <c r="A162" s="6">
        <f>IFERROR(__xludf.DUMMYFUNCTION("""COMPUTED_VALUE"""),160.0)</f>
        <v>160</v>
      </c>
      <c r="B162" s="53" t="str">
        <f>IFERROR(__xludf.DUMMYFUNCTION("""COMPUTED_VALUE"""),"Intersection of Two Linked Lists")</f>
        <v>Intersection of Two Linked Lists</v>
      </c>
      <c r="C162" s="6" t="str">
        <f>IFERROR(__xludf.DUMMYFUNCTION("""COMPUTED_VALUE"""),"Easy")</f>
        <v>Easy</v>
      </c>
      <c r="D162" s="6" t="str">
        <f>IFERROR(__xludf.DUMMYFUNCTION("""COMPUTED_VALUE"""),"Linked List")</f>
        <v>Linked List</v>
      </c>
      <c r="E162" s="6" t="str">
        <f>IFERROR(__xludf.DUMMYFUNCTION("""COMPUTED_VALUE"""),"Paypal,Intuit,EBay,Apple,Morgan Stanley,Redfin,ByteDance,Qualcomm,Expedia,Oracle,Cisco,Airbnb,Yahoo,Tencent,SAP,Bloomberg,Facebook,Amazon,LinkedIn,Microsoft,Alibaba,Goldman Sachs,Google")</f>
        <v>Paypal,Intuit,EBay,Apple,Morgan Stanley,Redfin,ByteDance,Qualcomm,Expedia,Oracle,Cisco,Airbnb,Yahoo,Tencent,SAP,Bloomberg,Facebook,Amazon,LinkedIn,Microsoft,Alibaba,Goldman Sachs,Google</v>
      </c>
      <c r="F162" s="6" t="str">
        <f>IFERROR(__xludf.DUMMYFUNCTION("""COMPUTED_VALUE"""),"Microsoft,Amazon,Facebook,Apple,ByteDance,LinkedIn,Paypal,Bloomberg,Intuit")</f>
        <v>Microsoft,Amazon,Facebook,Apple,ByteDance,LinkedIn,Paypal,Bloomberg,Intuit</v>
      </c>
      <c r="G162" s="6" t="str">
        <f>IFERROR(__xludf.DUMMYFUNCTION("""COMPUTED_VALUE"""),"eBay,Google,Qualcomm,Yahoo,Morgan Stanley,Redfin,Microsoft,Amazon,Facebook,Apple,ByteDance,LinkedIn,Paypal,Bloomberg,Intuit")</f>
        <v>eBay,Google,Qualcomm,Yahoo,Morgan Stanley,Redfin,Microsoft,Amazon,Facebook,Apple,ByteDance,LinkedIn,Paypal,Bloomberg,Intuit</v>
      </c>
      <c r="H162" s="6" t="str">
        <f>IFERROR(__xludf.DUMMYFUNCTION("""COMPUTED_VALUE"""),"Oracle,Airbnb,Goldman Sachs,Cisco,eBay,Google,Qualcomm,Yahoo,Morgan Stanley,Redfin,Microsoft,Amazon,Facebook,Apple,ByteDance,LinkedIn,Paypal,Bloomberg,Intuit")</f>
        <v>Oracle,Airbnb,Goldman Sachs,Cisco,eBay,Google,Qualcomm,Yahoo,Morgan Stanley,Redfin,Microsoft,Amazon,Facebook,Apple,ByteDance,LinkedIn,Paypal,Bloomberg,Intuit</v>
      </c>
      <c r="I162" s="6">
        <f>IFERROR(__xludf.DUMMYFUNCTION("""COMPUTED_VALUE"""),44.24)</f>
        <v>44.24</v>
      </c>
      <c r="J162" s="6" t="str">
        <f>IFERROR(__xludf.DUMMYFUNCTION("""COMPUTED_VALUE"""),"算法")</f>
        <v>算法</v>
      </c>
    </row>
    <row r="163">
      <c r="A163" s="6">
        <f>IFERROR(__xludf.DUMMYFUNCTION("""COMPUTED_VALUE"""),161.0)</f>
        <v>161</v>
      </c>
      <c r="B163" s="53" t="str">
        <f>IFERROR(__xludf.DUMMYFUNCTION("""COMPUTED_VALUE"""),"One Edit Distance")</f>
        <v>One Edit Distance</v>
      </c>
      <c r="C163" s="6" t="str">
        <f>IFERROR(__xludf.DUMMYFUNCTION("""COMPUTED_VALUE"""),"Medium")</f>
        <v>Medium</v>
      </c>
      <c r="D163" s="6" t="str">
        <f>IFERROR(__xludf.DUMMYFUNCTION("""COMPUTED_VALUE"""),"String")</f>
        <v>String</v>
      </c>
      <c r="E163" s="6" t="str">
        <f>IFERROR(__xludf.DUMMYFUNCTION("""COMPUTED_VALUE"""),"Yandex,Apple,Snapchat,Twitter,Uber,Facebook,Amazon,Microsoft,Google")</f>
        <v>Yandex,Apple,Snapchat,Twitter,Uber,Facebook,Amazon,Microsoft,Google</v>
      </c>
      <c r="F163" s="6" t="str">
        <f>IFERROR(__xludf.DUMMYFUNCTION("""COMPUTED_VALUE"""),"Apple,Facebook,Amazon,Yandex")</f>
        <v>Apple,Facebook,Amazon,Yandex</v>
      </c>
      <c r="G163" s="6" t="str">
        <f>IFERROR(__xludf.DUMMYFUNCTION("""COMPUTED_VALUE"""),"Apple,Facebook,Amazon,Yandex")</f>
        <v>Apple,Facebook,Amazon,Yandex</v>
      </c>
      <c r="H163" s="6" t="str">
        <f>IFERROR(__xludf.DUMMYFUNCTION("""COMPUTED_VALUE"""),"Microsoft,Twitter,Snapchat,Uber,Apple,Facebook,Amazon,Yandex")</f>
        <v>Microsoft,Twitter,Snapchat,Uber,Apple,Facebook,Amazon,Yandex</v>
      </c>
      <c r="I163" s="6">
        <f>IFERROR(__xludf.DUMMYFUNCTION("""COMPUTED_VALUE"""),33.1)</f>
        <v>33.1</v>
      </c>
      <c r="J163" s="6" t="str">
        <f>IFERROR(__xludf.DUMMYFUNCTION("""COMPUTED_VALUE"""),"算法")</f>
        <v>算法</v>
      </c>
    </row>
    <row r="164">
      <c r="A164" s="6">
        <f>IFERROR(__xludf.DUMMYFUNCTION("""COMPUTED_VALUE"""),162.0)</f>
        <v>162</v>
      </c>
      <c r="B164" s="53" t="str">
        <f>IFERROR(__xludf.DUMMYFUNCTION("""COMPUTED_VALUE"""),"Find Peak Element")</f>
        <v>Find Peak Element</v>
      </c>
      <c r="C164" s="6" t="str">
        <f>IFERROR(__xludf.DUMMYFUNCTION("""COMPUTED_VALUE"""),"Medium")</f>
        <v>Medium</v>
      </c>
      <c r="D164" s="6" t="str">
        <f>IFERROR(__xludf.DUMMYFUNCTION("""COMPUTED_VALUE"""),"Binary Search,Array")</f>
        <v>Binary Search,Array</v>
      </c>
      <c r="E164" s="6" t="str">
        <f>IFERROR(__xludf.DUMMYFUNCTION("""COMPUTED_VALUE"""),"DE Shaw,Duolingo,ByteDance,IXL,VMware,Quora,Walmart Labs,Lyft,Apple,Uber,Yahoo,Bloomberg,Facebook,Amazon,Microsoft,Google")</f>
        <v>DE Shaw,Duolingo,ByteDance,IXL,VMware,Quora,Walmart Labs,Lyft,Apple,Uber,Yahoo,Bloomberg,Facebook,Amazon,Microsoft,Google</v>
      </c>
      <c r="F164" s="6" t="str">
        <f>IFERROR(__xludf.DUMMYFUNCTION("""COMPUTED_VALUE"""),"Facebook,Amazon,Quora,Bloomberg,Google")</f>
        <v>Facebook,Amazon,Quora,Bloomberg,Google</v>
      </c>
      <c r="G164" s="6" t="str">
        <f>IFERROR(__xludf.DUMMYFUNCTION("""COMPUTED_VALUE"""),"Apple,Microsoft,Uber,ByteDance,Facebook,Amazon,Quora,Bloomberg,Google")</f>
        <v>Apple,Microsoft,Uber,ByteDance,Facebook,Amazon,Quora,Bloomberg,Google</v>
      </c>
      <c r="H164" s="6" t="str">
        <f>IFERROR(__xludf.DUMMYFUNCTION("""COMPUTED_VALUE"""),"DE Shaw,Walmart Labs,Duolingo,Apple,Microsoft,Uber,ByteDance,Facebook,Amazon,Quora,Bloomberg,Google")</f>
        <v>DE Shaw,Walmart Labs,Duolingo,Apple,Microsoft,Uber,ByteDance,Facebook,Amazon,Quora,Bloomberg,Google</v>
      </c>
      <c r="I164" s="6">
        <f>IFERROR(__xludf.DUMMYFUNCTION("""COMPUTED_VALUE"""),44.02)</f>
        <v>44.02</v>
      </c>
      <c r="J164" s="6" t="str">
        <f>IFERROR(__xludf.DUMMYFUNCTION("""COMPUTED_VALUE"""),"算法")</f>
        <v>算法</v>
      </c>
    </row>
    <row r="165">
      <c r="A165" s="6">
        <f>IFERROR(__xludf.DUMMYFUNCTION("""COMPUTED_VALUE"""),163.0)</f>
        <v>163</v>
      </c>
      <c r="B165" s="53" t="str">
        <f>IFERROR(__xludf.DUMMYFUNCTION("""COMPUTED_VALUE"""),"Missing Ranges")</f>
        <v>Missing Ranges</v>
      </c>
      <c r="C165" s="6" t="str">
        <f>IFERROR(__xludf.DUMMYFUNCTION("""COMPUTED_VALUE"""),"Easy")</f>
        <v>Easy</v>
      </c>
      <c r="D165" s="6" t="str">
        <f>IFERROR(__xludf.DUMMYFUNCTION("""COMPUTED_VALUE"""),"Array")</f>
        <v>Array</v>
      </c>
      <c r="E165" s="6" t="str">
        <f>IFERROR(__xludf.DUMMYFUNCTION("""COMPUTED_VALUE"""),"Coupang,Oracle,Facebook,Amazon,Google")</f>
        <v>Coupang,Oracle,Facebook,Amazon,Google</v>
      </c>
      <c r="F165" s="6" t="str">
        <f>IFERROR(__xludf.DUMMYFUNCTION("""COMPUTED_VALUE"""),"Facebook,Google,Amazon,Coupang")</f>
        <v>Facebook,Google,Amazon,Coupang</v>
      </c>
      <c r="G165" s="6" t="str">
        <f>IFERROR(__xludf.DUMMYFUNCTION("""COMPUTED_VALUE"""),"Facebook,Google,Amazon,Coupang")</f>
        <v>Facebook,Google,Amazon,Coupang</v>
      </c>
      <c r="H165" s="6" t="str">
        <f>IFERROR(__xludf.DUMMYFUNCTION("""COMPUTED_VALUE"""),"Facebook,Google,Amazon,Coupang")</f>
        <v>Facebook,Google,Amazon,Coupang</v>
      </c>
      <c r="I165" s="6">
        <f>IFERROR(__xludf.DUMMYFUNCTION("""COMPUTED_VALUE"""),27.13)</f>
        <v>27.13</v>
      </c>
      <c r="J165" s="6" t="str">
        <f>IFERROR(__xludf.DUMMYFUNCTION("""COMPUTED_VALUE"""),"算法")</f>
        <v>算法</v>
      </c>
    </row>
    <row r="166">
      <c r="A166" s="6">
        <f>IFERROR(__xludf.DUMMYFUNCTION("""COMPUTED_VALUE"""),165.0)</f>
        <v>165</v>
      </c>
      <c r="B166" s="53" t="str">
        <f>IFERROR(__xludf.DUMMYFUNCTION("""COMPUTED_VALUE"""),"Compare Version Numbers")</f>
        <v>Compare Version Numbers</v>
      </c>
      <c r="C166" s="6" t="str">
        <f>IFERROR(__xludf.DUMMYFUNCTION("""COMPUTED_VALUE"""),"Medium")</f>
        <v>Medium</v>
      </c>
      <c r="D166" s="6" t="str">
        <f>IFERROR(__xludf.DUMMYFUNCTION("""COMPUTED_VALUE"""),"String")</f>
        <v>String</v>
      </c>
      <c r="E166" s="6" t="str">
        <f>IFERROR(__xludf.DUMMYFUNCTION("""COMPUTED_VALUE"""),"ByteDance,Arista Networks,Square,Apple,Amazon,Microsoft,Google")</f>
        <v>ByteDance,Arista Networks,Square,Apple,Amazon,Microsoft,Google</v>
      </c>
      <c r="F166" s="6" t="str">
        <f>IFERROR(__xludf.DUMMYFUNCTION("""COMPUTED_VALUE"""),"Amazon,Google,Microsoft,ByteDance")</f>
        <v>Amazon,Google,Microsoft,ByteDance</v>
      </c>
      <c r="G166" s="6" t="str">
        <f>IFERROR(__xludf.DUMMYFUNCTION("""COMPUTED_VALUE"""),"Amazon,Google,Microsoft,ByteDance")</f>
        <v>Amazon,Google,Microsoft,ByteDance</v>
      </c>
      <c r="H166" s="6" t="str">
        <f>IFERROR(__xludf.DUMMYFUNCTION("""COMPUTED_VALUE"""),"Square,Apple,Arista Networks,Amazon,Google,Microsoft,ByteDance")</f>
        <v>Square,Apple,Arista Networks,Amazon,Google,Microsoft,ByteDance</v>
      </c>
      <c r="I166" s="6">
        <f>IFERROR(__xludf.DUMMYFUNCTION("""COMPUTED_VALUE"""),30.53)</f>
        <v>30.53</v>
      </c>
      <c r="J166" s="6" t="str">
        <f>IFERROR(__xludf.DUMMYFUNCTION("""COMPUTED_VALUE"""),"算法")</f>
        <v>算法</v>
      </c>
    </row>
    <row r="167">
      <c r="A167" s="6">
        <f>IFERROR(__xludf.DUMMYFUNCTION("""COMPUTED_VALUE"""),166.0)</f>
        <v>166</v>
      </c>
      <c r="B167" s="53" t="str">
        <f>IFERROR(__xludf.DUMMYFUNCTION("""COMPUTED_VALUE"""),"Fraction to Recurring Decimal")</f>
        <v>Fraction to Recurring Decimal</v>
      </c>
      <c r="C167" s="6" t="str">
        <f>IFERROR(__xludf.DUMMYFUNCTION("""COMPUTED_VALUE"""),"Medium")</f>
        <v>Medium</v>
      </c>
      <c r="D167" s="6" t="str">
        <f>IFERROR(__xludf.DUMMYFUNCTION("""COMPUTED_VALUE"""),"Math,Hash Table")</f>
        <v>Math,Hash Table</v>
      </c>
      <c r="E167" s="6" t="str">
        <f>IFERROR(__xludf.DUMMYFUNCTION("""COMPUTED_VALUE"""),"ByteDance,Oracle,Apple,Microsoft,Cohesity,IXL,Rubrik,Airbnb,Uber,Tencent,Facebook,Amazon,Goldman Sachs,Google")</f>
        <v>ByteDance,Oracle,Apple,Microsoft,Cohesity,IXL,Rubrik,Airbnb,Uber,Tencent,Facebook,Amazon,Goldman Sachs,Google</v>
      </c>
      <c r="F167" s="6" t="str">
        <f>IFERROR(__xludf.DUMMYFUNCTION("""COMPUTED_VALUE"""),"Goldman Sachs,Facebook")</f>
        <v>Goldman Sachs,Facebook</v>
      </c>
      <c r="G167" s="6" t="str">
        <f>IFERROR(__xludf.DUMMYFUNCTION("""COMPUTED_VALUE"""),"IXL,Google,ByteDance,Goldman Sachs,Facebook")</f>
        <v>IXL,Google,ByteDance,Goldman Sachs,Facebook</v>
      </c>
      <c r="H167" s="6" t="str">
        <f>IFERROR(__xludf.DUMMYFUNCTION("""COMPUTED_VALUE"""),"Airbnb,Uber,Amazon,Rubrik,Oracle,Apple,Microsoft,IXL,Google,ByteDance,Goldman Sachs,Facebook")</f>
        <v>Airbnb,Uber,Amazon,Rubrik,Oracle,Apple,Microsoft,IXL,Google,ByteDance,Goldman Sachs,Facebook</v>
      </c>
      <c r="I167" s="6">
        <f>IFERROR(__xludf.DUMMYFUNCTION("""COMPUTED_VALUE"""),22.35)</f>
        <v>22.35</v>
      </c>
      <c r="J167" s="6" t="str">
        <f>IFERROR(__xludf.DUMMYFUNCTION("""COMPUTED_VALUE"""),"算法")</f>
        <v>算法</v>
      </c>
    </row>
    <row r="168">
      <c r="A168" s="6">
        <f>IFERROR(__xludf.DUMMYFUNCTION("""COMPUTED_VALUE"""),167.0)</f>
        <v>167</v>
      </c>
      <c r="B168" s="53" t="str">
        <f>IFERROR(__xludf.DUMMYFUNCTION("""COMPUTED_VALUE"""),"Two Sum II - Input array is sorted")</f>
        <v>Two Sum II - Input array is sorted</v>
      </c>
      <c r="C168" s="6" t="str">
        <f>IFERROR(__xludf.DUMMYFUNCTION("""COMPUTED_VALUE"""),"Easy")</f>
        <v>Easy</v>
      </c>
      <c r="D168" s="6" t="str">
        <f>IFERROR(__xludf.DUMMYFUNCTION("""COMPUTED_VALUE"""),"Binary Search,Two Pointers,Array")</f>
        <v>Binary Search,Two Pointers,Array</v>
      </c>
      <c r="E168" s="6" t="str">
        <f>IFERROR(__xludf.DUMMYFUNCTION("""COMPUTED_VALUE"""),"Oracle,Intuit,Uber,Bloomberg,Wayfair,Pure Storage,ByteDance,Paypal,Expedia,Apple,Facebook,Amazon,Microsoft,Goldman Sachs,Google")</f>
        <v>Oracle,Intuit,Uber,Bloomberg,Wayfair,Pure Storage,ByteDance,Paypal,Expedia,Apple,Facebook,Amazon,Microsoft,Goldman Sachs,Google</v>
      </c>
      <c r="F168" s="6" t="str">
        <f>IFERROR(__xludf.DUMMYFUNCTION("""COMPUTED_VALUE"""),"Oracle,Amazon,Microsoft")</f>
        <v>Oracle,Amazon,Microsoft</v>
      </c>
      <c r="G168" s="6" t="str">
        <f>IFERROR(__xludf.DUMMYFUNCTION("""COMPUTED_VALUE"""),"Apple,Intuit,ByteDance,Oracle,Amazon,Microsoft")</f>
        <v>Apple,Intuit,ByteDance,Oracle,Amazon,Microsoft</v>
      </c>
      <c r="H168" s="6" t="str">
        <f>IFERROR(__xludf.DUMMYFUNCTION("""COMPUTED_VALUE"""),"Google,Uber,Bloomberg,Paypal,Goldman Sachs,Pure Storage,Apple,Intuit,ByteDance,Oracle,Amazon,Microsoft")</f>
        <v>Google,Uber,Bloomberg,Paypal,Goldman Sachs,Pure Storage,Apple,Intuit,ByteDance,Oracle,Amazon,Microsoft</v>
      </c>
      <c r="I168" s="6">
        <f>IFERROR(__xludf.DUMMYFUNCTION("""COMPUTED_VALUE"""),55.74)</f>
        <v>55.74</v>
      </c>
      <c r="J168" s="6" t="str">
        <f>IFERROR(__xludf.DUMMYFUNCTION("""COMPUTED_VALUE"""),"算法")</f>
        <v>算法</v>
      </c>
    </row>
    <row r="169">
      <c r="A169" s="6">
        <f>IFERROR(__xludf.DUMMYFUNCTION("""COMPUTED_VALUE"""),168.0)</f>
        <v>168</v>
      </c>
      <c r="B169" s="53" t="str">
        <f>IFERROR(__xludf.DUMMYFUNCTION("""COMPUTED_VALUE"""),"Excel Sheet Column Title")</f>
        <v>Excel Sheet Column Title</v>
      </c>
      <c r="C169" s="6" t="str">
        <f>IFERROR(__xludf.DUMMYFUNCTION("""COMPUTED_VALUE"""),"Easy")</f>
        <v>Easy</v>
      </c>
      <c r="D169" s="6" t="str">
        <f>IFERROR(__xludf.DUMMYFUNCTION("""COMPUTED_VALUE"""),"Math")</f>
        <v>Math</v>
      </c>
      <c r="E169" s="6" t="str">
        <f>IFERROR(__xludf.DUMMYFUNCTION("""COMPUTED_VALUE"""),"VMware,Paypal,Zenefits,Alation,FactSet,Apple,Yahoo,Adobe,Facebook,Microsoft,Google")</f>
        <v>VMware,Paypal,Zenefits,Alation,FactSet,Apple,Yahoo,Adobe,Facebook,Microsoft,Google</v>
      </c>
      <c r="F169" s="6" t="str">
        <f>IFERROR(__xludf.DUMMYFUNCTION("""COMPUTED_VALUE"""),"Microsoft,Facebook")</f>
        <v>Microsoft,Facebook</v>
      </c>
      <c r="G169" s="6" t="str">
        <f>IFERROR(__xludf.DUMMYFUNCTION("""COMPUTED_VALUE"""),"Google,Apple,Adobe,VMware,Microsoft,Facebook")</f>
        <v>Google,Apple,Adobe,VMware,Microsoft,Facebook</v>
      </c>
      <c r="H169" s="6" t="str">
        <f>IFERROR(__xludf.DUMMYFUNCTION("""COMPUTED_VALUE"""),"FactSet,Paypal,Zenefits,Google,Apple,Adobe,VMware,Microsoft,Facebook")</f>
        <v>FactSet,Paypal,Zenefits,Google,Apple,Adobe,VMware,Microsoft,Facebook</v>
      </c>
      <c r="I169" s="6">
        <f>IFERROR(__xludf.DUMMYFUNCTION("""COMPUTED_VALUE"""),31.82)</f>
        <v>31.82</v>
      </c>
      <c r="J169" s="6" t="str">
        <f>IFERROR(__xludf.DUMMYFUNCTION("""COMPUTED_VALUE"""),"算法")</f>
        <v>算法</v>
      </c>
    </row>
    <row r="170">
      <c r="A170" s="6">
        <f>IFERROR(__xludf.DUMMYFUNCTION("""COMPUTED_VALUE"""),169.0)</f>
        <v>169</v>
      </c>
      <c r="B170" s="53" t="str">
        <f>IFERROR(__xludf.DUMMYFUNCTION("""COMPUTED_VALUE"""),"Majority Element")</f>
        <v>Majority Element</v>
      </c>
      <c r="C170" s="6" t="str">
        <f>IFERROR(__xludf.DUMMYFUNCTION("""COMPUTED_VALUE"""),"Easy")</f>
        <v>Easy</v>
      </c>
      <c r="D170" s="6" t="str">
        <f>IFERROR(__xludf.DUMMYFUNCTION("""COMPUTED_VALUE"""),"Bit Manipulation,Divide and Conquer,Array")</f>
        <v>Bit Manipulation,Divide and Conquer,Array</v>
      </c>
      <c r="E170" s="6" t="str">
        <f>IFERROR(__xludf.DUMMYFUNCTION("""COMPUTED_VALUE"""),"Rubrik,Atlassian,Splunk,ByteDance,GoDaddy,Bloomberg,Facebook,Zenefits,Snapchat,Twitter,Oracle,Apple,Yahoo,Tencent,Adobe,Amazon,Microsoft,Google")</f>
        <v>Rubrik,Atlassian,Splunk,ByteDance,GoDaddy,Bloomberg,Facebook,Zenefits,Snapchat,Twitter,Oracle,Apple,Yahoo,Tencent,Adobe,Amazon,Microsoft,Google</v>
      </c>
      <c r="F170" s="6" t="str">
        <f>IFERROR(__xludf.DUMMYFUNCTION("""COMPUTED_VALUE"""),"Amazon,Microsoft,Bloomberg,ByteDance,GoDaddy,Rubrik,Splunk")</f>
        <v>Amazon,Microsoft,Bloomberg,ByteDance,GoDaddy,Rubrik,Splunk</v>
      </c>
      <c r="G170" s="6" t="str">
        <f>IFERROR(__xludf.DUMMYFUNCTION("""COMPUTED_VALUE"""),"Google,Apple,Yahoo,Adobe,Atlassian,Amazon,Microsoft,Bloomberg,ByteDance,GoDaddy,Rubrik,Splunk")</f>
        <v>Google,Apple,Yahoo,Adobe,Atlassian,Amazon,Microsoft,Bloomberg,ByteDance,GoDaddy,Rubrik,Splunk</v>
      </c>
      <c r="H170" s="6" t="str">
        <f>IFERROR(__xludf.DUMMYFUNCTION("""COMPUTED_VALUE"""),"Oracle,Snapchat,Facebook,Zenefits,Google,Apple,Yahoo,Adobe,Atlassian,Amazon,Microsoft,Bloomberg,ByteDance,GoDaddy,Rubrik,Splunk")</f>
        <v>Oracle,Snapchat,Facebook,Zenefits,Google,Apple,Yahoo,Adobe,Atlassian,Amazon,Microsoft,Bloomberg,ByteDance,GoDaddy,Rubrik,Splunk</v>
      </c>
      <c r="I170" s="6">
        <f>IFERROR(__xludf.DUMMYFUNCTION("""COMPUTED_VALUE"""),60.14)</f>
        <v>60.14</v>
      </c>
      <c r="J170" s="6" t="str">
        <f>IFERROR(__xludf.DUMMYFUNCTION("""COMPUTED_VALUE"""),"算法")</f>
        <v>算法</v>
      </c>
    </row>
    <row r="171">
      <c r="A171" s="6">
        <f>IFERROR(__xludf.DUMMYFUNCTION("""COMPUTED_VALUE"""),171.0)</f>
        <v>171</v>
      </c>
      <c r="B171" s="53" t="str">
        <f>IFERROR(__xludf.DUMMYFUNCTION("""COMPUTED_VALUE"""),"Excel Sheet Column Number")</f>
        <v>Excel Sheet Column Number</v>
      </c>
      <c r="C171" s="6" t="str">
        <f>IFERROR(__xludf.DUMMYFUNCTION("""COMPUTED_VALUE"""),"Easy")</f>
        <v>Easy</v>
      </c>
      <c r="D171" s="6" t="str">
        <f>IFERROR(__xludf.DUMMYFUNCTION("""COMPUTED_VALUE"""),"Math")</f>
        <v>Math</v>
      </c>
      <c r="E171" s="6" t="str">
        <f>IFERROR(__xludf.DUMMYFUNCTION("""COMPUTED_VALUE"""),"Adobe,Goldman Sachs,Alation,Flipkart,FactSet,Apple,Uber,Bloomberg,Facebook,Amazon,Microsoft,Google")</f>
        <v>Adobe,Goldman Sachs,Alation,Flipkart,FactSet,Apple,Uber,Bloomberg,Facebook,Amazon,Microsoft,Google</v>
      </c>
      <c r="F171" s="6" t="str">
        <f>IFERROR(__xludf.DUMMYFUNCTION("""COMPUTED_VALUE"""),"Goldman Sachs")</f>
        <v>Goldman Sachs</v>
      </c>
      <c r="G171" s="6" t="str">
        <f>IFERROR(__xludf.DUMMYFUNCTION("""COMPUTED_VALUE"""),"Microsoft,Amazon,Apple,Google,Adobe,Goldman Sachs")</f>
        <v>Microsoft,Amazon,Apple,Google,Adobe,Goldman Sachs</v>
      </c>
      <c r="H171" s="6" t="str">
        <f>IFERROR(__xludf.DUMMYFUNCTION("""COMPUTED_VALUE"""),"Facebook,Bloomberg,FactSet,Uber,Microsoft,Amazon,Apple,Google,Adobe,Goldman Sachs")</f>
        <v>Facebook,Bloomberg,FactSet,Uber,Microsoft,Amazon,Apple,Google,Adobe,Goldman Sachs</v>
      </c>
      <c r="I171" s="6">
        <f>IFERROR(__xludf.DUMMYFUNCTION("""COMPUTED_VALUE"""),57.01)</f>
        <v>57.01</v>
      </c>
      <c r="J171" s="6" t="str">
        <f>IFERROR(__xludf.DUMMYFUNCTION("""COMPUTED_VALUE"""),"算法")</f>
        <v>算法</v>
      </c>
    </row>
    <row r="172">
      <c r="A172" s="6">
        <f>IFERROR(__xludf.DUMMYFUNCTION("""COMPUTED_VALUE"""),173.0)</f>
        <v>173</v>
      </c>
      <c r="B172" s="53" t="str">
        <f>IFERROR(__xludf.DUMMYFUNCTION("""COMPUTED_VALUE"""),"Binary Search Tree Iterator")</f>
        <v>Binary Search Tree Iterator</v>
      </c>
      <c r="C172" s="6" t="str">
        <f>IFERROR(__xludf.DUMMYFUNCTION("""COMPUTED_VALUE"""),"Medium")</f>
        <v>Medium</v>
      </c>
      <c r="D172" s="6" t="str">
        <f>IFERROR(__xludf.DUMMYFUNCTION("""COMPUTED_VALUE"""),"Design,Tree,Stack")</f>
        <v>Design,Tree,Stack</v>
      </c>
      <c r="E172" s="6" t="str">
        <f>IFERROR(__xludf.DUMMYFUNCTION("""COMPUTED_VALUE"""),"JPMorgan,Zillow,Adobe,Cloudera,Qualtrics,Atlassian,Redfin,Splunk,ByteDance,Walmart Labs,Oracle,Cisco,EBay,Apple,Uber,Bloomberg,Facebook,Amazon,LinkedIn,Microsoft,Alibaba,Google")</f>
        <v>JPMorgan,Zillow,Adobe,Cloudera,Qualtrics,Atlassian,Redfin,Splunk,ByteDance,Walmart Labs,Oracle,Cisco,EBay,Apple,Uber,Bloomberg,Facebook,Amazon,LinkedIn,Microsoft,Alibaba,Google</v>
      </c>
      <c r="F172" s="6" t="str">
        <f>IFERROR(__xludf.DUMMYFUNCTION("""COMPUTED_VALUE"""),"Facebook,ByteDance,Bloomberg,Microsoft,Oracle,Google,Amazon,Apple,Adobe")</f>
        <v>Facebook,ByteDance,Bloomberg,Microsoft,Oracle,Google,Amazon,Apple,Adobe</v>
      </c>
      <c r="G172" s="6" t="str">
        <f>IFERROR(__xludf.DUMMYFUNCTION("""COMPUTED_VALUE"""),"Cloudera,Zillow,Atlassian,Facebook,ByteDance,Bloomberg,Microsoft,Oracle,Google,Amazon,Apple,Adobe")</f>
        <v>Cloudera,Zillow,Atlassian,Facebook,ByteDance,Bloomberg,Microsoft,Oracle,Google,Amazon,Apple,Adobe</v>
      </c>
      <c r="H172" s="6" t="str">
        <f>IFERROR(__xludf.DUMMYFUNCTION("""COMPUTED_VALUE"""),"Uber,Qualtrics,LinkedIn,eBay,JPMorgan,Cloudera,Zillow,Atlassian,Facebook,ByteDance,Bloomberg,Microsoft,Oracle,Google,Amazon,Apple,Adobe")</f>
        <v>Uber,Qualtrics,LinkedIn,eBay,JPMorgan,Cloudera,Zillow,Atlassian,Facebook,ByteDance,Bloomberg,Microsoft,Oracle,Google,Amazon,Apple,Adobe</v>
      </c>
      <c r="I172" s="6">
        <f>IFERROR(__xludf.DUMMYFUNCTION("""COMPUTED_VALUE"""),60.37)</f>
        <v>60.37</v>
      </c>
      <c r="J172" s="6" t="str">
        <f>IFERROR(__xludf.DUMMYFUNCTION("""COMPUTED_VALUE"""),"算法")</f>
        <v>算法</v>
      </c>
    </row>
    <row r="173">
      <c r="A173" s="6">
        <f>IFERROR(__xludf.DUMMYFUNCTION("""COMPUTED_VALUE"""),174.0)</f>
        <v>174</v>
      </c>
      <c r="B173" s="53" t="str">
        <f>IFERROR(__xludf.DUMMYFUNCTION("""COMPUTED_VALUE"""),"Dungeon Game")</f>
        <v>Dungeon Game</v>
      </c>
      <c r="C173" s="6" t="str">
        <f>IFERROR(__xludf.DUMMYFUNCTION("""COMPUTED_VALUE"""),"Hard")</f>
        <v>Hard</v>
      </c>
      <c r="D173" s="6" t="str">
        <f>IFERROR(__xludf.DUMMYFUNCTION("""COMPUTED_VALUE"""),"Dynamic Programming,Binary Search")</f>
        <v>Dynamic Programming,Binary Search</v>
      </c>
      <c r="E173" s="6" t="str">
        <f>IFERROR(__xludf.DUMMYFUNCTION("""COMPUTED_VALUE"""),"DE Shaw,JPMorgan,Bloomberg,Amazon,Microsoft,Google")</f>
        <v>DE Shaw,JPMorgan,Bloomberg,Amazon,Microsoft,Google</v>
      </c>
      <c r="F173" s="6" t="str">
        <f>IFERROR(__xludf.DUMMYFUNCTION("""COMPUTED_VALUE"""),"JPMorgan")</f>
        <v>JPMorgan</v>
      </c>
      <c r="G173" s="6" t="str">
        <f>IFERROR(__xludf.DUMMYFUNCTION("""COMPUTED_VALUE"""),"Google,Bloomberg,JPMorgan")</f>
        <v>Google,Bloomberg,JPMorgan</v>
      </c>
      <c r="H173" s="6" t="str">
        <f>IFERROR(__xludf.DUMMYFUNCTION("""COMPUTED_VALUE"""),"DE Shaw,Microsoft,Google,Bloomberg,JPMorgan")</f>
        <v>DE Shaw,Microsoft,Google,Bloomberg,JPMorgan</v>
      </c>
      <c r="I173" s="6">
        <f>IFERROR(__xludf.DUMMYFUNCTION("""COMPUTED_VALUE"""),33.35)</f>
        <v>33.35</v>
      </c>
      <c r="J173" s="6" t="str">
        <f>IFERROR(__xludf.DUMMYFUNCTION("""COMPUTED_VALUE"""),"算法")</f>
        <v>算法</v>
      </c>
    </row>
    <row r="174">
      <c r="A174" s="6">
        <f>IFERROR(__xludf.DUMMYFUNCTION("""COMPUTED_VALUE"""),175.0)</f>
        <v>175</v>
      </c>
      <c r="B174" s="53" t="str">
        <f>IFERROR(__xludf.DUMMYFUNCTION("""COMPUTED_VALUE"""),"Combine Two Tables")</f>
        <v>Combine Two Tables</v>
      </c>
      <c r="C174" s="6" t="str">
        <f>IFERROR(__xludf.DUMMYFUNCTION("""COMPUTED_VALUE"""),"Easy")</f>
        <v>Easy</v>
      </c>
      <c r="D174" s="6"/>
      <c r="E174" s="6" t="str">
        <f>IFERROR(__xludf.DUMMYFUNCTION("""COMPUTED_VALUE"""),"Apple,Yahoo,Adobe,Amazon,Google")</f>
        <v>Apple,Yahoo,Adobe,Amazon,Google</v>
      </c>
      <c r="F174" s="6" t="str">
        <f>IFERROR(__xludf.DUMMYFUNCTION("""COMPUTED_VALUE"""),"Adobe,Apple")</f>
        <v>Adobe,Apple</v>
      </c>
      <c r="G174" s="6" t="str">
        <f>IFERROR(__xludf.DUMMYFUNCTION("""COMPUTED_VALUE"""),"Amazon,Google,Adobe,Apple")</f>
        <v>Amazon,Google,Adobe,Apple</v>
      </c>
      <c r="H174" s="6" t="str">
        <f>IFERROR(__xludf.DUMMYFUNCTION("""COMPUTED_VALUE"""),"Yahoo,Amazon,Google,Adobe,Apple")</f>
        <v>Yahoo,Amazon,Google,Adobe,Apple</v>
      </c>
      <c r="I174" s="6">
        <f>IFERROR(__xludf.DUMMYFUNCTION("""COMPUTED_VALUE"""),64.43)</f>
        <v>64.43</v>
      </c>
      <c r="J174" s="6" t="str">
        <f>IFERROR(__xludf.DUMMYFUNCTION("""COMPUTED_VALUE"""),"数据库")</f>
        <v>数据库</v>
      </c>
    </row>
    <row r="175">
      <c r="A175" s="6">
        <f>IFERROR(__xludf.DUMMYFUNCTION("""COMPUTED_VALUE"""),176.0)</f>
        <v>176</v>
      </c>
      <c r="B175" s="53" t="str">
        <f>IFERROR(__xludf.DUMMYFUNCTION("""COMPUTED_VALUE"""),"Second Highest Salary")</f>
        <v>Second Highest Salary</v>
      </c>
      <c r="C175" s="6" t="str">
        <f>IFERROR(__xludf.DUMMYFUNCTION("""COMPUTED_VALUE"""),"Easy")</f>
        <v>Easy</v>
      </c>
      <c r="D175" s="6"/>
      <c r="E175" s="6" t="str">
        <f>IFERROR(__xludf.DUMMYFUNCTION("""COMPUTED_VALUE"""),"Oracle,EBay,Bloomberg,Walmart Labs,Apple,Yahoo,Adobe,Facebook,Amazon,Microsoft,Google")</f>
        <v>Oracle,EBay,Bloomberg,Walmart Labs,Apple,Yahoo,Adobe,Facebook,Amazon,Microsoft,Google</v>
      </c>
      <c r="F175" s="6" t="str">
        <f>IFERROR(__xludf.DUMMYFUNCTION("""COMPUTED_VALUE"""),"Amazon,Google,Adobe,Apple")</f>
        <v>Amazon,Google,Adobe,Apple</v>
      </c>
      <c r="G175" s="6" t="str">
        <f>IFERROR(__xludf.DUMMYFUNCTION("""COMPUTED_VALUE"""),"Facebook,Microsoft,Amazon,Google,Adobe,Apple")</f>
        <v>Facebook,Microsoft,Amazon,Google,Adobe,Apple</v>
      </c>
      <c r="H175" s="6" t="str">
        <f>IFERROR(__xludf.DUMMYFUNCTION("""COMPUTED_VALUE"""),"Walmart Labs,Oracle,eBay,Bloomberg,Facebook,Microsoft,Amazon,Google,Adobe,Apple")</f>
        <v>Walmart Labs,Oracle,eBay,Bloomberg,Facebook,Microsoft,Amazon,Google,Adobe,Apple</v>
      </c>
      <c r="I175" s="6">
        <f>IFERROR(__xludf.DUMMYFUNCTION("""COMPUTED_VALUE"""),33.38)</f>
        <v>33.38</v>
      </c>
      <c r="J175" s="6" t="str">
        <f>IFERROR(__xludf.DUMMYFUNCTION("""COMPUTED_VALUE"""),"数据库")</f>
        <v>数据库</v>
      </c>
    </row>
    <row r="176">
      <c r="A176" s="6">
        <f>IFERROR(__xludf.DUMMYFUNCTION("""COMPUTED_VALUE"""),177.0)</f>
        <v>177</v>
      </c>
      <c r="B176" s="53" t="str">
        <f>IFERROR(__xludf.DUMMYFUNCTION("""COMPUTED_VALUE"""),"Nth Highest Salary")</f>
        <v>Nth Highest Salary</v>
      </c>
      <c r="C176" s="6" t="str">
        <f>IFERROR(__xludf.DUMMYFUNCTION("""COMPUTED_VALUE"""),"Medium")</f>
        <v>Medium</v>
      </c>
      <c r="D176" s="6"/>
      <c r="E176" s="6" t="str">
        <f>IFERROR(__xludf.DUMMYFUNCTION("""COMPUTED_VALUE"""),"Infosys,Yahoo,Bloomberg,Apple,Uber,Adobe,Amazon,Google")</f>
        <v>Infosys,Yahoo,Bloomberg,Apple,Uber,Adobe,Amazon,Google</v>
      </c>
      <c r="F176" s="6" t="str">
        <f>IFERROR(__xludf.DUMMYFUNCTION("""COMPUTED_VALUE"""),"Google,Infosys")</f>
        <v>Google,Infosys</v>
      </c>
      <c r="G176" s="6" t="str">
        <f>IFERROR(__xludf.DUMMYFUNCTION("""COMPUTED_VALUE"""),"Amazon,Apple,Bloomberg,Google,Infosys")</f>
        <v>Amazon,Apple,Bloomberg,Google,Infosys</v>
      </c>
      <c r="H176" s="6" t="str">
        <f>IFERROR(__xludf.DUMMYFUNCTION("""COMPUTED_VALUE"""),"Adobe,Yahoo,Amazon,Apple,Bloomberg,Google,Infosys")</f>
        <v>Adobe,Yahoo,Amazon,Apple,Bloomberg,Google,Infosys</v>
      </c>
      <c r="I176" s="6">
        <f>IFERROR(__xludf.DUMMYFUNCTION("""COMPUTED_VALUE"""),33.43)</f>
        <v>33.43</v>
      </c>
      <c r="J176" s="6" t="str">
        <f>IFERROR(__xludf.DUMMYFUNCTION("""COMPUTED_VALUE"""),"数据库")</f>
        <v>数据库</v>
      </c>
    </row>
    <row r="177">
      <c r="A177" s="6">
        <f>IFERROR(__xludf.DUMMYFUNCTION("""COMPUTED_VALUE"""),179.0)</f>
        <v>179</v>
      </c>
      <c r="B177" s="53" t="str">
        <f>IFERROR(__xludf.DUMMYFUNCTION("""COMPUTED_VALUE"""),"Largest Number")</f>
        <v>Largest Number</v>
      </c>
      <c r="C177" s="6" t="str">
        <f>IFERROR(__xludf.DUMMYFUNCTION("""COMPUTED_VALUE"""),"Medium")</f>
        <v>Medium</v>
      </c>
      <c r="D177" s="6" t="str">
        <f>IFERROR(__xludf.DUMMYFUNCTION("""COMPUTED_VALUE"""),"Sort")</f>
        <v>Sort</v>
      </c>
      <c r="E177" s="6" t="str">
        <f>IFERROR(__xludf.DUMMYFUNCTION("""COMPUTED_VALUE"""),"ByteDance,VMware,Nvidia,Adobe,Google,Salesforce,Walmart Labs,Works Applications,Oracle,Apple,Facebook,Amazon,Microsoft")</f>
        <v>ByteDance,VMware,Nvidia,Adobe,Google,Salesforce,Walmart Labs,Works Applications,Oracle,Apple,Facebook,Amazon,Microsoft</v>
      </c>
      <c r="F177" s="6" t="str">
        <f>IFERROR(__xludf.DUMMYFUNCTION("""COMPUTED_VALUE"""),"Amazon,Microsoft,VMware")</f>
        <v>Amazon,Microsoft,VMware</v>
      </c>
      <c r="G177" s="6" t="str">
        <f>IFERROR(__xludf.DUMMYFUNCTION("""COMPUTED_VALUE"""),"Apple,ByteDance,Facebook,Adobe,Google,Oracle,Amazon,Microsoft,VMware")</f>
        <v>Apple,ByteDance,Facebook,Adobe,Google,Oracle,Amazon,Microsoft,VMware</v>
      </c>
      <c r="H177" s="6" t="str">
        <f>IFERROR(__xludf.DUMMYFUNCTION("""COMPUTED_VALUE"""),"Nvidia,Works Applications,Apple,ByteDance,Facebook,Adobe,Google,Oracle,Amazon,Microsoft,VMware")</f>
        <v>Nvidia,Works Applications,Apple,ByteDance,Facebook,Adobe,Google,Oracle,Amazon,Microsoft,VMware</v>
      </c>
      <c r="I177" s="6">
        <f>IFERROR(__xludf.DUMMYFUNCTION("""COMPUTED_VALUE"""),30.75)</f>
        <v>30.75</v>
      </c>
      <c r="J177" s="6" t="str">
        <f>IFERROR(__xludf.DUMMYFUNCTION("""COMPUTED_VALUE"""),"算法")</f>
        <v>算法</v>
      </c>
    </row>
    <row r="178">
      <c r="A178" s="6">
        <f>IFERROR(__xludf.DUMMYFUNCTION("""COMPUTED_VALUE"""),181.0)</f>
        <v>181</v>
      </c>
      <c r="B178" s="53" t="str">
        <f>IFERROR(__xludf.DUMMYFUNCTION("""COMPUTED_VALUE"""),"Employees Earning More Than Their Managers")</f>
        <v>Employees Earning More Than Their Managers</v>
      </c>
      <c r="C178" s="6" t="str">
        <f>IFERROR(__xludf.DUMMYFUNCTION("""COMPUTED_VALUE"""),"Easy")</f>
        <v>Easy</v>
      </c>
      <c r="D178" s="6"/>
      <c r="E178" s="6" t="str">
        <f>IFERROR(__xludf.DUMMYFUNCTION("""COMPUTED_VALUE"""),"Apple,Facebook,Amazon,Google")</f>
        <v>Apple,Facebook,Amazon,Google</v>
      </c>
      <c r="F178" s="6" t="str">
        <f>IFERROR(__xludf.DUMMYFUNCTION("""COMPUTED_VALUE"""),"Amazon")</f>
        <v>Amazon</v>
      </c>
      <c r="G178" s="6" t="str">
        <f>IFERROR(__xludf.DUMMYFUNCTION("""COMPUTED_VALUE"""),"Apple,Amazon")</f>
        <v>Apple,Amazon</v>
      </c>
      <c r="H178" s="6" t="str">
        <f>IFERROR(__xludf.DUMMYFUNCTION("""COMPUTED_VALUE"""),"Google,Facebook,Apple,Amazon")</f>
        <v>Google,Facebook,Apple,Amazon</v>
      </c>
      <c r="I178" s="6">
        <f>IFERROR(__xludf.DUMMYFUNCTION("""COMPUTED_VALUE"""),60.71)</f>
        <v>60.71</v>
      </c>
      <c r="J178" s="6" t="str">
        <f>IFERROR(__xludf.DUMMYFUNCTION("""COMPUTED_VALUE"""),"数据库")</f>
        <v>数据库</v>
      </c>
    </row>
    <row r="179">
      <c r="A179" s="6">
        <f>IFERROR(__xludf.DUMMYFUNCTION("""COMPUTED_VALUE"""),185.0)</f>
        <v>185</v>
      </c>
      <c r="B179" s="53" t="str">
        <f>IFERROR(__xludf.DUMMYFUNCTION("""COMPUTED_VALUE"""),"Department Top Three Salaries")</f>
        <v>Department Top Three Salaries</v>
      </c>
      <c r="C179" s="6" t="str">
        <f>IFERROR(__xludf.DUMMYFUNCTION("""COMPUTED_VALUE"""),"Hard")</f>
        <v>Hard</v>
      </c>
      <c r="D179" s="6"/>
      <c r="E179" s="6" t="str">
        <f>IFERROR(__xludf.DUMMYFUNCTION("""COMPUTED_VALUE"""),"EBay,Netflix,Adobe,Amazon,Google")</f>
        <v>EBay,Netflix,Adobe,Amazon,Google</v>
      </c>
      <c r="F179" s="6" t="str">
        <f>IFERROR(__xludf.DUMMYFUNCTION("""COMPUTED_VALUE"""),"Amazon")</f>
        <v>Amazon</v>
      </c>
      <c r="G179" s="6" t="str">
        <f>IFERROR(__xludf.DUMMYFUNCTION("""COMPUTED_VALUE"""),"eBay,Amazon")</f>
        <v>eBay,Amazon</v>
      </c>
      <c r="H179" s="6" t="str">
        <f>IFERROR(__xludf.DUMMYFUNCTION("""COMPUTED_VALUE"""),"Google,eBay,Amazon")</f>
        <v>Google,eBay,Amazon</v>
      </c>
      <c r="I179" s="6">
        <f>IFERROR(__xludf.DUMMYFUNCTION("""COMPUTED_VALUE"""),39.38)</f>
        <v>39.38</v>
      </c>
      <c r="J179" s="6" t="str">
        <f>IFERROR(__xludf.DUMMYFUNCTION("""COMPUTED_VALUE"""),"数据库")</f>
        <v>数据库</v>
      </c>
    </row>
    <row r="180">
      <c r="A180" s="6">
        <f>IFERROR(__xludf.DUMMYFUNCTION("""COMPUTED_VALUE"""),187.0)</f>
        <v>187</v>
      </c>
      <c r="B180" s="53" t="str">
        <f>IFERROR(__xludf.DUMMYFUNCTION("""COMPUTED_VALUE"""),"Repeated DNA Sequences")</f>
        <v>Repeated DNA Sequences</v>
      </c>
      <c r="C180" s="6" t="str">
        <f>IFERROR(__xludf.DUMMYFUNCTION("""COMPUTED_VALUE"""),"Medium")</f>
        <v>Medium</v>
      </c>
      <c r="D180" s="6" t="str">
        <f>IFERROR(__xludf.DUMMYFUNCTION("""COMPUTED_VALUE"""),"Bit Manipulation,Hash Table")</f>
        <v>Bit Manipulation,Hash Table</v>
      </c>
      <c r="E180" s="6" t="str">
        <f>IFERROR(__xludf.DUMMYFUNCTION("""COMPUTED_VALUE"""),"Apple,Microsoft,Amazon,LinkedIn,Google")</f>
        <v>Apple,Microsoft,Amazon,LinkedIn,Google</v>
      </c>
      <c r="F180" s="6" t="str">
        <f>IFERROR(__xludf.DUMMYFUNCTION("""COMPUTED_VALUE"""),"Google,Amazon")</f>
        <v>Google,Amazon</v>
      </c>
      <c r="G180" s="6" t="str">
        <f>IFERROR(__xludf.DUMMYFUNCTION("""COMPUTED_VALUE"""),"Microsoft,Apple,Google,Amazon")</f>
        <v>Microsoft,Apple,Google,Amazon</v>
      </c>
      <c r="H180" s="6" t="str">
        <f>IFERROR(__xludf.DUMMYFUNCTION("""COMPUTED_VALUE"""),"LinkedIn,Microsoft,Apple,Google,Amazon")</f>
        <v>LinkedIn,Microsoft,Apple,Google,Amazon</v>
      </c>
      <c r="I180" s="6">
        <f>IFERROR(__xludf.DUMMYFUNCTION("""COMPUTED_VALUE"""),41.56)</f>
        <v>41.56</v>
      </c>
      <c r="J180" s="6" t="str">
        <f>IFERROR(__xludf.DUMMYFUNCTION("""COMPUTED_VALUE"""),"算法")</f>
        <v>算法</v>
      </c>
    </row>
    <row r="181">
      <c r="A181" s="6">
        <f>IFERROR(__xludf.DUMMYFUNCTION("""COMPUTED_VALUE"""),188.0)</f>
        <v>188</v>
      </c>
      <c r="B181" s="53" t="str">
        <f>IFERROR(__xludf.DUMMYFUNCTION("""COMPUTED_VALUE"""),"Best Time to Buy and Sell Stock IV")</f>
        <v>Best Time to Buy and Sell Stock IV</v>
      </c>
      <c r="C181" s="6" t="str">
        <f>IFERROR(__xludf.DUMMYFUNCTION("""COMPUTED_VALUE"""),"Hard")</f>
        <v>Hard</v>
      </c>
      <c r="D181" s="6" t="str">
        <f>IFERROR(__xludf.DUMMYFUNCTION("""COMPUTED_VALUE"""),"Dynamic Programming")</f>
        <v>Dynamic Programming</v>
      </c>
      <c r="E181" s="6" t="str">
        <f>IFERROR(__xludf.DUMMYFUNCTION("""COMPUTED_VALUE"""),"Citadel,Adobe,Goldman Sachs,JPMorgan,Apple,Bloomberg,Facebook,Amazon,Google")</f>
        <v>Citadel,Adobe,Goldman Sachs,JPMorgan,Apple,Bloomberg,Facebook,Amazon,Google</v>
      </c>
      <c r="F181" s="6" t="str">
        <f>IFERROR(__xludf.DUMMYFUNCTION("""COMPUTED_VALUE"""),"Amazon,Google")</f>
        <v>Amazon,Google</v>
      </c>
      <c r="G181" s="6" t="str">
        <f>IFERROR(__xludf.DUMMYFUNCTION("""COMPUTED_VALUE"""),"Bloomberg,Facebook,Citadel,Goldman Sachs,Amazon,Google")</f>
        <v>Bloomberg,Facebook,Citadel,Goldman Sachs,Amazon,Google</v>
      </c>
      <c r="H181" s="6" t="str">
        <f>IFERROR(__xludf.DUMMYFUNCTION("""COMPUTED_VALUE"""),"Apple,Adobe,Bloomberg,Facebook,Citadel,Goldman Sachs,Amazon,Google")</f>
        <v>Apple,Adobe,Bloomberg,Facebook,Citadel,Goldman Sachs,Amazon,Google</v>
      </c>
      <c r="I181" s="6">
        <f>IFERROR(__xludf.DUMMYFUNCTION("""COMPUTED_VALUE"""),29.87)</f>
        <v>29.87</v>
      </c>
      <c r="J181" s="6" t="str">
        <f>IFERROR(__xludf.DUMMYFUNCTION("""COMPUTED_VALUE"""),"算法")</f>
        <v>算法</v>
      </c>
    </row>
    <row r="182">
      <c r="A182" s="6">
        <f>IFERROR(__xludf.DUMMYFUNCTION("""COMPUTED_VALUE"""),189.0)</f>
        <v>189</v>
      </c>
      <c r="B182" s="53" t="str">
        <f>IFERROR(__xludf.DUMMYFUNCTION("""COMPUTED_VALUE"""),"Rotate Array")</f>
        <v>Rotate Array</v>
      </c>
      <c r="C182" s="6" t="str">
        <f>IFERROR(__xludf.DUMMYFUNCTION("""COMPUTED_VALUE"""),"Medium")</f>
        <v>Medium</v>
      </c>
      <c r="D182" s="6" t="str">
        <f>IFERROR(__xludf.DUMMYFUNCTION("""COMPUTED_VALUE"""),"Array")</f>
        <v>Array</v>
      </c>
      <c r="E182" s="6" t="str">
        <f>IFERROR(__xludf.DUMMYFUNCTION("""COMPUTED_VALUE"""),"Visa,Apple,Google,Snapchat,Paypal,Oracle,Cisco,EBay,Uber,Bloomberg,Adobe,Facebook,Amazon,Microsoft,Goldman Sachs")</f>
        <v>Visa,Apple,Google,Snapchat,Paypal,Oracle,Cisco,EBay,Uber,Bloomberg,Adobe,Facebook,Amazon,Microsoft,Goldman Sachs</v>
      </c>
      <c r="F182" s="6" t="str">
        <f>IFERROR(__xludf.DUMMYFUNCTION("""COMPUTED_VALUE"""),"Microsoft,Oracle,Amazon,Apple")</f>
        <v>Microsoft,Oracle,Amazon,Apple</v>
      </c>
      <c r="G182" s="6" t="str">
        <f>IFERROR(__xludf.DUMMYFUNCTION("""COMPUTED_VALUE"""),"Facebook,Google,eBay,Bloomberg,Microsoft,Oracle,Amazon,Apple")</f>
        <v>Facebook,Google,eBay,Bloomberg,Microsoft,Oracle,Amazon,Apple</v>
      </c>
      <c r="H182" s="6" t="str">
        <f>IFERROR(__xludf.DUMMYFUNCTION("""COMPUTED_VALUE"""),"Goldman Sachs,Cisco,Paypal,Visa,Snapchat,Facebook,Google,eBay,Bloomberg,Microsoft,Oracle,Amazon,Apple")</f>
        <v>Goldman Sachs,Cisco,Paypal,Visa,Snapchat,Facebook,Google,eBay,Bloomberg,Microsoft,Oracle,Amazon,Apple</v>
      </c>
      <c r="I182" s="6">
        <f>IFERROR(__xludf.DUMMYFUNCTION("""COMPUTED_VALUE"""),36.7)</f>
        <v>36.7</v>
      </c>
      <c r="J182" s="6" t="str">
        <f>IFERROR(__xludf.DUMMYFUNCTION("""COMPUTED_VALUE"""),"算法")</f>
        <v>算法</v>
      </c>
    </row>
    <row r="183">
      <c r="A183" s="6">
        <f>IFERROR(__xludf.DUMMYFUNCTION("""COMPUTED_VALUE"""),190.0)</f>
        <v>190</v>
      </c>
      <c r="B183" s="53" t="str">
        <f>IFERROR(__xludf.DUMMYFUNCTION("""COMPUTED_VALUE"""),"Reverse Bits")</f>
        <v>Reverse Bits</v>
      </c>
      <c r="C183" s="6" t="str">
        <f>IFERROR(__xludf.DUMMYFUNCTION("""COMPUTED_VALUE"""),"Easy")</f>
        <v>Easy</v>
      </c>
      <c r="D183" s="6" t="str">
        <f>IFERROR(__xludf.DUMMYFUNCTION("""COMPUTED_VALUE"""),"Bit Manipulation")</f>
        <v>Bit Manipulation</v>
      </c>
      <c r="E183" s="6" t="str">
        <f>IFERROR(__xludf.DUMMYFUNCTION("""COMPUTED_VALUE"""),"Apple,Airbnb,Samsung,Tencent,Amazon,Google")</f>
        <v>Apple,Airbnb,Samsung,Tencent,Amazon,Google</v>
      </c>
      <c r="F183" s="6"/>
      <c r="G183" s="6" t="str">
        <f>IFERROR(__xludf.DUMMYFUNCTION("""COMPUTED_VALUE"""),"Apple")</f>
        <v>Apple</v>
      </c>
      <c r="H183" s="6" t="str">
        <f>IFERROR(__xludf.DUMMYFUNCTION("""COMPUTED_VALUE"""),"Google,Amazon,Samsung,Tencent,Airbnb,Apple")</f>
        <v>Google,Amazon,Samsung,Tencent,Airbnb,Apple</v>
      </c>
      <c r="I183" s="6">
        <f>IFERROR(__xludf.DUMMYFUNCTION("""COMPUTED_VALUE"""),42.38)</f>
        <v>42.38</v>
      </c>
      <c r="J183" s="6" t="str">
        <f>IFERROR(__xludf.DUMMYFUNCTION("""COMPUTED_VALUE"""),"算法")</f>
        <v>算法</v>
      </c>
    </row>
    <row r="184">
      <c r="A184" s="6">
        <f>IFERROR(__xludf.DUMMYFUNCTION("""COMPUTED_VALUE"""),191.0)</f>
        <v>191</v>
      </c>
      <c r="B184" s="53" t="str">
        <f>IFERROR(__xludf.DUMMYFUNCTION("""COMPUTED_VALUE"""),"Number of 1 Bits")</f>
        <v>Number of 1 Bits</v>
      </c>
      <c r="C184" s="6" t="str">
        <f>IFERROR(__xludf.DUMMYFUNCTION("""COMPUTED_VALUE"""),"Easy")</f>
        <v>Easy</v>
      </c>
      <c r="D184" s="6" t="str">
        <f>IFERROR(__xludf.DUMMYFUNCTION("""COMPUTED_VALUE"""),"Bit Manipulation")</f>
        <v>Bit Manipulation</v>
      </c>
      <c r="E184" s="6" t="str">
        <f>IFERROR(__xludf.DUMMYFUNCTION("""COMPUTED_VALUE"""),"Qualcomm,Cisco,Box,Apple,Adobe,Facebook,Amazon,Microsoft,Google")</f>
        <v>Qualcomm,Cisco,Box,Apple,Adobe,Facebook,Amazon,Microsoft,Google</v>
      </c>
      <c r="F184" s="6" t="str">
        <f>IFERROR(__xludf.DUMMYFUNCTION("""COMPUTED_VALUE"""),"Box,Cisco,Qualcomm")</f>
        <v>Box,Cisco,Qualcomm</v>
      </c>
      <c r="G184" s="6" t="str">
        <f>IFERROR(__xludf.DUMMYFUNCTION("""COMPUTED_VALUE"""),"Facebook,Apple,Microsoft,Adobe,Box,Cisco,Qualcomm")</f>
        <v>Facebook,Apple,Microsoft,Adobe,Box,Cisco,Qualcomm</v>
      </c>
      <c r="H184" s="6" t="str">
        <f>IFERROR(__xludf.DUMMYFUNCTION("""COMPUTED_VALUE"""),"Amazon,Facebook,Apple,Microsoft,Adobe,Box,Cisco,Qualcomm")</f>
        <v>Amazon,Facebook,Apple,Microsoft,Adobe,Box,Cisco,Qualcomm</v>
      </c>
      <c r="I184" s="6">
        <f>IFERROR(__xludf.DUMMYFUNCTION("""COMPUTED_VALUE"""),54.03)</f>
        <v>54.03</v>
      </c>
      <c r="J184" s="6" t="str">
        <f>IFERROR(__xludf.DUMMYFUNCTION("""COMPUTED_VALUE"""),"算法")</f>
        <v>算法</v>
      </c>
    </row>
    <row r="185">
      <c r="A185" s="6">
        <f>IFERROR(__xludf.DUMMYFUNCTION("""COMPUTED_VALUE"""),192.0)</f>
        <v>192</v>
      </c>
      <c r="B185" s="53" t="str">
        <f>IFERROR(__xludf.DUMMYFUNCTION("""COMPUTED_VALUE"""),"Word Frequency")</f>
        <v>Word Frequency</v>
      </c>
      <c r="C185" s="6" t="str">
        <f>IFERROR(__xludf.DUMMYFUNCTION("""COMPUTED_VALUE"""),"Medium")</f>
        <v>Medium</v>
      </c>
      <c r="D185" s="6"/>
      <c r="E185" s="6" t="str">
        <f>IFERROR(__xludf.DUMMYFUNCTION("""COMPUTED_VALUE"""),"Apple,Google,Yelp,Adobe,Facebook,Amazon")</f>
        <v>Apple,Google,Yelp,Adobe,Facebook,Amazon</v>
      </c>
      <c r="F185" s="6"/>
      <c r="G185" s="6" t="str">
        <f>IFERROR(__xludf.DUMMYFUNCTION("""COMPUTED_VALUE"""),"Apple")</f>
        <v>Apple</v>
      </c>
      <c r="H185" s="6" t="str">
        <f>IFERROR(__xludf.DUMMYFUNCTION("""COMPUTED_VALUE"""),"Amazon,Google,Apple")</f>
        <v>Amazon,Google,Apple</v>
      </c>
      <c r="I185" s="6">
        <f>IFERROR(__xludf.DUMMYFUNCTION("""COMPUTED_VALUE"""),25.63)</f>
        <v>25.63</v>
      </c>
      <c r="J185" s="6" t="str">
        <f>IFERROR(__xludf.DUMMYFUNCTION("""COMPUTED_VALUE"""),"命令行")</f>
        <v>命令行</v>
      </c>
    </row>
    <row r="186">
      <c r="A186" s="6">
        <f>IFERROR(__xludf.DUMMYFUNCTION("""COMPUTED_VALUE"""),195.0)</f>
        <v>195</v>
      </c>
      <c r="B186" s="53" t="str">
        <f>IFERROR(__xludf.DUMMYFUNCTION("""COMPUTED_VALUE"""),"Tenth Line")</f>
        <v>Tenth Line</v>
      </c>
      <c r="C186" s="6" t="str">
        <f>IFERROR(__xludf.DUMMYFUNCTION("""COMPUTED_VALUE"""),"Easy")</f>
        <v>Easy</v>
      </c>
      <c r="D186" s="6"/>
      <c r="E186" s="6" t="str">
        <f>IFERROR(__xludf.DUMMYFUNCTION("""COMPUTED_VALUE"""),"Oracle,Apple,Adobe,Google")</f>
        <v>Oracle,Apple,Adobe,Google</v>
      </c>
      <c r="F186" s="6"/>
      <c r="G186" s="6"/>
      <c r="H186" s="6" t="str">
        <f>IFERROR(__xludf.DUMMYFUNCTION("""COMPUTED_VALUE"""),"Apple,Google,Adobe")</f>
        <v>Apple,Google,Adobe</v>
      </c>
      <c r="I186" s="6">
        <f>IFERROR(__xludf.DUMMYFUNCTION("""COMPUTED_VALUE"""),32.8)</f>
        <v>32.8</v>
      </c>
      <c r="J186" s="6" t="str">
        <f>IFERROR(__xludf.DUMMYFUNCTION("""COMPUTED_VALUE"""),"命令行")</f>
        <v>命令行</v>
      </c>
    </row>
    <row r="187">
      <c r="A187" s="6">
        <f>IFERROR(__xludf.DUMMYFUNCTION("""COMPUTED_VALUE"""),198.0)</f>
        <v>198</v>
      </c>
      <c r="B187" s="53" t="str">
        <f>IFERROR(__xludf.DUMMYFUNCTION("""COMPUTED_VALUE"""),"House Robber")</f>
        <v>House Robber</v>
      </c>
      <c r="C187" s="6" t="str">
        <f>IFERROR(__xludf.DUMMYFUNCTION("""COMPUTED_VALUE"""),"Medium")</f>
        <v>Medium</v>
      </c>
      <c r="D187" s="6" t="str">
        <f>IFERROR(__xludf.DUMMYFUNCTION("""COMPUTED_VALUE"""),"Dynamic Programming")</f>
        <v>Dynamic Programming</v>
      </c>
      <c r="E187" s="6" t="str">
        <f>IFERROR(__xludf.DUMMYFUNCTION("""COMPUTED_VALUE"""),"Qualtrics,Splunk,Twitter,Oracle,HBO,ByteDance,Quora,Walmart Labs,Expedia,Cisco,EBay,Apple,Airbnb,Uber,Bloomberg,Adobe,Amazon,LinkedIn,Microsoft,Goldman Sachs,Google")</f>
        <v>Qualtrics,Splunk,Twitter,Oracle,HBO,ByteDance,Quora,Walmart Labs,Expedia,Cisco,EBay,Apple,Airbnb,Uber,Bloomberg,Adobe,Amazon,LinkedIn,Microsoft,Goldman Sachs,Google</v>
      </c>
      <c r="F187" s="6" t="str">
        <f>IFERROR(__xludf.DUMMYFUNCTION("""COMPUTED_VALUE"""),"Oracle,Cisco,Microsoft,Bloomberg,Amazon,Expedia,ByteDance,Splunk")</f>
        <v>Oracle,Cisco,Microsoft,Bloomberg,Amazon,Expedia,ByteDance,Splunk</v>
      </c>
      <c r="G187" s="6" t="str">
        <f>IFERROR(__xludf.DUMMYFUNCTION("""COMPUTED_VALUE"""),"Google,Apple,Adobe,eBay,Twitter,Oracle,Cisco,Microsoft,Bloomberg,Amazon,Expedia,ByteDance,Splunk")</f>
        <v>Google,Apple,Adobe,eBay,Twitter,Oracle,Cisco,Microsoft,Bloomberg,Amazon,Expedia,ByteDance,Splunk</v>
      </c>
      <c r="H187" s="6" t="str">
        <f>IFERROR(__xludf.DUMMYFUNCTION("""COMPUTED_VALUE"""),"Uber,HBO,LinkedIn,Walmart Labs,Goldman Sachs,Qualtrics,Airbnb,Google,Apple,Adobe,eBay,Twitter,Oracle,Cisco,Microsoft,Bloomberg,Amazon,Expedia,ByteDance,Splunk")</f>
        <v>Uber,HBO,LinkedIn,Walmart Labs,Goldman Sachs,Qualtrics,Airbnb,Google,Apple,Adobe,eBay,Twitter,Oracle,Cisco,Microsoft,Bloomberg,Amazon,Expedia,ByteDance,Splunk</v>
      </c>
      <c r="I187" s="6">
        <f>IFERROR(__xludf.DUMMYFUNCTION("""COMPUTED_VALUE"""),42.97)</f>
        <v>42.97</v>
      </c>
      <c r="J187" s="6" t="str">
        <f>IFERROR(__xludf.DUMMYFUNCTION("""COMPUTED_VALUE"""),"算法")</f>
        <v>算法</v>
      </c>
    </row>
    <row r="188">
      <c r="A188" s="6">
        <f>IFERROR(__xludf.DUMMYFUNCTION("""COMPUTED_VALUE"""),199.0)</f>
        <v>199</v>
      </c>
      <c r="B188" s="53" t="str">
        <f>IFERROR(__xludf.DUMMYFUNCTION("""COMPUTED_VALUE"""),"Binary Tree Right Side View")</f>
        <v>Binary Tree Right Side View</v>
      </c>
      <c r="C188" s="6" t="str">
        <f>IFERROR(__xludf.DUMMYFUNCTION("""COMPUTED_VALUE"""),"Medium")</f>
        <v>Medium</v>
      </c>
      <c r="D188" s="6" t="str">
        <f>IFERROR(__xludf.DUMMYFUNCTION("""COMPUTED_VALUE"""),"Queue,Recursion,Breadth First Search,Depth First Search,Tree")</f>
        <v>Queue,Recursion,Breadth First Search,Depth First Search,Tree</v>
      </c>
      <c r="E188" s="6" t="str">
        <f>IFERROR(__xludf.DUMMYFUNCTION("""COMPUTED_VALUE"""),"Accolite,ServiceNow,Nvidia,SAP,Goldman Sachs,Google,Atlassian,ByteDance,VMware,Citadel,Walmart Labs,Paypal,Oracle,Mathworks,EBay,Apple,Uber,Bloomberg,Adobe,Facebook,Amazon,Microsoft")</f>
        <v>Accolite,ServiceNow,Nvidia,SAP,Goldman Sachs,Google,Atlassian,ByteDance,VMware,Citadel,Walmart Labs,Paypal,Oracle,Mathworks,EBay,Apple,Uber,Bloomberg,Adobe,Facebook,Amazon,Microsoft</v>
      </c>
      <c r="F188" s="6" t="str">
        <f>IFERROR(__xludf.DUMMYFUNCTION("""COMPUTED_VALUE"""),"Facebook,Amazon,ByteDance,Microsoft,Bloomberg,Apple,eBay")</f>
        <v>Facebook,Amazon,ByteDance,Microsoft,Bloomberg,Apple,eBay</v>
      </c>
      <c r="G188" s="6" t="str">
        <f>IFERROR(__xludf.DUMMYFUNCTION("""COMPUTED_VALUE"""),"Oracle,Walmart Labs,Accolite,Facebook,Amazon,ByteDance,Microsoft,Bloomberg,Apple,eBay")</f>
        <v>Oracle,Walmart Labs,Accolite,Facebook,Amazon,ByteDance,Microsoft,Bloomberg,Apple,eBay</v>
      </c>
      <c r="H188" s="6" t="str">
        <f>IFERROR(__xludf.DUMMYFUNCTION("""COMPUTED_VALUE"""),"Mathworks,Adobe,Google,Uber,SAP,ServiceNow,VMware,Atlassian,Goldman Sachs,Nvidia,Oracle,Walmart Labs,Accolite,Facebook,Amazon,ByteDance,Microsoft,Bloomberg,Apple,eBay")</f>
        <v>Mathworks,Adobe,Google,Uber,SAP,ServiceNow,VMware,Atlassian,Goldman Sachs,Nvidia,Oracle,Walmart Labs,Accolite,Facebook,Amazon,ByteDance,Microsoft,Bloomberg,Apple,eBay</v>
      </c>
      <c r="I188" s="6">
        <f>IFERROR(__xludf.DUMMYFUNCTION("""COMPUTED_VALUE"""),56.43)</f>
        <v>56.43</v>
      </c>
      <c r="J188" s="6" t="str">
        <f>IFERROR(__xludf.DUMMYFUNCTION("""COMPUTED_VALUE"""),"算法")</f>
        <v>算法</v>
      </c>
    </row>
    <row r="189">
      <c r="A189" s="6">
        <f>IFERROR(__xludf.DUMMYFUNCTION("""COMPUTED_VALUE"""),200.0)</f>
        <v>200</v>
      </c>
      <c r="B189" s="53" t="str">
        <f>IFERROR(__xludf.DUMMYFUNCTION("""COMPUTED_VALUE"""),"Number of Islands")</f>
        <v>Number of Islands</v>
      </c>
      <c r="C189" s="6" t="str">
        <f>IFERROR(__xludf.DUMMYFUNCTION("""COMPUTED_VALUE"""),"Medium")</f>
        <v>Medium</v>
      </c>
      <c r="D189" s="6" t="str">
        <f>IFERROR(__xludf.DUMMYFUNCTION("""COMPUTED_VALUE"""),"Union Find,Breadth First Search,Depth First Search")</f>
        <v>Union Find,Breadth First Search,Depth First Search</v>
      </c>
      <c r="E189" s="6" t="str">
        <f>IFERROR(__xludf.DUMMYFUNCTION("""COMPUTED_VALUE"""),"Pony.ai,Karat,Tesla,Robinhood,PayTM,ByteDance,Intel,Dropbox,ServiceNow,Yandex,Samsung,AppDynamics,Electronic Arts,Sumologic,Hulu,Cohesity,Arista Networks,LiveRamp,Nutanix,DoorDash,Square,Qualtrics,Evernote,Palantir Technologies,Cruise Automation,Citrix,Zu"&amp;"lily,Houzz,Zenefits,Atlassian,Twitch,Roblox,Audible,Splunk,Tableau,Salesforce,Visa,VMware,Citadel,Affirm,Walmart Labs,Snapchat,JPMorgan,Paypal,Twitter,Expedia,Wish,Nvidia,Oracle,Spotify,Lyft,Cisco,Mathworks,EBay,BlackRock,Apple,Uber,Yahoo,SAP,Bloomberg,Ad"&amp;"obe,Facebook,Amazon,LinkedIn,Microsoft,Alibaba,Goldman Sachs,Google")</f>
        <v>Pony.ai,Karat,Tesla,Robinhood,PayTM,ByteDance,Intel,Dropbox,ServiceNow,Yandex,Samsung,AppDynamics,Electronic Arts,Sumologic,Hulu,Cohesity,Arista Networks,LiveRamp,Nutanix,DoorDash,Square,Qualtrics,Evernote,Palantir Technologies,Cruise Automation,Citrix,Zulily,Houzz,Zenefits,Atlassian,Twitch,Roblox,Audible,Splunk,Tableau,Salesforce,Visa,VMware,Citadel,Affirm,Walmart Labs,Snapchat,JPMorgan,Paypal,Twitter,Expedia,Wish,Nvidia,Oracle,Spotify,Lyft,Cisco,Mathworks,EBay,BlackRock,Apple,Uber,Yahoo,SAP,Bloomberg,Adobe,Facebook,Amazon,LinkedIn,Microsoft,Alibaba,Goldman Sachs,Google</v>
      </c>
      <c r="F189" s="6" t="str">
        <f>IFERROR(__xludf.DUMMYFUNCTION("""COMPUTED_VALUE"""),"Amazon,Bloomberg,Microsoft,Oracle,Facebook,Apple,Uber,Google,DoorDash,Qualtrics,LinkedIn,Snapchat,Expedia,Goldman Sachs,Citadel,VMware,Tesla,Karat,ByteDance,Yandex,eBay,Samsung,Yahoo,Nvidia,Splunk,Pony.ai")</f>
        <v>Amazon,Bloomberg,Microsoft,Oracle,Facebook,Apple,Uber,Google,DoorDash,Qualtrics,LinkedIn,Snapchat,Expedia,Goldman Sachs,Citadel,VMware,Tesla,Karat,ByteDance,Yandex,eBay,Samsung,Yahoo,Nvidia,Splunk,Pony.ai</v>
      </c>
      <c r="G189" s="6" t="str">
        <f>IFERROR(__xludf.DUMMYFUNCTION("""COMPUTED_VALUE"""),"Adobe,Wish,Walmart Labs,Roblox,Lyft,Robinhood,Palantir Technologies,Salesforce,Visa,Intel,Audible,PayTM,Amazon,Bloomberg,Microsoft,Oracle,Facebook,Apple,Uber,Google,DoorDash,Qualtrics,LinkedIn,Snapchat,Expedia,Goldman Sachs,Citadel,VMware,Tesla,Karat,Byte"&amp;"Dance,Yandex,eBay,Samsung,Yahoo,Nvidia,Splunk,Pony.ai")</f>
        <v>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H189" s="6" t="str">
        <f>IFERROR(__xludf.DUMMYFUNCTION("""COMPUTED_VALUE"""),"Cruise Automation,Twitch,Atlassian,Tableau,Affirm,Mathworks,JPMorgan,Electronic Arts,Houzz,Nutanix,Evernote,Dropbox,Paypal,SAP,Square,Arista Networks,ServiceNow,Spotify,Zulily,Cohesity,Zenefits,Adobe,Wish,Walmart Labs,Roblox,Lyft,Robinhood,Palantir Techno"&amp;"logies,Salesforce,Visa,Intel,Audible,PayTM,Amazon,Bloomberg,Microsoft,Oracle,Facebook,Apple,Uber,Google,DoorDash,Qualtrics,LinkedIn,Snapchat,Expedia,Goldman Sachs,Citadel,VMware,Tesla,Karat,ByteDance,Yandex,eBay,Samsung,Yahoo,Nvidia,Splunk,Pony.ai")</f>
        <v>Cruise Automation,Twitch,Atlassian,Tableau,Affirm,Mathworks,JPMorgan,Electronic Arts,Houzz,Nutanix,Evernote,Dropbox,Paypal,SAP,Square,Arista Networks,ServiceNow,Spotify,Zulily,Cohesity,Zenefits,Adobe,Wish,Walmart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I189" s="6">
        <f>IFERROR(__xludf.DUMMYFUNCTION("""COMPUTED_VALUE"""),49.32)</f>
        <v>49.32</v>
      </c>
      <c r="J189" s="6" t="str">
        <f>IFERROR(__xludf.DUMMYFUNCTION("""COMPUTED_VALUE"""),"算法")</f>
        <v>算法</v>
      </c>
    </row>
    <row r="190">
      <c r="A190" s="6">
        <f>IFERROR(__xludf.DUMMYFUNCTION("""COMPUTED_VALUE"""),202.0)</f>
        <v>202</v>
      </c>
      <c r="B190" s="53" t="str">
        <f>IFERROR(__xludf.DUMMYFUNCTION("""COMPUTED_VALUE"""),"Happy Number")</f>
        <v>Happy Number</v>
      </c>
      <c r="C190" s="6" t="str">
        <f>IFERROR(__xludf.DUMMYFUNCTION("""COMPUTED_VALUE"""),"Easy")</f>
        <v>Easy</v>
      </c>
      <c r="D190" s="6" t="str">
        <f>IFERROR(__xludf.DUMMYFUNCTION("""COMPUTED_VALUE"""),"Math,Hash Table")</f>
        <v>Math,Hash Table</v>
      </c>
      <c r="E190" s="6" t="str">
        <f>IFERROR(__xludf.DUMMYFUNCTION("""COMPUTED_VALUE"""),"Pure Storage,Barclays,ByteDance,EBay,Nutanix,Pinterest,Evernote,JPMorgan,Twitter,Apple,Airbnb,Uber,Bloomberg,Adobe,Facebook,Amazon,Microsoft,Google")</f>
        <v>Pure Storage,Barclays,ByteDance,EBay,Nutanix,Pinterest,Evernote,JPMorgan,Twitter,Apple,Airbnb,Uber,Bloomberg,Adobe,Facebook,Amazon,Microsoft,Google</v>
      </c>
      <c r="F190" s="6" t="str">
        <f>IFERROR(__xludf.DUMMYFUNCTION("""COMPUTED_VALUE"""),"Apple,Amazon,Adobe,JPMorgan,Barclays,ByteDance")</f>
        <v>Apple,Amazon,Adobe,JPMorgan,Barclays,ByteDance</v>
      </c>
      <c r="G190" s="6" t="str">
        <f>IFERROR(__xludf.DUMMYFUNCTION("""COMPUTED_VALUE"""),"Google,Apple,Amazon,Adobe,JPMorgan,Barclays,ByteDance")</f>
        <v>Google,Apple,Amazon,Adobe,JPMorgan,Barclays,ByteDance</v>
      </c>
      <c r="H190" s="6" t="str">
        <f>IFERROR(__xludf.DUMMYFUNCTION("""COMPUTED_VALUE"""),"Bloomberg,Microsoft,Evernote,Facebook,Pure Storage,eBay,Airbnb,Twitter,Uber,Google,Apple,Amazon,Adobe,JPMorgan,Barclays,ByteDance")</f>
        <v>Bloomberg,Microsoft,Evernote,Facebook,Pure Storage,eBay,Airbnb,Twitter,Uber,Google,Apple,Amazon,Adobe,JPMorgan,Barclays,ByteDance</v>
      </c>
      <c r="I190" s="6">
        <f>IFERROR(__xludf.DUMMYFUNCTION("""COMPUTED_VALUE"""),51.32)</f>
        <v>51.32</v>
      </c>
      <c r="J190" s="6" t="str">
        <f>IFERROR(__xludf.DUMMYFUNCTION("""COMPUTED_VALUE"""),"算法")</f>
        <v>算法</v>
      </c>
    </row>
    <row r="191">
      <c r="A191" s="6">
        <f>IFERROR(__xludf.DUMMYFUNCTION("""COMPUTED_VALUE"""),203.0)</f>
        <v>203</v>
      </c>
      <c r="B191" s="53" t="str">
        <f>IFERROR(__xludf.DUMMYFUNCTION("""COMPUTED_VALUE"""),"Remove Linked List Elements")</f>
        <v>Remove Linked List Elements</v>
      </c>
      <c r="C191" s="6" t="str">
        <f>IFERROR(__xludf.DUMMYFUNCTION("""COMPUTED_VALUE"""),"Easy")</f>
        <v>Easy</v>
      </c>
      <c r="D191" s="6" t="str">
        <f>IFERROR(__xludf.DUMMYFUNCTION("""COMPUTED_VALUE"""),"Linked List")</f>
        <v>Linked List</v>
      </c>
      <c r="E191" s="6" t="str">
        <f>IFERROR(__xludf.DUMMYFUNCTION("""COMPUTED_VALUE"""),"Pure Storage,Capital One,Paypal,Apple,Uber,Bloomberg,Adobe,Facebook,Amazon,Microsoft,Google")</f>
        <v>Pure Storage,Capital One,Paypal,Apple,Uber,Bloomberg,Adobe,Facebook,Amazon,Microsoft,Google</v>
      </c>
      <c r="F191" s="6" t="str">
        <f>IFERROR(__xludf.DUMMYFUNCTION("""COMPUTED_VALUE"""),"Facebook,Amazon,Google,Microsoft,Apple")</f>
        <v>Facebook,Amazon,Google,Microsoft,Apple</v>
      </c>
      <c r="G191" s="6" t="str">
        <f>IFERROR(__xludf.DUMMYFUNCTION("""COMPUTED_VALUE"""),"Pure Storage,Adobe,Facebook,Amazon,Google,Microsoft,Apple")</f>
        <v>Pure Storage,Adobe,Facebook,Amazon,Google,Microsoft,Apple</v>
      </c>
      <c r="H191" s="6" t="str">
        <f>IFERROR(__xludf.DUMMYFUNCTION("""COMPUTED_VALUE"""),"Bloomberg,Capital One,Pure Storage,Adobe,Facebook,Amazon,Google,Microsoft,Apple")</f>
        <v>Bloomberg,Capital One,Pure Storage,Adobe,Facebook,Amazon,Google,Microsoft,Apple</v>
      </c>
      <c r="I191" s="6">
        <f>IFERROR(__xludf.DUMMYFUNCTION("""COMPUTED_VALUE"""),39.31)</f>
        <v>39.31</v>
      </c>
      <c r="J191" s="6" t="str">
        <f>IFERROR(__xludf.DUMMYFUNCTION("""COMPUTED_VALUE"""),"算法")</f>
        <v>算法</v>
      </c>
    </row>
    <row r="192">
      <c r="A192" s="6">
        <f>IFERROR(__xludf.DUMMYFUNCTION("""COMPUTED_VALUE"""),204.0)</f>
        <v>204</v>
      </c>
      <c r="B192" s="53" t="str">
        <f>IFERROR(__xludf.DUMMYFUNCTION("""COMPUTED_VALUE"""),"Count Primes")</f>
        <v>Count Primes</v>
      </c>
      <c r="C192" s="6" t="str">
        <f>IFERROR(__xludf.DUMMYFUNCTION("""COMPUTED_VALUE"""),"Easy")</f>
        <v>Easy</v>
      </c>
      <c r="D192" s="6" t="str">
        <f>IFERROR(__xludf.DUMMYFUNCTION("""COMPUTED_VALUE"""),"Math,Hash Table")</f>
        <v>Math,Hash Table</v>
      </c>
      <c r="E192" s="6" t="str">
        <f>IFERROR(__xludf.DUMMYFUNCTION("""COMPUTED_VALUE"""),"Docusign,Tcs,Citadel,Spotify,Uber,Capital One,Intel,Oracle,Yandex,EBay,Apple,Yahoo,Bloomberg,Adobe,Facebook,Amazon,Microsoft,Goldman Sachs,Google")</f>
        <v>Docusign,Tcs,Citadel,Spotify,Uber,Capital One,Intel,Oracle,Yandex,EBay,Apple,Yahoo,Bloomberg,Adobe,Facebook,Amazon,Microsoft,Goldman Sachs,Google</v>
      </c>
      <c r="F192" s="6" t="str">
        <f>IFERROR(__xludf.DUMMYFUNCTION("""COMPUTED_VALUE"""),"Capital One,Amazon,Apple,Microsoft")</f>
        <v>Capital One,Amazon,Apple,Microsoft</v>
      </c>
      <c r="G192" s="6" t="str">
        <f>IFERROR(__xludf.DUMMYFUNCTION("""COMPUTED_VALUE"""),"Google,Oracle,Adobe,Capital One,Amazon,Apple,Microsoft")</f>
        <v>Google,Oracle,Adobe,Capital One,Amazon,Apple,Microsoft</v>
      </c>
      <c r="H192" s="6" t="str">
        <f>IFERROR(__xludf.DUMMYFUNCTION("""COMPUTED_VALUE"""),"Facebook,Goldman Sachs,Uber,Bloomberg,eBay,Citadel,Intel,Spotify,Docusign,tcs,Google,Oracle,Adobe,Capital One,Amazon,Apple,Microsoft")</f>
        <v>Facebook,Goldman Sachs,Uber,Bloomberg,eBay,Citadel,Intel,Spotify,Docusign,tcs,Google,Oracle,Adobe,Capital One,Amazon,Apple,Microsoft</v>
      </c>
      <c r="I192" s="6">
        <f>IFERROR(__xludf.DUMMYFUNCTION("""COMPUTED_VALUE"""),32.29)</f>
        <v>32.29</v>
      </c>
      <c r="J192" s="6" t="str">
        <f>IFERROR(__xludf.DUMMYFUNCTION("""COMPUTED_VALUE"""),"算法")</f>
        <v>算法</v>
      </c>
    </row>
    <row r="193">
      <c r="A193" s="6">
        <f>IFERROR(__xludf.DUMMYFUNCTION("""COMPUTED_VALUE"""),205.0)</f>
        <v>205</v>
      </c>
      <c r="B193" s="53" t="str">
        <f>IFERROR(__xludf.DUMMYFUNCTION("""COMPUTED_VALUE"""),"Isomorphic Strings")</f>
        <v>Isomorphic Strings</v>
      </c>
      <c r="C193" s="6" t="str">
        <f>IFERROR(__xludf.DUMMYFUNCTION("""COMPUTED_VALUE"""),"Easy")</f>
        <v>Easy</v>
      </c>
      <c r="D193" s="6" t="str">
        <f>IFERROR(__xludf.DUMMYFUNCTION("""COMPUTED_VALUE"""),"Hash Table")</f>
        <v>Hash Table</v>
      </c>
      <c r="E193" s="6" t="str">
        <f>IFERROR(__xludf.DUMMYFUNCTION("""COMPUTED_VALUE"""),"Intel,EBay,Apple,Salesforce,Yelp,Oracle,Yahoo,Bloomberg,Adobe,Facebook,Amazon,LinkedIn,Microsoft,Google")</f>
        <v>Intel,EBay,Apple,Salesforce,Yelp,Oracle,Yahoo,Bloomberg,Adobe,Facebook,Amazon,LinkedIn,Microsoft,Google</v>
      </c>
      <c r="F193" s="6" t="str">
        <f>IFERROR(__xludf.DUMMYFUNCTION("""COMPUTED_VALUE"""),"Amazon,Apple,Facebook,Intel,Google")</f>
        <v>Amazon,Apple,Facebook,Intel,Google</v>
      </c>
      <c r="G193" s="6" t="str">
        <f>IFERROR(__xludf.DUMMYFUNCTION("""COMPUTED_VALUE"""),"Microsoft,Bloomberg,Amazon,Apple,Facebook,Intel,Google")</f>
        <v>Microsoft,Bloomberg,Amazon,Apple,Facebook,Intel,Google</v>
      </c>
      <c r="H193" s="6" t="str">
        <f>IFERROR(__xludf.DUMMYFUNCTION("""COMPUTED_VALUE"""),"LinkedIn,Yahoo,Adobe,eBay,Oracle,Microsoft,Bloomberg,Amazon,Apple,Facebook,Intel,Google")</f>
        <v>LinkedIn,Yahoo,Adobe,eBay,Oracle,Microsoft,Bloomberg,Amazon,Apple,Facebook,Intel,Google</v>
      </c>
      <c r="I193" s="6">
        <f>IFERROR(__xludf.DUMMYFUNCTION("""COMPUTED_VALUE"""),40.54)</f>
        <v>40.54</v>
      </c>
      <c r="J193" s="6" t="str">
        <f>IFERROR(__xludf.DUMMYFUNCTION("""COMPUTED_VALUE"""),"算法")</f>
        <v>算法</v>
      </c>
    </row>
    <row r="194">
      <c r="A194" s="6">
        <f>IFERROR(__xludf.DUMMYFUNCTION("""COMPUTED_VALUE"""),206.0)</f>
        <v>206</v>
      </c>
      <c r="B194" s="53" t="str">
        <f>IFERROR(__xludf.DUMMYFUNCTION("""COMPUTED_VALUE"""),"Reverse Linked List")</f>
        <v>Reverse Linked List</v>
      </c>
      <c r="C194" s="6" t="str">
        <f>IFERROR(__xludf.DUMMYFUNCTION("""COMPUTED_VALUE"""),"Easy")</f>
        <v>Easy</v>
      </c>
      <c r="D194" s="6" t="str">
        <f>IFERROR(__xludf.DUMMYFUNCTION("""COMPUTED_VALUE"""),"Linked List")</f>
        <v>Linked List</v>
      </c>
      <c r="E194" s="6" t="str">
        <f>IFERROR(__xludf.DUMMYFUNCTION("""COMPUTED_VALUE"""),"Deutsche Bank,Capital One,Salesforce,Zillow,ServiceNow,IBM,LinkedIn,Docusign,Electronic Arts,TripAdvisor,Citrix,Zenefits,ByteDance,FactSet,Qualcomm,Intel,Visa,VMware,Walmart Labs,Snapchat,Paypal,Twitter,Expedia,Yelp,Nvidia,Oracle,Spotify,Cisco,Mathworks,Y"&amp;"andex,EBay,Baidu,Apple,Uber,Yahoo,Tencent,Bloomberg,Adobe,Facebook,Amazon,Microsoft,Alibaba,Goldman Sachs,Google")</f>
        <v>Deutsche Bank,Capital One,Salesforce,Zillow,ServiceNow,IBM,LinkedIn,Docusign,Electronic Arts,TripAdvisor,Citrix,Zenefits,ByteDance,FactSet,Qualcomm,Intel,Visa,VMware,Walmart Labs,Snapchat,Paypal,Twitter,Expedia,Yelp,Nvidia,Oracle,Spotify,Cisco,Mathworks,Yandex,EBay,Baidu,Apple,Uber,Yahoo,Tencent,Bloomberg,Adobe,Facebook,Amazon,Microsoft,Alibaba,Goldman Sachs,Google</v>
      </c>
      <c r="F194" s="6" t="str">
        <f>IFERROR(__xludf.DUMMYFUNCTION("""COMPUTED_VALUE"""),"Adobe,Amazon,Facebook,Apple,Microsoft,Qualcomm,Google,Uber,Oracle,Bloomberg,Yandex,Zillow,IBM,ByteDance")</f>
        <v>Adobe,Amazon,Facebook,Apple,Microsoft,Qualcomm,Google,Uber,Oracle,Bloomberg,Yandex,Zillow,IBM,ByteDance</v>
      </c>
      <c r="G194" s="6" t="str">
        <f>IFERROR(__xludf.DUMMYFUNCTION("""COMPUTED_VALUE"""),"Citrix,eBay,Mathworks,Goldman Sachs,Spotify,Deutsche Bank,Intel,Tencent,Expedia,ServiceNow,Adobe,Amazon,Facebook,Apple,Microsoft,Qualcomm,Google,Uber,Oracle,Bloomberg,Yandex,Zillow,IBM,ByteDance")</f>
        <v>Citrix,eBay,Mathworks,Goldman Sachs,Spotify,Deutsche Bank,Intel,Tencent,Expedia,ServiceNow,Adobe,Amazon,Facebook,Apple,Microsoft,Qualcomm,Google,Uber,Oracle,Bloomberg,Yandex,Zillow,IBM,ByteDance</v>
      </c>
      <c r="H194" s="6" t="str">
        <f>IFERROR(__xludf.DUMMYFUNCTION("""COMPUTED_VALUE"""),"Walmart Labs,Cisco,Nvidia,Yahoo,Paypal,Alibaba,Visa,Twitter,VMware,LinkedIn,Capital One,Electronic Arts,Docusign,Salesforce,Snapchat,Zenefits,Yelp,Citrix,eBay,Mathworks,Goldman Sachs,Spotify,Deutsche Bank,Intel,Tencent,Expedia,ServiceNow,Adobe,Amazon,Face"&amp;"book,Apple,Microsoft,Qualcomm,Google,Uber,Oracle,Bloomberg,Yandex,Zillow,IBM,ByteDance")</f>
        <v>Walmart Labs,Cisco,Nvidia,Yahoo,Paypal,Alibaba,Visa,Twitter,VMware,LinkedIn,Capital One,Electronic Arts,Docusign,Salesforce,Snapchat,Zenefits,Yelp,Citrix,eBay,Mathworks,Goldman Sachs,Spotify,Deutsche Bank,Intel,Tencent,Expedia,ServiceNow,Adobe,Amazon,Facebook,Apple,Microsoft,Qualcomm,Google,Uber,Oracle,Bloomberg,Yandex,Zillow,IBM,ByteDance</v>
      </c>
      <c r="I194" s="6">
        <f>IFERROR(__xludf.DUMMYFUNCTION("""COMPUTED_VALUE"""),65.48)</f>
        <v>65.48</v>
      </c>
      <c r="J194" s="6" t="str">
        <f>IFERROR(__xludf.DUMMYFUNCTION("""COMPUTED_VALUE"""),"算法")</f>
        <v>算法</v>
      </c>
    </row>
    <row r="195">
      <c r="A195" s="6">
        <f>IFERROR(__xludf.DUMMYFUNCTION("""COMPUTED_VALUE"""),207.0)</f>
        <v>207</v>
      </c>
      <c r="B195" s="53" t="str">
        <f>IFERROR(__xludf.DUMMYFUNCTION("""COMPUTED_VALUE"""),"Course Schedule")</f>
        <v>Course Schedule</v>
      </c>
      <c r="C195" s="6" t="str">
        <f>IFERROR(__xludf.DUMMYFUNCTION("""COMPUTED_VALUE"""),"Medium")</f>
        <v>Medium</v>
      </c>
      <c r="D195" s="6" t="str">
        <f>IFERROR(__xludf.DUMMYFUNCTION("""COMPUTED_VALUE"""),"Topological Sort,Graph,Breadth First Search,Depth First Search")</f>
        <v>Topological Sort,Graph,Breadth First Search,Depth First Search</v>
      </c>
      <c r="E195" s="6" t="str">
        <f>IFERROR(__xludf.DUMMYFUNCTION("""COMPUTED_VALUE"""),"Karat,Wish,Roblox,Cisco,Cohesity,Nutanix,Zenefits,ByteDance,Salesforce,Paypal,Yelp,Oracle,Intuit,EBay,Apple,Uber,Yahoo,Bloomberg,Facebook,Amazon,LinkedIn,Microsoft,Goldman Sachs,Google")</f>
        <v>Karat,Wish,Roblox,Cisco,Cohesity,Nutanix,Zenefits,ByteDance,Salesforce,Paypal,Yelp,Oracle,Intuit,EBay,Apple,Uber,Yahoo,Bloomberg,Facebook,Amazon,LinkedIn,Microsoft,Goldman Sachs,Google</v>
      </c>
      <c r="F195" s="6" t="str">
        <f>IFERROR(__xludf.DUMMYFUNCTION("""COMPUTED_VALUE"""),"Amazon,Facebook,Intuit,Karat,ByteDance,Microsoft,Bloomberg,Uber")</f>
        <v>Amazon,Facebook,Intuit,Karat,ByteDance,Microsoft,Bloomberg,Uber</v>
      </c>
      <c r="G195" s="6" t="str">
        <f>IFERROR(__xludf.DUMMYFUNCTION("""COMPUTED_VALUE"""),"Roblox,Wish,Apple,Cisco,eBay,Amazon,Facebook,Intuit,Karat,ByteDance,Microsoft,Bloomberg,Uber")</f>
        <v>Roblox,Wish,Apple,Cisco,eBay,Amazon,Facebook,Intuit,Karat,ByteDance,Microsoft,Bloomberg,Uber</v>
      </c>
      <c r="H195" s="6" t="str">
        <f>IFERROR(__xludf.DUMMYFUNCTION("""COMPUTED_VALUE"""),"Google,Oracle,Yahoo,Cohesity,LinkedIn,Salesforce,Yelp,Zenefits,Roblox,Wish,Apple,Cisco,eBay,Amazon,Facebook,Intuit,Karat,ByteDance,Microsoft,Bloomberg,Uber")</f>
        <v>Google,Oracle,Yahoo,Cohesity,LinkedIn,Salesforce,Yelp,Zenefits,Roblox,Wish,Apple,Cisco,eBay,Amazon,Facebook,Intuit,Karat,ByteDance,Microsoft,Bloomberg,Uber</v>
      </c>
      <c r="I195" s="6">
        <f>IFERROR(__xludf.DUMMYFUNCTION("""COMPUTED_VALUE"""),44.3)</f>
        <v>44.3</v>
      </c>
      <c r="J195" s="6" t="str">
        <f>IFERROR(__xludf.DUMMYFUNCTION("""COMPUTED_VALUE"""),"算法")</f>
        <v>算法</v>
      </c>
    </row>
    <row r="196">
      <c r="A196" s="6">
        <f>IFERROR(__xludf.DUMMYFUNCTION("""COMPUTED_VALUE"""),208.0)</f>
        <v>208</v>
      </c>
      <c r="B196" s="53" t="str">
        <f>IFERROR(__xludf.DUMMYFUNCTION("""COMPUTED_VALUE"""),"Implement Trie (Prefix Tree)")</f>
        <v>Implement Trie (Prefix Tree)</v>
      </c>
      <c r="C196" s="6" t="str">
        <f>IFERROR(__xludf.DUMMYFUNCTION("""COMPUTED_VALUE"""),"Medium")</f>
        <v>Medium</v>
      </c>
      <c r="D196" s="6" t="str">
        <f>IFERROR(__xludf.DUMMYFUNCTION("""COMPUTED_VALUE"""),"Trie,Design")</f>
        <v>Trie,Design</v>
      </c>
      <c r="E196" s="6" t="str">
        <f>IFERROR(__xludf.DUMMYFUNCTION("""COMPUTED_VALUE"""),"Audible,Citadel,Adobe,Goldman Sachs,Nutanix,Quip (Salesforce),Square,Pinterest,Qualtrics,Walmart Labs,Twitter,Oracle,EBay,Apple,Uber,Bloomberg,Facebook,Amazon,Microsoft,Google")</f>
        <v>Audible,Citadel,Adobe,Goldman Sachs,Nutanix,Quip (Salesforce),Square,Pinterest,Qualtrics,Walmart Labs,Twitter,Oracle,EBay,Apple,Uber,Bloomberg,Facebook,Amazon,Microsoft,Google</v>
      </c>
      <c r="F196" s="6" t="str">
        <f>IFERROR(__xludf.DUMMYFUNCTION("""COMPUTED_VALUE"""),"Amazon,Pinterest,Google,Oracle,Apple,Facebook,Microsoft,Twitter,Goldman Sachs")</f>
        <v>Amazon,Pinterest,Google,Oracle,Apple,Facebook,Microsoft,Twitter,Goldman Sachs</v>
      </c>
      <c r="G196" s="6" t="str">
        <f>IFERROR(__xludf.DUMMYFUNCTION("""COMPUTED_VALUE"""),"Uber,Audible,Citadel,Amazon,Pinterest,Google,Oracle,Apple,Facebook,Microsoft,Twitter,Goldman Sachs")</f>
        <v>Uber,Audible,Citadel,Amazon,Pinterest,Google,Oracle,Apple,Facebook,Microsoft,Twitter,Goldman Sachs</v>
      </c>
      <c r="H196" s="6" t="str">
        <f>IFERROR(__xludf.DUMMYFUNCTION("""COMPUTED_VALUE"""),"eBay,Qualtrics,Square,Adobe,Walmart Labs,Quip (Salesforce),Bloomberg,Uber,Audible,Citadel,Amazon,Pinterest,Google,Oracle,Apple,Facebook,Microsoft,Twitter,Goldman Sachs")</f>
        <v>eBay,Qualtrics,Square,Adobe,Walmart Labs,Quip (Salesforce),Bloomberg,Uber,Audible,Citadel,Amazon,Pinterest,Google,Oracle,Apple,Facebook,Microsoft,Twitter,Goldman Sachs</v>
      </c>
      <c r="I196" s="6">
        <f>IFERROR(__xludf.DUMMYFUNCTION("""COMPUTED_VALUE"""),52.31)</f>
        <v>52.31</v>
      </c>
      <c r="J196" s="6" t="str">
        <f>IFERROR(__xludf.DUMMYFUNCTION("""COMPUTED_VALUE"""),"算法")</f>
        <v>算法</v>
      </c>
    </row>
    <row r="197">
      <c r="A197" s="6">
        <f>IFERROR(__xludf.DUMMYFUNCTION("""COMPUTED_VALUE"""),209.0)</f>
        <v>209</v>
      </c>
      <c r="B197" s="53" t="str">
        <f>IFERROR(__xludf.DUMMYFUNCTION("""COMPUTED_VALUE"""),"Minimum Size Subarray Sum")</f>
        <v>Minimum Size Subarray Sum</v>
      </c>
      <c r="C197" s="6" t="str">
        <f>IFERROR(__xludf.DUMMYFUNCTION("""COMPUTED_VALUE"""),"Medium")</f>
        <v>Medium</v>
      </c>
      <c r="D197" s="6" t="str">
        <f>IFERROR(__xludf.DUMMYFUNCTION("""COMPUTED_VALUE"""),"Binary Search,Two Pointers,Array")</f>
        <v>Binary Search,Two Pointers,Array</v>
      </c>
      <c r="E197" s="6" t="str">
        <f>IFERROR(__xludf.DUMMYFUNCTION("""COMPUTED_VALUE"""),"Wish,ByteDance,Oracle,Apple,SAP,Bloomberg,Facebook,Amazon,Microsoft,Goldman Sachs,Google")</f>
        <v>Wish,ByteDance,Oracle,Apple,SAP,Bloomberg,Facebook,Amazon,Microsoft,Goldman Sachs,Google</v>
      </c>
      <c r="F197" s="6" t="str">
        <f>IFERROR(__xludf.DUMMYFUNCTION("""COMPUTED_VALUE"""),"Goldman Sachs,Amazon,Facebook,Bloomberg,Microsoft,ByteDance")</f>
        <v>Goldman Sachs,Amazon,Facebook,Bloomberg,Microsoft,ByteDance</v>
      </c>
      <c r="G197" s="6" t="str">
        <f>IFERROR(__xludf.DUMMYFUNCTION("""COMPUTED_VALUE"""),"Google,Goldman Sachs,Amazon,Facebook,Bloomberg,Microsoft,ByteDance")</f>
        <v>Google,Goldman Sachs,Amazon,Facebook,Bloomberg,Microsoft,ByteDance</v>
      </c>
      <c r="H197" s="6" t="str">
        <f>IFERROR(__xludf.DUMMYFUNCTION("""COMPUTED_VALUE"""),"Oracle,Apple,Wish,SAP,Google,Goldman Sachs,Amazon,Facebook,Bloomberg,Microsoft,ByteDance")</f>
        <v>Oracle,Apple,Wish,SAP,Google,Goldman Sachs,Amazon,Facebook,Bloomberg,Microsoft,ByteDance</v>
      </c>
      <c r="I197" s="6">
        <f>IFERROR(__xludf.DUMMYFUNCTION("""COMPUTED_VALUE"""),39.63)</f>
        <v>39.63</v>
      </c>
      <c r="J197" s="6" t="str">
        <f>IFERROR(__xludf.DUMMYFUNCTION("""COMPUTED_VALUE"""),"算法")</f>
        <v>算法</v>
      </c>
    </row>
    <row r="198">
      <c r="A198" s="6">
        <f>IFERROR(__xludf.DUMMYFUNCTION("""COMPUTED_VALUE"""),210.0)</f>
        <v>210</v>
      </c>
      <c r="B198" s="53" t="str">
        <f>IFERROR(__xludf.DUMMYFUNCTION("""COMPUTED_VALUE"""),"Course Schedule II")</f>
        <v>Course Schedule II</v>
      </c>
      <c r="C198" s="6" t="str">
        <f>IFERROR(__xludf.DUMMYFUNCTION("""COMPUTED_VALUE"""),"Medium")</f>
        <v>Medium</v>
      </c>
      <c r="D198" s="6" t="str">
        <f>IFERROR(__xludf.DUMMYFUNCTION("""COMPUTED_VALUE"""),"Topological Sort,Graph,Breadth First Search,Depth First Search")</f>
        <v>Topological Sort,Graph,Breadth First Search,Depth First Search</v>
      </c>
      <c r="E198" s="6" t="str">
        <f>IFERROR(__xludf.DUMMYFUNCTION("""COMPUTED_VALUE"""),"Karat,Snapchat,Robinhood,Roblox,EBay,Goldman Sachs,Nutanix,DoorDash,Pinterest,Palantir Technologies,Wayfair,Zenefits,Walmart Labs,Twitter,Oracle,Intuit,Apple,Uber,Bloomberg,Facebook,Amazon,Microsoft,Google")</f>
        <v>Karat,Snapchat,Robinhood,Roblox,EBay,Goldman Sachs,Nutanix,DoorDash,Pinterest,Palantir Technologies,Wayfair,Zenefits,Walmart Labs,Twitter,Oracle,Intuit,Apple,Uber,Bloomberg,Facebook,Amazon,Microsoft,Google</v>
      </c>
      <c r="F198" s="6" t="str">
        <f>IFERROR(__xludf.DUMMYFUNCTION("""COMPUTED_VALUE"""),"Amazon,DoorDash,Microsoft,Google,Oracle,Snapchat,Facebook,Intuit,Pinterest,Wayfair,Karat")</f>
        <v>Amazon,DoorDash,Microsoft,Google,Oracle,Snapchat,Facebook,Intuit,Pinterest,Wayfair,Karat</v>
      </c>
      <c r="G198" s="6" t="str">
        <f>IFERROR(__xludf.DUMMYFUNCTION("""COMPUTED_VALUE"""),"Apple,eBay,Roblox,Walmart Labs,Robinhood,Amazon,DoorDash,Microsoft,Google,Oracle,Snapchat,Facebook,Intuit,Pinterest,Wayfair,Karat")</f>
        <v>Apple,eBay,Roblox,Walmart Labs,Robinhood,Amazon,DoorDash,Microsoft,Google,Oracle,Snapchat,Facebook,Intuit,Pinterest,Wayfair,Karat</v>
      </c>
      <c r="H198" s="6" t="str">
        <f>IFERROR(__xludf.DUMMYFUNCTION("""COMPUTED_VALUE"""),"Uber,Twitter,Bloomberg,Goldman Sachs,Zenefits,Apple,eBay,Roblox,Walmart Labs,Robinhood,Amazon,DoorDash,Microsoft,Google,Oracle,Snapchat,Facebook,Intuit,Pinterest,Wayfair,Karat")</f>
        <v>Uber,Twitter,Bloomberg,Goldman Sachs,Zenefits,Apple,eBay,Roblox,Walmart Labs,Robinhood,Amazon,DoorDash,Microsoft,Google,Oracle,Snapchat,Facebook,Intuit,Pinterest,Wayfair,Karat</v>
      </c>
      <c r="I198" s="6">
        <f>IFERROR(__xludf.DUMMYFUNCTION("""COMPUTED_VALUE"""),42.78)</f>
        <v>42.78</v>
      </c>
      <c r="J198" s="6" t="str">
        <f>IFERROR(__xludf.DUMMYFUNCTION("""COMPUTED_VALUE"""),"算法")</f>
        <v>算法</v>
      </c>
    </row>
    <row r="199">
      <c r="A199" s="6">
        <f>IFERROR(__xludf.DUMMYFUNCTION("""COMPUTED_VALUE"""),211.0)</f>
        <v>211</v>
      </c>
      <c r="B199" s="53" t="str">
        <f>IFERROR(__xludf.DUMMYFUNCTION("""COMPUTED_VALUE"""),"Design Add and Search Words Data Structure")</f>
        <v>Design Add and Search Words Data Structure</v>
      </c>
      <c r="C199" s="6" t="str">
        <f>IFERROR(__xludf.DUMMYFUNCTION("""COMPUTED_VALUE"""),"Medium")</f>
        <v>Medium</v>
      </c>
      <c r="D199" s="6" t="str">
        <f>IFERROR(__xludf.DUMMYFUNCTION("""COMPUTED_VALUE"""),"Depth First Search,Trie,Design,Backtracking")</f>
        <v>Depth First Search,Trie,Design,Backtracking</v>
      </c>
      <c r="E199" s="6" t="str">
        <f>IFERROR(__xludf.DUMMYFUNCTION("""COMPUTED_VALUE"""),"Oracle,Bloomberg,Adobe,Salesforce,EBay,Apple,Airbnb,Uber,Facebook,Amazon,Microsoft,Google")</f>
        <v>Oracle,Bloomberg,Adobe,Salesforce,EBay,Apple,Airbnb,Uber,Facebook,Amazon,Microsoft,Google</v>
      </c>
      <c r="F199" s="6" t="str">
        <f>IFERROR(__xludf.DUMMYFUNCTION("""COMPUTED_VALUE"""),"Facebook,Google,Amazon,Oracle,Adobe")</f>
        <v>Facebook,Google,Amazon,Oracle,Adobe</v>
      </c>
      <c r="G199" s="6" t="str">
        <f>IFERROR(__xludf.DUMMYFUNCTION("""COMPUTED_VALUE"""),"Apple,eBay,Facebook,Google,Amazon,Oracle,Adobe")</f>
        <v>Apple,eBay,Facebook,Google,Amazon,Oracle,Adobe</v>
      </c>
      <c r="H199" s="6" t="str">
        <f>IFERROR(__xludf.DUMMYFUNCTION("""COMPUTED_VALUE"""),"Uber,Bloomberg,Salesforce,Microsoft,Apple,eBay,Facebook,Google,Amazon,Oracle,Adobe")</f>
        <v>Uber,Bloomberg,Salesforce,Microsoft,Apple,eBay,Facebook,Google,Amazon,Oracle,Adobe</v>
      </c>
      <c r="I199" s="6">
        <f>IFERROR(__xludf.DUMMYFUNCTION("""COMPUTED_VALUE"""),40.37)</f>
        <v>40.37</v>
      </c>
      <c r="J199" s="6" t="str">
        <f>IFERROR(__xludf.DUMMYFUNCTION("""COMPUTED_VALUE"""),"算法")</f>
        <v>算法</v>
      </c>
    </row>
    <row r="200">
      <c r="A200" s="6">
        <f>IFERROR(__xludf.DUMMYFUNCTION("""COMPUTED_VALUE"""),212.0)</f>
        <v>212</v>
      </c>
      <c r="B200" s="53" t="str">
        <f>IFERROR(__xludf.DUMMYFUNCTION("""COMPUTED_VALUE"""),"Word Search II")</f>
        <v>Word Search II</v>
      </c>
      <c r="C200" s="6" t="str">
        <f>IFERROR(__xludf.DUMMYFUNCTION("""COMPUTED_VALUE"""),"Hard")</f>
        <v>Hard</v>
      </c>
      <c r="D200" s="6" t="str">
        <f>IFERROR(__xludf.DUMMYFUNCTION("""COMPUTED_VALUE"""),"Trie,Backtracking")</f>
        <v>Trie,Backtracking</v>
      </c>
      <c r="E200" s="6" t="str">
        <f>IFERROR(__xludf.DUMMYFUNCTION("""COMPUTED_VALUE"""),"Twitter,Cisco,EBay,Houzz,Roblox,Salesforce,Citadel,Snapchat,Zillow,Oracle,Apple,Airbnb,Uber,Yahoo,Bloomberg,Facebook,Amazon,Microsoft,Google")</f>
        <v>Twitter,Cisco,EBay,Houzz,Roblox,Salesforce,Citadel,Snapchat,Zillow,Oracle,Apple,Airbnb,Uber,Yahoo,Bloomberg,Facebook,Amazon,Microsoft,Google</v>
      </c>
      <c r="F200" s="6" t="str">
        <f>IFERROR(__xludf.DUMMYFUNCTION("""COMPUTED_VALUE"""),"Amazon,Microsoft,Uber,Apple,Google,Twitter,Snapchat")</f>
        <v>Amazon,Microsoft,Uber,Apple,Google,Twitter,Snapchat</v>
      </c>
      <c r="G200" s="6" t="str">
        <f>IFERROR(__xludf.DUMMYFUNCTION("""COMPUTED_VALUE"""),"Oracle,Cisco,Facebook,Bloomberg,Zillow,Amazon,Microsoft,Uber,Apple,Google,Twitter,Snapchat")</f>
        <v>Oracle,Cisco,Facebook,Bloomberg,Zillow,Amazon,Microsoft,Uber,Apple,Google,Twitter,Snapchat</v>
      </c>
      <c r="H200" s="6" t="str">
        <f>IFERROR(__xludf.DUMMYFUNCTION("""COMPUTED_VALUE"""),"Airbnb,Yahoo,eBay,Salesforce,Citadel,Oracle,Cisco,Facebook,Bloomberg,Zillow,Amazon,Microsoft,Uber,Apple,Google,Twitter,Snapchat")</f>
        <v>Airbnb,Yahoo,eBay,Salesforce,Citadel,Oracle,Cisco,Facebook,Bloomberg,Zillow,Amazon,Microsoft,Uber,Apple,Google,Twitter,Snapchat</v>
      </c>
      <c r="I200" s="6">
        <f>IFERROR(__xludf.DUMMYFUNCTION("""COMPUTED_VALUE"""),37.29)</f>
        <v>37.29</v>
      </c>
      <c r="J200" s="6" t="str">
        <f>IFERROR(__xludf.DUMMYFUNCTION("""COMPUTED_VALUE"""),"算法")</f>
        <v>算法</v>
      </c>
    </row>
    <row r="201">
      <c r="A201" s="6">
        <f>IFERROR(__xludf.DUMMYFUNCTION("""COMPUTED_VALUE"""),213.0)</f>
        <v>213</v>
      </c>
      <c r="B201" s="53" t="str">
        <f>IFERROR(__xludf.DUMMYFUNCTION("""COMPUTED_VALUE"""),"House Robber II")</f>
        <v>House Robber II</v>
      </c>
      <c r="C201" s="6" t="str">
        <f>IFERROR(__xludf.DUMMYFUNCTION("""COMPUTED_VALUE"""),"Medium")</f>
        <v>Medium</v>
      </c>
      <c r="D201" s="6" t="str">
        <f>IFERROR(__xludf.DUMMYFUNCTION("""COMPUTED_VALUE"""),"Dynamic Programming")</f>
        <v>Dynamic Programming</v>
      </c>
      <c r="E201" s="6" t="str">
        <f>IFERROR(__xludf.DUMMYFUNCTION("""COMPUTED_VALUE"""),"Walmart Labs,Apple,Adobe,Amazon,Salesforce,EBay,Microsoft,Google")</f>
        <v>Walmart Labs,Apple,Adobe,Amazon,Salesforce,EBay,Microsoft,Google</v>
      </c>
      <c r="F201" s="6"/>
      <c r="G201" s="6" t="str">
        <f>IFERROR(__xludf.DUMMYFUNCTION("""COMPUTED_VALUE"""),"Adobe,Amazon,eBay,Microsoft")</f>
        <v>Adobe,Amazon,eBay,Microsoft</v>
      </c>
      <c r="H201" s="6" t="str">
        <f>IFERROR(__xludf.DUMMYFUNCTION("""COMPUTED_VALUE"""),"Apple,Google,Walmart Labs,Adobe,Amazon,eBay,Microsoft")</f>
        <v>Apple,Google,Walmart Labs,Adobe,Amazon,eBay,Microsoft</v>
      </c>
      <c r="I201" s="6">
        <f>IFERROR(__xludf.DUMMYFUNCTION("""COMPUTED_VALUE"""),37.6)</f>
        <v>37.6</v>
      </c>
      <c r="J201" s="6" t="str">
        <f>IFERROR(__xludf.DUMMYFUNCTION("""COMPUTED_VALUE"""),"算法")</f>
        <v>算法</v>
      </c>
    </row>
    <row r="202">
      <c r="A202" s="6">
        <f>IFERROR(__xludf.DUMMYFUNCTION("""COMPUTED_VALUE"""),214.0)</f>
        <v>214</v>
      </c>
      <c r="B202" s="53" t="str">
        <f>IFERROR(__xludf.DUMMYFUNCTION("""COMPUTED_VALUE"""),"Shortest Palindrome")</f>
        <v>Shortest Palindrome</v>
      </c>
      <c r="C202" s="6" t="str">
        <f>IFERROR(__xludf.DUMMYFUNCTION("""COMPUTED_VALUE"""),"Hard")</f>
        <v>Hard</v>
      </c>
      <c r="D202" s="6" t="str">
        <f>IFERROR(__xludf.DUMMYFUNCTION("""COMPUTED_VALUE"""),"String")</f>
        <v>String</v>
      </c>
      <c r="E202" s="6" t="str">
        <f>IFERROR(__xludf.DUMMYFUNCTION("""COMPUTED_VALUE"""),"Tesla,Pocket Gems,Oracle,Bloomberg,Adobe,Facebook,Amazon,Microsoft,Google")</f>
        <v>Tesla,Pocket Gems,Oracle,Bloomberg,Adobe,Facebook,Amazon,Microsoft,Google</v>
      </c>
      <c r="F202" s="6" t="str">
        <f>IFERROR(__xludf.DUMMYFUNCTION("""COMPUTED_VALUE"""),"Microsoft")</f>
        <v>Microsoft</v>
      </c>
      <c r="G202" s="6" t="str">
        <f>IFERROR(__xludf.DUMMYFUNCTION("""COMPUTED_VALUE"""),"Bloomberg,Facebook,Google,Amazon,Tesla,Microsoft")</f>
        <v>Bloomberg,Facebook,Google,Amazon,Tesla,Microsoft</v>
      </c>
      <c r="H202" s="6" t="str">
        <f>IFERROR(__xludf.DUMMYFUNCTION("""COMPUTED_VALUE"""),"Oracle,Adobe,Pocket Gems,Bloomberg,Facebook,Google,Amazon,Tesla,Microsoft")</f>
        <v>Oracle,Adobe,Pocket Gems,Bloomberg,Facebook,Google,Amazon,Tesla,Microsoft</v>
      </c>
      <c r="I202" s="6">
        <f>IFERROR(__xludf.DUMMYFUNCTION("""COMPUTED_VALUE"""),30.74)</f>
        <v>30.74</v>
      </c>
      <c r="J202" s="6" t="str">
        <f>IFERROR(__xludf.DUMMYFUNCTION("""COMPUTED_VALUE"""),"算法")</f>
        <v>算法</v>
      </c>
    </row>
    <row r="203">
      <c r="A203" s="6">
        <f>IFERROR(__xludf.DUMMYFUNCTION("""COMPUTED_VALUE"""),215.0)</f>
        <v>215</v>
      </c>
      <c r="B203" s="53" t="str">
        <f>IFERROR(__xludf.DUMMYFUNCTION("""COMPUTED_VALUE"""),"Kth Largest Element in an Array")</f>
        <v>Kth Largest Element in an Array</v>
      </c>
      <c r="C203" s="6" t="str">
        <f>IFERROR(__xludf.DUMMYFUNCTION("""COMPUTED_VALUE"""),"Medium")</f>
        <v>Medium</v>
      </c>
      <c r="D203" s="6" t="str">
        <f>IFERROR(__xludf.DUMMYFUNCTION("""COMPUTED_VALUE"""),"Heap,Divide and Conquer")</f>
        <v>Heap,Divide and Conquer</v>
      </c>
      <c r="E203" s="6" t="str">
        <f>IFERROR(__xludf.DUMMYFUNCTION("""COMPUTED_VALUE"""),"Accolite,Roblox,Zillow,Paypal,Cisco,Pocket Gems,Atlassian,Grab,ByteDance,Salesforce,VMware,Walmart Labs,Snapchat,JPMorgan,Expedia,Oracle,Spotify,EBay,Baidu,Apple,Airbnb,Uber,Yahoo,Tencent,Bloomberg,Adobe,Facebook,Amazon,LinkedIn,Microsoft,Alibaba,Goldman "&amp;"Sachs,Google")</f>
        <v>Accolite,Roblox,Zillow,Paypal,Cisco,Pocket Gems,Atlassian,Grab,ByteDance,Salesforce,VMware,Walmart Labs,Snapchat,JPMorgan,Expedia,Oracle,Spotify,EBay,Baidu,Apple,Airbnb,Uber,Yahoo,Tencent,Bloomberg,Adobe,Facebook,Amazon,LinkedIn,Microsoft,Alibaba,Goldman Sachs,Google</v>
      </c>
      <c r="F203" s="6" t="str">
        <f>IFERROR(__xludf.DUMMYFUNCTION("""COMPUTED_VALUE"""),"Facebook,Amazon,Walmart Labs,Apple,ByteDance,LinkedIn,Microsoft,Bloomberg,Adobe,Oracle,Salesforce,Google,Goldman Sachs,Spotify,Zillow")</f>
        <v>Facebook,Amazon,Walmart Labs,Apple,ByteDance,LinkedIn,Microsoft,Bloomberg,Adobe,Oracle,Salesforce,Google,Goldman Sachs,Spotify,Zillow</v>
      </c>
      <c r="G203" s="6" t="str">
        <f>IFERROR(__xludf.DUMMYFUNCTION("""COMPUTED_VALUE"""),"eBay,Uber,Expedia,Facebook,Amazon,Walmart Labs,Apple,ByteDance,LinkedIn,Microsoft,Bloomberg,Adobe,Oracle,Salesforce,Google,Goldman Sachs,Spotify,Zillow")</f>
        <v>eBay,Uber,Expedia,Facebook,Amazon,Walmart Labs,Apple,ByteDance,LinkedIn,Microsoft,Bloomberg,Adobe,Oracle,Salesforce,Google,Goldman Sachs,Spotify,Zillow</v>
      </c>
      <c r="H203" s="6" t="str">
        <f>IFERROR(__xludf.DUMMYFUNCTION("""COMPUTED_VALUE"""),"Yahoo,Alibaba,Tencent,VMware,Paypal,Atlassian,Roblox,Grab,Cisco,JPMorgan,Accolite,Pocket Gems,eBay,Uber,Expedia,Facebook,Amazon,Walmart Labs,Apple,ByteDance,LinkedIn,Microsoft,Bloomberg,Adobe,Oracle,Salesforce,Google,Goldman Sachs,Spotify,Zillow")</f>
        <v>Yahoo,Alibaba,Tencent,VMware,Paypal,Atlassian,Roblox,Grab,Cisco,JPMorgan,Accolite,Pocket Gems,eBay,Uber,Expedia,Facebook,Amazon,Walmart Labs,Apple,ByteDance,LinkedIn,Microsoft,Bloomberg,Adobe,Oracle,Salesforce,Google,Goldman Sachs,Spotify,Zillow</v>
      </c>
      <c r="I203" s="6">
        <f>IFERROR(__xludf.DUMMYFUNCTION("""COMPUTED_VALUE"""),58.66)</f>
        <v>58.66</v>
      </c>
      <c r="J203" s="6" t="str">
        <f>IFERROR(__xludf.DUMMYFUNCTION("""COMPUTED_VALUE"""),"算法")</f>
        <v>算法</v>
      </c>
    </row>
    <row r="204">
      <c r="A204" s="6">
        <f>IFERROR(__xludf.DUMMYFUNCTION("""COMPUTED_VALUE"""),216.0)</f>
        <v>216</v>
      </c>
      <c r="B204" s="53" t="str">
        <f>IFERROR(__xludf.DUMMYFUNCTION("""COMPUTED_VALUE"""),"Combination Sum III")</f>
        <v>Combination Sum III</v>
      </c>
      <c r="C204" s="6" t="str">
        <f>IFERROR(__xludf.DUMMYFUNCTION("""COMPUTED_VALUE"""),"Medium")</f>
        <v>Medium</v>
      </c>
      <c r="D204" s="6" t="str">
        <f>IFERROR(__xludf.DUMMYFUNCTION("""COMPUTED_VALUE"""),"Backtracking,Array")</f>
        <v>Backtracking,Array</v>
      </c>
      <c r="E204" s="6" t="str">
        <f>IFERROR(__xludf.DUMMYFUNCTION("""COMPUTED_VALUE"""),"Google,Bloomberg,Amazon,Microsoft")</f>
        <v>Google,Bloomberg,Amazon,Microsoft</v>
      </c>
      <c r="F204" s="6"/>
      <c r="G204" s="6" t="str">
        <f>IFERROR(__xludf.DUMMYFUNCTION("""COMPUTED_VALUE"""),"Google,Amazon,Bloomberg")</f>
        <v>Google,Amazon,Bloomberg</v>
      </c>
      <c r="H204" s="6" t="str">
        <f>IFERROR(__xludf.DUMMYFUNCTION("""COMPUTED_VALUE"""),"Microsoft,Google,Amazon,Bloomberg")</f>
        <v>Microsoft,Google,Amazon,Bloomberg</v>
      </c>
      <c r="I204" s="6">
        <f>IFERROR(__xludf.DUMMYFUNCTION("""COMPUTED_VALUE"""),60.46)</f>
        <v>60.46</v>
      </c>
      <c r="J204" s="6" t="str">
        <f>IFERROR(__xludf.DUMMYFUNCTION("""COMPUTED_VALUE"""),"算法")</f>
        <v>算法</v>
      </c>
    </row>
    <row r="205">
      <c r="A205" s="6">
        <f>IFERROR(__xludf.DUMMYFUNCTION("""COMPUTED_VALUE"""),217.0)</f>
        <v>217</v>
      </c>
      <c r="B205" s="53" t="str">
        <f>IFERROR(__xludf.DUMMYFUNCTION("""COMPUTED_VALUE"""),"Contains Duplicate")</f>
        <v>Contains Duplicate</v>
      </c>
      <c r="C205" s="6" t="str">
        <f>IFERROR(__xludf.DUMMYFUNCTION("""COMPUTED_VALUE"""),"Easy")</f>
        <v>Easy</v>
      </c>
      <c r="D205" s="6" t="str">
        <f>IFERROR(__xludf.DUMMYFUNCTION("""COMPUTED_VALUE"""),"Hash Table,Array")</f>
        <v>Hash Table,Array</v>
      </c>
      <c r="E205" s="6" t="str">
        <f>IFERROR(__xludf.DUMMYFUNCTION("""COMPUTED_VALUE"""),"Google,Palantir Technologies,Oracle,Apple,Airbnb,Yahoo,Bloomberg,Adobe,Facebook,Amazon,Microsoft")</f>
        <v>Google,Palantir Technologies,Oracle,Apple,Airbnb,Yahoo,Bloomberg,Adobe,Facebook,Amazon,Microsoft</v>
      </c>
      <c r="F205" s="6" t="str">
        <f>IFERROR(__xludf.DUMMYFUNCTION("""COMPUTED_VALUE"""),"Apple,Microsoft")</f>
        <v>Apple,Microsoft</v>
      </c>
      <c r="G205" s="6" t="str">
        <f>IFERROR(__xludf.DUMMYFUNCTION("""COMPUTED_VALUE"""),"Adobe,Apple,Microsoft")</f>
        <v>Adobe,Apple,Microsoft</v>
      </c>
      <c r="H205" s="6" t="str">
        <f>IFERROR(__xludf.DUMMYFUNCTION("""COMPUTED_VALUE"""),"Amazon,Google,Facebook,Oracle,Yahoo,Airbnb,Palantir Technologies,Adobe,Apple,Microsoft")</f>
        <v>Amazon,Google,Facebook,Oracle,Yahoo,Airbnb,Palantir Technologies,Adobe,Apple,Microsoft</v>
      </c>
      <c r="I205" s="6">
        <f>IFERROR(__xludf.DUMMYFUNCTION("""COMPUTED_VALUE"""),56.73)</f>
        <v>56.73</v>
      </c>
      <c r="J205" s="6" t="str">
        <f>IFERROR(__xludf.DUMMYFUNCTION("""COMPUTED_VALUE"""),"算法")</f>
        <v>算法</v>
      </c>
    </row>
    <row r="206">
      <c r="A206" s="6">
        <f>IFERROR(__xludf.DUMMYFUNCTION("""COMPUTED_VALUE"""),218.0)</f>
        <v>218</v>
      </c>
      <c r="B206" s="53" t="str">
        <f>IFERROR(__xludf.DUMMYFUNCTION("""COMPUTED_VALUE"""),"The Skyline Problem")</f>
        <v>The Skyline Problem</v>
      </c>
      <c r="C206" s="6" t="str">
        <f>IFERROR(__xludf.DUMMYFUNCTION("""COMPUTED_VALUE"""),"Hard")</f>
        <v>Hard</v>
      </c>
      <c r="D206" s="6" t="str">
        <f>IFERROR(__xludf.DUMMYFUNCTION("""COMPUTED_VALUE"""),"Line Sweep,Segment Tree,Binary Indexed Tree,Heap,Divide and Conquer")</f>
        <v>Line Sweep,Segment Tree,Binary Indexed Tree,Heap,Divide and Conquer</v>
      </c>
      <c r="E206" s="6" t="str">
        <f>IFERROR(__xludf.DUMMYFUNCTION("""COMPUTED_VALUE"""),"Databricks,Houzz,Tableau,Salesforce,Twitter,Yelp,Apple,Uber,Adobe,Facebook,Amazon,Microsoft,Goldman Sachs,Google")</f>
        <v>Databricks,Houzz,Tableau,Salesforce,Twitter,Yelp,Apple,Uber,Adobe,Facebook,Amazon,Microsoft,Goldman Sachs,Google</v>
      </c>
      <c r="F206" s="6" t="str">
        <f>IFERROR(__xludf.DUMMYFUNCTION("""COMPUTED_VALUE"""),"Microsoft,Amazon,Google,Twitter")</f>
        <v>Microsoft,Amazon,Google,Twitter</v>
      </c>
      <c r="G206" s="6" t="str">
        <f>IFERROR(__xludf.DUMMYFUNCTION("""COMPUTED_VALUE"""),"Facebook,Adobe,Microsoft,Amazon,Google,Twitter")</f>
        <v>Facebook,Adobe,Microsoft,Amazon,Google,Twitter</v>
      </c>
      <c r="H206" s="6" t="str">
        <f>IFERROR(__xludf.DUMMYFUNCTION("""COMPUTED_VALUE"""),"Databricks,Uber,Apple,Goldman Sachs,Salesforce,Tableau,Yelp,Facebook,Adobe,Microsoft,Amazon,Google,Twitter")</f>
        <v>Databricks,Uber,Apple,Goldman Sachs,Salesforce,Tableau,Yelp,Facebook,Adobe,Microsoft,Amazon,Google,Twitter</v>
      </c>
      <c r="I206" s="6">
        <f>IFERROR(__xludf.DUMMYFUNCTION("""COMPUTED_VALUE"""),36.44)</f>
        <v>36.44</v>
      </c>
      <c r="J206" s="6" t="str">
        <f>IFERROR(__xludf.DUMMYFUNCTION("""COMPUTED_VALUE"""),"算法")</f>
        <v>算法</v>
      </c>
    </row>
    <row r="207">
      <c r="A207" s="6">
        <f>IFERROR(__xludf.DUMMYFUNCTION("""COMPUTED_VALUE"""),219.0)</f>
        <v>219</v>
      </c>
      <c r="B207" s="53" t="str">
        <f>IFERROR(__xludf.DUMMYFUNCTION("""COMPUTED_VALUE"""),"Contains Duplicate II")</f>
        <v>Contains Duplicate II</v>
      </c>
      <c r="C207" s="6" t="str">
        <f>IFERROR(__xludf.DUMMYFUNCTION("""COMPUTED_VALUE"""),"Easy")</f>
        <v>Easy</v>
      </c>
      <c r="D207" s="6" t="str">
        <f>IFERROR(__xludf.DUMMYFUNCTION("""COMPUTED_VALUE"""),"Hash Table,Array")</f>
        <v>Hash Table,Array</v>
      </c>
      <c r="E207" s="6" t="str">
        <f>IFERROR(__xludf.DUMMYFUNCTION("""COMPUTED_VALUE"""),"Facebook,Palantir Technologies,Apple,Airbnb,Bloomberg,Adobe,Amazon,Microsoft,Google")</f>
        <v>Facebook,Palantir Technologies,Apple,Airbnb,Bloomberg,Adobe,Amazon,Microsoft,Google</v>
      </c>
      <c r="F207" s="6" t="str">
        <f>IFERROR(__xludf.DUMMYFUNCTION("""COMPUTED_VALUE"""),"Amazon,Facebook,Google")</f>
        <v>Amazon,Facebook,Google</v>
      </c>
      <c r="G207" s="6" t="str">
        <f>IFERROR(__xludf.DUMMYFUNCTION("""COMPUTED_VALUE"""),"Adobe,Bloomberg,Amazon,Facebook,Google")</f>
        <v>Adobe,Bloomberg,Amazon,Facebook,Google</v>
      </c>
      <c r="H207" s="6" t="str">
        <f>IFERROR(__xludf.DUMMYFUNCTION("""COMPUTED_VALUE"""),"Microsoft,Apple,Airbnb,Palantir Technologies,Adobe,Bloomberg,Amazon,Facebook,Google")</f>
        <v>Microsoft,Apple,Airbnb,Palantir Technologies,Adobe,Bloomberg,Amazon,Facebook,Google</v>
      </c>
      <c r="I207" s="6">
        <f>IFERROR(__xludf.DUMMYFUNCTION("""COMPUTED_VALUE"""),38.71)</f>
        <v>38.71</v>
      </c>
      <c r="J207" s="6" t="str">
        <f>IFERROR(__xludf.DUMMYFUNCTION("""COMPUTED_VALUE"""),"算法")</f>
        <v>算法</v>
      </c>
    </row>
    <row r="208">
      <c r="A208" s="6">
        <f>IFERROR(__xludf.DUMMYFUNCTION("""COMPUTED_VALUE"""),220.0)</f>
        <v>220</v>
      </c>
      <c r="B208" s="53" t="str">
        <f>IFERROR(__xludf.DUMMYFUNCTION("""COMPUTED_VALUE"""),"Contains Duplicate III")</f>
        <v>Contains Duplicate III</v>
      </c>
      <c r="C208" s="6" t="str">
        <f>IFERROR(__xludf.DUMMYFUNCTION("""COMPUTED_VALUE"""),"Medium")</f>
        <v>Medium</v>
      </c>
      <c r="D208" s="6" t="str">
        <f>IFERROR(__xludf.DUMMYFUNCTION("""COMPUTED_VALUE"""),"Ordered Map,Sort")</f>
        <v>Ordered Map,Sort</v>
      </c>
      <c r="E208" s="6" t="str">
        <f>IFERROR(__xludf.DUMMYFUNCTION("""COMPUTED_VALUE"""),"Facebook,Palantir Technologies,Apple,Airbnb,Adobe,Microsoft,Google")</f>
        <v>Facebook,Palantir Technologies,Apple,Airbnb,Adobe,Microsoft,Google</v>
      </c>
      <c r="F208" s="6" t="str">
        <f>IFERROR(__xludf.DUMMYFUNCTION("""COMPUTED_VALUE"""),"Facebook")</f>
        <v>Facebook</v>
      </c>
      <c r="G208" s="6" t="str">
        <f>IFERROR(__xludf.DUMMYFUNCTION("""COMPUTED_VALUE"""),"Facebook")</f>
        <v>Facebook</v>
      </c>
      <c r="H208" s="6" t="str">
        <f>IFERROR(__xludf.DUMMYFUNCTION("""COMPUTED_VALUE"""),"Adobe,Apple,Google,Microsoft,Airbnb,Palantir Technologies,Facebook")</f>
        <v>Adobe,Apple,Google,Microsoft,Airbnb,Palantir Technologies,Facebook</v>
      </c>
      <c r="I208" s="6">
        <f>IFERROR(__xludf.DUMMYFUNCTION("""COMPUTED_VALUE"""),21.35)</f>
        <v>21.35</v>
      </c>
      <c r="J208" s="6" t="str">
        <f>IFERROR(__xludf.DUMMYFUNCTION("""COMPUTED_VALUE"""),"算法")</f>
        <v>算法</v>
      </c>
    </row>
    <row r="209">
      <c r="A209" s="6">
        <f>IFERROR(__xludf.DUMMYFUNCTION("""COMPUTED_VALUE"""),221.0)</f>
        <v>221</v>
      </c>
      <c r="B209" s="53" t="str">
        <f>IFERROR(__xludf.DUMMYFUNCTION("""COMPUTED_VALUE"""),"Maximal Square")</f>
        <v>Maximal Square</v>
      </c>
      <c r="C209" s="6" t="str">
        <f>IFERROR(__xludf.DUMMYFUNCTION("""COMPUTED_VALUE"""),"Medium")</f>
        <v>Medium</v>
      </c>
      <c r="D209" s="6" t="str">
        <f>IFERROR(__xludf.DUMMYFUNCTION("""COMPUTED_VALUE"""),"Dynamic Programming")</f>
        <v>Dynamic Programming</v>
      </c>
      <c r="E209" s="6" t="str">
        <f>IFERROR(__xludf.DUMMYFUNCTION("""COMPUTED_VALUE"""),"AppDynamics,Booking.com,Twilio,ByteDance,FactSet,Walmart Labs,Paypal,Twitter,IBM,Yahoo,Goldman Sachs,Two Sigma,VMware,Citadel,Oracle,Huawei,Apple,Airbnb,Uber,Bloomberg,Adobe,Facebook,Amazon,Microsoft,Google")</f>
        <v>AppDynamics,Booking.com,Twilio,ByteDance,FactSet,Walmart Labs,Paypal,Twitter,IBM,Yahoo,Goldman Sachs,Two Sigma,VMware,Citadel,Oracle,Huawei,Apple,Airbnb,Uber,Bloomberg,Adobe,Facebook,Amazon,Microsoft,Google</v>
      </c>
      <c r="F209" s="6" t="str">
        <f>IFERROR(__xludf.DUMMYFUNCTION("""COMPUTED_VALUE"""),"Amazon,IBM,Google,Twitter,ByteDance,Apple")</f>
        <v>Amazon,IBM,Google,Twitter,ByteDance,Apple</v>
      </c>
      <c r="G209" s="6" t="str">
        <f>IFERROR(__xludf.DUMMYFUNCTION("""COMPUTED_VALUE"""),"Adobe,Citadel,Paypal,Facebook,Microsoft,Bloomberg,AppDynamics,Booking.com,Goldman Sachs,Amazon,IBM,Google,Twitter,ByteDance,Apple")</f>
        <v>Adobe,Citadel,Paypal,Facebook,Microsoft,Bloomberg,AppDynamics,Booking.com,Goldman Sachs,Amazon,IBM,Google,Twitter,ByteDance,Apple</v>
      </c>
      <c r="H209" s="6" t="str">
        <f>IFERROR(__xludf.DUMMYFUNCTION("""COMPUTED_VALUE"""),"Uber,VMware,Huawei,Oracle,Yahoo,Twilio,Walmart Labs,FactSet,Airbnb,Adobe,Citadel,Paypal,Facebook,Microsoft,Bloomberg,AppDynamics,Booking.com,Goldman Sachs,Amazon,IBM,Google,Twitter,ByteDance,Apple")</f>
        <v>Uber,VMware,Huawei,Oracle,Yahoo,Twilio,Walmart Labs,FactSet,Airbnb,Adobe,Citadel,Paypal,Facebook,Microsoft,Bloomberg,AppDynamics,Booking.com,Goldman Sachs,Amazon,IBM,Google,Twitter,ByteDance,Apple</v>
      </c>
      <c r="I209" s="6">
        <f>IFERROR(__xludf.DUMMYFUNCTION("""COMPUTED_VALUE"""),39.4)</f>
        <v>39.4</v>
      </c>
      <c r="J209" s="6" t="str">
        <f>IFERROR(__xludf.DUMMYFUNCTION("""COMPUTED_VALUE"""),"算法")</f>
        <v>算法</v>
      </c>
    </row>
    <row r="210">
      <c r="A210" s="6">
        <f>IFERROR(__xludf.DUMMYFUNCTION("""COMPUTED_VALUE"""),222.0)</f>
        <v>222</v>
      </c>
      <c r="B210" s="53" t="str">
        <f>IFERROR(__xludf.DUMMYFUNCTION("""COMPUTED_VALUE"""),"Count Complete Tree Nodes")</f>
        <v>Count Complete Tree Nodes</v>
      </c>
      <c r="C210" s="6" t="str">
        <f>IFERROR(__xludf.DUMMYFUNCTION("""COMPUTED_VALUE"""),"Medium")</f>
        <v>Medium</v>
      </c>
      <c r="D210" s="6" t="str">
        <f>IFERROR(__xludf.DUMMYFUNCTION("""COMPUTED_VALUE"""),"Tree,Binary Search")</f>
        <v>Tree,Binary Search</v>
      </c>
      <c r="E210" s="6" t="str">
        <f>IFERROR(__xludf.DUMMYFUNCTION("""COMPUTED_VALUE"""),"ByteDance,Yahoo,Bloomberg,Facebook,Amazon,Microsoft,Google")</f>
        <v>ByteDance,Yahoo,Bloomberg,Facebook,Amazon,Microsoft,Google</v>
      </c>
      <c r="F210" s="6" t="str">
        <f>IFERROR(__xludf.DUMMYFUNCTION("""COMPUTED_VALUE"""),"Google,Bloomberg,Microsoft")</f>
        <v>Google,Bloomberg,Microsoft</v>
      </c>
      <c r="G210" s="6" t="str">
        <f>IFERROR(__xludf.DUMMYFUNCTION("""COMPUTED_VALUE"""),"Amazon,ByteDance,Google,Bloomberg,Microsoft")</f>
        <v>Amazon,ByteDance,Google,Bloomberg,Microsoft</v>
      </c>
      <c r="H210" s="6" t="str">
        <f>IFERROR(__xludf.DUMMYFUNCTION("""COMPUTED_VALUE"""),"Facebook,Amazon,ByteDance,Google,Bloomberg,Microsoft")</f>
        <v>Facebook,Amazon,ByteDance,Google,Bloomberg,Microsoft</v>
      </c>
      <c r="I210" s="6">
        <f>IFERROR(__xludf.DUMMYFUNCTION("""COMPUTED_VALUE"""),49.51)</f>
        <v>49.51</v>
      </c>
      <c r="J210" s="6" t="str">
        <f>IFERROR(__xludf.DUMMYFUNCTION("""COMPUTED_VALUE"""),"算法")</f>
        <v>算法</v>
      </c>
    </row>
    <row r="211">
      <c r="A211" s="6">
        <f>IFERROR(__xludf.DUMMYFUNCTION("""COMPUTED_VALUE"""),224.0)</f>
        <v>224</v>
      </c>
      <c r="B211" s="53" t="str">
        <f>IFERROR(__xludf.DUMMYFUNCTION("""COMPUTED_VALUE"""),"Basic Calculator")</f>
        <v>Basic Calculator</v>
      </c>
      <c r="C211" s="6" t="str">
        <f>IFERROR(__xludf.DUMMYFUNCTION("""COMPUTED_VALUE"""),"Hard")</f>
        <v>Hard</v>
      </c>
      <c r="D211" s="6" t="str">
        <f>IFERROR(__xludf.DUMMYFUNCTION("""COMPUTED_VALUE"""),"Stack,Math")</f>
        <v>Stack,Math</v>
      </c>
      <c r="E211" s="6" t="str">
        <f>IFERROR(__xludf.DUMMYFUNCTION("""COMPUTED_VALUE"""),"Wayfair,Wish,ByteDance,Salesforce,Oracle,Apple,Jump Trading,Karat,Robinhood,Pinterest,Roblox,Snapchat,Indeed,Paypal,Intuit,Uber,Bloomberg,Adobe,Facebook,Amazon,Microsoft,Google")</f>
        <v>Wayfair,Wish,ByteDance,Salesforce,Oracle,Apple,Jump Trading,Karat,Robinhood,Pinterest,Roblox,Snapchat,Indeed,Paypal,Intuit,Uber,Bloomberg,Adobe,Facebook,Amazon,Microsoft,Google</v>
      </c>
      <c r="F211" s="6" t="str">
        <f>IFERROR(__xludf.DUMMYFUNCTION("""COMPUTED_VALUE"""),"Amazon,Indeed,Roblox,Facebook,Karat,Google,Uber,Microsoft,ByteDance,Wish")</f>
        <v>Amazon,Indeed,Roblox,Facebook,Karat,Google,Uber,Microsoft,ByteDance,Wish</v>
      </c>
      <c r="G211" s="6" t="str">
        <f>IFERROR(__xludf.DUMMYFUNCTION("""COMPUTED_VALUE"""),"Paypal,Robinhood,Wayfair,Amazon,Indeed,Roblox,Facebook,Karat,Google,Uber,Microsoft,ByteDance,Wish")</f>
        <v>Paypal,Robinhood,Wayfair,Amazon,Indeed,Roblox,Facebook,Karat,Google,Uber,Microsoft,ByteDance,Wish</v>
      </c>
      <c r="H211" s="6" t="str">
        <f>IFERROR(__xludf.DUMMYFUNCTION("""COMPUTED_VALUE"""),"Snapchat,Apple,Oracle,Salesforce,Paypal,Robinhood,Wayfair,Amazon,Indeed,Roblox,Facebook,Karat,Google,Uber,Microsoft,ByteDance,Wish")</f>
        <v>Snapchat,Apple,Oracle,Salesforce,Paypal,Robinhood,Wayfair,Amazon,Indeed,Roblox,Facebook,Karat,Google,Uber,Microsoft,ByteDance,Wish</v>
      </c>
      <c r="I211" s="6">
        <f>IFERROR(__xludf.DUMMYFUNCTION("""COMPUTED_VALUE"""),38.21)</f>
        <v>38.21</v>
      </c>
      <c r="J211" s="6" t="str">
        <f>IFERROR(__xludf.DUMMYFUNCTION("""COMPUTED_VALUE"""),"算法")</f>
        <v>算法</v>
      </c>
    </row>
    <row r="212">
      <c r="A212" s="6">
        <f>IFERROR(__xludf.DUMMYFUNCTION("""COMPUTED_VALUE"""),226.0)</f>
        <v>226</v>
      </c>
      <c r="B212" s="53" t="str">
        <f>IFERROR(__xludf.DUMMYFUNCTION("""COMPUTED_VALUE"""),"Invert Binary Tree")</f>
        <v>Invert Binary Tree</v>
      </c>
      <c r="C212" s="6" t="str">
        <f>IFERROR(__xludf.DUMMYFUNCTION("""COMPUTED_VALUE"""),"Easy")</f>
        <v>Easy</v>
      </c>
      <c r="D212" s="6" t="str">
        <f>IFERROR(__xludf.DUMMYFUNCTION("""COMPUTED_VALUE"""),"Tree")</f>
        <v>Tree</v>
      </c>
      <c r="E212" s="6" t="str">
        <f>IFERROR(__xludf.DUMMYFUNCTION("""COMPUTED_VALUE"""),"Walmart Labs,Paypal,Oracle,EBay,Salesforce,VMware,Apple,Uber,Bloomberg,Facebook,Amazon,Microsoft,Google")</f>
        <v>Walmart Labs,Paypal,Oracle,EBay,Salesforce,VMware,Apple,Uber,Bloomberg,Facebook,Amazon,Microsoft,Google</v>
      </c>
      <c r="F212" s="6" t="str">
        <f>IFERROR(__xludf.DUMMYFUNCTION("""COMPUTED_VALUE"""),"Microsoft,Amazon,Google,Facebook,eBay,Apple,VMware,Paypal")</f>
        <v>Microsoft,Amazon,Google,Facebook,eBay,Apple,VMware,Paypal</v>
      </c>
      <c r="G212" s="6" t="str">
        <f>IFERROR(__xludf.DUMMYFUNCTION("""COMPUTED_VALUE"""),"Oracle,Microsoft,Amazon,Google,Facebook,eBay,Apple,VMware,Paypal")</f>
        <v>Oracle,Microsoft,Amazon,Google,Facebook,eBay,Apple,VMware,Paypal</v>
      </c>
      <c r="H212" s="6" t="str">
        <f>IFERROR(__xludf.DUMMYFUNCTION("""COMPUTED_VALUE"""),"Bloomberg,Walmart Labs,Oracle,Microsoft,Amazon,Google,Facebook,eBay,Apple,VMware,Paypal")</f>
        <v>Bloomberg,Walmart Labs,Oracle,Microsoft,Amazon,Google,Facebook,eBay,Apple,VMware,Paypal</v>
      </c>
      <c r="I212" s="6">
        <f>IFERROR(__xludf.DUMMYFUNCTION("""COMPUTED_VALUE"""),67.16)</f>
        <v>67.16</v>
      </c>
      <c r="J212" s="6" t="str">
        <f>IFERROR(__xludf.DUMMYFUNCTION("""COMPUTED_VALUE"""),"算法")</f>
        <v>算法</v>
      </c>
    </row>
    <row r="213">
      <c r="A213" s="6">
        <f>IFERROR(__xludf.DUMMYFUNCTION("""COMPUTED_VALUE"""),227.0)</f>
        <v>227</v>
      </c>
      <c r="B213" s="53" t="str">
        <f>IFERROR(__xludf.DUMMYFUNCTION("""COMPUTED_VALUE"""),"Basic Calculator II")</f>
        <v>Basic Calculator II</v>
      </c>
      <c r="C213" s="6" t="str">
        <f>IFERROR(__xludf.DUMMYFUNCTION("""COMPUTED_VALUE"""),"Medium")</f>
        <v>Medium</v>
      </c>
      <c r="D213" s="6" t="str">
        <f>IFERROR(__xludf.DUMMYFUNCTION("""COMPUTED_VALUE"""),"Stack,String")</f>
        <v>Stack,String</v>
      </c>
      <c r="E213" s="6" t="str">
        <f>IFERROR(__xludf.DUMMYFUNCTION("""COMPUTED_VALUE"""),"Postmates,Grab,Roblox,ByteDance,Reddit,DoorDash,IXL,Houzz,Atlassian,Tableau,Walmart Labs,Snapchat,Indeed,Paypal,Yelp,Oracle,Intuit,EBay,Apple,Airbnb,Uber,Tencent,Facebook,Amazon,Microsoft,Google")</f>
        <v>Postmates,Grab,Roblox,ByteDance,Reddit,DoorDash,IXL,Houzz,Atlassian,Tableau,Walmart Labs,Snapchat,Indeed,Paypal,Yelp,Oracle,Intuit,EBay,Apple,Airbnb,Uber,Tencent,Facebook,Amazon,Microsoft,Google</v>
      </c>
      <c r="F213" s="6" t="str">
        <f>IFERROR(__xludf.DUMMYFUNCTION("""COMPUTED_VALUE"""),"Amazon,Facebook,Microsoft,Roblox,Snapchat,Uber,Apple,Oracle")</f>
        <v>Amazon,Facebook,Microsoft,Roblox,Snapchat,Uber,Apple,Oracle</v>
      </c>
      <c r="G213" s="6" t="str">
        <f>IFERROR(__xludf.DUMMYFUNCTION("""COMPUTED_VALUE"""),"eBay,Google,Postmates,ByteDance,Grab,Amazon,Facebook,Microsoft,Roblox,Snapchat,Uber,Apple,Oracle")</f>
        <v>eBay,Google,Postmates,ByteDance,Grab,Amazon,Facebook,Microsoft,Roblox,Snapchat,Uber,Apple,Oracle</v>
      </c>
      <c r="H213" s="6" t="str">
        <f>IFERROR(__xludf.DUMMYFUNCTION("""COMPUTED_VALUE"""),"Houzz,Indeed,Reddit,DoorDash,Tableau,Walmart Labs,Paypal,Airbnb,eBay,Google,Postmates,ByteDance,Grab,Amazon,Facebook,Microsoft,Roblox,Snapchat,Uber,Apple,Oracle")</f>
        <v>Houzz,Indeed,Reddit,DoorDash,Tableau,Walmart Labs,Paypal,Airbnb,eBay,Google,Postmates,ByteDance,Grab,Amazon,Facebook,Microsoft,Roblox,Snapchat,Uber,Apple,Oracle</v>
      </c>
      <c r="I213" s="6">
        <f>IFERROR(__xludf.DUMMYFUNCTION("""COMPUTED_VALUE"""),38.63)</f>
        <v>38.63</v>
      </c>
      <c r="J213" s="6" t="str">
        <f>IFERROR(__xludf.DUMMYFUNCTION("""COMPUTED_VALUE"""),"算法")</f>
        <v>算法</v>
      </c>
    </row>
    <row r="214">
      <c r="A214" s="6">
        <f>IFERROR(__xludf.DUMMYFUNCTION("""COMPUTED_VALUE"""),228.0)</f>
        <v>228</v>
      </c>
      <c r="B214" s="53" t="str">
        <f>IFERROR(__xludf.DUMMYFUNCTION("""COMPUTED_VALUE"""),"Summary Ranges")</f>
        <v>Summary Ranges</v>
      </c>
      <c r="C214" s="6" t="str">
        <f>IFERROR(__xludf.DUMMYFUNCTION("""COMPUTED_VALUE"""),"Easy")</f>
        <v>Easy</v>
      </c>
      <c r="D214" s="6" t="str">
        <f>IFERROR(__xludf.DUMMYFUNCTION("""COMPUTED_VALUE"""),"Array")</f>
        <v>Array</v>
      </c>
      <c r="E214" s="6" t="str">
        <f>IFERROR(__xludf.DUMMYFUNCTION("""COMPUTED_VALUE"""),"Qualtrics,Capital One,Indeed,Yandex,Uber,Bloomberg,Facebook,Amazon,Microsoft,Google")</f>
        <v>Qualtrics,Capital One,Indeed,Yandex,Uber,Bloomberg,Facebook,Amazon,Microsoft,Google</v>
      </c>
      <c r="F214" s="6" t="str">
        <f>IFERROR(__xludf.DUMMYFUNCTION("""COMPUTED_VALUE"""),"Yandex,Facebook,Bloomberg,Qualtrics")</f>
        <v>Yandex,Facebook,Bloomberg,Qualtrics</v>
      </c>
      <c r="G214" s="6" t="str">
        <f>IFERROR(__xludf.DUMMYFUNCTION("""COMPUTED_VALUE"""),"Capital One,Yandex,Facebook,Bloomberg,Qualtrics")</f>
        <v>Capital One,Yandex,Facebook,Bloomberg,Qualtrics</v>
      </c>
      <c r="H214" s="6" t="str">
        <f>IFERROR(__xludf.DUMMYFUNCTION("""COMPUTED_VALUE"""),"Amazon,Google,Microsoft,Indeed,Uber,Capital One,Yandex,Facebook,Bloomberg,Qualtrics")</f>
        <v>Amazon,Google,Microsoft,Indeed,Uber,Capital One,Yandex,Facebook,Bloomberg,Qualtrics</v>
      </c>
      <c r="I214" s="6">
        <f>IFERROR(__xludf.DUMMYFUNCTION("""COMPUTED_VALUE"""),42.55)</f>
        <v>42.55</v>
      </c>
      <c r="J214" s="6" t="str">
        <f>IFERROR(__xludf.DUMMYFUNCTION("""COMPUTED_VALUE"""),"算法")</f>
        <v>算法</v>
      </c>
    </row>
    <row r="215">
      <c r="A215" s="6">
        <f>IFERROR(__xludf.DUMMYFUNCTION("""COMPUTED_VALUE"""),229.0)</f>
        <v>229</v>
      </c>
      <c r="B215" s="53" t="str">
        <f>IFERROR(__xludf.DUMMYFUNCTION("""COMPUTED_VALUE"""),"Majority Element II")</f>
        <v>Majority Element II</v>
      </c>
      <c r="C215" s="6" t="str">
        <f>IFERROR(__xludf.DUMMYFUNCTION("""COMPUTED_VALUE"""),"Medium")</f>
        <v>Medium</v>
      </c>
      <c r="D215" s="6" t="str">
        <f>IFERROR(__xludf.DUMMYFUNCTION("""COMPUTED_VALUE"""),"Array")</f>
        <v>Array</v>
      </c>
      <c r="E215" s="6" t="str">
        <f>IFERROR(__xludf.DUMMYFUNCTION("""COMPUTED_VALUE"""),"Zenefits,Apple,Uber,Bloomberg,Adobe,Facebook,Amazon,Microsoft,Google")</f>
        <v>Zenefits,Apple,Uber,Bloomberg,Adobe,Facebook,Amazon,Microsoft,Google</v>
      </c>
      <c r="F215" s="6" t="str">
        <f>IFERROR(__xludf.DUMMYFUNCTION("""COMPUTED_VALUE"""),"Google,Amazon")</f>
        <v>Google,Amazon</v>
      </c>
      <c r="G215" s="6" t="str">
        <f>IFERROR(__xludf.DUMMYFUNCTION("""COMPUTED_VALUE"""),"Adobe,Google,Amazon")</f>
        <v>Adobe,Google,Amazon</v>
      </c>
      <c r="H215" s="6" t="str">
        <f>IFERROR(__xludf.DUMMYFUNCTION("""COMPUTED_VALUE"""),"Bloomberg,Apple,Microsoft,Facebook,Zenefits,Adobe,Google,Amazon")</f>
        <v>Bloomberg,Apple,Microsoft,Facebook,Zenefits,Adobe,Google,Amazon</v>
      </c>
      <c r="I215" s="6">
        <f>IFERROR(__xludf.DUMMYFUNCTION("""COMPUTED_VALUE"""),38.89)</f>
        <v>38.89</v>
      </c>
      <c r="J215" s="6" t="str">
        <f>IFERROR(__xludf.DUMMYFUNCTION("""COMPUTED_VALUE"""),"算法")</f>
        <v>算法</v>
      </c>
    </row>
    <row r="216">
      <c r="A216" s="6">
        <f>IFERROR(__xludf.DUMMYFUNCTION("""COMPUTED_VALUE"""),230.0)</f>
        <v>230</v>
      </c>
      <c r="B216" s="53" t="str">
        <f>IFERROR(__xludf.DUMMYFUNCTION("""COMPUTED_VALUE"""),"Kth Smallest Element in a BST")</f>
        <v>Kth Smallest Element in a BST</v>
      </c>
      <c r="C216" s="6" t="str">
        <f>IFERROR(__xludf.DUMMYFUNCTION("""COMPUTED_VALUE"""),"Medium")</f>
        <v>Medium</v>
      </c>
      <c r="D216" s="6" t="str">
        <f>IFERROR(__xludf.DUMMYFUNCTION("""COMPUTED_VALUE"""),"Tree,Binary Search")</f>
        <v>Tree,Binary Search</v>
      </c>
      <c r="E216" s="6" t="str">
        <f>IFERROR(__xludf.DUMMYFUNCTION("""COMPUTED_VALUE"""),"Adobe,LinkedIn,TripleByte,Hulu,VMware,Affirm,Oracle,Apple,Uber,Bloomberg,Facebook,Amazon,Microsoft,Google")</f>
        <v>Adobe,LinkedIn,TripleByte,Hulu,VMware,Affirm,Oracle,Apple,Uber,Bloomberg,Facebook,Amazon,Microsoft,Google</v>
      </c>
      <c r="F216" s="6" t="str">
        <f>IFERROR(__xludf.DUMMYFUNCTION("""COMPUTED_VALUE"""),"Amazon,Facebook,Adobe,Oracle,Microsoft,Apple")</f>
        <v>Amazon,Facebook,Adobe,Oracle,Microsoft,Apple</v>
      </c>
      <c r="G216" s="6" t="str">
        <f>IFERROR(__xludf.DUMMYFUNCTION("""COMPUTED_VALUE"""),"Bloomberg,Google,Amazon,Facebook,Adobe,Oracle,Microsoft,Apple")</f>
        <v>Bloomberg,Google,Amazon,Facebook,Adobe,Oracle,Microsoft,Apple</v>
      </c>
      <c r="H216" s="6" t="str">
        <f>IFERROR(__xludf.DUMMYFUNCTION("""COMPUTED_VALUE"""),"TripleByte,Uber,LinkedIn,VMware,Hulu,Bloomberg,Google,Amazon,Facebook,Adobe,Oracle,Microsoft,Apple")</f>
        <v>TripleByte,Uber,LinkedIn,VMware,Hulu,Bloomberg,Google,Amazon,Facebook,Adobe,Oracle,Microsoft,Apple</v>
      </c>
      <c r="I216" s="6">
        <f>IFERROR(__xludf.DUMMYFUNCTION("""COMPUTED_VALUE"""),62.77)</f>
        <v>62.77</v>
      </c>
      <c r="J216" s="6" t="str">
        <f>IFERROR(__xludf.DUMMYFUNCTION("""COMPUTED_VALUE"""),"算法")</f>
        <v>算法</v>
      </c>
    </row>
    <row r="217">
      <c r="A217" s="6">
        <f>IFERROR(__xludf.DUMMYFUNCTION("""COMPUTED_VALUE"""),231.0)</f>
        <v>231</v>
      </c>
      <c r="B217" s="53" t="str">
        <f>IFERROR(__xludf.DUMMYFUNCTION("""COMPUTED_VALUE"""),"Power of Two")</f>
        <v>Power of Two</v>
      </c>
      <c r="C217" s="6" t="str">
        <f>IFERROR(__xludf.DUMMYFUNCTION("""COMPUTED_VALUE"""),"Easy")</f>
        <v>Easy</v>
      </c>
      <c r="D217" s="6" t="str">
        <f>IFERROR(__xludf.DUMMYFUNCTION("""COMPUTED_VALUE"""),"Bit Manipulation,Math")</f>
        <v>Bit Manipulation,Math</v>
      </c>
      <c r="E217" s="6" t="str">
        <f>IFERROR(__xludf.DUMMYFUNCTION("""COMPUTED_VALUE"""),"Nvidia,Apple,Amazon,Microsoft,Google")</f>
        <v>Nvidia,Apple,Amazon,Microsoft,Google</v>
      </c>
      <c r="F217" s="6" t="str">
        <f>IFERROR(__xludf.DUMMYFUNCTION("""COMPUTED_VALUE"""),"Apple")</f>
        <v>Apple</v>
      </c>
      <c r="G217" s="6" t="str">
        <f>IFERROR(__xludf.DUMMYFUNCTION("""COMPUTED_VALUE"""),"Nvidia,Apple")</f>
        <v>Nvidia,Apple</v>
      </c>
      <c r="H217" s="6" t="str">
        <f>IFERROR(__xludf.DUMMYFUNCTION("""COMPUTED_VALUE"""),"Google,Amazon,Nvidia,Apple")</f>
        <v>Google,Amazon,Nvidia,Apple</v>
      </c>
      <c r="I217" s="6">
        <f>IFERROR(__xludf.DUMMYFUNCTION("""COMPUTED_VALUE"""),43.81)</f>
        <v>43.81</v>
      </c>
      <c r="J217" s="6" t="str">
        <f>IFERROR(__xludf.DUMMYFUNCTION("""COMPUTED_VALUE"""),"算法")</f>
        <v>算法</v>
      </c>
    </row>
    <row r="218">
      <c r="A218" s="6">
        <f>IFERROR(__xludf.DUMMYFUNCTION("""COMPUTED_VALUE"""),232.0)</f>
        <v>232</v>
      </c>
      <c r="B218" s="53" t="str">
        <f>IFERROR(__xludf.DUMMYFUNCTION("""COMPUTED_VALUE"""),"Implement Queue using Stacks")</f>
        <v>Implement Queue using Stacks</v>
      </c>
      <c r="C218" s="6" t="str">
        <f>IFERROR(__xludf.DUMMYFUNCTION("""COMPUTED_VALUE"""),"Easy")</f>
        <v>Easy</v>
      </c>
      <c r="D218" s="6" t="str">
        <f>IFERROR(__xludf.DUMMYFUNCTION("""COMPUTED_VALUE"""),"Design,Stack")</f>
        <v>Design,Stack</v>
      </c>
      <c r="E218" s="6" t="str">
        <f>IFERROR(__xludf.DUMMYFUNCTION("""COMPUTED_VALUE"""),"Twilio,Poshmark,ByteDance,Citrix,Morgan Stanley,Facebook,Salesforce,Citadel,Oracle,Mathworks,Yandex,EBay,Apple,Uber,Yahoo,Bloomberg,Amazon,Microsoft,Google")</f>
        <v>Twilio,Poshmark,ByteDance,Citrix,Morgan Stanley,Facebook,Salesforce,Citadel,Oracle,Mathworks,Yandex,EBay,Apple,Uber,Yahoo,Bloomberg,Amazon,Microsoft,Google</v>
      </c>
      <c r="F218" s="6" t="str">
        <f>IFERROR(__xludf.DUMMYFUNCTION("""COMPUTED_VALUE"""),"Amazon,Microsoft,Apple,Facebook,Citrix,Morgan Stanley")</f>
        <v>Amazon,Microsoft,Apple,Facebook,Citrix,Morgan Stanley</v>
      </c>
      <c r="G218" s="6" t="str">
        <f>IFERROR(__xludf.DUMMYFUNCTION("""COMPUTED_VALUE"""),"Citadel,Amazon,Microsoft,Apple,Facebook,Citrix,Morgan Stanley")</f>
        <v>Citadel,Amazon,Microsoft,Apple,Facebook,Citrix,Morgan Stanley</v>
      </c>
      <c r="H218" s="6" t="str">
        <f>IFERROR(__xludf.DUMMYFUNCTION("""COMPUTED_VALUE"""),"Oracle,Mathworks,Yandex,ByteDance,Salesforce,Bloomberg,Google,Twilio,Poshmark,Citadel,Amazon,Microsoft,Apple,Facebook,Citrix,Morgan Stanley")</f>
        <v>Oracle,Mathworks,Yandex,ByteDance,Salesforce,Bloomberg,Google,Twilio,Poshmark,Citadel,Amazon,Microsoft,Apple,Facebook,Citrix,Morgan Stanley</v>
      </c>
      <c r="I218" s="6">
        <f>IFERROR(__xludf.DUMMYFUNCTION("""COMPUTED_VALUE"""),52.47)</f>
        <v>52.47</v>
      </c>
      <c r="J218" s="6" t="str">
        <f>IFERROR(__xludf.DUMMYFUNCTION("""COMPUTED_VALUE"""),"算法")</f>
        <v>算法</v>
      </c>
    </row>
    <row r="219">
      <c r="A219" s="6">
        <f>IFERROR(__xludf.DUMMYFUNCTION("""COMPUTED_VALUE"""),234.0)</f>
        <v>234</v>
      </c>
      <c r="B219" s="53" t="str">
        <f>IFERROR(__xludf.DUMMYFUNCTION("""COMPUTED_VALUE"""),"Palindrome Linked List")</f>
        <v>Palindrome Linked List</v>
      </c>
      <c r="C219" s="6" t="str">
        <f>IFERROR(__xludf.DUMMYFUNCTION("""COMPUTED_VALUE"""),"Easy")</f>
        <v>Easy</v>
      </c>
      <c r="D219" s="6" t="str">
        <f>IFERROR(__xludf.DUMMYFUNCTION("""COMPUTED_VALUE"""),"Two Pointers,Linked List")</f>
        <v>Two Pointers,Linked List</v>
      </c>
      <c r="E219" s="6" t="str">
        <f>IFERROR(__xludf.DUMMYFUNCTION("""COMPUTED_VALUE"""),"Capital One,PayTM,Oracle,Cisco,Yandex,Uber,Nutanix,IXL,Grab,Intel,VMware,Snapchat,Apple,Bloomberg,Adobe,Facebook,Amazon,Microsoft,Google")</f>
        <v>Capital One,PayTM,Oracle,Cisco,Yandex,Uber,Nutanix,IXL,Grab,Intel,VMware,Snapchat,Apple,Bloomberg,Adobe,Facebook,Amazon,Microsoft,Google</v>
      </c>
      <c r="F219" s="6" t="str">
        <f>IFERROR(__xludf.DUMMYFUNCTION("""COMPUTED_VALUE"""),"Microsoft,Facebook,Adobe,Amazon,Capital One,PayTM,Bloomberg,Uber,Google,Snapchat,Oracle")</f>
        <v>Microsoft,Facebook,Adobe,Amazon,Capital One,PayTM,Bloomberg,Uber,Google,Snapchat,Oracle</v>
      </c>
      <c r="G219" s="6" t="str">
        <f>IFERROR(__xludf.DUMMYFUNCTION("""COMPUTED_VALUE"""),"Apple,Cisco,IXL,Nutanix,Yandex,Microsoft,Facebook,Adobe,Amazon,Capital One,PayTM,Bloomberg,Uber,Google,Snapchat,Oracle")</f>
        <v>Apple,Cisco,IXL,Nutanix,Yandex,Microsoft,Facebook,Adobe,Amazon,Capital One,PayTM,Bloomberg,Uber,Google,Snapchat,Oracle</v>
      </c>
      <c r="H219" s="6" t="str">
        <f>IFERROR(__xludf.DUMMYFUNCTION("""COMPUTED_VALUE"""),"Intel,Grab,Apple,Cisco,IXL,Nutanix,Yandex,Microsoft,Facebook,Adobe,Amazon,Capital One,PayTM,Bloomberg,Uber,Google,Snapchat,Oracle")</f>
        <v>Intel,Grab,Apple,Cisco,IXL,Nutanix,Yandex,Microsoft,Facebook,Adobe,Amazon,Capital One,PayTM,Bloomberg,Uber,Google,Snapchat,Oracle</v>
      </c>
      <c r="I219" s="6">
        <f>IFERROR(__xludf.DUMMYFUNCTION("""COMPUTED_VALUE"""),40.81)</f>
        <v>40.81</v>
      </c>
      <c r="J219" s="6" t="str">
        <f>IFERROR(__xludf.DUMMYFUNCTION("""COMPUTED_VALUE"""),"算法")</f>
        <v>算法</v>
      </c>
    </row>
    <row r="220">
      <c r="A220" s="6">
        <f>IFERROR(__xludf.DUMMYFUNCTION("""COMPUTED_VALUE"""),235.0)</f>
        <v>235</v>
      </c>
      <c r="B220" s="53" t="str">
        <f>IFERROR(__xludf.DUMMYFUNCTION("""COMPUTED_VALUE"""),"Lowest Common Ancestor of a Binary Search Tree")</f>
        <v>Lowest Common Ancestor of a Binary Search Tree</v>
      </c>
      <c r="C220" s="6" t="str">
        <f>IFERROR(__xludf.DUMMYFUNCTION("""COMPUTED_VALUE"""),"Easy")</f>
        <v>Easy</v>
      </c>
      <c r="D220" s="6" t="str">
        <f>IFERROR(__xludf.DUMMYFUNCTION("""COMPUTED_VALUE"""),"Tree")</f>
        <v>Tree</v>
      </c>
      <c r="E220" s="6" t="str">
        <f>IFERROR(__xludf.DUMMYFUNCTION("""COMPUTED_VALUE"""),"Twitter,Oracle,Cisco,Uber,Bloomberg,Adobe,Facebook,Amazon,LinkedIn,Microsoft,Google")</f>
        <v>Twitter,Oracle,Cisco,Uber,Bloomberg,Adobe,Facebook,Amazon,LinkedIn,Microsoft,Google</v>
      </c>
      <c r="F220" s="6" t="str">
        <f>IFERROR(__xludf.DUMMYFUNCTION("""COMPUTED_VALUE"""),"Amazon,Facebook,LinkedIn,Oracle,Microsoft")</f>
        <v>Amazon,Facebook,LinkedIn,Oracle,Microsoft</v>
      </c>
      <c r="G220" s="6" t="str">
        <f>IFERROR(__xludf.DUMMYFUNCTION("""COMPUTED_VALUE"""),"Amazon,Facebook,LinkedIn,Oracle,Microsoft")</f>
        <v>Amazon,Facebook,LinkedIn,Oracle,Microsoft</v>
      </c>
      <c r="H220" s="6" t="str">
        <f>IFERROR(__xludf.DUMMYFUNCTION("""COMPUTED_VALUE"""),"Twitter,Amazon,Facebook,LinkedIn,Oracle,Microsoft")</f>
        <v>Twitter,Amazon,Facebook,LinkedIn,Oracle,Microsoft</v>
      </c>
      <c r="I220" s="6">
        <f>IFERROR(__xludf.DUMMYFUNCTION("""COMPUTED_VALUE"""),51.93)</f>
        <v>51.93</v>
      </c>
      <c r="J220" s="6" t="str">
        <f>IFERROR(__xludf.DUMMYFUNCTION("""COMPUTED_VALUE"""),"算法")</f>
        <v>算法</v>
      </c>
    </row>
    <row r="221">
      <c r="A221" s="6">
        <f>IFERROR(__xludf.DUMMYFUNCTION("""COMPUTED_VALUE"""),236.0)</f>
        <v>236</v>
      </c>
      <c r="B221" s="53" t="str">
        <f>IFERROR(__xludf.DUMMYFUNCTION("""COMPUTED_VALUE"""),"Lowest Common Ancestor of a Binary Tree")</f>
        <v>Lowest Common Ancestor of a Binary Tree</v>
      </c>
      <c r="C221" s="6" t="str">
        <f>IFERROR(__xludf.DUMMYFUNCTION("""COMPUTED_VALUE"""),"Medium")</f>
        <v>Medium</v>
      </c>
      <c r="D221" s="6" t="str">
        <f>IFERROR(__xludf.DUMMYFUNCTION("""COMPUTED_VALUE"""),"Tree")</f>
        <v>Tree</v>
      </c>
      <c r="E221" s="6" t="str">
        <f>IFERROR(__xludf.DUMMYFUNCTION("""COMPUTED_VALUE"""),"Pony.ai,Palantir Technologies,Roblox,VMware,Pinterest,Atlassian,Splunk,ByteDance,Salesforce,Visa,Walmart Labs,Zillow,Paypal,Oracle,Intuit,EBay,Apple,Airbnb,Uber,Yahoo,Bloomberg,Adobe,Facebook,Amazon,LinkedIn,Microsoft,Google")</f>
        <v>Pony.ai,Palantir Technologies,Roblox,VMware,Pinterest,Atlassian,Splunk,ByteDance,Salesforce,Visa,Walmart Labs,Zillow,Paypal,Oracle,Intuit,EBay,Apple,Airbnb,Uber,Yahoo,Bloomberg,Adobe,Facebook,Amazon,LinkedIn,Microsoft,Google</v>
      </c>
      <c r="F221" s="6" t="str">
        <f>IFERROR(__xludf.DUMMYFUNCTION("""COMPUTED_VALUE"""),"Facebook,Microsoft,Amazon,Oracle,LinkedIn,Apple,Bloomberg,Atlassian,Google,Uber,Zillow,Intuit,Palantir Technologies,Pony.ai")</f>
        <v>Facebook,Microsoft,Amazon,Oracle,LinkedIn,Apple,Bloomberg,Atlassian,Google,Uber,Zillow,Intuit,Palantir Technologies,Pony.ai</v>
      </c>
      <c r="G221" s="6" t="str">
        <f>IFERROR(__xludf.DUMMYFUNCTION("""COMPUTED_VALUE"""),"Adobe,ByteDance,Roblox,Facebook,Microsoft,Amazon,Oracle,LinkedIn,Apple,Bloomberg,Atlassian,Google,Uber,Zillow,Intuit,Palantir Technologies,Pony.ai")</f>
        <v>Adobe,ByteDance,Roblox,Facebook,Microsoft,Amazon,Oracle,LinkedIn,Apple,Bloomberg,Atlassian,Google,Uber,Zillow,Intuit,Palantir Technologies,Pony.ai</v>
      </c>
      <c r="H221" s="6" t="str">
        <f>IFERROR(__xludf.DUMMYFUNCTION("""COMPUTED_VALUE"""),"eBay,Airbnb,Visa,Paypal,VMware,Yahoo,Splunk,Adobe,ByteDance,Roblox,Facebook,Microsoft,Amazon,Oracle,LinkedIn,Apple,Bloomberg,Atlassian,Google,Uber,Zillow,Intuit,Palantir Technologies,Pony.ai")</f>
        <v>eBay,Airbnb,Visa,Paypal,VMware,Yahoo,Splunk,Adobe,ByteDance,Roblox,Facebook,Microsoft,Amazon,Oracle,LinkedIn,Apple,Bloomberg,Atlassian,Google,Uber,Zillow,Intuit,Palantir Technologies,Pony.ai</v>
      </c>
      <c r="I221" s="6">
        <f>IFERROR(__xludf.DUMMYFUNCTION("""COMPUTED_VALUE"""),49.03)</f>
        <v>49.03</v>
      </c>
      <c r="J221" s="6" t="str">
        <f>IFERROR(__xludf.DUMMYFUNCTION("""COMPUTED_VALUE"""),"算法")</f>
        <v>算法</v>
      </c>
    </row>
    <row r="222">
      <c r="A222" s="6">
        <f>IFERROR(__xludf.DUMMYFUNCTION("""COMPUTED_VALUE"""),237.0)</f>
        <v>237</v>
      </c>
      <c r="B222" s="53" t="str">
        <f>IFERROR(__xludf.DUMMYFUNCTION("""COMPUTED_VALUE"""),"Delete Node in a Linked List")</f>
        <v>Delete Node in a Linked List</v>
      </c>
      <c r="C222" s="6" t="str">
        <f>IFERROR(__xludf.DUMMYFUNCTION("""COMPUTED_VALUE"""),"Easy")</f>
        <v>Easy</v>
      </c>
      <c r="D222" s="6" t="str">
        <f>IFERROR(__xludf.DUMMYFUNCTION("""COMPUTED_VALUE"""),"Linked List")</f>
        <v>Linked List</v>
      </c>
      <c r="E222" s="6" t="str">
        <f>IFERROR(__xludf.DUMMYFUNCTION("""COMPUTED_VALUE"""),"Qualcomm,Cisco,Apple,Yahoo,Bloomberg,Adobe,Facebook,Amazon,Microsoft,Goldman Sachs,Google")</f>
        <v>Qualcomm,Cisco,Apple,Yahoo,Bloomberg,Adobe,Facebook,Amazon,Microsoft,Goldman Sachs,Google</v>
      </c>
      <c r="F222" s="6" t="str">
        <f>IFERROR(__xludf.DUMMYFUNCTION("""COMPUTED_VALUE"""),"Adobe")</f>
        <v>Adobe</v>
      </c>
      <c r="G222" s="6" t="str">
        <f>IFERROR(__xludf.DUMMYFUNCTION("""COMPUTED_VALUE"""),"Bloomberg,Facebook,Goldman Sachs,Adobe")</f>
        <v>Bloomberg,Facebook,Goldman Sachs,Adobe</v>
      </c>
      <c r="H222" s="6" t="str">
        <f>IFERROR(__xludf.DUMMYFUNCTION("""COMPUTED_VALUE"""),"Google,Amazon,Microsoft,Qualcomm,Apple,Yahoo,Cisco,Bloomberg,Facebook,Goldman Sachs,Adobe")</f>
        <v>Google,Amazon,Microsoft,Qualcomm,Apple,Yahoo,Cisco,Bloomberg,Facebook,Goldman Sachs,Adobe</v>
      </c>
      <c r="I222" s="6">
        <f>IFERROR(__xludf.DUMMYFUNCTION("""COMPUTED_VALUE"""),67.17)</f>
        <v>67.17</v>
      </c>
      <c r="J222" s="6" t="str">
        <f>IFERROR(__xludf.DUMMYFUNCTION("""COMPUTED_VALUE"""),"算法")</f>
        <v>算法</v>
      </c>
    </row>
    <row r="223">
      <c r="A223" s="6">
        <f>IFERROR(__xludf.DUMMYFUNCTION("""COMPUTED_VALUE"""),238.0)</f>
        <v>238</v>
      </c>
      <c r="B223" s="53" t="str">
        <f>IFERROR(__xludf.DUMMYFUNCTION("""COMPUTED_VALUE"""),"Product of Array Except Self")</f>
        <v>Product of Array Except Self</v>
      </c>
      <c r="C223" s="6" t="str">
        <f>IFERROR(__xludf.DUMMYFUNCTION("""COMPUTED_VALUE"""),"Medium")</f>
        <v>Medium</v>
      </c>
      <c r="D223" s="6" t="str">
        <f>IFERROR(__xludf.DUMMYFUNCTION("""COMPUTED_VALUE"""),"Array")</f>
        <v>Array</v>
      </c>
      <c r="E223" s="6" t="str">
        <f>IFERROR(__xludf.DUMMYFUNCTION("""COMPUTED_VALUE"""),"Houzz,PayTM,Citadel,ServiceNow,Expedia,Yandex,Asana,Nutanix,Qualtrics,Evernote,Zenefits,Grab,Splunk,ByteDance,Tableau,Salesforce,Groupon,Intel,Visa,VMware,Walmart Labs,Snapchat,Paypal,Yelp,Oracle,Lyft,EBay,BlackRock,Apple,Uber,Yahoo,SAP,Bloomberg,Adobe,Fa"&amp;"cebook,Amazon,LinkedIn,Microsoft,Goldman Sachs,Google")</f>
        <v>Houzz,PayTM,Citadel,ServiceNow,Expedia,Yandex,Asana,Nutanix,Qualtrics,Evernote,Zenefits,Grab,Splunk,ByteDance,Tableau,Salesforce,Groupon,Intel,Visa,VMware,Walmart Labs,Snapchat,Paypal,Yelp,Oracle,Lyft,EBay,BlackRock,Apple,Uber,Yahoo,SAP,Bloomberg,Adobe,Facebook,Amazon,LinkedIn,Microsoft,Goldman Sachs,Google</v>
      </c>
      <c r="F223" s="6" t="str">
        <f>IFERROR(__xludf.DUMMYFUNCTION("""COMPUTED_VALUE"""),"Facebook,Amazon,Apple,Lyft,Asana,Microsoft,Uber,Adobe,VMware,Bloomberg,Oracle")</f>
        <v>Facebook,Amazon,Apple,Lyft,Asana,Microsoft,Uber,Adobe,VMware,Bloomberg,Oracle</v>
      </c>
      <c r="G223" s="6" t="str">
        <f>IFERROR(__xludf.DUMMYFUNCTION("""COMPUTED_VALUE"""),"Google,Goldman Sachs,Nutanix,eBay,Paypal,ServiceNow,ByteDance,Qualtrics,Citadel,Yandex,PayTM,Facebook,Amazon,Apple,Lyft,Asana,Microsoft,Uber,Adobe,VMware,Bloomberg,Oracle")</f>
        <v>Google,Goldman Sachs,Nutanix,eBay,Paypal,ServiceNow,ByteDance,Qualtrics,Citadel,Yandex,PayTM,Facebook,Amazon,Apple,Lyft,Asana,Microsoft,Uber,Adobe,VMware,Bloomberg,Oracle</v>
      </c>
      <c r="H223" s="6" t="str">
        <f>IFERROR(__xludf.DUMMYFUNCTION("""COMPUTED_VALUE"""),"Tableau,Yahoo,Splunk,BlackRock,Expedia,Snapchat,Groupon,Visa,Walmart Labs,Intel,Evernote,SAP,Salesforce,Houzz,LinkedIn,Google,Goldman Sachs,Nutanix,eBay,Paypal,ServiceNow,ByteDance,Qualtrics,Citadel,Yandex,PayTM,Facebook,Amazon,Apple,Lyft,Asana,Microsoft,"&amp;"Uber,Adobe,VMware,Bloomberg,Oracle")</f>
        <v>Tableau,Yahoo,Splunk,BlackRock,Expedia,Snapchat,Groupon,Visa,Walmart Labs,Intel,Evernote,SAP,Salesforce,Houzz,LinkedIn,Google,Goldman Sachs,Nutanix,eBay,Paypal,ServiceNow,ByteDance,Qualtrics,Citadel,Yandex,PayTM,Facebook,Amazon,Apple,Lyft,Asana,Microsoft,Uber,Adobe,VMware,Bloomberg,Oracle</v>
      </c>
      <c r="I223" s="6">
        <f>IFERROR(__xludf.DUMMYFUNCTION("""COMPUTED_VALUE"""),61.45)</f>
        <v>61.45</v>
      </c>
      <c r="J223" s="6" t="str">
        <f>IFERROR(__xludf.DUMMYFUNCTION("""COMPUTED_VALUE"""),"算法")</f>
        <v>算法</v>
      </c>
    </row>
    <row r="224">
      <c r="A224" s="6">
        <f>IFERROR(__xludf.DUMMYFUNCTION("""COMPUTED_VALUE"""),239.0)</f>
        <v>239</v>
      </c>
      <c r="B224" s="53" t="str">
        <f>IFERROR(__xludf.DUMMYFUNCTION("""COMPUTED_VALUE"""),"Sliding Window Maximum")</f>
        <v>Sliding Window Maximum</v>
      </c>
      <c r="C224" s="6" t="str">
        <f>IFERROR(__xludf.DUMMYFUNCTION("""COMPUTED_VALUE"""),"Hard")</f>
        <v>Hard</v>
      </c>
      <c r="D224" s="6" t="str">
        <f>IFERROR(__xludf.DUMMYFUNCTION("""COMPUTED_VALUE"""),"Dequeue,Sliding Window,Heap")</f>
        <v>Dequeue,Sliding Window,Heap</v>
      </c>
      <c r="E224" s="6" t="str">
        <f>IFERROR(__xludf.DUMMYFUNCTION("""COMPUTED_VALUE"""),"AppDynamics,Akuna Capital,Snapchat,Twilio,Dropbox,Expedia,IBM,Nutanix,Pinterest,Databricks,Coursera,Zenefits,Roblox,ByteDance,VMware,Citadel,Twitter,Wish,Yelp,Oracle,Lyft,Apple,Uber,Bloomberg,Adobe,Facebook,Amazon,Microsoft,Alibaba,Google")</f>
        <v>AppDynamics,Akuna Capital,Snapchat,Twilio,Dropbox,Expedia,IBM,Nutanix,Pinterest,Databricks,Coursera,Zenefits,Roblox,ByteDance,VMware,Citadel,Twitter,Wish,Yelp,Oracle,Lyft,Apple,Uber,Bloomberg,Adobe,Facebook,Amazon,Microsoft,Alibaba,Google</v>
      </c>
      <c r="F224" s="6" t="str">
        <f>IFERROR(__xludf.DUMMYFUNCTION("""COMPUTED_VALUE"""),"Amazon,Dropbox,Facebook,ByteDance,Citadel,Google,Bloomberg,Microsoft,Akuna Capital,IBM,Twitter,Twilio")</f>
        <v>Amazon,Dropbox,Facebook,ByteDance,Citadel,Google,Bloomberg,Microsoft,Akuna Capital,IBM,Twitter,Twilio</v>
      </c>
      <c r="G224" s="6" t="str">
        <f>IFERROR(__xludf.DUMMYFUNCTION("""COMPUTED_VALUE"""),"Databricks,Uber,Roblox,Apple,Adobe,Oracle,Expedia,Amazon,Dropbox,Facebook,ByteDance,Citadel,Google,Bloomberg,Microsoft,Akuna Capital,IBM,Twitter,Twilio")</f>
        <v>Databricks,Uber,Roblox,Apple,Adobe,Oracle,Expedia,Amazon,Dropbox,Facebook,ByteDance,Citadel,Google,Bloomberg,Microsoft,Akuna Capital,IBM,Twitter,Twilio</v>
      </c>
      <c r="H224" s="6" t="str">
        <f>IFERROR(__xludf.DUMMYFUNCTION("""COMPUTED_VALUE"""),"Wish,Snapchat,VMware,AppDynamics,Zenefits,Databricks,Uber,Roblox,Apple,Adobe,Oracle,Expedia,Amazon,Dropbox,Facebook,ByteDance,Citadel,Google,Bloomberg,Microsoft,Akuna Capital,IBM,Twitter,Twilio")</f>
        <v>Wish,Snapchat,VMware,AppDynamics,Zenefits,Databricks,Uber,Roblox,Apple,Adobe,Oracle,Expedia,Amazon,Dropbox,Facebook,ByteDance,Citadel,Google,Bloomberg,Microsoft,Akuna Capital,IBM,Twitter,Twilio</v>
      </c>
      <c r="I224" s="6">
        <f>IFERROR(__xludf.DUMMYFUNCTION("""COMPUTED_VALUE"""),44.68)</f>
        <v>44.68</v>
      </c>
      <c r="J224" s="6" t="str">
        <f>IFERROR(__xludf.DUMMYFUNCTION("""COMPUTED_VALUE"""),"算法")</f>
        <v>算法</v>
      </c>
    </row>
    <row r="225">
      <c r="A225" s="6">
        <f>IFERROR(__xludf.DUMMYFUNCTION("""COMPUTED_VALUE"""),240.0)</f>
        <v>240</v>
      </c>
      <c r="B225" s="53" t="str">
        <f>IFERROR(__xludf.DUMMYFUNCTION("""COMPUTED_VALUE"""),"Search a 2D Matrix II")</f>
        <v>Search a 2D Matrix II</v>
      </c>
      <c r="C225" s="6" t="str">
        <f>IFERROR(__xludf.DUMMYFUNCTION("""COMPUTED_VALUE"""),"Medium")</f>
        <v>Medium</v>
      </c>
      <c r="D225" s="6" t="str">
        <f>IFERROR(__xludf.DUMMYFUNCTION("""COMPUTED_VALUE"""),"Divide and Conquer,Binary Search")</f>
        <v>Divide and Conquer,Binary Search</v>
      </c>
      <c r="E225" s="6" t="str">
        <f>IFERROR(__xludf.DUMMYFUNCTION("""COMPUTED_VALUE"""),"Nvidia,Oracle,ByteDance,Salesforce,Citadel,Walmart Labs,Paypal,Expedia,EBay,Baidu,Apple,Yahoo,Tencent,SAP,Bloomberg,Adobe,Facebook,Amazon,LinkedIn,Microsoft,Goldman Sachs,Google")</f>
        <v>Nvidia,Oracle,ByteDance,Salesforce,Citadel,Walmart Labs,Paypal,Expedia,EBay,Baidu,Apple,Yahoo,Tencent,SAP,Bloomberg,Adobe,Facebook,Amazon,LinkedIn,Microsoft,Goldman Sachs,Google</v>
      </c>
      <c r="F225" s="6" t="str">
        <f>IFERROR(__xludf.DUMMYFUNCTION("""COMPUTED_VALUE"""),"Amazon,Microsoft,ByteDance,Bloomberg,Facebook,Nvidia")</f>
        <v>Amazon,Microsoft,ByteDance,Bloomberg,Facebook,Nvidia</v>
      </c>
      <c r="G225" s="6" t="str">
        <f>IFERROR(__xludf.DUMMYFUNCTION("""COMPUTED_VALUE"""),"eBay,Google,Apple,Adobe,Walmart Labs,Citadel,Amazon,Microsoft,ByteDance,Bloomberg,Facebook,Nvidia")</f>
        <v>eBay,Google,Apple,Adobe,Walmart Labs,Citadel,Amazon,Microsoft,ByteDance,Bloomberg,Facebook,Nvidia</v>
      </c>
      <c r="H225" s="6" t="str">
        <f>IFERROR(__xludf.DUMMYFUNCTION("""COMPUTED_VALUE"""),"Paypal,Salesforce,SAP,Expedia,Oracle,eBay,Google,Apple,Adobe,Walmart Labs,Citadel,Amazon,Microsoft,ByteDance,Bloomberg,Facebook,Nvidia")</f>
        <v>Paypal,Salesforce,SAP,Expedia,Oracle,eBay,Google,Apple,Adobe,Walmart Labs,Citadel,Amazon,Microsoft,ByteDance,Bloomberg,Facebook,Nvidia</v>
      </c>
      <c r="I225" s="6">
        <f>IFERROR(__xludf.DUMMYFUNCTION("""COMPUTED_VALUE"""),45.22)</f>
        <v>45.22</v>
      </c>
      <c r="J225" s="6" t="str">
        <f>IFERROR(__xludf.DUMMYFUNCTION("""COMPUTED_VALUE"""),"算法")</f>
        <v>算法</v>
      </c>
    </row>
    <row r="226">
      <c r="A226" s="6">
        <f>IFERROR(__xludf.DUMMYFUNCTION("""COMPUTED_VALUE"""),241.0)</f>
        <v>241</v>
      </c>
      <c r="B226" s="53" t="str">
        <f>IFERROR(__xludf.DUMMYFUNCTION("""COMPUTED_VALUE"""),"Different Ways to Add Parentheses")</f>
        <v>Different Ways to Add Parentheses</v>
      </c>
      <c r="C226" s="6" t="str">
        <f>IFERROR(__xludf.DUMMYFUNCTION("""COMPUTED_VALUE"""),"Medium")</f>
        <v>Medium</v>
      </c>
      <c r="D226" s="6" t="str">
        <f>IFERROR(__xludf.DUMMYFUNCTION("""COMPUTED_VALUE"""),"Divide and Conquer")</f>
        <v>Divide and Conquer</v>
      </c>
      <c r="E226" s="6" t="str">
        <f>IFERROR(__xludf.DUMMYFUNCTION("""COMPUTED_VALUE"""),"Flipkart,Cisco,Bloomberg,Adobe,Microsoft,Citadel,Facebook,Amazon,Google")</f>
        <v>Flipkart,Cisco,Bloomberg,Adobe,Microsoft,Citadel,Facebook,Amazon,Google</v>
      </c>
      <c r="F226" s="6" t="str">
        <f>IFERROR(__xludf.DUMMYFUNCTION("""COMPUTED_VALUE"""),"Microsoft,Flipkart")</f>
        <v>Microsoft,Flipkart</v>
      </c>
      <c r="G226" s="6" t="str">
        <f>IFERROR(__xludf.DUMMYFUNCTION("""COMPUTED_VALUE"""),"Citadel,Google,Amazon,Bloomberg,Microsoft,Flipkart")</f>
        <v>Citadel,Google,Amazon,Bloomberg,Microsoft,Flipkart</v>
      </c>
      <c r="H226" s="6" t="str">
        <f>IFERROR(__xludf.DUMMYFUNCTION("""COMPUTED_VALUE"""),"Facebook,Adobe,Cisco,Citadel,Google,Amazon,Bloomberg,Microsoft,Flipkart")</f>
        <v>Facebook,Adobe,Cisco,Citadel,Google,Amazon,Bloomberg,Microsoft,Flipkart</v>
      </c>
      <c r="I226" s="6">
        <f>IFERROR(__xludf.DUMMYFUNCTION("""COMPUTED_VALUE"""),57.41)</f>
        <v>57.41</v>
      </c>
      <c r="J226" s="6" t="str">
        <f>IFERROR(__xludf.DUMMYFUNCTION("""COMPUTED_VALUE"""),"算法")</f>
        <v>算法</v>
      </c>
    </row>
    <row r="227">
      <c r="A227" s="6">
        <f>IFERROR(__xludf.DUMMYFUNCTION("""COMPUTED_VALUE"""),242.0)</f>
        <v>242</v>
      </c>
      <c r="B227" s="53" t="str">
        <f>IFERROR(__xludf.DUMMYFUNCTION("""COMPUTED_VALUE"""),"Valid Anagram")</f>
        <v>Valid Anagram</v>
      </c>
      <c r="C227" s="6" t="str">
        <f>IFERROR(__xludf.DUMMYFUNCTION("""COMPUTED_VALUE"""),"Easy")</f>
        <v>Easy</v>
      </c>
      <c r="D227" s="6" t="str">
        <f>IFERROR(__xludf.DUMMYFUNCTION("""COMPUTED_VALUE"""),"Sort,Hash Table")</f>
        <v>Sort,Hash Table</v>
      </c>
      <c r="E227" s="6" t="str">
        <f>IFERROR(__xludf.DUMMYFUNCTION("""COMPUTED_VALUE"""),"Qualcomm,VMware,Adobe,Docusign,Zulily,Snapchat,Paypal,ServiceNow,Expedia,Yelp,Oracle,Cisco,Apple,Uber,Yahoo,Morgan Stanley,Bloomberg,Facebook,Amazon,Microsoft,Goldman Sachs,Google")</f>
        <v>Qualcomm,VMware,Adobe,Docusign,Zulily,Snapchat,Paypal,ServiceNow,Expedia,Yelp,Oracle,Cisco,Apple,Uber,Yahoo,Morgan Stanley,Bloomberg,Facebook,Amazon,Microsoft,Goldman Sachs,Google</v>
      </c>
      <c r="F227" s="6" t="str">
        <f>IFERROR(__xludf.DUMMYFUNCTION("""COMPUTED_VALUE"""),"Bloomberg,Microsoft,Facebook,Amazon,Goldman Sachs,Apple,Oracle,Google,Paypal,Adobe,Cisco,Qualcomm")</f>
        <v>Bloomberg,Microsoft,Facebook,Amazon,Goldman Sachs,Apple,Oracle,Google,Paypal,Adobe,Cisco,Qualcomm</v>
      </c>
      <c r="G227" s="6" t="str">
        <f>IFERROR(__xludf.DUMMYFUNCTION("""COMPUTED_VALUE"""),"VMware,Docusign,Bloomberg,Microsoft,Facebook,Amazon,Goldman Sachs,Apple,Oracle,Google,Paypal,Adobe,Cisco,Qualcomm")</f>
        <v>VMware,Docusign,Bloomberg,Microsoft,Facebook,Amazon,Goldman Sachs,Apple,Oracle,Google,Paypal,Adobe,Cisco,Qualcomm</v>
      </c>
      <c r="H227" s="6" t="str">
        <f>IFERROR(__xludf.DUMMYFUNCTION("""COMPUTED_VALUE"""),"Uber,Zulily,ServiceNow,Yelp,VMware,Docusign,Bloomberg,Microsoft,Facebook,Amazon,Goldman Sachs,Apple,Oracle,Google,Paypal,Adobe,Cisco,Qualcomm")</f>
        <v>Uber,Zulily,ServiceNow,Yelp,VMware,Docusign,Bloomberg,Microsoft,Facebook,Amazon,Goldman Sachs,Apple,Oracle,Google,Paypal,Adobe,Cisco,Qualcomm</v>
      </c>
      <c r="I227" s="6">
        <f>IFERROR(__xludf.DUMMYFUNCTION("""COMPUTED_VALUE"""),58.71)</f>
        <v>58.71</v>
      </c>
      <c r="J227" s="6" t="str">
        <f>IFERROR(__xludf.DUMMYFUNCTION("""COMPUTED_VALUE"""),"算法")</f>
        <v>算法</v>
      </c>
    </row>
    <row r="228">
      <c r="A228" s="6">
        <f>IFERROR(__xludf.DUMMYFUNCTION("""COMPUTED_VALUE"""),243.0)</f>
        <v>243</v>
      </c>
      <c r="B228" s="53" t="str">
        <f>IFERROR(__xludf.DUMMYFUNCTION("""COMPUTED_VALUE"""),"Shortest Word Distance")</f>
        <v>Shortest Word Distance</v>
      </c>
      <c r="C228" s="6" t="str">
        <f>IFERROR(__xludf.DUMMYFUNCTION("""COMPUTED_VALUE"""),"Easy")</f>
        <v>Easy</v>
      </c>
      <c r="D228" s="6" t="str">
        <f>IFERROR(__xludf.DUMMYFUNCTION("""COMPUTED_VALUE"""),"Array")</f>
        <v>Array</v>
      </c>
      <c r="E228" s="6" t="str">
        <f>IFERROR(__xludf.DUMMYFUNCTION("""COMPUTED_VALUE"""),"Goldman Sachs,VMware,Paypal,Oracle,Uber,Amazon,LinkedIn,Microsoft,Google")</f>
        <v>Goldman Sachs,VMware,Paypal,Oracle,Uber,Amazon,LinkedIn,Microsoft,Google</v>
      </c>
      <c r="F228" s="6" t="str">
        <f>IFERROR(__xludf.DUMMYFUNCTION("""COMPUTED_VALUE"""),"LinkedIn,Microsoft,Goldman Sachs")</f>
        <v>LinkedIn,Microsoft,Goldman Sachs</v>
      </c>
      <c r="G228" s="6" t="str">
        <f>IFERROR(__xludf.DUMMYFUNCTION("""COMPUTED_VALUE"""),"Amazon,Google,LinkedIn,Microsoft,Goldman Sachs")</f>
        <v>Amazon,Google,LinkedIn,Microsoft,Goldman Sachs</v>
      </c>
      <c r="H228" s="6" t="str">
        <f>IFERROR(__xludf.DUMMYFUNCTION("""COMPUTED_VALUE"""),"Paypal,Uber,Oracle,Amazon,Google,LinkedIn,Microsoft,Goldman Sachs")</f>
        <v>Paypal,Uber,Oracle,Amazon,Google,LinkedIn,Microsoft,Goldman Sachs</v>
      </c>
      <c r="I228" s="6">
        <f>IFERROR(__xludf.DUMMYFUNCTION("""COMPUTED_VALUE"""),62.03)</f>
        <v>62.03</v>
      </c>
      <c r="J228" s="6" t="str">
        <f>IFERROR(__xludf.DUMMYFUNCTION("""COMPUTED_VALUE"""),"算法")</f>
        <v>算法</v>
      </c>
    </row>
    <row r="229">
      <c r="A229" s="6">
        <f>IFERROR(__xludf.DUMMYFUNCTION("""COMPUTED_VALUE"""),246.0)</f>
        <v>246</v>
      </c>
      <c r="B229" s="53" t="str">
        <f>IFERROR(__xludf.DUMMYFUNCTION("""COMPUTED_VALUE"""),"Strobogrammatic Number")</f>
        <v>Strobogrammatic Number</v>
      </c>
      <c r="C229" s="6" t="str">
        <f>IFERROR(__xludf.DUMMYFUNCTION("""COMPUTED_VALUE"""),"Easy")</f>
        <v>Easy</v>
      </c>
      <c r="D229" s="6" t="str">
        <f>IFERROR(__xludf.DUMMYFUNCTION("""COMPUTED_VALUE"""),"Math,Hash Table")</f>
        <v>Math,Hash Table</v>
      </c>
      <c r="E229" s="6" t="str">
        <f>IFERROR(__xludf.DUMMYFUNCTION("""COMPUTED_VALUE"""),"Microsoft,Cisco,Facebook,Google")</f>
        <v>Microsoft,Cisco,Facebook,Google</v>
      </c>
      <c r="F229" s="6" t="str">
        <f>IFERROR(__xludf.DUMMYFUNCTION("""COMPUTED_VALUE"""),"Facebook,Microsoft")</f>
        <v>Facebook,Microsoft</v>
      </c>
      <c r="G229" s="6" t="str">
        <f>IFERROR(__xludf.DUMMYFUNCTION("""COMPUTED_VALUE"""),"Cisco,Google,Facebook,Microsoft")</f>
        <v>Cisco,Google,Facebook,Microsoft</v>
      </c>
      <c r="H229" s="6" t="str">
        <f>IFERROR(__xludf.DUMMYFUNCTION("""COMPUTED_VALUE"""),"Cisco,Google,Facebook,Microsoft")</f>
        <v>Cisco,Google,Facebook,Microsoft</v>
      </c>
      <c r="I229" s="6">
        <f>IFERROR(__xludf.DUMMYFUNCTION("""COMPUTED_VALUE"""),46.39)</f>
        <v>46.39</v>
      </c>
      <c r="J229" s="6" t="str">
        <f>IFERROR(__xludf.DUMMYFUNCTION("""COMPUTED_VALUE"""),"算法")</f>
        <v>算法</v>
      </c>
    </row>
    <row r="230">
      <c r="A230" s="6">
        <f>IFERROR(__xludf.DUMMYFUNCTION("""COMPUTED_VALUE"""),247.0)</f>
        <v>247</v>
      </c>
      <c r="B230" s="53" t="str">
        <f>IFERROR(__xludf.DUMMYFUNCTION("""COMPUTED_VALUE"""),"Strobogrammatic Number II")</f>
        <v>Strobogrammatic Number II</v>
      </c>
      <c r="C230" s="6" t="str">
        <f>IFERROR(__xludf.DUMMYFUNCTION("""COMPUTED_VALUE"""),"Medium")</f>
        <v>Medium</v>
      </c>
      <c r="D230" s="6" t="str">
        <f>IFERROR(__xludf.DUMMYFUNCTION("""COMPUTED_VALUE"""),"Recursion,Math")</f>
        <v>Recursion,Math</v>
      </c>
      <c r="E230" s="6" t="str">
        <f>IFERROR(__xludf.DUMMYFUNCTION("""COMPUTED_VALUE"""),"Bloomberg,Cisco,Facebook,Google")</f>
        <v>Bloomberg,Cisco,Facebook,Google</v>
      </c>
      <c r="F230" s="6" t="str">
        <f>IFERROR(__xludf.DUMMYFUNCTION("""COMPUTED_VALUE"""),"Facebook,Google")</f>
        <v>Facebook,Google</v>
      </c>
      <c r="G230" s="6" t="str">
        <f>IFERROR(__xludf.DUMMYFUNCTION("""COMPUTED_VALUE"""),"Facebook,Google")</f>
        <v>Facebook,Google</v>
      </c>
      <c r="H230" s="6" t="str">
        <f>IFERROR(__xludf.DUMMYFUNCTION("""COMPUTED_VALUE"""),"Cisco,Bloomberg,Facebook,Google")</f>
        <v>Cisco,Bloomberg,Facebook,Google</v>
      </c>
      <c r="I230" s="6">
        <f>IFERROR(__xludf.DUMMYFUNCTION("""COMPUTED_VALUE"""),48.63)</f>
        <v>48.63</v>
      </c>
      <c r="J230" s="6" t="str">
        <f>IFERROR(__xludf.DUMMYFUNCTION("""COMPUTED_VALUE"""),"算法")</f>
        <v>算法</v>
      </c>
    </row>
    <row r="231">
      <c r="A231" s="6">
        <f>IFERROR(__xludf.DUMMYFUNCTION("""COMPUTED_VALUE"""),248.0)</f>
        <v>248</v>
      </c>
      <c r="B231" s="53" t="str">
        <f>IFERROR(__xludf.DUMMYFUNCTION("""COMPUTED_VALUE"""),"Strobogrammatic Number III")</f>
        <v>Strobogrammatic Number III</v>
      </c>
      <c r="C231" s="6" t="str">
        <f>IFERROR(__xludf.DUMMYFUNCTION("""COMPUTED_VALUE"""),"Hard")</f>
        <v>Hard</v>
      </c>
      <c r="D231" s="6" t="str">
        <f>IFERROR(__xludf.DUMMYFUNCTION("""COMPUTED_VALUE"""),"Recursion,Math")</f>
        <v>Recursion,Math</v>
      </c>
      <c r="E231" s="6" t="str">
        <f>IFERROR(__xludf.DUMMYFUNCTION("""COMPUTED_VALUE"""),"Facebook,Google")</f>
        <v>Facebook,Google</v>
      </c>
      <c r="F231" s="6" t="str">
        <f>IFERROR(__xludf.DUMMYFUNCTION("""COMPUTED_VALUE"""),"Google")</f>
        <v>Google</v>
      </c>
      <c r="G231" s="6" t="str">
        <f>IFERROR(__xludf.DUMMYFUNCTION("""COMPUTED_VALUE"""),"Google")</f>
        <v>Google</v>
      </c>
      <c r="H231" s="6" t="str">
        <f>IFERROR(__xludf.DUMMYFUNCTION("""COMPUTED_VALUE"""),"Google")</f>
        <v>Google</v>
      </c>
      <c r="I231" s="6">
        <f>IFERROR(__xludf.DUMMYFUNCTION("""COMPUTED_VALUE"""),40.3)</f>
        <v>40.3</v>
      </c>
      <c r="J231" s="6" t="str">
        <f>IFERROR(__xludf.DUMMYFUNCTION("""COMPUTED_VALUE"""),"算法")</f>
        <v>算法</v>
      </c>
    </row>
    <row r="232">
      <c r="A232" s="6">
        <f>IFERROR(__xludf.DUMMYFUNCTION("""COMPUTED_VALUE"""),249.0)</f>
        <v>249</v>
      </c>
      <c r="B232" s="53" t="str">
        <f>IFERROR(__xludf.DUMMYFUNCTION("""COMPUTED_VALUE"""),"Group Shifted Strings")</f>
        <v>Group Shifted Strings</v>
      </c>
      <c r="C232" s="6" t="str">
        <f>IFERROR(__xludf.DUMMYFUNCTION("""COMPUTED_VALUE"""),"Medium")</f>
        <v>Medium</v>
      </c>
      <c r="D232" s="6" t="str">
        <f>IFERROR(__xludf.DUMMYFUNCTION("""COMPUTED_VALUE"""),"String,Hash Table")</f>
        <v>String,Hash Table</v>
      </c>
      <c r="E232" s="6" t="str">
        <f>IFERROR(__xludf.DUMMYFUNCTION("""COMPUTED_VALUE"""),"Uber,Facebook,Amazon,Google")</f>
        <v>Uber,Facebook,Amazon,Google</v>
      </c>
      <c r="F232" s="6" t="str">
        <f>IFERROR(__xludf.DUMMYFUNCTION("""COMPUTED_VALUE"""),"Facebook,Google")</f>
        <v>Facebook,Google</v>
      </c>
      <c r="G232" s="6" t="str">
        <f>IFERROR(__xludf.DUMMYFUNCTION("""COMPUTED_VALUE"""),"Amazon,Facebook,Google")</f>
        <v>Amazon,Facebook,Google</v>
      </c>
      <c r="H232" s="6" t="str">
        <f>IFERROR(__xludf.DUMMYFUNCTION("""COMPUTED_VALUE"""),"Uber,Amazon,Facebook,Google")</f>
        <v>Uber,Amazon,Facebook,Google</v>
      </c>
      <c r="I232" s="6">
        <f>IFERROR(__xludf.DUMMYFUNCTION("""COMPUTED_VALUE"""),58.31)</f>
        <v>58.31</v>
      </c>
      <c r="J232" s="6" t="str">
        <f>IFERROR(__xludf.DUMMYFUNCTION("""COMPUTED_VALUE"""),"算法")</f>
        <v>算法</v>
      </c>
    </row>
    <row r="233">
      <c r="A233" s="6">
        <f>IFERROR(__xludf.DUMMYFUNCTION("""COMPUTED_VALUE"""),250.0)</f>
        <v>250</v>
      </c>
      <c r="B233" s="53" t="str">
        <f>IFERROR(__xludf.DUMMYFUNCTION("""COMPUTED_VALUE"""),"Count Univalue Subtrees")</f>
        <v>Count Univalue Subtrees</v>
      </c>
      <c r="C233" s="6" t="str">
        <f>IFERROR(__xludf.DUMMYFUNCTION("""COMPUTED_VALUE"""),"Medium")</f>
        <v>Medium</v>
      </c>
      <c r="D233" s="6" t="str">
        <f>IFERROR(__xludf.DUMMYFUNCTION("""COMPUTED_VALUE"""),"Tree")</f>
        <v>Tree</v>
      </c>
      <c r="E233" s="6" t="str">
        <f>IFERROR(__xludf.DUMMYFUNCTION("""COMPUTED_VALUE"""),"Paypal,Box,EBay,Bloomberg,Facebook,Amazon,Google")</f>
        <v>Paypal,Box,EBay,Bloomberg,Facebook,Amazon,Google</v>
      </c>
      <c r="F233" s="6" t="str">
        <f>IFERROR(__xludf.DUMMYFUNCTION("""COMPUTED_VALUE"""),"Google")</f>
        <v>Google</v>
      </c>
      <c r="G233" s="6" t="str">
        <f>IFERROR(__xludf.DUMMYFUNCTION("""COMPUTED_VALUE"""),"eBay,Box,Google")</f>
        <v>eBay,Box,Google</v>
      </c>
      <c r="H233" s="6" t="str">
        <f>IFERROR(__xludf.DUMMYFUNCTION("""COMPUTED_VALUE"""),"Amazon,Bloomberg,Facebook,Paypal,eBay,Box,Google")</f>
        <v>Amazon,Bloomberg,Facebook,Paypal,eBay,Box,Google</v>
      </c>
      <c r="I233" s="6">
        <f>IFERROR(__xludf.DUMMYFUNCTION("""COMPUTED_VALUE"""),53.44)</f>
        <v>53.44</v>
      </c>
      <c r="J233" s="6" t="str">
        <f>IFERROR(__xludf.DUMMYFUNCTION("""COMPUTED_VALUE"""),"算法")</f>
        <v>算法</v>
      </c>
    </row>
    <row r="234">
      <c r="A234" s="6">
        <f>IFERROR(__xludf.DUMMYFUNCTION("""COMPUTED_VALUE"""),251.0)</f>
        <v>251</v>
      </c>
      <c r="B234" s="53" t="str">
        <f>IFERROR(__xludf.DUMMYFUNCTION("""COMPUTED_VALUE"""),"Flatten 2D Vector")</f>
        <v>Flatten 2D Vector</v>
      </c>
      <c r="C234" s="6" t="str">
        <f>IFERROR(__xludf.DUMMYFUNCTION("""COMPUTED_VALUE"""),"Medium")</f>
        <v>Medium</v>
      </c>
      <c r="D234" s="6" t="str">
        <f>IFERROR(__xludf.DUMMYFUNCTION("""COMPUTED_VALUE"""),"Design")</f>
        <v>Design</v>
      </c>
      <c r="E234" s="6" t="str">
        <f>IFERROR(__xludf.DUMMYFUNCTION("""COMPUTED_VALUE"""),"Zenefits,Salesforce,Twitter,Lyft,Apple,Airbnb,Uber,Facebook,Google")</f>
        <v>Zenefits,Salesforce,Twitter,Lyft,Apple,Airbnb,Uber,Facebook,Google</v>
      </c>
      <c r="F234" s="6" t="str">
        <f>IFERROR(__xludf.DUMMYFUNCTION("""COMPUTED_VALUE"""),"Airbnb")</f>
        <v>Airbnb</v>
      </c>
      <c r="G234" s="6" t="str">
        <f>IFERROR(__xludf.DUMMYFUNCTION("""COMPUTED_VALUE"""),"Apple,Airbnb")</f>
        <v>Apple,Airbnb</v>
      </c>
      <c r="H234" s="6" t="str">
        <f>IFERROR(__xludf.DUMMYFUNCTION("""COMPUTED_VALUE"""),"Uber,Twitter,Google,Zenefits,Apple,Airbnb")</f>
        <v>Uber,Twitter,Google,Zenefits,Apple,Airbnb</v>
      </c>
      <c r="I234" s="6">
        <f>IFERROR(__xludf.DUMMYFUNCTION("""COMPUTED_VALUE"""),46.38)</f>
        <v>46.38</v>
      </c>
      <c r="J234" s="6" t="str">
        <f>IFERROR(__xludf.DUMMYFUNCTION("""COMPUTED_VALUE"""),"算法")</f>
        <v>算法</v>
      </c>
    </row>
    <row r="235">
      <c r="A235" s="6">
        <f>IFERROR(__xludf.DUMMYFUNCTION("""COMPUTED_VALUE"""),252.0)</f>
        <v>252</v>
      </c>
      <c r="B235" s="53" t="str">
        <f>IFERROR(__xludf.DUMMYFUNCTION("""COMPUTED_VALUE"""),"Meeting Rooms")</f>
        <v>Meeting Rooms</v>
      </c>
      <c r="C235" s="6" t="str">
        <f>IFERROR(__xludf.DUMMYFUNCTION("""COMPUTED_VALUE"""),"Easy")</f>
        <v>Easy</v>
      </c>
      <c r="D235" s="6" t="str">
        <f>IFERROR(__xludf.DUMMYFUNCTION("""COMPUTED_VALUE"""),"Sort")</f>
        <v>Sort</v>
      </c>
      <c r="E235" s="6" t="str">
        <f>IFERROR(__xludf.DUMMYFUNCTION("""COMPUTED_VALUE"""),"Karat,VMware,Intuit,EBay,Adobe,Bloomberg,Facebook,Amazon,Microsoft,Google")</f>
        <v>Karat,VMware,Intuit,EBay,Adobe,Bloomberg,Facebook,Amazon,Microsoft,Google</v>
      </c>
      <c r="F235" s="6" t="str">
        <f>IFERROR(__xludf.DUMMYFUNCTION("""COMPUTED_VALUE"""),"Microsoft,Facebook,Amazon,Adobe,Karat")</f>
        <v>Microsoft,Facebook,Amazon,Adobe,Karat</v>
      </c>
      <c r="G235" s="6" t="str">
        <f>IFERROR(__xludf.DUMMYFUNCTION("""COMPUTED_VALUE"""),"Google,Bloomberg,eBay,VMware,Microsoft,Facebook,Amazon,Adobe,Karat")</f>
        <v>Google,Bloomberg,eBay,VMware,Microsoft,Facebook,Amazon,Adobe,Karat</v>
      </c>
      <c r="H235" s="6" t="str">
        <f>IFERROR(__xludf.DUMMYFUNCTION("""COMPUTED_VALUE"""),"Intuit,Google,Bloomberg,eBay,VMware,Microsoft,Facebook,Amazon,Adobe,Karat")</f>
        <v>Intuit,Google,Bloomberg,eBay,VMware,Microsoft,Facebook,Amazon,Adobe,Karat</v>
      </c>
      <c r="I235" s="6">
        <f>IFERROR(__xludf.DUMMYFUNCTION("""COMPUTED_VALUE"""),55.47)</f>
        <v>55.47</v>
      </c>
      <c r="J235" s="6" t="str">
        <f>IFERROR(__xludf.DUMMYFUNCTION("""COMPUTED_VALUE"""),"算法")</f>
        <v>算法</v>
      </c>
    </row>
    <row r="236">
      <c r="A236" s="6">
        <f>IFERROR(__xludf.DUMMYFUNCTION("""COMPUTED_VALUE"""),253.0)</f>
        <v>253</v>
      </c>
      <c r="B236" s="53" t="str">
        <f>IFERROR(__xludf.DUMMYFUNCTION("""COMPUTED_VALUE"""),"Meeting Rooms II")</f>
        <v>Meeting Rooms II</v>
      </c>
      <c r="C236" s="6" t="str">
        <f>IFERROR(__xludf.DUMMYFUNCTION("""COMPUTED_VALUE"""),"Medium")</f>
        <v>Medium</v>
      </c>
      <c r="D236" s="6" t="str">
        <f>IFERROR(__xludf.DUMMYFUNCTION("""COMPUTED_VALUE"""),"Sort,Greedy,Heap")</f>
        <v>Sort,Greedy,Heap</v>
      </c>
      <c r="E236" s="6" t="str">
        <f>IFERROR(__xludf.DUMMYFUNCTION("""COMPUTED_VALUE"""),"Wish,Roblox,ByteDance,VMware,Citadel,Twitter,Yandex,Adobe,Nutanix,Postmates,Citrix,Atlassian,Booking.com,Drawbridge,Visa,Quora,Walmart Labs,GoDaddy,Snapchat,Paypal,Expedia,Yelp,Oracle,Lyft,Cisco,EBay,Baidu,Apple,Uber,Bloomberg,Facebook,Amazon,Microsoft,Go"&amp;"ldman Sachs,Google")</f>
        <v>Wish,Roblox,ByteDance,VMware,Citadel,Twitter,Yandex,Adobe,Nutanix,Postmates,Citrix,Atlassian,Booking.com,Drawbridge,Visa,Quora,Walmart Labs,GoDaddy,Snapchat,Paypal,Expedia,Yelp,Oracle,Lyft,Cisco,EBay,Baidu,Apple,Uber,Bloomberg,Facebook,Amazon,Microsoft,Goldman Sachs,Google</v>
      </c>
      <c r="F236" s="6" t="str">
        <f>IFERROR(__xludf.DUMMYFUNCTION("""COMPUTED_VALUE"""),"Amazon,Bloomberg,Facebook,Google,Oracle,Yandex,Microsoft,Uber,ByteDance,Twitter,eBay,Apple,Adobe,Walmart Labs,Expedia,Quora,Roblox")</f>
        <v>Amazon,Bloomberg,Facebook,Google,Oracle,Yandex,Microsoft,Uber,ByteDance,Twitter,eBay,Apple,Adobe,Walmart Labs,Expedia,Quora,Roblox</v>
      </c>
      <c r="G236" s="6" t="str">
        <f>IFERROR(__xludf.DUMMYFUNCTION("""COMPUTED_VALUE"""),"Snapchat,Paypal,Citadel,Amazon,Bloomberg,Facebook,Google,Oracle,Yandex,Microsoft,Uber,ByteDance,Twitter,eBay,Apple,Adobe,Walmart Labs,Expedia,Quora,Roblox")</f>
        <v>Snapchat,Paypal,Citadel,Amazon,Bloomberg,Facebook,Google,Oracle,Yandex,Microsoft,Uber,ByteDance,Twitter,eBay,Apple,Adobe,Walmart Labs,Expedia,Quora,Roblox</v>
      </c>
      <c r="H236" s="6" t="str">
        <f>IFERROR(__xludf.DUMMYFUNCTION("""COMPUTED_VALUE"""),"Lyft,Visa,GoDaddy,Citrix,Nutanix,Yelp,Booking.com,VMware,Drawbridge,Postmates,Goldman Sachs,Wish,Snapchat,Paypal,Citadel,Amazon,Bloomberg,Facebook,Google,Oracle,Yandex,Microsoft,Uber,ByteDance,Twitter,eBay,Apple,Adobe,Walmart Labs,Expedia,Quora,Roblox")</f>
        <v>Lyft,Visa,GoDaddy,Citrix,Nutanix,Yelp,Booking.com,VMware,Drawbridge,Postmates,Goldman Sachs,Wish,Snapchat,Paypal,Citadel,Amazon,Bloomberg,Facebook,Google,Oracle,Yandex,Microsoft,Uber,ByteDance,Twitter,eBay,Apple,Adobe,Walmart Labs,Expedia,Quora,Roblox</v>
      </c>
      <c r="I236" s="6">
        <f>IFERROR(__xludf.DUMMYFUNCTION("""COMPUTED_VALUE"""),46.98)</f>
        <v>46.98</v>
      </c>
      <c r="J236" s="6" t="str">
        <f>IFERROR(__xludf.DUMMYFUNCTION("""COMPUTED_VALUE"""),"算法")</f>
        <v>算法</v>
      </c>
    </row>
    <row r="237">
      <c r="A237" s="6">
        <f>IFERROR(__xludf.DUMMYFUNCTION("""COMPUTED_VALUE"""),254.0)</f>
        <v>254</v>
      </c>
      <c r="B237" s="53" t="str">
        <f>IFERROR(__xludf.DUMMYFUNCTION("""COMPUTED_VALUE"""),"Factor Combinations")</f>
        <v>Factor Combinations</v>
      </c>
      <c r="C237" s="6" t="str">
        <f>IFERROR(__xludf.DUMMYFUNCTION("""COMPUTED_VALUE"""),"Medium")</f>
        <v>Medium</v>
      </c>
      <c r="D237" s="6" t="str">
        <f>IFERROR(__xludf.DUMMYFUNCTION("""COMPUTED_VALUE"""),"Backtracking")</f>
        <v>Backtracking</v>
      </c>
      <c r="E237" s="6" t="str">
        <f>IFERROR(__xludf.DUMMYFUNCTION("""COMPUTED_VALUE"""),"Pinterest,Uber,LinkedIn,Google")</f>
        <v>Pinterest,Uber,LinkedIn,Google</v>
      </c>
      <c r="F237" s="6" t="str">
        <f>IFERROR(__xludf.DUMMYFUNCTION("""COMPUTED_VALUE"""),"LinkedIn")</f>
        <v>LinkedIn</v>
      </c>
      <c r="G237" s="6" t="str">
        <f>IFERROR(__xludf.DUMMYFUNCTION("""COMPUTED_VALUE"""),"LinkedIn")</f>
        <v>LinkedIn</v>
      </c>
      <c r="H237" s="6" t="str">
        <f>IFERROR(__xludf.DUMMYFUNCTION("""COMPUTED_VALUE"""),"Google,Uber,LinkedIn")</f>
        <v>Google,Uber,LinkedIn</v>
      </c>
      <c r="I237" s="6">
        <f>IFERROR(__xludf.DUMMYFUNCTION("""COMPUTED_VALUE"""),47.47)</f>
        <v>47.47</v>
      </c>
      <c r="J237" s="6" t="str">
        <f>IFERROR(__xludf.DUMMYFUNCTION("""COMPUTED_VALUE"""),"算法")</f>
        <v>算法</v>
      </c>
    </row>
    <row r="238">
      <c r="A238" s="6">
        <f>IFERROR(__xludf.DUMMYFUNCTION("""COMPUTED_VALUE"""),256.0)</f>
        <v>256</v>
      </c>
      <c r="B238" s="53" t="str">
        <f>IFERROR(__xludf.DUMMYFUNCTION("""COMPUTED_VALUE"""),"Paint House")</f>
        <v>Paint House</v>
      </c>
      <c r="C238" s="6" t="str">
        <f>IFERROR(__xludf.DUMMYFUNCTION("""COMPUTED_VALUE"""),"Medium")</f>
        <v>Medium</v>
      </c>
      <c r="D238" s="6" t="str">
        <f>IFERROR(__xludf.DUMMYFUNCTION("""COMPUTED_VALUE"""),"Dynamic Programming")</f>
        <v>Dynamic Programming</v>
      </c>
      <c r="E238" s="6" t="str">
        <f>IFERROR(__xludf.DUMMYFUNCTION("""COMPUTED_VALUE"""),"Roblox,Walmart Labs,Oracle,Amazon,Google,Twitter,Apple,Tencent,LinkedIn,Microsoft")</f>
        <v>Roblox,Walmart Labs,Oracle,Amazon,Google,Twitter,Apple,Tencent,LinkedIn,Microsoft</v>
      </c>
      <c r="F238" s="6" t="str">
        <f>IFERROR(__xludf.DUMMYFUNCTION("""COMPUTED_VALUE"""),"Roblox,LinkedIn,Google,Oracle")</f>
        <v>Roblox,LinkedIn,Google,Oracle</v>
      </c>
      <c r="G238" s="6" t="str">
        <f>IFERROR(__xludf.DUMMYFUNCTION("""COMPUTED_VALUE"""),"Microsoft,Amazon,Walmart Labs,Roblox,LinkedIn,Google,Oracle")</f>
        <v>Microsoft,Amazon,Walmart Labs,Roblox,LinkedIn,Google,Oracle</v>
      </c>
      <c r="H238" s="6" t="str">
        <f>IFERROR(__xludf.DUMMYFUNCTION("""COMPUTED_VALUE"""),"Twitter,Apple,Tencent,Microsoft,Amazon,Walmart Labs,Roblox,LinkedIn,Google,Oracle")</f>
        <v>Twitter,Apple,Tencent,Microsoft,Amazon,Walmart Labs,Roblox,LinkedIn,Google,Oracle</v>
      </c>
      <c r="I238" s="6">
        <f>IFERROR(__xludf.DUMMYFUNCTION("""COMPUTED_VALUE"""),53.74)</f>
        <v>53.74</v>
      </c>
      <c r="J238" s="6" t="str">
        <f>IFERROR(__xludf.DUMMYFUNCTION("""COMPUTED_VALUE"""),"算法")</f>
        <v>算法</v>
      </c>
    </row>
    <row r="239">
      <c r="A239" s="6">
        <f>IFERROR(__xludf.DUMMYFUNCTION("""COMPUTED_VALUE"""),257.0)</f>
        <v>257</v>
      </c>
      <c r="B239" s="53" t="str">
        <f>IFERROR(__xludf.DUMMYFUNCTION("""COMPUTED_VALUE"""),"Binary Tree Paths")</f>
        <v>Binary Tree Paths</v>
      </c>
      <c r="C239" s="6" t="str">
        <f>IFERROR(__xludf.DUMMYFUNCTION("""COMPUTED_VALUE"""),"Easy")</f>
        <v>Easy</v>
      </c>
      <c r="D239" s="6" t="str">
        <f>IFERROR(__xludf.DUMMYFUNCTION("""COMPUTED_VALUE"""),"Depth First Search,Tree")</f>
        <v>Depth First Search,Tree</v>
      </c>
      <c r="E239" s="6" t="str">
        <f>IFERROR(__xludf.DUMMYFUNCTION("""COMPUTED_VALUE"""),"Bloomberg,Apple,Adobe,Facebook,Amazon,Microsoft,Google")</f>
        <v>Bloomberg,Apple,Adobe,Facebook,Amazon,Microsoft,Google</v>
      </c>
      <c r="F239" s="6" t="str">
        <f>IFERROR(__xludf.DUMMYFUNCTION("""COMPUTED_VALUE"""),"Facebook,Apple,Google,Bloomberg")</f>
        <v>Facebook,Apple,Google,Bloomberg</v>
      </c>
      <c r="G239" s="6" t="str">
        <f>IFERROR(__xludf.DUMMYFUNCTION("""COMPUTED_VALUE"""),"Amazon,Facebook,Apple,Google,Bloomberg")</f>
        <v>Amazon,Facebook,Apple,Google,Bloomberg</v>
      </c>
      <c r="H239" s="6" t="str">
        <f>IFERROR(__xludf.DUMMYFUNCTION("""COMPUTED_VALUE"""),"Microsoft,Adobe,Amazon,Facebook,Apple,Google,Bloomberg")</f>
        <v>Microsoft,Adobe,Amazon,Facebook,Apple,Google,Bloomberg</v>
      </c>
      <c r="I239" s="6">
        <f>IFERROR(__xludf.DUMMYFUNCTION("""COMPUTED_VALUE"""),53.8)</f>
        <v>53.8</v>
      </c>
      <c r="J239" s="6" t="str">
        <f>IFERROR(__xludf.DUMMYFUNCTION("""COMPUTED_VALUE"""),"算法")</f>
        <v>算法</v>
      </c>
    </row>
    <row r="240">
      <c r="A240" s="6">
        <f>IFERROR(__xludf.DUMMYFUNCTION("""COMPUTED_VALUE"""),258.0)</f>
        <v>258</v>
      </c>
      <c r="B240" s="53" t="str">
        <f>IFERROR(__xludf.DUMMYFUNCTION("""COMPUTED_VALUE"""),"Add Digits")</f>
        <v>Add Digits</v>
      </c>
      <c r="C240" s="6" t="str">
        <f>IFERROR(__xludf.DUMMYFUNCTION("""COMPUTED_VALUE"""),"Easy")</f>
        <v>Easy</v>
      </c>
      <c r="D240" s="6" t="str">
        <f>IFERROR(__xludf.DUMMYFUNCTION("""COMPUTED_VALUE"""),"Math")</f>
        <v>Math</v>
      </c>
      <c r="E240" s="6" t="str">
        <f>IFERROR(__xludf.DUMMYFUNCTION("""COMPUTED_VALUE"""),"Amazon,Google,Apple,Bloomberg,Adobe,Microsoft")</f>
        <v>Amazon,Google,Apple,Bloomberg,Adobe,Microsoft</v>
      </c>
      <c r="F240" s="6" t="str">
        <f>IFERROR(__xludf.DUMMYFUNCTION("""COMPUTED_VALUE"""),"Amazon,Google")</f>
        <v>Amazon,Google</v>
      </c>
      <c r="G240" s="6" t="str">
        <f>IFERROR(__xludf.DUMMYFUNCTION("""COMPUTED_VALUE"""),"Bloomberg,Amazon,Google")</f>
        <v>Bloomberg,Amazon,Google</v>
      </c>
      <c r="H240" s="6" t="str">
        <f>IFERROR(__xludf.DUMMYFUNCTION("""COMPUTED_VALUE"""),"Microsoft,Adobe,Bloomberg,Amazon,Google")</f>
        <v>Microsoft,Adobe,Bloomberg,Amazon,Google</v>
      </c>
      <c r="I240" s="6">
        <f>IFERROR(__xludf.DUMMYFUNCTION("""COMPUTED_VALUE"""),58.59)</f>
        <v>58.59</v>
      </c>
      <c r="J240" s="6" t="str">
        <f>IFERROR(__xludf.DUMMYFUNCTION("""COMPUTED_VALUE"""),"算法")</f>
        <v>算法</v>
      </c>
    </row>
    <row r="241">
      <c r="A241" s="6">
        <f>IFERROR(__xludf.DUMMYFUNCTION("""COMPUTED_VALUE"""),259.0)</f>
        <v>259</v>
      </c>
      <c r="B241" s="53" t="str">
        <f>IFERROR(__xludf.DUMMYFUNCTION("""COMPUTED_VALUE"""),"3Sum Smaller")</f>
        <v>3Sum Smaller</v>
      </c>
      <c r="C241" s="6" t="str">
        <f>IFERROR(__xludf.DUMMYFUNCTION("""COMPUTED_VALUE"""),"Medium")</f>
        <v>Medium</v>
      </c>
      <c r="D241" s="6" t="str">
        <f>IFERROR(__xludf.DUMMYFUNCTION("""COMPUTED_VALUE"""),"Two Pointers,Array")</f>
        <v>Two Pointers,Array</v>
      </c>
      <c r="E241" s="6" t="str">
        <f>IFERROR(__xludf.DUMMYFUNCTION("""COMPUTED_VALUE"""),"Citadel,Adobe,IBM,Mathworks,Google")</f>
        <v>Citadel,Adobe,IBM,Mathworks,Google</v>
      </c>
      <c r="F241" s="6" t="str">
        <f>IFERROR(__xludf.DUMMYFUNCTION("""COMPUTED_VALUE"""),"IBM,Citadel")</f>
        <v>IBM,Citadel</v>
      </c>
      <c r="G241" s="6" t="str">
        <f>IFERROR(__xludf.DUMMYFUNCTION("""COMPUTED_VALUE"""),"Google,Adobe,IBM,Citadel")</f>
        <v>Google,Adobe,IBM,Citadel</v>
      </c>
      <c r="H241" s="6" t="str">
        <f>IFERROR(__xludf.DUMMYFUNCTION("""COMPUTED_VALUE"""),"Mathworks,Google,Adobe,IBM,Citadel")</f>
        <v>Mathworks,Google,Adobe,IBM,Citadel</v>
      </c>
      <c r="I241" s="6">
        <f>IFERROR(__xludf.DUMMYFUNCTION("""COMPUTED_VALUE"""),49.07)</f>
        <v>49.07</v>
      </c>
      <c r="J241" s="6" t="str">
        <f>IFERROR(__xludf.DUMMYFUNCTION("""COMPUTED_VALUE"""),"算法")</f>
        <v>算法</v>
      </c>
    </row>
    <row r="242">
      <c r="A242" s="6">
        <f>IFERROR(__xludf.DUMMYFUNCTION("""COMPUTED_VALUE"""),261.0)</f>
        <v>261</v>
      </c>
      <c r="B242" s="53" t="str">
        <f>IFERROR(__xludf.DUMMYFUNCTION("""COMPUTED_VALUE"""),"Graph Valid Tree")</f>
        <v>Graph Valid Tree</v>
      </c>
      <c r="C242" s="6" t="str">
        <f>IFERROR(__xludf.DUMMYFUNCTION("""COMPUTED_VALUE"""),"Medium")</f>
        <v>Medium</v>
      </c>
      <c r="D242" s="6" t="str">
        <f>IFERROR(__xludf.DUMMYFUNCTION("""COMPUTED_VALUE"""),"Graph,Union Find,Breadth First Search,Depth First Search")</f>
        <v>Graph,Union Find,Breadth First Search,Depth First Search</v>
      </c>
      <c r="E242" s="6" t="str">
        <f>IFERROR(__xludf.DUMMYFUNCTION("""COMPUTED_VALUE"""),"Qualtrics,Apple,Bloomberg,Microsoft,Pinterest,Zenefits,Salesforce,Adobe,Facebook,Amazon,LinkedIn,Google")</f>
        <v>Qualtrics,Apple,Bloomberg,Microsoft,Pinterest,Zenefits,Salesforce,Adobe,Facebook,Amazon,LinkedIn,Google</v>
      </c>
      <c r="F242" s="6" t="str">
        <f>IFERROR(__xludf.DUMMYFUNCTION("""COMPUTED_VALUE"""),"Amazon,Qualtrics,Microsoft")</f>
        <v>Amazon,Qualtrics,Microsoft</v>
      </c>
      <c r="G242" s="6" t="str">
        <f>IFERROR(__xludf.DUMMYFUNCTION("""COMPUTED_VALUE"""),"LinkedIn,Amazon,Qualtrics,Microsoft")</f>
        <v>LinkedIn,Amazon,Qualtrics,Microsoft</v>
      </c>
      <c r="H242" s="6" t="str">
        <f>IFERROR(__xludf.DUMMYFUNCTION("""COMPUTED_VALUE"""),"Apple,Google,Bloomberg,Facebook,Zenefits,LinkedIn,Amazon,Qualtrics,Microsoft")</f>
        <v>Apple,Google,Bloomberg,Facebook,Zenefits,LinkedIn,Amazon,Qualtrics,Microsoft</v>
      </c>
      <c r="I242" s="6">
        <f>IFERROR(__xludf.DUMMYFUNCTION("""COMPUTED_VALUE"""),43.29)</f>
        <v>43.29</v>
      </c>
      <c r="J242" s="6" t="str">
        <f>IFERROR(__xludf.DUMMYFUNCTION("""COMPUTED_VALUE"""),"算法")</f>
        <v>算法</v>
      </c>
    </row>
    <row r="243">
      <c r="A243" s="6">
        <f>IFERROR(__xludf.DUMMYFUNCTION("""COMPUTED_VALUE"""),264.0)</f>
        <v>264</v>
      </c>
      <c r="B243" s="53" t="str">
        <f>IFERROR(__xludf.DUMMYFUNCTION("""COMPUTED_VALUE"""),"Ugly Number II")</f>
        <v>Ugly Number II</v>
      </c>
      <c r="C243" s="6" t="str">
        <f>IFERROR(__xludf.DUMMYFUNCTION("""COMPUTED_VALUE"""),"Medium")</f>
        <v>Medium</v>
      </c>
      <c r="D243" s="6" t="str">
        <f>IFERROR(__xludf.DUMMYFUNCTION("""COMPUTED_VALUE"""),"Heap,Dynamic Programming,Math")</f>
        <v>Heap,Dynamic Programming,Math</v>
      </c>
      <c r="E243" s="6" t="str">
        <f>IFERROR(__xludf.DUMMYFUNCTION("""COMPUTED_VALUE"""),"Adobe,Oracle,Uber,Amazon,Google")</f>
        <v>Adobe,Oracle,Uber,Amazon,Google</v>
      </c>
      <c r="F243" s="6" t="str">
        <f>IFERROR(__xludf.DUMMYFUNCTION("""COMPUTED_VALUE"""),"Adobe")</f>
        <v>Adobe</v>
      </c>
      <c r="G243" s="6" t="str">
        <f>IFERROR(__xludf.DUMMYFUNCTION("""COMPUTED_VALUE"""),"Amazon,Adobe")</f>
        <v>Amazon,Adobe</v>
      </c>
      <c r="H243" s="6" t="str">
        <f>IFERROR(__xludf.DUMMYFUNCTION("""COMPUTED_VALUE"""),"Oracle,Amazon,Adobe")</f>
        <v>Oracle,Amazon,Adobe</v>
      </c>
      <c r="I243" s="6">
        <f>IFERROR(__xludf.DUMMYFUNCTION("""COMPUTED_VALUE"""),42.94)</f>
        <v>42.94</v>
      </c>
      <c r="J243" s="6" t="str">
        <f>IFERROR(__xludf.DUMMYFUNCTION("""COMPUTED_VALUE"""),"算法")</f>
        <v>算法</v>
      </c>
    </row>
    <row r="244">
      <c r="A244" s="6">
        <f>IFERROR(__xludf.DUMMYFUNCTION("""COMPUTED_VALUE"""),265.0)</f>
        <v>265</v>
      </c>
      <c r="B244" s="53" t="str">
        <f>IFERROR(__xludf.DUMMYFUNCTION("""COMPUTED_VALUE"""),"Paint House II")</f>
        <v>Paint House II</v>
      </c>
      <c r="C244" s="6" t="str">
        <f>IFERROR(__xludf.DUMMYFUNCTION("""COMPUTED_VALUE"""),"Hard")</f>
        <v>Hard</v>
      </c>
      <c r="D244" s="6" t="str">
        <f>IFERROR(__xludf.DUMMYFUNCTION("""COMPUTED_VALUE"""),"Dynamic Programming")</f>
        <v>Dynamic Programming</v>
      </c>
      <c r="E244" s="6" t="str">
        <f>IFERROR(__xludf.DUMMYFUNCTION("""COMPUTED_VALUE"""),"Walmart Labs,Uber,Facebook,LinkedIn,Google")</f>
        <v>Walmart Labs,Uber,Facebook,LinkedIn,Google</v>
      </c>
      <c r="F244" s="6" t="str">
        <f>IFERROR(__xludf.DUMMYFUNCTION("""COMPUTED_VALUE"""),"Walmart Labs")</f>
        <v>Walmart Labs</v>
      </c>
      <c r="G244" s="6" t="str">
        <f>IFERROR(__xludf.DUMMYFUNCTION("""COMPUTED_VALUE"""),"Walmart Labs")</f>
        <v>Walmart Labs</v>
      </c>
      <c r="H244" s="6" t="str">
        <f>IFERROR(__xludf.DUMMYFUNCTION("""COMPUTED_VALUE"""),"LinkedIn,Facebook,Walmart Labs")</f>
        <v>LinkedIn,Facebook,Walmart Labs</v>
      </c>
      <c r="I244" s="6">
        <f>IFERROR(__xludf.DUMMYFUNCTION("""COMPUTED_VALUE"""),45.74)</f>
        <v>45.74</v>
      </c>
      <c r="J244" s="6" t="str">
        <f>IFERROR(__xludf.DUMMYFUNCTION("""COMPUTED_VALUE"""),"算法")</f>
        <v>算法</v>
      </c>
    </row>
    <row r="245">
      <c r="A245" s="6">
        <f>IFERROR(__xludf.DUMMYFUNCTION("""COMPUTED_VALUE"""),266.0)</f>
        <v>266</v>
      </c>
      <c r="B245" s="53" t="str">
        <f>IFERROR(__xludf.DUMMYFUNCTION("""COMPUTED_VALUE"""),"Palindrome Permutation")</f>
        <v>Palindrome Permutation</v>
      </c>
      <c r="C245" s="6" t="str">
        <f>IFERROR(__xludf.DUMMYFUNCTION("""COMPUTED_VALUE"""),"Easy")</f>
        <v>Easy</v>
      </c>
      <c r="D245" s="6" t="str">
        <f>IFERROR(__xludf.DUMMYFUNCTION("""COMPUTED_VALUE"""),"Hash Table")</f>
        <v>Hash Table</v>
      </c>
      <c r="E245" s="6" t="str">
        <f>IFERROR(__xludf.DUMMYFUNCTION("""COMPUTED_VALUE"""),"Apple,Uber,Bloomberg,Facebook,Amazon,Microsoft,Google")</f>
        <v>Apple,Uber,Bloomberg,Facebook,Amazon,Microsoft,Google</v>
      </c>
      <c r="F245" s="6" t="str">
        <f>IFERROR(__xludf.DUMMYFUNCTION("""COMPUTED_VALUE"""),"Facebook,Microsoft")</f>
        <v>Facebook,Microsoft</v>
      </c>
      <c r="G245" s="6" t="str">
        <f>IFERROR(__xludf.DUMMYFUNCTION("""COMPUTED_VALUE"""),"Facebook,Microsoft")</f>
        <v>Facebook,Microsoft</v>
      </c>
      <c r="H245" s="6" t="str">
        <f>IFERROR(__xludf.DUMMYFUNCTION("""COMPUTED_VALUE"""),"Apple,Amazon,Google,Uber,Bloomberg,Facebook,Microsoft")</f>
        <v>Apple,Amazon,Google,Uber,Bloomberg,Facebook,Microsoft</v>
      </c>
      <c r="I245" s="6">
        <f>IFERROR(__xludf.DUMMYFUNCTION("""COMPUTED_VALUE"""),62.53)</f>
        <v>62.53</v>
      </c>
      <c r="J245" s="6" t="str">
        <f>IFERROR(__xludf.DUMMYFUNCTION("""COMPUTED_VALUE"""),"算法")</f>
        <v>算法</v>
      </c>
    </row>
    <row r="246">
      <c r="A246" s="6">
        <f>IFERROR(__xludf.DUMMYFUNCTION("""COMPUTED_VALUE"""),267.0)</f>
        <v>267</v>
      </c>
      <c r="B246" s="53" t="str">
        <f>IFERROR(__xludf.DUMMYFUNCTION("""COMPUTED_VALUE"""),"Palindrome Permutation II")</f>
        <v>Palindrome Permutation II</v>
      </c>
      <c r="C246" s="6" t="str">
        <f>IFERROR(__xludf.DUMMYFUNCTION("""COMPUTED_VALUE"""),"Medium")</f>
        <v>Medium</v>
      </c>
      <c r="D246" s="6" t="str">
        <f>IFERROR(__xludf.DUMMYFUNCTION("""COMPUTED_VALUE"""),"Backtracking")</f>
        <v>Backtracking</v>
      </c>
      <c r="E246" s="6" t="str">
        <f>IFERROR(__xludf.DUMMYFUNCTION("""COMPUTED_VALUE"""),"Microsoft,Uber,Amazon,Google")</f>
        <v>Microsoft,Uber,Amazon,Google</v>
      </c>
      <c r="F246" s="6"/>
      <c r="G246" s="6" t="str">
        <f>IFERROR(__xludf.DUMMYFUNCTION("""COMPUTED_VALUE"""),"Uber,Microsoft")</f>
        <v>Uber,Microsoft</v>
      </c>
      <c r="H246" s="6" t="str">
        <f>IFERROR(__xludf.DUMMYFUNCTION("""COMPUTED_VALUE"""),"Google,Amazon,Uber,Microsoft")</f>
        <v>Google,Amazon,Uber,Microsoft</v>
      </c>
      <c r="I246" s="6">
        <f>IFERROR(__xludf.DUMMYFUNCTION("""COMPUTED_VALUE"""),37.48)</f>
        <v>37.48</v>
      </c>
      <c r="J246" s="6" t="str">
        <f>IFERROR(__xludf.DUMMYFUNCTION("""COMPUTED_VALUE"""),"算法")</f>
        <v>算法</v>
      </c>
    </row>
    <row r="247">
      <c r="A247" s="6">
        <f>IFERROR(__xludf.DUMMYFUNCTION("""COMPUTED_VALUE"""),268.0)</f>
        <v>268</v>
      </c>
      <c r="B247" s="53" t="str">
        <f>IFERROR(__xludf.DUMMYFUNCTION("""COMPUTED_VALUE"""),"Missing Number")</f>
        <v>Missing Number</v>
      </c>
      <c r="C247" s="6" t="str">
        <f>IFERROR(__xludf.DUMMYFUNCTION("""COMPUTED_VALUE"""),"Easy")</f>
        <v>Easy</v>
      </c>
      <c r="D247" s="6" t="str">
        <f>IFERROR(__xludf.DUMMYFUNCTION("""COMPUTED_VALUE"""),"Bit Manipulation,Math,Array")</f>
        <v>Bit Manipulation,Math,Array</v>
      </c>
      <c r="E247" s="6" t="str">
        <f>IFERROR(__xludf.DUMMYFUNCTION("""COMPUTED_VALUE"""),"Capital One,JPMorgan,Paypal,Nvidia,Cisco,Yandex,EBay,Goldman Sachs,Arista Networks,VMware,Zillow,ServiceNow,Oracle,IBM,Apple,Bloomberg,Adobe,Facebook,Amazon,Microsoft,Google")</f>
        <v>Capital One,JPMorgan,Paypal,Nvidia,Cisco,Yandex,EBay,Goldman Sachs,Arista Networks,VMware,Zillow,ServiceNow,Oracle,IBM,Apple,Bloomberg,Adobe,Facebook,Amazon,Microsoft,Google</v>
      </c>
      <c r="F247" s="6" t="str">
        <f>IFERROR(__xludf.DUMMYFUNCTION("""COMPUTED_VALUE"""),"Capital One,Facebook,Amazon,Apple,Oracle,Microsoft,Goldman Sachs,Cisco,Arista Networks")</f>
        <v>Capital One,Facebook,Amazon,Apple,Oracle,Microsoft,Goldman Sachs,Cisco,Arista Networks</v>
      </c>
      <c r="G247" s="6" t="str">
        <f>IFERROR(__xludf.DUMMYFUNCTION("""COMPUTED_VALUE"""),"Adobe,Capital One,Facebook,Amazon,Apple,Oracle,Microsoft,Goldman Sachs,Cisco,Arista Networks")</f>
        <v>Adobe,Capital One,Facebook,Amazon,Apple,Oracle,Microsoft,Goldman Sachs,Cisco,Arista Networks</v>
      </c>
      <c r="H247" s="6" t="str">
        <f>IFERROR(__xludf.DUMMYFUNCTION("""COMPUTED_VALUE"""),"Google,Bloomberg,JPMorgan,Paypal,IBM,Yandex,ServiceNow,Nvidia,eBay,Adobe,Capital One,Facebook,Amazon,Apple,Oracle,Microsoft,Goldman Sachs,Cisco,Arista Networks")</f>
        <v>Google,Bloomberg,JPMorgan,Paypal,IBM,Yandex,ServiceNow,Nvidia,eBay,Adobe,Capital One,Facebook,Amazon,Apple,Oracle,Microsoft,Goldman Sachs,Cisco,Arista Networks</v>
      </c>
      <c r="I247" s="6">
        <f>IFERROR(__xludf.DUMMYFUNCTION("""COMPUTED_VALUE"""),55.03)</f>
        <v>55.03</v>
      </c>
      <c r="J247" s="6" t="str">
        <f>IFERROR(__xludf.DUMMYFUNCTION("""COMPUTED_VALUE"""),"算法")</f>
        <v>算法</v>
      </c>
    </row>
    <row r="248">
      <c r="A248" s="6">
        <f>IFERROR(__xludf.DUMMYFUNCTION("""COMPUTED_VALUE"""),269.0)</f>
        <v>269</v>
      </c>
      <c r="B248" s="53" t="str">
        <f>IFERROR(__xludf.DUMMYFUNCTION("""COMPUTED_VALUE"""),"Alien Dictionary")</f>
        <v>Alien Dictionary</v>
      </c>
      <c r="C248" s="6" t="str">
        <f>IFERROR(__xludf.DUMMYFUNCTION("""COMPUTED_VALUE"""),"Hard")</f>
        <v>Hard</v>
      </c>
      <c r="D248" s="6" t="str">
        <f>IFERROR(__xludf.DUMMYFUNCTION("""COMPUTED_VALUE"""),"Topological Sort,Graph")</f>
        <v>Topological Sort,Graph</v>
      </c>
      <c r="E248" s="6" t="str">
        <f>IFERROR(__xludf.DUMMYFUNCTION("""COMPUTED_VALUE"""),"ByteDance,EBay,Cohesity,DoorDash,Square,Pinterest,Pocket Gems,Flipkart,VMware,Walmart Labs,Snapchat,Twitter,Apple,Airbnb,Uber,Bloomberg,Facebook,Amazon,Microsoft,Google")</f>
        <v>ByteDance,EBay,Cohesity,DoorDash,Square,Pinterest,Pocket Gems,Flipkart,VMware,Walmart Labs,Snapchat,Twitter,Apple,Airbnb,Uber,Bloomberg,Facebook,Amazon,Microsoft,Google</v>
      </c>
      <c r="F248" s="6" t="str">
        <f>IFERROR(__xludf.DUMMYFUNCTION("""COMPUTED_VALUE"""),"Facebook,Amazon,Pinterest,Microsoft,Google,Airbnb")</f>
        <v>Facebook,Amazon,Pinterest,Microsoft,Google,Airbnb</v>
      </c>
      <c r="G248" s="6" t="str">
        <f>IFERROR(__xludf.DUMMYFUNCTION("""COMPUTED_VALUE"""),"Apple,Uber,Bloomberg,Facebook,Amazon,Pinterest,Microsoft,Google,Airbnb")</f>
        <v>Apple,Uber,Bloomberg,Facebook,Amazon,Pinterest,Microsoft,Google,Airbnb</v>
      </c>
      <c r="H248" s="6" t="str">
        <f>IFERROR(__xludf.DUMMYFUNCTION("""COMPUTED_VALUE"""),"VMware,Twitter,Snapchat,Walmart Labs,Flipkart,eBay,ByteDance,Pocket Gems,Apple,Uber,Bloomberg,Facebook,Amazon,Pinterest,Microsoft,Google,Airbnb")</f>
        <v>VMware,Twitter,Snapchat,Walmart Labs,Flipkart,eBay,ByteDance,Pocket Gems,Apple,Uber,Bloomberg,Facebook,Amazon,Pinterest,Microsoft,Google,Airbnb</v>
      </c>
      <c r="I248" s="6">
        <f>IFERROR(__xludf.DUMMYFUNCTION("""COMPUTED_VALUE"""),33.75)</f>
        <v>33.75</v>
      </c>
      <c r="J248" s="6" t="str">
        <f>IFERROR(__xludf.DUMMYFUNCTION("""COMPUTED_VALUE"""),"算法")</f>
        <v>算法</v>
      </c>
    </row>
    <row r="249">
      <c r="A249" s="6">
        <f>IFERROR(__xludf.DUMMYFUNCTION("""COMPUTED_VALUE"""),270.0)</f>
        <v>270</v>
      </c>
      <c r="B249" s="53" t="str">
        <f>IFERROR(__xludf.DUMMYFUNCTION("""COMPUTED_VALUE"""),"Closest Binary Search Tree Value")</f>
        <v>Closest Binary Search Tree Value</v>
      </c>
      <c r="C249" s="6" t="str">
        <f>IFERROR(__xludf.DUMMYFUNCTION("""COMPUTED_VALUE"""),"Easy")</f>
        <v>Easy</v>
      </c>
      <c r="D249" s="6" t="str">
        <f>IFERROR(__xludf.DUMMYFUNCTION("""COMPUTED_VALUE"""),"Tree,Binary Search")</f>
        <v>Tree,Binary Search</v>
      </c>
      <c r="E249" s="6" t="str">
        <f>IFERROR(__xludf.DUMMYFUNCTION("""COMPUTED_VALUE"""),"Coupang,Snapchat,Bloomberg,Facebook,Amazon,LinkedIn,Microsoft,Google")</f>
        <v>Coupang,Snapchat,Bloomberg,Facebook,Amazon,LinkedIn,Microsoft,Google</v>
      </c>
      <c r="F249" s="6" t="str">
        <f>IFERROR(__xludf.DUMMYFUNCTION("""COMPUTED_VALUE"""),"Facebook,Bloomberg,Microsoft")</f>
        <v>Facebook,Bloomberg,Microsoft</v>
      </c>
      <c r="G249" s="6" t="str">
        <f>IFERROR(__xludf.DUMMYFUNCTION("""COMPUTED_VALUE"""),"Amazon,Facebook,Bloomberg,Microsoft")</f>
        <v>Amazon,Facebook,Bloomberg,Microsoft</v>
      </c>
      <c r="H249" s="6" t="str">
        <f>IFERROR(__xludf.DUMMYFUNCTION("""COMPUTED_VALUE"""),"Google,Coupang,Snapchat,Amazon,Facebook,Bloomberg,Microsoft")</f>
        <v>Google,Coupang,Snapchat,Amazon,Facebook,Bloomberg,Microsoft</v>
      </c>
      <c r="I249" s="6">
        <f>IFERROR(__xludf.DUMMYFUNCTION("""COMPUTED_VALUE"""),50.09)</f>
        <v>50.09</v>
      </c>
      <c r="J249" s="6" t="str">
        <f>IFERROR(__xludf.DUMMYFUNCTION("""COMPUTED_VALUE"""),"算法")</f>
        <v>算法</v>
      </c>
    </row>
    <row r="250">
      <c r="A250" s="6">
        <f>IFERROR(__xludf.DUMMYFUNCTION("""COMPUTED_VALUE"""),271.0)</f>
        <v>271</v>
      </c>
      <c r="B250" s="53" t="str">
        <f>IFERROR(__xludf.DUMMYFUNCTION("""COMPUTED_VALUE"""),"Encode and Decode Strings")</f>
        <v>Encode and Decode Strings</v>
      </c>
      <c r="C250" s="6" t="str">
        <f>IFERROR(__xludf.DUMMYFUNCTION("""COMPUTED_VALUE"""),"Medium")</f>
        <v>Medium</v>
      </c>
      <c r="D250" s="6" t="str">
        <f>IFERROR(__xludf.DUMMYFUNCTION("""COMPUTED_VALUE"""),"String")</f>
        <v>String</v>
      </c>
      <c r="E250" s="6" t="str">
        <f>IFERROR(__xludf.DUMMYFUNCTION("""COMPUTED_VALUE"""),"Atlassian,Square,Twitter,Bloomberg,Microsoft,Google")</f>
        <v>Atlassian,Square,Twitter,Bloomberg,Microsoft,Google</v>
      </c>
      <c r="F250" s="6"/>
      <c r="G250" s="6" t="str">
        <f>IFERROR(__xludf.DUMMYFUNCTION("""COMPUTED_VALUE"""),"Google,Microsoft")</f>
        <v>Google,Microsoft</v>
      </c>
      <c r="H250" s="6" t="str">
        <f>IFERROR(__xludf.DUMMYFUNCTION("""COMPUTED_VALUE"""),"Square,Atlassian,Google,Microsoft")</f>
        <v>Square,Atlassian,Google,Microsoft</v>
      </c>
      <c r="I250" s="6">
        <f>IFERROR(__xludf.DUMMYFUNCTION("""COMPUTED_VALUE"""),32.87)</f>
        <v>32.87</v>
      </c>
      <c r="J250" s="6" t="str">
        <f>IFERROR(__xludf.DUMMYFUNCTION("""COMPUTED_VALUE"""),"算法")</f>
        <v>算法</v>
      </c>
    </row>
    <row r="251">
      <c r="A251" s="6">
        <f>IFERROR(__xludf.DUMMYFUNCTION("""COMPUTED_VALUE"""),272.0)</f>
        <v>272</v>
      </c>
      <c r="B251" s="53" t="str">
        <f>IFERROR(__xludf.DUMMYFUNCTION("""COMPUTED_VALUE"""),"Closest Binary Search Tree Value II")</f>
        <v>Closest Binary Search Tree Value II</v>
      </c>
      <c r="C251" s="6" t="str">
        <f>IFERROR(__xludf.DUMMYFUNCTION("""COMPUTED_VALUE"""),"Hard")</f>
        <v>Hard</v>
      </c>
      <c r="D251" s="6" t="str">
        <f>IFERROR(__xludf.DUMMYFUNCTION("""COMPUTED_VALUE"""),"Tree,Stack")</f>
        <v>Tree,Stack</v>
      </c>
      <c r="E251" s="6" t="str">
        <f>IFERROR(__xludf.DUMMYFUNCTION("""COMPUTED_VALUE"""),"Oracle,ForUsAll,Facebook,Amazon,LinkedIn,Google")</f>
        <v>Oracle,ForUsAll,Facebook,Amazon,LinkedIn,Google</v>
      </c>
      <c r="F251" s="6" t="str">
        <f>IFERROR(__xludf.DUMMYFUNCTION("""COMPUTED_VALUE"""),"LinkedIn,Oracle")</f>
        <v>LinkedIn,Oracle</v>
      </c>
      <c r="G251" s="6" t="str">
        <f>IFERROR(__xludf.DUMMYFUNCTION("""COMPUTED_VALUE"""),"Facebook,LinkedIn,Oracle")</f>
        <v>Facebook,LinkedIn,Oracle</v>
      </c>
      <c r="H251" s="6" t="str">
        <f>IFERROR(__xludf.DUMMYFUNCTION("""COMPUTED_VALUE"""),"Amazon,Google,Facebook,LinkedIn,Oracle")</f>
        <v>Amazon,Google,Facebook,LinkedIn,Oracle</v>
      </c>
      <c r="I251" s="6">
        <f>IFERROR(__xludf.DUMMYFUNCTION("""COMPUTED_VALUE"""),52.47)</f>
        <v>52.47</v>
      </c>
      <c r="J251" s="6" t="str">
        <f>IFERROR(__xludf.DUMMYFUNCTION("""COMPUTED_VALUE"""),"算法")</f>
        <v>算法</v>
      </c>
    </row>
    <row r="252">
      <c r="A252" s="6">
        <f>IFERROR(__xludf.DUMMYFUNCTION("""COMPUTED_VALUE"""),273.0)</f>
        <v>273</v>
      </c>
      <c r="B252" s="53" t="str">
        <f>IFERROR(__xludf.DUMMYFUNCTION("""COMPUTED_VALUE"""),"Integer to English Words")</f>
        <v>Integer to English Words</v>
      </c>
      <c r="C252" s="6" t="str">
        <f>IFERROR(__xludf.DUMMYFUNCTION("""COMPUTED_VALUE"""),"Hard")</f>
        <v>Hard</v>
      </c>
      <c r="D252" s="6" t="str">
        <f>IFERROR(__xludf.DUMMYFUNCTION("""COMPUTED_VALUE"""),"String,Math")</f>
        <v>String,Math</v>
      </c>
      <c r="E252" s="6" t="str">
        <f>IFERROR(__xludf.DUMMYFUNCTION("""COMPUTED_VALUE"""),"Netflix,Adobe,Tesla,Nutanix,Square,Palantir Technologies,Citrix,Barclays,Coupang,Splunk,Capital One,Tableau,Visa,Walmart Labs,JPMorgan,Zillow,Paypal,Yelp,Oracle,Apple,Uber,Yahoo,SAP,Bloomberg,Facebook,Amazon,LinkedIn,Microsoft,Google")</f>
        <v>Netflix,Adobe,Tesla,Nutanix,Square,Palantir Technologies,Citrix,Barclays,Coupang,Splunk,Capital One,Tableau,Visa,Walmart Labs,JPMorgan,Zillow,Paypal,Yelp,Oracle,Apple,Uber,Yahoo,SAP,Bloomberg,Facebook,Amazon,LinkedIn,Microsoft,Google</v>
      </c>
      <c r="F252" s="6" t="str">
        <f>IFERROR(__xludf.DUMMYFUNCTION("""COMPUTED_VALUE"""),"Facebook,Amazon,Microsoft,Palantir Technologies,Apple,Oracle,Square,Netflix")</f>
        <v>Facebook,Amazon,Microsoft,Palantir Technologies,Apple,Oracle,Square,Netflix</v>
      </c>
      <c r="G252" s="6" t="str">
        <f>IFERROR(__xludf.DUMMYFUNCTION("""COMPUTED_VALUE"""),"Uber,Adobe,Bloomberg,Facebook,Amazon,Microsoft,Palantir Technologies,Apple,Oracle,Square,Netflix")</f>
        <v>Uber,Adobe,Bloomberg,Facebook,Amazon,Microsoft,Palantir Technologies,Apple,Oracle,Square,Netflix</v>
      </c>
      <c r="H252" s="6" t="str">
        <f>IFERROR(__xludf.DUMMYFUNCTION("""COMPUTED_VALUE"""),"LinkedIn,Google,Zillow,Nutanix,Splunk,Walmart Labs,Yahoo,Tesla,Uber,Adobe,Bloomberg,Facebook,Amazon,Microsoft,Palantir Technologies,Apple,Oracle,Square,Netflix")</f>
        <v>LinkedIn,Google,Zillow,Nutanix,Splunk,Walmart Labs,Yahoo,Tesla,Uber,Adobe,Bloomberg,Facebook,Amazon,Microsoft,Palantir Technologies,Apple,Oracle,Square,Netflix</v>
      </c>
      <c r="I252" s="6">
        <f>IFERROR(__xludf.DUMMYFUNCTION("""COMPUTED_VALUE"""),28.18)</f>
        <v>28.18</v>
      </c>
      <c r="J252" s="6" t="str">
        <f>IFERROR(__xludf.DUMMYFUNCTION("""COMPUTED_VALUE"""),"算法")</f>
        <v>算法</v>
      </c>
    </row>
    <row r="253">
      <c r="A253" s="6">
        <f>IFERROR(__xludf.DUMMYFUNCTION("""COMPUTED_VALUE"""),274.0)</f>
        <v>274</v>
      </c>
      <c r="B253" s="53" t="str">
        <f>IFERROR(__xludf.DUMMYFUNCTION("""COMPUTED_VALUE"""),"H-Index")</f>
        <v>H-Index</v>
      </c>
      <c r="C253" s="6" t="str">
        <f>IFERROR(__xludf.DUMMYFUNCTION("""COMPUTED_VALUE"""),"Medium")</f>
        <v>Medium</v>
      </c>
      <c r="D253" s="6" t="str">
        <f>IFERROR(__xludf.DUMMYFUNCTION("""COMPUTED_VALUE"""),"Sort,Hash Table")</f>
        <v>Sort,Hash Table</v>
      </c>
      <c r="E253" s="6" t="str">
        <f>IFERROR(__xludf.DUMMYFUNCTION("""COMPUTED_VALUE"""),"Walmart Labs,Nvidia,Amazon,Goldman Sachs,TripAdvisor,Yahoo,Bloomberg,Adobe,Facebook,Google")</f>
        <v>Walmart Labs,Nvidia,Amazon,Goldman Sachs,TripAdvisor,Yahoo,Bloomberg,Adobe,Facebook,Google</v>
      </c>
      <c r="F253" s="6" t="str">
        <f>IFERROR(__xludf.DUMMYFUNCTION("""COMPUTED_VALUE"""),"Nvidia,Goldman Sachs")</f>
        <v>Nvidia,Goldman Sachs</v>
      </c>
      <c r="G253" s="6" t="str">
        <f>IFERROR(__xludf.DUMMYFUNCTION("""COMPUTED_VALUE"""),"Google,Nvidia,Goldman Sachs")</f>
        <v>Google,Nvidia,Goldman Sachs</v>
      </c>
      <c r="H253" s="6" t="str">
        <f>IFERROR(__xludf.DUMMYFUNCTION("""COMPUTED_VALUE"""),"Adobe,TripAdvisor,Amazon,Facebook,Bloomberg,Walmart Labs,Google,Nvidia,Goldman Sachs")</f>
        <v>Adobe,TripAdvisor,Amazon,Facebook,Bloomberg,Walmart Labs,Google,Nvidia,Goldman Sachs</v>
      </c>
      <c r="I253" s="6">
        <f>IFERROR(__xludf.DUMMYFUNCTION("""COMPUTED_VALUE"""),36.37)</f>
        <v>36.37</v>
      </c>
      <c r="J253" s="6" t="str">
        <f>IFERROR(__xludf.DUMMYFUNCTION("""COMPUTED_VALUE"""),"算法")</f>
        <v>算法</v>
      </c>
    </row>
    <row r="254">
      <c r="A254" s="6">
        <f>IFERROR(__xludf.DUMMYFUNCTION("""COMPUTED_VALUE"""),276.0)</f>
        <v>276</v>
      </c>
      <c r="B254" s="53" t="str">
        <f>IFERROR(__xludf.DUMMYFUNCTION("""COMPUTED_VALUE"""),"Paint Fence")</f>
        <v>Paint Fence</v>
      </c>
      <c r="C254" s="6" t="str">
        <f>IFERROR(__xludf.DUMMYFUNCTION("""COMPUTED_VALUE"""),"Medium")</f>
        <v>Medium</v>
      </c>
      <c r="D254" s="6" t="str">
        <f>IFERROR(__xludf.DUMMYFUNCTION("""COMPUTED_VALUE"""),"Dynamic Programming")</f>
        <v>Dynamic Programming</v>
      </c>
      <c r="E254" s="6" t="str">
        <f>IFERROR(__xludf.DUMMYFUNCTION("""COMPUTED_VALUE"""),"JPMorgan,Expedia,Google")</f>
        <v>JPMorgan,Expedia,Google</v>
      </c>
      <c r="F254" s="6"/>
      <c r="G254" s="6" t="str">
        <f>IFERROR(__xludf.DUMMYFUNCTION("""COMPUTED_VALUE"""),"Google,JPMorgan")</f>
        <v>Google,JPMorgan</v>
      </c>
      <c r="H254" s="6" t="str">
        <f>IFERROR(__xludf.DUMMYFUNCTION("""COMPUTED_VALUE"""),"Expedia,Google,JPMorgan")</f>
        <v>Expedia,Google,JPMorgan</v>
      </c>
      <c r="I254" s="6">
        <f>IFERROR(__xludf.DUMMYFUNCTION("""COMPUTED_VALUE"""),39.11)</f>
        <v>39.11</v>
      </c>
      <c r="J254" s="6" t="str">
        <f>IFERROR(__xludf.DUMMYFUNCTION("""COMPUTED_VALUE"""),"算法")</f>
        <v>算法</v>
      </c>
    </row>
    <row r="255">
      <c r="A255" s="6">
        <f>IFERROR(__xludf.DUMMYFUNCTION("""COMPUTED_VALUE"""),277.0)</f>
        <v>277</v>
      </c>
      <c r="B255" s="53" t="str">
        <f>IFERROR(__xludf.DUMMYFUNCTION("""COMPUTED_VALUE"""),"Find the Celebrity")</f>
        <v>Find the Celebrity</v>
      </c>
      <c r="C255" s="6" t="str">
        <f>IFERROR(__xludf.DUMMYFUNCTION("""COMPUTED_VALUE"""),"Medium")</f>
        <v>Medium</v>
      </c>
      <c r="D255" s="6" t="str">
        <f>IFERROR(__xludf.DUMMYFUNCTION("""COMPUTED_VALUE"""),"Array")</f>
        <v>Array</v>
      </c>
      <c r="E255" s="6" t="str">
        <f>IFERROR(__xludf.DUMMYFUNCTION("""COMPUTED_VALUE"""),"Snapchat,Nvidia,Square,Pinterest,Palantir Technologies,VMware,Apple,Uber,Facebook,Amazon,LinkedIn,Microsoft,Google")</f>
        <v>Snapchat,Nvidia,Square,Pinterest,Palantir Technologies,VMware,Apple,Uber,Facebook,Amazon,LinkedIn,Microsoft,Google</v>
      </c>
      <c r="F255" s="6" t="str">
        <f>IFERROR(__xludf.DUMMYFUNCTION("""COMPUTED_VALUE"""),"Microsoft,Amazon,Facebook,Apple,LinkedIn,Snapchat")</f>
        <v>Microsoft,Amazon,Facebook,Apple,LinkedIn,Snapchat</v>
      </c>
      <c r="G255" s="6" t="str">
        <f>IFERROR(__xludf.DUMMYFUNCTION("""COMPUTED_VALUE"""),"VMware,Nvidia,Microsoft,Amazon,Facebook,Apple,LinkedIn,Snapchat")</f>
        <v>VMware,Nvidia,Microsoft,Amazon,Facebook,Apple,LinkedIn,Snapchat</v>
      </c>
      <c r="H255" s="6" t="str">
        <f>IFERROR(__xludf.DUMMYFUNCTION("""COMPUTED_VALUE"""),"Pinterest,Palantir Technologies,Google,Uber,VMware,Nvidia,Microsoft,Amazon,Facebook,Apple,LinkedIn,Snapchat")</f>
        <v>Pinterest,Palantir Technologies,Google,Uber,VMware,Nvidia,Microsoft,Amazon,Facebook,Apple,LinkedIn,Snapchat</v>
      </c>
      <c r="I255" s="6">
        <f>IFERROR(__xludf.DUMMYFUNCTION("""COMPUTED_VALUE"""),43.85)</f>
        <v>43.85</v>
      </c>
      <c r="J255" s="6" t="str">
        <f>IFERROR(__xludf.DUMMYFUNCTION("""COMPUTED_VALUE"""),"算法")</f>
        <v>算法</v>
      </c>
    </row>
    <row r="256">
      <c r="A256" s="6">
        <f>IFERROR(__xludf.DUMMYFUNCTION("""COMPUTED_VALUE"""),278.0)</f>
        <v>278</v>
      </c>
      <c r="B256" s="53" t="str">
        <f>IFERROR(__xludf.DUMMYFUNCTION("""COMPUTED_VALUE"""),"First Bad Version")</f>
        <v>First Bad Version</v>
      </c>
      <c r="C256" s="6" t="str">
        <f>IFERROR(__xludf.DUMMYFUNCTION("""COMPUTED_VALUE"""),"Easy")</f>
        <v>Easy</v>
      </c>
      <c r="D256" s="6" t="str">
        <f>IFERROR(__xludf.DUMMYFUNCTION("""COMPUTED_VALUE"""),"Binary Search")</f>
        <v>Binary Search</v>
      </c>
      <c r="E256" s="6" t="str">
        <f>IFERROR(__xludf.DUMMYFUNCTION("""COMPUTED_VALUE"""),"Salesforce,Cisco,EBay,Uber,Bloomberg,Adobe,Facebook,Amazon,Microsoft,Google")</f>
        <v>Salesforce,Cisco,EBay,Uber,Bloomberg,Adobe,Facebook,Amazon,Microsoft,Google</v>
      </c>
      <c r="F256" s="6" t="str">
        <f>IFERROR(__xludf.DUMMYFUNCTION("""COMPUTED_VALUE"""),"Facebook")</f>
        <v>Facebook</v>
      </c>
      <c r="G256" s="6" t="str">
        <f>IFERROR(__xludf.DUMMYFUNCTION("""COMPUTED_VALUE"""),"Google,eBay,Amazon,Adobe,Salesforce,Cisco,Facebook")</f>
        <v>Google,eBay,Amazon,Adobe,Salesforce,Cisco,Facebook</v>
      </c>
      <c r="H256" s="6" t="str">
        <f>IFERROR(__xludf.DUMMYFUNCTION("""COMPUTED_VALUE"""),"Microsoft,Google,eBay,Amazon,Adobe,Salesforce,Cisco,Facebook")</f>
        <v>Microsoft,Google,eBay,Amazon,Adobe,Salesforce,Cisco,Facebook</v>
      </c>
      <c r="I256" s="6">
        <f>IFERROR(__xludf.DUMMYFUNCTION("""COMPUTED_VALUE"""),37.61)</f>
        <v>37.61</v>
      </c>
      <c r="J256" s="6" t="str">
        <f>IFERROR(__xludf.DUMMYFUNCTION("""COMPUTED_VALUE"""),"算法")</f>
        <v>算法</v>
      </c>
    </row>
    <row r="257">
      <c r="A257" s="6">
        <f>IFERROR(__xludf.DUMMYFUNCTION("""COMPUTED_VALUE"""),279.0)</f>
        <v>279</v>
      </c>
      <c r="B257" s="53" t="str">
        <f>IFERROR(__xludf.DUMMYFUNCTION("""COMPUTED_VALUE"""),"Perfect Squares")</f>
        <v>Perfect Squares</v>
      </c>
      <c r="C257" s="6" t="str">
        <f>IFERROR(__xludf.DUMMYFUNCTION("""COMPUTED_VALUE"""),"Medium")</f>
        <v>Medium</v>
      </c>
      <c r="D257" s="6" t="str">
        <f>IFERROR(__xludf.DUMMYFUNCTION("""COMPUTED_VALUE"""),"Breadth First Search,Dynamic Programming,Math")</f>
        <v>Breadth First Search,Dynamic Programming,Math</v>
      </c>
      <c r="E257" s="6" t="str">
        <f>IFERROR(__xludf.DUMMYFUNCTION("""COMPUTED_VALUE"""),"GoDaddy,Lyft,Cisco,Yandex,EBay,Apple,Uber,Adobe,Facebook,Amazon,LinkedIn,Microsoft,Google")</f>
        <v>GoDaddy,Lyft,Cisco,Yandex,EBay,Apple,Uber,Adobe,Facebook,Amazon,LinkedIn,Microsoft,Google</v>
      </c>
      <c r="F257" s="6" t="str">
        <f>IFERROR(__xludf.DUMMYFUNCTION("""COMPUTED_VALUE"""),"Amazon,Google,Adobe")</f>
        <v>Amazon,Google,Adobe</v>
      </c>
      <c r="G257" s="6" t="str">
        <f>IFERROR(__xludf.DUMMYFUNCTION("""COMPUTED_VALUE"""),"Apple,Yandex,Amazon,Google,Adobe")</f>
        <v>Apple,Yandex,Amazon,Google,Adobe</v>
      </c>
      <c r="H257" s="6" t="str">
        <f>IFERROR(__xludf.DUMMYFUNCTION("""COMPUTED_VALUE"""),"Uber,Lyft,Microsoft,LinkedIn,Cisco,Apple,Yandex,Amazon,Google,Adobe")</f>
        <v>Uber,Lyft,Microsoft,LinkedIn,Cisco,Apple,Yandex,Amazon,Google,Adobe</v>
      </c>
      <c r="I257" s="6">
        <f>IFERROR(__xludf.DUMMYFUNCTION("""COMPUTED_VALUE"""),49.06)</f>
        <v>49.06</v>
      </c>
      <c r="J257" s="6" t="str">
        <f>IFERROR(__xludf.DUMMYFUNCTION("""COMPUTED_VALUE"""),"算法")</f>
        <v>算法</v>
      </c>
    </row>
    <row r="258">
      <c r="A258" s="6">
        <f>IFERROR(__xludf.DUMMYFUNCTION("""COMPUTED_VALUE"""),280.0)</f>
        <v>280</v>
      </c>
      <c r="B258" s="53" t="str">
        <f>IFERROR(__xludf.DUMMYFUNCTION("""COMPUTED_VALUE"""),"Wiggle Sort")</f>
        <v>Wiggle Sort</v>
      </c>
      <c r="C258" s="6" t="str">
        <f>IFERROR(__xludf.DUMMYFUNCTION("""COMPUTED_VALUE"""),"Medium")</f>
        <v>Medium</v>
      </c>
      <c r="D258" s="6" t="str">
        <f>IFERROR(__xludf.DUMMYFUNCTION("""COMPUTED_VALUE"""),"Sort,Array")</f>
        <v>Sort,Array</v>
      </c>
      <c r="E258" s="6" t="str">
        <f>IFERROR(__xludf.DUMMYFUNCTION("""COMPUTED_VALUE"""),"Airbnb,Facebook,Amazon,Microsoft,Google")</f>
        <v>Airbnb,Facebook,Amazon,Microsoft,Google</v>
      </c>
      <c r="F258" s="6"/>
      <c r="G258" s="6" t="str">
        <f>IFERROR(__xludf.DUMMYFUNCTION("""COMPUTED_VALUE"""),"Google,Facebook")</f>
        <v>Google,Facebook</v>
      </c>
      <c r="H258" s="6" t="str">
        <f>IFERROR(__xludf.DUMMYFUNCTION("""COMPUTED_VALUE"""),"Airbnb,Amazon,Google,Facebook")</f>
        <v>Airbnb,Amazon,Google,Facebook</v>
      </c>
      <c r="I258" s="6">
        <f>IFERROR(__xludf.DUMMYFUNCTION("""COMPUTED_VALUE"""),64.72)</f>
        <v>64.72</v>
      </c>
      <c r="J258" s="6" t="str">
        <f>IFERROR(__xludf.DUMMYFUNCTION("""COMPUTED_VALUE"""),"算法")</f>
        <v>算法</v>
      </c>
    </row>
    <row r="259">
      <c r="A259" s="6">
        <f>IFERROR(__xludf.DUMMYFUNCTION("""COMPUTED_VALUE"""),281.0)</f>
        <v>281</v>
      </c>
      <c r="B259" s="53" t="str">
        <f>IFERROR(__xludf.DUMMYFUNCTION("""COMPUTED_VALUE"""),"Zigzag Iterator")</f>
        <v>Zigzag Iterator</v>
      </c>
      <c r="C259" s="6" t="str">
        <f>IFERROR(__xludf.DUMMYFUNCTION("""COMPUTED_VALUE"""),"Medium")</f>
        <v>Medium</v>
      </c>
      <c r="D259" s="6" t="str">
        <f>IFERROR(__xludf.DUMMYFUNCTION("""COMPUTED_VALUE"""),"Design")</f>
        <v>Design</v>
      </c>
      <c r="E259" s="6" t="str">
        <f>IFERROR(__xludf.DUMMYFUNCTION("""COMPUTED_VALUE"""),"Cruise Automation,Yandex,Apple,Facebook,Amazon,Microsoft,Google")</f>
        <v>Cruise Automation,Yandex,Apple,Facebook,Amazon,Microsoft,Google</v>
      </c>
      <c r="F259" s="6" t="str">
        <f>IFERROR(__xludf.DUMMYFUNCTION("""COMPUTED_VALUE"""),"Yandex")</f>
        <v>Yandex</v>
      </c>
      <c r="G259" s="6" t="str">
        <f>IFERROR(__xludf.DUMMYFUNCTION("""COMPUTED_VALUE"""),"Apple,Yandex")</f>
        <v>Apple,Yandex</v>
      </c>
      <c r="H259" s="6" t="str">
        <f>IFERROR(__xludf.DUMMYFUNCTION("""COMPUTED_VALUE"""),"Microsoft,Google,Apple,Yandex")</f>
        <v>Microsoft,Google,Apple,Yandex</v>
      </c>
      <c r="I259" s="6">
        <f>IFERROR(__xludf.DUMMYFUNCTION("""COMPUTED_VALUE"""),59.51)</f>
        <v>59.51</v>
      </c>
      <c r="J259" s="6" t="str">
        <f>IFERROR(__xludf.DUMMYFUNCTION("""COMPUTED_VALUE"""),"算法")</f>
        <v>算法</v>
      </c>
    </row>
    <row r="260">
      <c r="A260" s="6">
        <f>IFERROR(__xludf.DUMMYFUNCTION("""COMPUTED_VALUE"""),282.0)</f>
        <v>282</v>
      </c>
      <c r="B260" s="53" t="str">
        <f>IFERROR(__xludf.DUMMYFUNCTION("""COMPUTED_VALUE"""),"Expression Add Operators")</f>
        <v>Expression Add Operators</v>
      </c>
      <c r="C260" s="6" t="str">
        <f>IFERROR(__xludf.DUMMYFUNCTION("""COMPUTED_VALUE"""),"Hard")</f>
        <v>Hard</v>
      </c>
      <c r="D260" s="6" t="str">
        <f>IFERROR(__xludf.DUMMYFUNCTION("""COMPUTED_VALUE"""),"Divide and Conquer")</f>
        <v>Divide and Conquer</v>
      </c>
      <c r="E260" s="6" t="str">
        <f>IFERROR(__xludf.DUMMYFUNCTION("""COMPUTED_VALUE"""),"Jane Street,Wish,Citadel,Amazon,ByteDance,Snapchat,Apple,Uber,Facebook,LinkedIn,Microsoft,Google")</f>
        <v>Jane Street,Wish,Citadel,Amazon,ByteDance,Snapchat,Apple,Uber,Facebook,LinkedIn,Microsoft,Google</v>
      </c>
      <c r="F260" s="6" t="str">
        <f>IFERROR(__xludf.DUMMYFUNCTION("""COMPUTED_VALUE"""),"Facebook,Citadel")</f>
        <v>Facebook,Citadel</v>
      </c>
      <c r="G260" s="6" t="str">
        <f>IFERROR(__xludf.DUMMYFUNCTION("""COMPUTED_VALUE"""),"Uber,ByteDance,Microsoft,Google,Jane Street,Amazon,Wish,Facebook,Citadel")</f>
        <v>Uber,ByteDance,Microsoft,Google,Jane Street,Amazon,Wish,Facebook,Citadel</v>
      </c>
      <c r="H260" s="6" t="str">
        <f>IFERROR(__xludf.DUMMYFUNCTION("""COMPUTED_VALUE"""),"Snapchat,Uber,ByteDance,Microsoft,Google,Jane Street,Amazon,Wish,Facebook,Citadel")</f>
        <v>Snapchat,Uber,ByteDance,Microsoft,Google,Jane Street,Amazon,Wish,Facebook,Citadel</v>
      </c>
      <c r="I260" s="6">
        <f>IFERROR(__xludf.DUMMYFUNCTION("""COMPUTED_VALUE"""),36.84)</f>
        <v>36.84</v>
      </c>
      <c r="J260" s="6" t="str">
        <f>IFERROR(__xludf.DUMMYFUNCTION("""COMPUTED_VALUE"""),"算法")</f>
        <v>算法</v>
      </c>
    </row>
    <row r="261">
      <c r="A261" s="6">
        <f>IFERROR(__xludf.DUMMYFUNCTION("""COMPUTED_VALUE"""),283.0)</f>
        <v>283</v>
      </c>
      <c r="B261" s="53" t="str">
        <f>IFERROR(__xludf.DUMMYFUNCTION("""COMPUTED_VALUE"""),"Move Zeroes")</f>
        <v>Move Zeroes</v>
      </c>
      <c r="C261" s="6" t="str">
        <f>IFERROR(__xludf.DUMMYFUNCTION("""COMPUTED_VALUE"""),"Easy")</f>
        <v>Easy</v>
      </c>
      <c r="D261" s="6" t="str">
        <f>IFERROR(__xludf.DUMMYFUNCTION("""COMPUTED_VALUE"""),"Two Pointers,Array")</f>
        <v>Two Pointers,Array</v>
      </c>
      <c r="E261" s="6" t="str">
        <f>IFERROR(__xludf.DUMMYFUNCTION("""COMPUTED_VALUE"""),"Tesla,Capital One,Splunk,ByteDance,ServiceNow,IBM,Cisco,Cohesity,Nutanix,Dell,Qualcomm,Walmart Labs,Zillow,Paypal,Oracle,Lyft,Yandex,EBay,Apple,Uber,Yahoo,SAP,Bloomberg,Adobe,Facebook,Amazon,Microsoft,Goldman Sachs,Google")</f>
        <v>Tesla,Capital One,Splunk,ByteDance,ServiceNow,IBM,Cisco,Cohesity,Nutanix,Dell,Qualcomm,Walmart Labs,Zillow,Paypal,Oracle,Lyft,Yandex,EBay,Apple,Uber,Yahoo,SAP,Bloomberg,Adobe,Facebook,Amazon,Microsoft,Goldman Sachs,Google</v>
      </c>
      <c r="F261" s="6" t="str">
        <f>IFERROR(__xludf.DUMMYFUNCTION("""COMPUTED_VALUE"""),"Facebook,Bloomberg,Capital One,Microsoft,Apple,Adobe,Amazon,eBay,SAP,Uber,Cisco,Oracle,Qualcomm,Yandex")</f>
        <v>Facebook,Bloomberg,Capital One,Microsoft,Apple,Adobe,Amazon,eBay,SAP,Uber,Cisco,Oracle,Qualcomm,Yandex</v>
      </c>
      <c r="G261" s="6" t="str">
        <f>IFERROR(__xludf.DUMMYFUNCTION("""COMPUTED_VALUE"""),"Google,Walmart Labs,ByteDance,IBM,Paypal,Goldman Sachs,Tesla,Facebook,Bloomberg,Capital One,Microsoft,Apple,Adobe,Amazon,eBay,SAP,Uber,Cisco,Oracle,Qualcomm,Yandex")</f>
        <v>Google,Walmart Labs,ByteDance,IBM,Paypal,Goldman Sachs,Tesla,Facebook,Bloomberg,Capital One,Microsoft,Apple,Adobe,Amazon,eBay,SAP,Uber,Cisco,Oracle,Qualcomm,Yandex</v>
      </c>
      <c r="H261" s="6" t="str">
        <f>IFERROR(__xludf.DUMMYFUNCTION("""COMPUTED_VALUE"""),"Yahoo,Zillow,Nutanix,ServiceNow,Dell,Splunk,Google,Walmart Labs,ByteDance,IBM,Paypal,Goldman Sachs,Tesla,Facebook,Bloomberg,Capital One,Microsoft,Apple,Adobe,Amazon,eBay,SAP,Uber,Cisco,Oracle,Qualcomm,Yandex")</f>
        <v>Yahoo,Zillow,Nutanix,ServiceNow,Dell,Splunk,Google,Walmart Labs,ByteDance,IBM,Paypal,Goldman Sachs,Tesla,Facebook,Bloomberg,Capital One,Microsoft,Apple,Adobe,Amazon,eBay,SAP,Uber,Cisco,Oracle,Qualcomm,Yandex</v>
      </c>
      <c r="I261" s="6">
        <f>IFERROR(__xludf.DUMMYFUNCTION("""COMPUTED_VALUE"""),58.62)</f>
        <v>58.62</v>
      </c>
      <c r="J261" s="6" t="str">
        <f>IFERROR(__xludf.DUMMYFUNCTION("""COMPUTED_VALUE"""),"算法")</f>
        <v>算法</v>
      </c>
    </row>
    <row r="262">
      <c r="A262" s="6">
        <f>IFERROR(__xludf.DUMMYFUNCTION("""COMPUTED_VALUE"""),284.0)</f>
        <v>284</v>
      </c>
      <c r="B262" s="53" t="str">
        <f>IFERROR(__xludf.DUMMYFUNCTION("""COMPUTED_VALUE"""),"Peeking Iterator")</f>
        <v>Peeking Iterator</v>
      </c>
      <c r="C262" s="6" t="str">
        <f>IFERROR(__xludf.DUMMYFUNCTION("""COMPUTED_VALUE"""),"Medium")</f>
        <v>Medium</v>
      </c>
      <c r="D262" s="6" t="str">
        <f>IFERROR(__xludf.DUMMYFUNCTION("""COMPUTED_VALUE"""),"Design")</f>
        <v>Design</v>
      </c>
      <c r="E262" s="6" t="str">
        <f>IFERROR(__xludf.DUMMYFUNCTION("""COMPUTED_VALUE"""),"Atlassian,Walmart Labs,Oracle,EBay,Apple,Yahoo,Facebook,Amazon,Microsoft,Google")</f>
        <v>Atlassian,Walmart Labs,Oracle,EBay,Apple,Yahoo,Facebook,Amazon,Microsoft,Google</v>
      </c>
      <c r="F262" s="6" t="str">
        <f>IFERROR(__xludf.DUMMYFUNCTION("""COMPUTED_VALUE"""),"Google,Apple,Amazon")</f>
        <v>Google,Apple,Amazon</v>
      </c>
      <c r="G262" s="6" t="str">
        <f>IFERROR(__xludf.DUMMYFUNCTION("""COMPUTED_VALUE"""),"Facebook,eBay,Atlassian,Google,Apple,Amazon")</f>
        <v>Facebook,eBay,Atlassian,Google,Apple,Amazon</v>
      </c>
      <c r="H262" s="6" t="str">
        <f>IFERROR(__xludf.DUMMYFUNCTION("""COMPUTED_VALUE"""),"Microsoft,Oracle,Yahoo,Facebook,eBay,Atlassian,Google,Apple,Amazon")</f>
        <v>Microsoft,Oracle,Yahoo,Facebook,eBay,Atlassian,Google,Apple,Amazon</v>
      </c>
      <c r="I262" s="6">
        <f>IFERROR(__xludf.DUMMYFUNCTION("""COMPUTED_VALUE"""),50.76)</f>
        <v>50.76</v>
      </c>
      <c r="J262" s="6" t="str">
        <f>IFERROR(__xludf.DUMMYFUNCTION("""COMPUTED_VALUE"""),"算法")</f>
        <v>算法</v>
      </c>
    </row>
    <row r="263">
      <c r="A263" s="6">
        <f>IFERROR(__xludf.DUMMYFUNCTION("""COMPUTED_VALUE"""),285.0)</f>
        <v>285</v>
      </c>
      <c r="B263" s="53" t="str">
        <f>IFERROR(__xludf.DUMMYFUNCTION("""COMPUTED_VALUE"""),"Inorder Successor in BST")</f>
        <v>Inorder Successor in BST</v>
      </c>
      <c r="C263" s="6" t="str">
        <f>IFERROR(__xludf.DUMMYFUNCTION("""COMPUTED_VALUE"""),"Medium")</f>
        <v>Medium</v>
      </c>
      <c r="D263" s="6" t="str">
        <f>IFERROR(__xludf.DUMMYFUNCTION("""COMPUTED_VALUE"""),"Tree")</f>
        <v>Tree</v>
      </c>
      <c r="E263" s="6" t="str">
        <f>IFERROR(__xludf.DUMMYFUNCTION("""COMPUTED_VALUE"""),"Adobe,Quip (Salesforce),Pocket Gems,Palantir Technologies,Citadel,Zillow,Bloomberg,Facebook,Amazon,Microsoft,Google")</f>
        <v>Adobe,Quip (Salesforce),Pocket Gems,Palantir Technologies,Citadel,Zillow,Bloomberg,Facebook,Amazon,Microsoft,Google</v>
      </c>
      <c r="F263" s="6" t="str">
        <f>IFERROR(__xludf.DUMMYFUNCTION("""COMPUTED_VALUE"""),"Amazon,Microsoft")</f>
        <v>Amazon,Microsoft</v>
      </c>
      <c r="G263" s="6" t="str">
        <f>IFERROR(__xludf.DUMMYFUNCTION("""COMPUTED_VALUE"""),"Citadel,Facebook,Google,Bloomberg,Amazon,Microsoft")</f>
        <v>Citadel,Facebook,Google,Bloomberg,Amazon,Microsoft</v>
      </c>
      <c r="H263" s="6" t="str">
        <f>IFERROR(__xludf.DUMMYFUNCTION("""COMPUTED_VALUE"""),"Quip (Salesforce),Zillow,Adobe,Pocket Gems,Citadel,Facebook,Google,Bloomberg,Amazon,Microsoft")</f>
        <v>Quip (Salesforce),Zillow,Adobe,Pocket Gems,Citadel,Facebook,Google,Bloomberg,Amazon,Microsoft</v>
      </c>
      <c r="I263" s="6">
        <f>IFERROR(__xludf.DUMMYFUNCTION("""COMPUTED_VALUE"""),43.08)</f>
        <v>43.08</v>
      </c>
      <c r="J263" s="6" t="str">
        <f>IFERROR(__xludf.DUMMYFUNCTION("""COMPUTED_VALUE"""),"算法")</f>
        <v>算法</v>
      </c>
    </row>
    <row r="264">
      <c r="A264" s="6">
        <f>IFERROR(__xludf.DUMMYFUNCTION("""COMPUTED_VALUE"""),286.0)</f>
        <v>286</v>
      </c>
      <c r="B264" s="53" t="str">
        <f>IFERROR(__xludf.DUMMYFUNCTION("""COMPUTED_VALUE"""),"Walls and Gates")</f>
        <v>Walls and Gates</v>
      </c>
      <c r="C264" s="6" t="str">
        <f>IFERROR(__xludf.DUMMYFUNCTION("""COMPUTED_VALUE"""),"Medium")</f>
        <v>Medium</v>
      </c>
      <c r="D264" s="6" t="str">
        <f>IFERROR(__xludf.DUMMYFUNCTION("""COMPUTED_VALUE"""),"Breadth First Search")</f>
        <v>Breadth First Search</v>
      </c>
      <c r="E264" s="6" t="str">
        <f>IFERROR(__xludf.DUMMYFUNCTION("""COMPUTED_VALUE"""),"ByteDance,Spotify,Uber,Bloomberg,Facebook,Amazon,Microsoft,Google")</f>
        <v>ByteDance,Spotify,Uber,Bloomberg,Facebook,Amazon,Microsoft,Google</v>
      </c>
      <c r="F264" s="6" t="str">
        <f>IFERROR(__xludf.DUMMYFUNCTION("""COMPUTED_VALUE"""),"ByteDance,Facebook,Amazon,Microsoft")</f>
        <v>ByteDance,Facebook,Amazon,Microsoft</v>
      </c>
      <c r="G264" s="6" t="str">
        <f>IFERROR(__xludf.DUMMYFUNCTION("""COMPUTED_VALUE"""),"Google,Spotify,Bloomberg,ByteDance,Facebook,Amazon,Microsoft")</f>
        <v>Google,Spotify,Bloomberg,ByteDance,Facebook,Amazon,Microsoft</v>
      </c>
      <c r="H264" s="6" t="str">
        <f>IFERROR(__xludf.DUMMYFUNCTION("""COMPUTED_VALUE"""),"Uber,Google,Spotify,Bloomberg,ByteDance,Facebook,Amazon,Microsoft")</f>
        <v>Uber,Google,Spotify,Bloomberg,ByteDance,Facebook,Amazon,Microsoft</v>
      </c>
      <c r="I264" s="6">
        <f>IFERROR(__xludf.DUMMYFUNCTION("""COMPUTED_VALUE"""),56.71)</f>
        <v>56.71</v>
      </c>
      <c r="J264" s="6" t="str">
        <f>IFERROR(__xludf.DUMMYFUNCTION("""COMPUTED_VALUE"""),"算法")</f>
        <v>算法</v>
      </c>
    </row>
    <row r="265">
      <c r="A265" s="6">
        <f>IFERROR(__xludf.DUMMYFUNCTION("""COMPUTED_VALUE"""),287.0)</f>
        <v>287</v>
      </c>
      <c r="B265" s="53" t="str">
        <f>IFERROR(__xludf.DUMMYFUNCTION("""COMPUTED_VALUE"""),"Find the Duplicate Number")</f>
        <v>Find the Duplicate Number</v>
      </c>
      <c r="C265" s="6" t="str">
        <f>IFERROR(__xludf.DUMMYFUNCTION("""COMPUTED_VALUE"""),"Medium")</f>
        <v>Medium</v>
      </c>
      <c r="D265" s="6" t="str">
        <f>IFERROR(__xludf.DUMMYFUNCTION("""COMPUTED_VALUE"""),"Binary Search,Two Pointers,Array")</f>
        <v>Binary Search,Two Pointers,Array</v>
      </c>
      <c r="E265" s="6" t="str">
        <f>IFERROR(__xludf.DUMMYFUNCTION("""COMPUTED_VALUE"""),"Zynga,Nutanix,Wish,Citadel,Paypal,Yahoo,Goldman Sachs,Salesforce,VMware,Oracle,Intuit,EBay,Apple,Tencent,Morgan Stanley,Bloomberg,Adobe,Facebook,Amazon,Microsoft,Google")</f>
        <v>Zynga,Nutanix,Wish,Citadel,Paypal,Yahoo,Goldman Sachs,Salesforce,VMware,Oracle,Intuit,EBay,Apple,Tencent,Morgan Stanley,Bloomberg,Adobe,Facebook,Amazon,Microsoft,Google</v>
      </c>
      <c r="F265" s="6" t="str">
        <f>IFERROR(__xludf.DUMMYFUNCTION("""COMPUTED_VALUE"""),"Microsoft,Amazon,Apple,Google,Bloomberg,Paypal,Goldman Sachs")</f>
        <v>Microsoft,Amazon,Apple,Google,Bloomberg,Paypal,Goldman Sachs</v>
      </c>
      <c r="G265" s="6" t="str">
        <f>IFERROR(__xludf.DUMMYFUNCTION("""COMPUTED_VALUE"""),"Adobe,eBay,Zynga,Microsoft,Amazon,Apple,Google,Bloomberg,Paypal,Goldman Sachs")</f>
        <v>Adobe,eBay,Zynga,Microsoft,Amazon,Apple,Google,Bloomberg,Paypal,Goldman Sachs</v>
      </c>
      <c r="H265" s="6" t="str">
        <f>IFERROR(__xludf.DUMMYFUNCTION("""COMPUTED_VALUE"""),"Facebook,Yahoo,Salesforce,VMware,Citadel,Intuit,Wish,Nutanix,Adobe,eBay,Zynga,Microsoft,Amazon,Apple,Google,Bloomberg,Paypal,Goldman Sachs")</f>
        <v>Facebook,Yahoo,Salesforce,VMware,Citadel,Intuit,Wish,Nutanix,Adobe,eBay,Zynga,Microsoft,Amazon,Apple,Google,Bloomberg,Paypal,Goldman Sachs</v>
      </c>
      <c r="I265" s="6">
        <f>IFERROR(__xludf.DUMMYFUNCTION("""COMPUTED_VALUE"""),57.72)</f>
        <v>57.72</v>
      </c>
      <c r="J265" s="6" t="str">
        <f>IFERROR(__xludf.DUMMYFUNCTION("""COMPUTED_VALUE"""),"算法")</f>
        <v>算法</v>
      </c>
    </row>
    <row r="266">
      <c r="A266" s="6">
        <f>IFERROR(__xludf.DUMMYFUNCTION("""COMPUTED_VALUE"""),288.0)</f>
        <v>288</v>
      </c>
      <c r="B266" s="53" t="str">
        <f>IFERROR(__xludf.DUMMYFUNCTION("""COMPUTED_VALUE"""),"Unique Word Abbreviation")</f>
        <v>Unique Word Abbreviation</v>
      </c>
      <c r="C266" s="6" t="str">
        <f>IFERROR(__xludf.DUMMYFUNCTION("""COMPUTED_VALUE"""),"Medium")</f>
        <v>Medium</v>
      </c>
      <c r="D266" s="6" t="str">
        <f>IFERROR(__xludf.DUMMYFUNCTION("""COMPUTED_VALUE"""),"Design,Hash Table")</f>
        <v>Design,Hash Table</v>
      </c>
      <c r="E266" s="6" t="str">
        <f>IFERROR(__xludf.DUMMYFUNCTION("""COMPUTED_VALUE"""),"Facebook,Google")</f>
        <v>Facebook,Google</v>
      </c>
      <c r="F266" s="6"/>
      <c r="G266" s="6" t="str">
        <f>IFERROR(__xludf.DUMMYFUNCTION("""COMPUTED_VALUE"""),"Facebook")</f>
        <v>Facebook</v>
      </c>
      <c r="H266" s="6" t="str">
        <f>IFERROR(__xludf.DUMMYFUNCTION("""COMPUTED_VALUE"""),"Google,Facebook")</f>
        <v>Google,Facebook</v>
      </c>
      <c r="I266" s="6">
        <f>IFERROR(__xludf.DUMMYFUNCTION("""COMPUTED_VALUE"""),23.14)</f>
        <v>23.14</v>
      </c>
      <c r="J266" s="6" t="str">
        <f>IFERROR(__xludf.DUMMYFUNCTION("""COMPUTED_VALUE"""),"算法")</f>
        <v>算法</v>
      </c>
    </row>
    <row r="267">
      <c r="A267" s="6">
        <f>IFERROR(__xludf.DUMMYFUNCTION("""COMPUTED_VALUE"""),289.0)</f>
        <v>289</v>
      </c>
      <c r="B267" s="53" t="str">
        <f>IFERROR(__xludf.DUMMYFUNCTION("""COMPUTED_VALUE"""),"Game of Life")</f>
        <v>Game of Life</v>
      </c>
      <c r="C267" s="6" t="str">
        <f>IFERROR(__xludf.DUMMYFUNCTION("""COMPUTED_VALUE"""),"Medium")</f>
        <v>Medium</v>
      </c>
      <c r="D267" s="6" t="str">
        <f>IFERROR(__xludf.DUMMYFUNCTION("""COMPUTED_VALUE"""),"Array")</f>
        <v>Array</v>
      </c>
      <c r="E267" s="6" t="str">
        <f>IFERROR(__xludf.DUMMYFUNCTION("""COMPUTED_VALUE"""),"Square,Adobe,Reddit,Evernote,Opendoor,Two Sigma,Booking.com,Dropbox,Snapchat,Zillow,Oracle,Uber,Bloomberg,Facebook,Amazon,Microsoft,Goldman Sachs,Google")</f>
        <v>Square,Adobe,Reddit,Evernote,Opendoor,Two Sigma,Booking.com,Dropbox,Snapchat,Zillow,Oracle,Uber,Bloomberg,Facebook,Amazon,Microsoft,Goldman Sachs,Google</v>
      </c>
      <c r="F267" s="6" t="str">
        <f>IFERROR(__xludf.DUMMYFUNCTION("""COMPUTED_VALUE"""),"Dropbox,Amazon,Reddit,Opendoor,Microsoft")</f>
        <v>Dropbox,Amazon,Reddit,Opendoor,Microsoft</v>
      </c>
      <c r="G267" s="6" t="str">
        <f>IFERROR(__xludf.DUMMYFUNCTION("""COMPUTED_VALUE"""),"Oracle,Square,Adobe,Goldman Sachs,Facebook,Dropbox,Amazon,Reddit,Opendoor,Microsoft")</f>
        <v>Oracle,Square,Adobe,Goldman Sachs,Facebook,Dropbox,Amazon,Reddit,Opendoor,Microsoft</v>
      </c>
      <c r="H267" s="6" t="str">
        <f>IFERROR(__xludf.DUMMYFUNCTION("""COMPUTED_VALUE"""),"Google,Uber,Bloomberg,Booking.com,Snapchat,Two Sigma,Oracle,Square,Adobe,Goldman Sachs,Facebook,Dropbox,Amazon,Reddit,Opendoor,Microsoft")</f>
        <v>Google,Uber,Bloomberg,Booking.com,Snapchat,Two Sigma,Oracle,Square,Adobe,Goldman Sachs,Facebook,Dropbox,Amazon,Reddit,Opendoor,Microsoft</v>
      </c>
      <c r="I267" s="6">
        <f>IFERROR(__xludf.DUMMYFUNCTION("""COMPUTED_VALUE"""),58.53)</f>
        <v>58.53</v>
      </c>
      <c r="J267" s="6" t="str">
        <f>IFERROR(__xludf.DUMMYFUNCTION("""COMPUTED_VALUE"""),"算法")</f>
        <v>算法</v>
      </c>
    </row>
    <row r="268">
      <c r="A268" s="6">
        <f>IFERROR(__xludf.DUMMYFUNCTION("""COMPUTED_VALUE"""),290.0)</f>
        <v>290</v>
      </c>
      <c r="B268" s="53" t="str">
        <f>IFERROR(__xludf.DUMMYFUNCTION("""COMPUTED_VALUE"""),"Word Pattern")</f>
        <v>Word Pattern</v>
      </c>
      <c r="C268" s="6" t="str">
        <f>IFERROR(__xludf.DUMMYFUNCTION("""COMPUTED_VALUE"""),"Easy")</f>
        <v>Easy</v>
      </c>
      <c r="D268" s="6" t="str">
        <f>IFERROR(__xludf.DUMMYFUNCTION("""COMPUTED_VALUE"""),"Hash Table")</f>
        <v>Hash Table</v>
      </c>
      <c r="E268" s="6" t="str">
        <f>IFERROR(__xludf.DUMMYFUNCTION("""COMPUTED_VALUE"""),"GoDaddy,Apple,Capital One,Dropbox,Uber,Facebook,Amazon,Microsoft,Google")</f>
        <v>GoDaddy,Apple,Capital One,Dropbox,Uber,Facebook,Amazon,Microsoft,Google</v>
      </c>
      <c r="F268" s="6" t="str">
        <f>IFERROR(__xludf.DUMMYFUNCTION("""COMPUTED_VALUE"""),"Apple")</f>
        <v>Apple</v>
      </c>
      <c r="G268" s="6" t="str">
        <f>IFERROR(__xludf.DUMMYFUNCTION("""COMPUTED_VALUE"""),"Amazon,Capital One,Apple")</f>
        <v>Amazon,Capital One,Apple</v>
      </c>
      <c r="H268" s="6" t="str">
        <f>IFERROR(__xludf.DUMMYFUNCTION("""COMPUTED_VALUE"""),"Google,Microsoft,Facebook,GoDaddy,Dropbox,Uber,Amazon,Capital One,Apple")</f>
        <v>Google,Microsoft,Facebook,GoDaddy,Dropbox,Uber,Amazon,Capital One,Apple</v>
      </c>
      <c r="I268" s="6">
        <f>IFERROR(__xludf.DUMMYFUNCTION("""COMPUTED_VALUE"""),38.4)</f>
        <v>38.4</v>
      </c>
      <c r="J268" s="6" t="str">
        <f>IFERROR(__xludf.DUMMYFUNCTION("""COMPUTED_VALUE"""),"算法")</f>
        <v>算法</v>
      </c>
    </row>
    <row r="269">
      <c r="A269" s="6">
        <f>IFERROR(__xludf.DUMMYFUNCTION("""COMPUTED_VALUE"""),292.0)</f>
        <v>292</v>
      </c>
      <c r="B269" s="53" t="str">
        <f>IFERROR(__xludf.DUMMYFUNCTION("""COMPUTED_VALUE"""),"Nim Game")</f>
        <v>Nim Game</v>
      </c>
      <c r="C269" s="6" t="str">
        <f>IFERROR(__xludf.DUMMYFUNCTION("""COMPUTED_VALUE"""),"Easy")</f>
        <v>Easy</v>
      </c>
      <c r="D269" s="6" t="str">
        <f>IFERROR(__xludf.DUMMYFUNCTION("""COMPUTED_VALUE"""),"Minimax,Brainteaser")</f>
        <v>Minimax,Brainteaser</v>
      </c>
      <c r="E269" s="6" t="str">
        <f>IFERROR(__xludf.DUMMYFUNCTION("""COMPUTED_VALUE"""),"Google,Bloomberg,Adobe")</f>
        <v>Google,Bloomberg,Adobe</v>
      </c>
      <c r="F269" s="6"/>
      <c r="G269" s="6" t="str">
        <f>IFERROR(__xludf.DUMMYFUNCTION("""COMPUTED_VALUE"""),"Bloomberg")</f>
        <v>Bloomberg</v>
      </c>
      <c r="H269" s="6" t="str">
        <f>IFERROR(__xludf.DUMMYFUNCTION("""COMPUTED_VALUE"""),"Google,Adobe,Bloomberg")</f>
        <v>Google,Adobe,Bloomberg</v>
      </c>
      <c r="I269" s="6">
        <f>IFERROR(__xludf.DUMMYFUNCTION("""COMPUTED_VALUE"""),55.12)</f>
        <v>55.12</v>
      </c>
      <c r="J269" s="6" t="str">
        <f>IFERROR(__xludf.DUMMYFUNCTION("""COMPUTED_VALUE"""),"算法")</f>
        <v>算法</v>
      </c>
    </row>
    <row r="270">
      <c r="A270" s="6">
        <f>IFERROR(__xludf.DUMMYFUNCTION("""COMPUTED_VALUE"""),293.0)</f>
        <v>293</v>
      </c>
      <c r="B270" s="53" t="str">
        <f>IFERROR(__xludf.DUMMYFUNCTION("""COMPUTED_VALUE"""),"Flip Game")</f>
        <v>Flip Game</v>
      </c>
      <c r="C270" s="6" t="str">
        <f>IFERROR(__xludf.DUMMYFUNCTION("""COMPUTED_VALUE"""),"Easy")</f>
        <v>Easy</v>
      </c>
      <c r="D270" s="6" t="str">
        <f>IFERROR(__xludf.DUMMYFUNCTION("""COMPUTED_VALUE"""),"String")</f>
        <v>String</v>
      </c>
      <c r="E270" s="6" t="str">
        <f>IFERROR(__xludf.DUMMYFUNCTION("""COMPUTED_VALUE"""),"Google")</f>
        <v>Google</v>
      </c>
      <c r="F270" s="6"/>
      <c r="G270" s="6"/>
      <c r="H270" s="6" t="str">
        <f>IFERROR(__xludf.DUMMYFUNCTION("""COMPUTED_VALUE"""),"Google")</f>
        <v>Google</v>
      </c>
      <c r="I270" s="6">
        <f>IFERROR(__xludf.DUMMYFUNCTION("""COMPUTED_VALUE"""),61.41)</f>
        <v>61.41</v>
      </c>
      <c r="J270" s="6" t="str">
        <f>IFERROR(__xludf.DUMMYFUNCTION("""COMPUTED_VALUE"""),"算法")</f>
        <v>算法</v>
      </c>
    </row>
    <row r="271">
      <c r="A271" s="6">
        <f>IFERROR(__xludf.DUMMYFUNCTION("""COMPUTED_VALUE"""),294.0)</f>
        <v>294</v>
      </c>
      <c r="B271" s="53" t="str">
        <f>IFERROR(__xludf.DUMMYFUNCTION("""COMPUTED_VALUE"""),"Flip Game II")</f>
        <v>Flip Game II</v>
      </c>
      <c r="C271" s="6" t="str">
        <f>IFERROR(__xludf.DUMMYFUNCTION("""COMPUTED_VALUE"""),"Medium")</f>
        <v>Medium</v>
      </c>
      <c r="D271" s="6" t="str">
        <f>IFERROR(__xludf.DUMMYFUNCTION("""COMPUTED_VALUE"""),"Minimax,Backtracking")</f>
        <v>Minimax,Backtracking</v>
      </c>
      <c r="E271" s="6" t="str">
        <f>IFERROR(__xludf.DUMMYFUNCTION("""COMPUTED_VALUE"""),"Google")</f>
        <v>Google</v>
      </c>
      <c r="F271" s="6"/>
      <c r="G271" s="6"/>
      <c r="H271" s="6" t="str">
        <f>IFERROR(__xludf.DUMMYFUNCTION("""COMPUTED_VALUE"""),"Google")</f>
        <v>Google</v>
      </c>
      <c r="I271" s="6">
        <f>IFERROR(__xludf.DUMMYFUNCTION("""COMPUTED_VALUE"""),50.7)</f>
        <v>50.7</v>
      </c>
      <c r="J271" s="6" t="str">
        <f>IFERROR(__xludf.DUMMYFUNCTION("""COMPUTED_VALUE"""),"算法")</f>
        <v>算法</v>
      </c>
    </row>
    <row r="272">
      <c r="A272" s="6">
        <f>IFERROR(__xludf.DUMMYFUNCTION("""COMPUTED_VALUE"""),295.0)</f>
        <v>295</v>
      </c>
      <c r="B272" s="53" t="str">
        <f>IFERROR(__xludf.DUMMYFUNCTION("""COMPUTED_VALUE"""),"Find Median from Data Stream")</f>
        <v>Find Median from Data Stream</v>
      </c>
      <c r="C272" s="6" t="str">
        <f>IFERROR(__xludf.DUMMYFUNCTION("""COMPUTED_VALUE"""),"Hard")</f>
        <v>Hard</v>
      </c>
      <c r="D272" s="6" t="str">
        <f>IFERROR(__xludf.DUMMYFUNCTION("""COMPUTED_VALUE"""),"Design,Heap")</f>
        <v>Design,Heap</v>
      </c>
      <c r="E272" s="6" t="str">
        <f>IFERROR(__xludf.DUMMYFUNCTION("""COMPUTED_VALUE"""),"Indeed,Twilio,Wish,Citadel,Walmart Labs,Zillow,Nvidia,Netflix,Pinterest,Qualtrics,Atlassian,ByteDance,Salesforce,VMware,Snapchat,Twitter,Expedia,Oracle,EBay,Apple,Uber,Yahoo,Bloomberg,Adobe,Facebook,Amazon,Microsoft,Goldman Sachs,Google")</f>
        <v>Indeed,Twilio,Wish,Citadel,Walmart Labs,Zillow,Nvidia,Netflix,Pinterest,Qualtrics,Atlassian,ByteDance,Salesforce,VMware,Snapchat,Twitter,Expedia,Oracle,EBay,Apple,Uber,Yahoo,Bloomberg,Adobe,Facebook,Amazon,Microsoft,Goldman Sachs,Google</v>
      </c>
      <c r="F272" s="6" t="str">
        <f>IFERROR(__xludf.DUMMYFUNCTION("""COMPUTED_VALUE"""),"Amazon,Facebook,Google,ByteDance,Microsoft,Apple,eBay,Bloomberg,Salesforce,Goldman Sachs,Oracle,VMware,Uber,Walmart Labs,Nvidia,Twilio")</f>
        <v>Amazon,Facebook,Google,ByteDance,Microsoft,Apple,eBay,Bloomberg,Salesforce,Goldman Sachs,Oracle,VMware,Uber,Walmart Labs,Nvidia,Twilio</v>
      </c>
      <c r="G272" s="6" t="str">
        <f>IFERROR(__xludf.DUMMYFUNCTION("""COMPUTED_VALUE"""),"Twitter,Zillow,Amazon,Facebook,Google,ByteDance,Microsoft,Apple,eBay,Bloomberg,Salesforce,Goldman Sachs,Oracle,VMware,Uber,Walmart Labs,Nvidia,Twilio")</f>
        <v>Twitter,Zillow,Amazon,Facebook,Google,ByteDance,Microsoft,Apple,eBay,Bloomberg,Salesforce,Goldman Sachs,Oracle,VMware,Uber,Walmart Labs,Nvidia,Twilio</v>
      </c>
      <c r="H272" s="6" t="str">
        <f>IFERROR(__xludf.DUMMYFUNCTION("""COMPUTED_VALUE"""),"Snapchat,Netflix,Qualtrics,Yahoo,Wish,Atlassian,Indeed,Adobe,Citadel,Twitter,Zillow,Amazon,Facebook,Google,ByteDance,Microsoft,Apple,eBay,Bloomberg,Salesforce,Goldman Sachs,Oracle,VMware,Uber,Walmart Labs,Nvidia,Twilio")</f>
        <v>Snapchat,Netflix,Qualtrics,Yahoo,Wish,Atlassian,Indeed,Adobe,Citadel,Twitter,Zillow,Amazon,Facebook,Google,ByteDance,Microsoft,Apple,eBay,Bloomberg,Salesforce,Goldman Sachs,Oracle,VMware,Uber,Walmart Labs,Nvidia,Twilio</v>
      </c>
      <c r="I272" s="6">
        <f>IFERROR(__xludf.DUMMYFUNCTION("""COMPUTED_VALUE"""),47.17)</f>
        <v>47.17</v>
      </c>
      <c r="J272" s="6" t="str">
        <f>IFERROR(__xludf.DUMMYFUNCTION("""COMPUTED_VALUE"""),"算法")</f>
        <v>算法</v>
      </c>
    </row>
    <row r="273">
      <c r="A273" s="6">
        <f>IFERROR(__xludf.DUMMYFUNCTION("""COMPUTED_VALUE"""),296.0)</f>
        <v>296</v>
      </c>
      <c r="B273" s="53" t="str">
        <f>IFERROR(__xludf.DUMMYFUNCTION("""COMPUTED_VALUE"""),"Best Meeting Point")</f>
        <v>Best Meeting Point</v>
      </c>
      <c r="C273" s="6" t="str">
        <f>IFERROR(__xludf.DUMMYFUNCTION("""COMPUTED_VALUE"""),"Hard")</f>
        <v>Hard</v>
      </c>
      <c r="D273" s="6" t="str">
        <f>IFERROR(__xludf.DUMMYFUNCTION("""COMPUTED_VALUE"""),"Sort,Math")</f>
        <v>Sort,Math</v>
      </c>
      <c r="E273" s="6" t="str">
        <f>IFERROR(__xludf.DUMMYFUNCTION("""COMPUTED_VALUE"""),"Bloomberg,Microsoft,Snapchat,Twitter,Facebook,Amazon,LinkedIn,Google")</f>
        <v>Bloomberg,Microsoft,Snapchat,Twitter,Facebook,Amazon,LinkedIn,Google</v>
      </c>
      <c r="F273" s="6" t="str">
        <f>IFERROR(__xludf.DUMMYFUNCTION("""COMPUTED_VALUE"""),"Bloomberg,Microsoft")</f>
        <v>Bloomberg,Microsoft</v>
      </c>
      <c r="G273" s="6" t="str">
        <f>IFERROR(__xludf.DUMMYFUNCTION("""COMPUTED_VALUE"""),"Google,Amazon,Bloomberg,Microsoft")</f>
        <v>Google,Amazon,Bloomberg,Microsoft</v>
      </c>
      <c r="H273" s="6" t="str">
        <f>IFERROR(__xludf.DUMMYFUNCTION("""COMPUTED_VALUE"""),"Snapchat,LinkedIn,Twitter,Google,Amazon,Bloomberg,Microsoft")</f>
        <v>Snapchat,LinkedIn,Twitter,Google,Amazon,Bloomberg,Microsoft</v>
      </c>
      <c r="I273" s="6">
        <f>IFERROR(__xludf.DUMMYFUNCTION("""COMPUTED_VALUE"""),58.14)</f>
        <v>58.14</v>
      </c>
      <c r="J273" s="6" t="str">
        <f>IFERROR(__xludf.DUMMYFUNCTION("""COMPUTED_VALUE"""),"算法")</f>
        <v>算法</v>
      </c>
    </row>
    <row r="274">
      <c r="A274" s="6">
        <f>IFERROR(__xludf.DUMMYFUNCTION("""COMPUTED_VALUE"""),297.0)</f>
        <v>297</v>
      </c>
      <c r="B274" s="53" t="str">
        <f>IFERROR(__xludf.DUMMYFUNCTION("""COMPUTED_VALUE"""),"Serialize and Deserialize Binary Tree")</f>
        <v>Serialize and Deserialize Binary Tree</v>
      </c>
      <c r="C274" s="6" t="str">
        <f>IFERROR(__xludf.DUMMYFUNCTION("""COMPUTED_VALUE"""),"Hard")</f>
        <v>Hard</v>
      </c>
      <c r="D274" s="6" t="str">
        <f>IFERROR(__xludf.DUMMYFUNCTION("""COMPUTED_VALUE"""),"Design,Tree")</f>
        <v>Design,Tree</v>
      </c>
      <c r="E274" s="6" t="str">
        <f>IFERROR(__xludf.DUMMYFUNCTION("""COMPUTED_VALUE"""),"Square,Walmart Labs,Paypal,Qualtrics,Tableau,Salesforce,Groupon,VMware,Citadel,Quora,Snapchat,Indeed,Expedia,Oracle,EBay,Apple,Uber,Yahoo,Bloomberg,Facebook,Amazon,LinkedIn,Microsoft,Google")</f>
        <v>Square,Walmart Labs,Paypal,Qualtrics,Tableau,Salesforce,Groupon,VMware,Citadel,Quora,Snapchat,Indeed,Expedia,Oracle,EBay,Apple,Uber,Yahoo,Bloomberg,Facebook,Amazon,LinkedIn,Microsoft,Google</v>
      </c>
      <c r="F274" s="6" t="str">
        <f>IFERROR(__xludf.DUMMYFUNCTION("""COMPUTED_VALUE"""),"Facebook,Amazon,Microsoft,LinkedIn,Uber,Bloomberg,eBay,Quora,Google,Oracle,Qualtrics,Citadel,Walmart Labs")</f>
        <v>Facebook,Amazon,Microsoft,LinkedIn,Uber,Bloomberg,eBay,Quora,Google,Oracle,Qualtrics,Citadel,Walmart Labs</v>
      </c>
      <c r="G274" s="6" t="str">
        <f>IFERROR(__xludf.DUMMYFUNCTION("""COMPUTED_VALUE"""),"Apple,Snapchat,VMware,Square,Facebook,Amazon,Microsoft,LinkedIn,Uber,Bloomberg,eBay,Quora,Google,Oracle,Qualtrics,Citadel,Walmart Labs")</f>
        <v>Apple,Snapchat,VMware,Square,Facebook,Amazon,Microsoft,LinkedIn,Uber,Bloomberg,eBay,Quora,Google,Oracle,Qualtrics,Citadel,Walmart Labs</v>
      </c>
      <c r="H274" s="6" t="str">
        <f>IFERROR(__xludf.DUMMYFUNCTION("""COMPUTED_VALUE"""),"Expedia,Paypal,Yahoo,Apple,Snapchat,VMware,Square,Facebook,Amazon,Microsoft,LinkedIn,Uber,Bloomberg,eBay,Quora,Google,Oracle,Qualtrics,Citadel,Walmart Labs")</f>
        <v>Expedia,Paypal,Yahoo,Apple,Snapchat,VMware,Square,Facebook,Amazon,Microsoft,LinkedIn,Uber,Bloomberg,eBay,Quora,Google,Oracle,Qualtrics,Citadel,Walmart Labs</v>
      </c>
      <c r="I274" s="6">
        <f>IFERROR(__xludf.DUMMYFUNCTION("""COMPUTED_VALUE"""),49.99)</f>
        <v>49.99</v>
      </c>
      <c r="J274" s="6" t="str">
        <f>IFERROR(__xludf.DUMMYFUNCTION("""COMPUTED_VALUE"""),"算法")</f>
        <v>算法</v>
      </c>
    </row>
    <row r="275">
      <c r="A275" s="6">
        <f>IFERROR(__xludf.DUMMYFUNCTION("""COMPUTED_VALUE"""),298.0)</f>
        <v>298</v>
      </c>
      <c r="B275" s="53" t="str">
        <f>IFERROR(__xludf.DUMMYFUNCTION("""COMPUTED_VALUE"""),"Binary Tree Longest Consecutive Sequence")</f>
        <v>Binary Tree Longest Consecutive Sequence</v>
      </c>
      <c r="C275" s="6" t="str">
        <f>IFERROR(__xludf.DUMMYFUNCTION("""COMPUTED_VALUE"""),"Medium")</f>
        <v>Medium</v>
      </c>
      <c r="D275" s="6" t="str">
        <f>IFERROR(__xludf.DUMMYFUNCTION("""COMPUTED_VALUE"""),"Tree")</f>
        <v>Tree</v>
      </c>
      <c r="E275" s="6" t="str">
        <f>IFERROR(__xludf.DUMMYFUNCTION("""COMPUTED_VALUE"""),"Uber,Facebook,Amazon,Google")</f>
        <v>Uber,Facebook,Amazon,Google</v>
      </c>
      <c r="F275" s="6" t="str">
        <f>IFERROR(__xludf.DUMMYFUNCTION("""COMPUTED_VALUE"""),"Google")</f>
        <v>Google</v>
      </c>
      <c r="G275" s="6" t="str">
        <f>IFERROR(__xludf.DUMMYFUNCTION("""COMPUTED_VALUE"""),"Amazon,Google")</f>
        <v>Amazon,Google</v>
      </c>
      <c r="H275" s="6" t="str">
        <f>IFERROR(__xludf.DUMMYFUNCTION("""COMPUTED_VALUE"""),"Facebook,Amazon,Google")</f>
        <v>Facebook,Amazon,Google</v>
      </c>
      <c r="I275" s="6">
        <f>IFERROR(__xludf.DUMMYFUNCTION("""COMPUTED_VALUE"""),48.08)</f>
        <v>48.08</v>
      </c>
      <c r="J275" s="6" t="str">
        <f>IFERROR(__xludf.DUMMYFUNCTION("""COMPUTED_VALUE"""),"算法")</f>
        <v>算法</v>
      </c>
    </row>
    <row r="276">
      <c r="A276" s="6">
        <f>IFERROR(__xludf.DUMMYFUNCTION("""COMPUTED_VALUE"""),299.0)</f>
        <v>299</v>
      </c>
      <c r="B276" s="53" t="str">
        <f>IFERROR(__xludf.DUMMYFUNCTION("""COMPUTED_VALUE"""),"Bulls and Cows")</f>
        <v>Bulls and Cows</v>
      </c>
      <c r="C276" s="6" t="str">
        <f>IFERROR(__xludf.DUMMYFUNCTION("""COMPUTED_VALUE"""),"Medium")</f>
        <v>Medium</v>
      </c>
      <c r="D276" s="6" t="str">
        <f>IFERROR(__xludf.DUMMYFUNCTION("""COMPUTED_VALUE"""),"Hash Table")</f>
        <v>Hash Table</v>
      </c>
      <c r="E276" s="6" t="str">
        <f>IFERROR(__xludf.DUMMYFUNCTION("""COMPUTED_VALUE"""),"ByteDance,EBay,Zillow,Airbnb,Uber,Amazon,Microsoft,Google")</f>
        <v>ByteDance,EBay,Zillow,Airbnb,Uber,Amazon,Microsoft,Google</v>
      </c>
      <c r="F276" s="6" t="str">
        <f>IFERROR(__xludf.DUMMYFUNCTION("""COMPUTED_VALUE"""),"Google,ByteDance")</f>
        <v>Google,ByteDance</v>
      </c>
      <c r="G276" s="6" t="str">
        <f>IFERROR(__xludf.DUMMYFUNCTION("""COMPUTED_VALUE"""),"Amazon,Microsoft,Google,ByteDance")</f>
        <v>Amazon,Microsoft,Google,ByteDance</v>
      </c>
      <c r="H276" s="6" t="str">
        <f>IFERROR(__xludf.DUMMYFUNCTION("""COMPUTED_VALUE"""),"Airbnb,eBay,Amazon,Microsoft,Google,ByteDance")</f>
        <v>Airbnb,eBay,Amazon,Microsoft,Google,ByteDance</v>
      </c>
      <c r="I276" s="6">
        <f>IFERROR(__xludf.DUMMYFUNCTION("""COMPUTED_VALUE"""),44.59)</f>
        <v>44.59</v>
      </c>
      <c r="J276" s="6" t="str">
        <f>IFERROR(__xludf.DUMMYFUNCTION("""COMPUTED_VALUE"""),"算法")</f>
        <v>算法</v>
      </c>
    </row>
    <row r="277">
      <c r="A277" s="6">
        <f>IFERROR(__xludf.DUMMYFUNCTION("""COMPUTED_VALUE"""),300.0)</f>
        <v>300</v>
      </c>
      <c r="B277" s="53" t="str">
        <f>IFERROR(__xludf.DUMMYFUNCTION("""COMPUTED_VALUE"""),"Longest Increasing Subsequence")</f>
        <v>Longest Increasing Subsequence</v>
      </c>
      <c r="C277" s="6" t="str">
        <f>IFERROR(__xludf.DUMMYFUNCTION("""COMPUTED_VALUE"""),"Medium")</f>
        <v>Medium</v>
      </c>
      <c r="D277" s="6" t="str">
        <f>IFERROR(__xludf.DUMMYFUNCTION("""COMPUTED_VALUE"""),"Dynamic Programming,Binary Search")</f>
        <v>Dynamic Programming,Binary Search</v>
      </c>
      <c r="E277" s="6" t="str">
        <f>IFERROR(__xludf.DUMMYFUNCTION("""COMPUTED_VALUE"""),"Codenation,Coupang,ByteDance,Citrix,Nagarro,IBM,Yahoo,Bloomberg,Atlassian,Salesforce,VMware,Oracle,EBay,Apple,Uber,Adobe,Facebook,Amazon,Microsoft,Google")</f>
        <v>Codenation,Coupang,ByteDance,Citrix,Nagarro,IBM,Yahoo,Bloomberg,Atlassian,Salesforce,VMware,Oracle,EBay,Apple,Uber,Adobe,Facebook,Amazon,Microsoft,Google</v>
      </c>
      <c r="F277" s="6" t="str">
        <f>IFERROR(__xludf.DUMMYFUNCTION("""COMPUTED_VALUE"""),"Apple,Amazon,Facebook,Google,Citrix,ByteDance,Microsoft,Bloomberg,Nagarro")</f>
        <v>Apple,Amazon,Facebook,Google,Citrix,ByteDance,Microsoft,Bloomberg,Nagarro</v>
      </c>
      <c r="G277" s="6" t="str">
        <f>IFERROR(__xludf.DUMMYFUNCTION("""COMPUTED_VALUE"""),"Adobe,Atlassian,Uber,eBay,Codenation,Apple,Amazon,Facebook,Google,Citrix,ByteDance,Microsoft,Bloomberg,Nagarro")</f>
        <v>Adobe,Atlassian,Uber,eBay,Codenation,Apple,Amazon,Facebook,Google,Citrix,ByteDance,Microsoft,Bloomberg,Nagarro</v>
      </c>
      <c r="H277" s="6" t="str">
        <f>IFERROR(__xludf.DUMMYFUNCTION("""COMPUTED_VALUE"""),"Oracle,Yahoo,IBM,Coupang,Adobe,Atlassian,Uber,eBay,Codenation,Apple,Amazon,Facebook,Google,Citrix,ByteDance,Microsoft,Bloomberg,Nagarro")</f>
        <v>Oracle,Yahoo,IBM,Coupang,Adobe,Atlassian,Uber,eBay,Codenation,Apple,Amazon,Facebook,Google,Citrix,ByteDance,Microsoft,Bloomberg,Nagarro</v>
      </c>
      <c r="I277" s="6">
        <f>IFERROR(__xludf.DUMMYFUNCTION("""COMPUTED_VALUE"""),44.25)</f>
        <v>44.25</v>
      </c>
      <c r="J277" s="6" t="str">
        <f>IFERROR(__xludf.DUMMYFUNCTION("""COMPUTED_VALUE"""),"算法")</f>
        <v>算法</v>
      </c>
    </row>
    <row r="278">
      <c r="A278" s="6">
        <f>IFERROR(__xludf.DUMMYFUNCTION("""COMPUTED_VALUE"""),301.0)</f>
        <v>301</v>
      </c>
      <c r="B278" s="53" t="str">
        <f>IFERROR(__xludf.DUMMYFUNCTION("""COMPUTED_VALUE"""),"Remove Invalid Parentheses")</f>
        <v>Remove Invalid Parentheses</v>
      </c>
      <c r="C278" s="6" t="str">
        <f>IFERROR(__xludf.DUMMYFUNCTION("""COMPUTED_VALUE"""),"Hard")</f>
        <v>Hard</v>
      </c>
      <c r="D278" s="6" t="str">
        <f>IFERROR(__xludf.DUMMYFUNCTION("""COMPUTED_VALUE"""),"Breadth First Search,Depth First Search")</f>
        <v>Breadth First Search,Depth First Search</v>
      </c>
      <c r="E278" s="6" t="str">
        <f>IFERROR(__xludf.DUMMYFUNCTION("""COMPUTED_VALUE"""),"Qualtrics,ByteDance,Citadel,EBay,Pony.ai,Postmates,Houzz,Apple,Uber,Bloomberg,Facebook,Amazon,Google")</f>
        <v>Qualtrics,ByteDance,Citadel,EBay,Pony.ai,Postmates,Houzz,Apple,Uber,Bloomberg,Facebook,Amazon,Google</v>
      </c>
      <c r="F278" s="6" t="str">
        <f>IFERROR(__xludf.DUMMYFUNCTION("""COMPUTED_VALUE"""),"Facebook,Bloomberg,Amazon,ByteDance,Qualtrics,Citadel")</f>
        <v>Facebook,Bloomberg,Amazon,ByteDance,Qualtrics,Citadel</v>
      </c>
      <c r="G278" s="6" t="str">
        <f>IFERROR(__xludf.DUMMYFUNCTION("""COMPUTED_VALUE"""),"Google,Postmates,eBay,Facebook,Bloomberg,Amazon,ByteDance,Qualtrics,Citadel")</f>
        <v>Google,Postmates,eBay,Facebook,Bloomberg,Amazon,ByteDance,Qualtrics,Citadel</v>
      </c>
      <c r="H278" s="6" t="str">
        <f>IFERROR(__xludf.DUMMYFUNCTION("""COMPUTED_VALUE"""),"Uber,Houzz,Google,Postmates,eBay,Facebook,Bloomberg,Amazon,ByteDance,Qualtrics,Citadel")</f>
        <v>Uber,Houzz,Google,Postmates,eBay,Facebook,Bloomberg,Amazon,ByteDance,Qualtrics,Citadel</v>
      </c>
      <c r="I278" s="6">
        <f>IFERROR(__xludf.DUMMYFUNCTION("""COMPUTED_VALUE"""),44.74)</f>
        <v>44.74</v>
      </c>
      <c r="J278" s="6" t="str">
        <f>IFERROR(__xludf.DUMMYFUNCTION("""COMPUTED_VALUE"""),"算法")</f>
        <v>算法</v>
      </c>
    </row>
    <row r="279">
      <c r="A279" s="6">
        <f>IFERROR(__xludf.DUMMYFUNCTION("""COMPUTED_VALUE"""),302.0)</f>
        <v>302</v>
      </c>
      <c r="B279" s="53" t="str">
        <f>IFERROR(__xludf.DUMMYFUNCTION("""COMPUTED_VALUE"""),"Smallest Rectangle Enclosing Black Pixels")</f>
        <v>Smallest Rectangle Enclosing Black Pixels</v>
      </c>
      <c r="C279" s="6" t="str">
        <f>IFERROR(__xludf.DUMMYFUNCTION("""COMPUTED_VALUE"""),"Hard")</f>
        <v>Hard</v>
      </c>
      <c r="D279" s="6" t="str">
        <f>IFERROR(__xludf.DUMMYFUNCTION("""COMPUTED_VALUE"""),"Binary Search")</f>
        <v>Binary Search</v>
      </c>
      <c r="E279" s="6" t="str">
        <f>IFERROR(__xludf.DUMMYFUNCTION("""COMPUTED_VALUE"""),"Google")</f>
        <v>Google</v>
      </c>
      <c r="F279" s="6"/>
      <c r="G279" s="6" t="str">
        <f>IFERROR(__xludf.DUMMYFUNCTION("""COMPUTED_VALUE"""),"Google")</f>
        <v>Google</v>
      </c>
      <c r="H279" s="6" t="str">
        <f>IFERROR(__xludf.DUMMYFUNCTION("""COMPUTED_VALUE"""),"Google")</f>
        <v>Google</v>
      </c>
      <c r="I279" s="6">
        <f>IFERROR(__xludf.DUMMYFUNCTION("""COMPUTED_VALUE"""),52.54)</f>
        <v>52.54</v>
      </c>
      <c r="J279" s="6" t="str">
        <f>IFERROR(__xludf.DUMMYFUNCTION("""COMPUTED_VALUE"""),"算法")</f>
        <v>算法</v>
      </c>
    </row>
    <row r="280">
      <c r="A280" s="6">
        <f>IFERROR(__xludf.DUMMYFUNCTION("""COMPUTED_VALUE"""),303.0)</f>
        <v>303</v>
      </c>
      <c r="B280" s="53" t="str">
        <f>IFERROR(__xludf.DUMMYFUNCTION("""COMPUTED_VALUE"""),"Range Sum Query - Immutable")</f>
        <v>Range Sum Query - Immutable</v>
      </c>
      <c r="C280" s="6" t="str">
        <f>IFERROR(__xludf.DUMMYFUNCTION("""COMPUTED_VALUE"""),"Easy")</f>
        <v>Easy</v>
      </c>
      <c r="D280" s="6" t="str">
        <f>IFERROR(__xludf.DUMMYFUNCTION("""COMPUTED_VALUE"""),"Dynamic Programming")</f>
        <v>Dynamic Programming</v>
      </c>
      <c r="E280" s="6" t="str">
        <f>IFERROR(__xludf.DUMMYFUNCTION("""COMPUTED_VALUE"""),"Adobe,Amazon,Palantir Technologies,Bloomberg,Facebook,Microsoft,Google")</f>
        <v>Adobe,Amazon,Palantir Technologies,Bloomberg,Facebook,Microsoft,Google</v>
      </c>
      <c r="F280" s="6" t="str">
        <f>IFERROR(__xludf.DUMMYFUNCTION("""COMPUTED_VALUE"""),"Google,Facebook")</f>
        <v>Google,Facebook</v>
      </c>
      <c r="G280" s="6" t="str">
        <f>IFERROR(__xludf.DUMMYFUNCTION("""COMPUTED_VALUE"""),"Adobe,Amazon,Google,Facebook")</f>
        <v>Adobe,Amazon,Google,Facebook</v>
      </c>
      <c r="H280" s="6" t="str">
        <f>IFERROR(__xludf.DUMMYFUNCTION("""COMPUTED_VALUE"""),"Bloomberg,Microsoft,Palantir Technologies,Adobe,Amazon,Google,Facebook")</f>
        <v>Bloomberg,Microsoft,Palantir Technologies,Adobe,Amazon,Google,Facebook</v>
      </c>
      <c r="I280" s="6">
        <f>IFERROR(__xludf.DUMMYFUNCTION("""COMPUTED_VALUE"""),47.92)</f>
        <v>47.92</v>
      </c>
      <c r="J280" s="6" t="str">
        <f>IFERROR(__xludf.DUMMYFUNCTION("""COMPUTED_VALUE"""),"算法")</f>
        <v>算法</v>
      </c>
    </row>
    <row r="281">
      <c r="A281" s="6">
        <f>IFERROR(__xludf.DUMMYFUNCTION("""COMPUTED_VALUE"""),304.0)</f>
        <v>304</v>
      </c>
      <c r="B281" s="53" t="str">
        <f>IFERROR(__xludf.DUMMYFUNCTION("""COMPUTED_VALUE"""),"Range Sum Query 2D - Immutable")</f>
        <v>Range Sum Query 2D - Immutable</v>
      </c>
      <c r="C281" s="6" t="str">
        <f>IFERROR(__xludf.DUMMYFUNCTION("""COMPUTED_VALUE"""),"Medium")</f>
        <v>Medium</v>
      </c>
      <c r="D281" s="6" t="str">
        <f>IFERROR(__xludf.DUMMYFUNCTION("""COMPUTED_VALUE"""),"Dynamic Programming")</f>
        <v>Dynamic Programming</v>
      </c>
      <c r="E281" s="6" t="str">
        <f>IFERROR(__xludf.DUMMYFUNCTION("""COMPUTED_VALUE"""),"Cruise Automation,Houzz,VMware,Lyft,Apple,Facebook,Amazon,Microsoft,Google")</f>
        <v>Cruise Automation,Houzz,VMware,Lyft,Apple,Facebook,Amazon,Microsoft,Google</v>
      </c>
      <c r="F281" s="6" t="str">
        <f>IFERROR(__xludf.DUMMYFUNCTION("""COMPUTED_VALUE"""),"Facebook,Google,Lyft,Amazon")</f>
        <v>Facebook,Google,Lyft,Amazon</v>
      </c>
      <c r="G281" s="6" t="str">
        <f>IFERROR(__xludf.DUMMYFUNCTION("""COMPUTED_VALUE"""),"Cruise Automation,Microsoft,Facebook,Google,Lyft,Amazon")</f>
        <v>Cruise Automation,Microsoft,Facebook,Google,Lyft,Amazon</v>
      </c>
      <c r="H281" s="6" t="str">
        <f>IFERROR(__xludf.DUMMYFUNCTION("""COMPUTED_VALUE"""),"Apple,Houzz,VMware,Cruise Automation,Microsoft,Facebook,Google,Lyft,Amazon")</f>
        <v>Apple,Houzz,VMware,Cruise Automation,Microsoft,Facebook,Google,Lyft,Amazon</v>
      </c>
      <c r="I281" s="6">
        <f>IFERROR(__xludf.DUMMYFUNCTION("""COMPUTED_VALUE"""),40.72)</f>
        <v>40.72</v>
      </c>
      <c r="J281" s="6" t="str">
        <f>IFERROR(__xludf.DUMMYFUNCTION("""COMPUTED_VALUE"""),"算法")</f>
        <v>算法</v>
      </c>
    </row>
    <row r="282">
      <c r="A282" s="6">
        <f>IFERROR(__xludf.DUMMYFUNCTION("""COMPUTED_VALUE"""),305.0)</f>
        <v>305</v>
      </c>
      <c r="B282" s="53" t="str">
        <f>IFERROR(__xludf.DUMMYFUNCTION("""COMPUTED_VALUE"""),"Number of Islands II")</f>
        <v>Number of Islands II</v>
      </c>
      <c r="C282" s="6" t="str">
        <f>IFERROR(__xludf.DUMMYFUNCTION("""COMPUTED_VALUE"""),"Hard")</f>
        <v>Hard</v>
      </c>
      <c r="D282" s="6" t="str">
        <f>IFERROR(__xludf.DUMMYFUNCTION("""COMPUTED_VALUE"""),"Union Find")</f>
        <v>Union Find</v>
      </c>
      <c r="E282" s="6" t="str">
        <f>IFERROR(__xludf.DUMMYFUNCTION("""COMPUTED_VALUE"""),"Bloomberg,Snapchat,Oracle,Uber,Facebook,Amazon,Microsoft,Google")</f>
        <v>Bloomberg,Snapchat,Oracle,Uber,Facebook,Amazon,Microsoft,Google</v>
      </c>
      <c r="F282" s="6" t="str">
        <f>IFERROR(__xludf.DUMMYFUNCTION("""COMPUTED_VALUE"""),"Amazon")</f>
        <v>Amazon</v>
      </c>
      <c r="G282" s="6" t="str">
        <f>IFERROR(__xludf.DUMMYFUNCTION("""COMPUTED_VALUE"""),"Amazon")</f>
        <v>Amazon</v>
      </c>
      <c r="H282" s="6" t="str">
        <f>IFERROR(__xludf.DUMMYFUNCTION("""COMPUTED_VALUE"""),"Uber,Facebook,Bloomberg,Microsoft,Oracle,Google,Amazon")</f>
        <v>Uber,Facebook,Bloomberg,Microsoft,Oracle,Google,Amazon</v>
      </c>
      <c r="I282" s="6">
        <f>IFERROR(__xludf.DUMMYFUNCTION("""COMPUTED_VALUE"""),39.62)</f>
        <v>39.62</v>
      </c>
      <c r="J282" s="6" t="str">
        <f>IFERROR(__xludf.DUMMYFUNCTION("""COMPUTED_VALUE"""),"算法")</f>
        <v>算法</v>
      </c>
    </row>
    <row r="283">
      <c r="A283" s="6">
        <f>IFERROR(__xludf.DUMMYFUNCTION("""COMPUTED_VALUE"""),306.0)</f>
        <v>306</v>
      </c>
      <c r="B283" s="53" t="str">
        <f>IFERROR(__xludf.DUMMYFUNCTION("""COMPUTED_VALUE"""),"Additive Number")</f>
        <v>Additive Number</v>
      </c>
      <c r="C283" s="6" t="str">
        <f>IFERROR(__xludf.DUMMYFUNCTION("""COMPUTED_VALUE"""),"Medium")</f>
        <v>Medium</v>
      </c>
      <c r="D283" s="6" t="str">
        <f>IFERROR(__xludf.DUMMYFUNCTION("""COMPUTED_VALUE"""),"Backtracking")</f>
        <v>Backtracking</v>
      </c>
      <c r="E283" s="6" t="str">
        <f>IFERROR(__xludf.DUMMYFUNCTION("""COMPUTED_VALUE"""),"Microsoft,Google,Epic Systems")</f>
        <v>Microsoft,Google,Epic Systems</v>
      </c>
      <c r="F283" s="6" t="str">
        <f>IFERROR(__xludf.DUMMYFUNCTION("""COMPUTED_VALUE"""),"Google")</f>
        <v>Google</v>
      </c>
      <c r="G283" s="6" t="str">
        <f>IFERROR(__xludf.DUMMYFUNCTION("""COMPUTED_VALUE"""),"Epic Systems,Microsoft,Google")</f>
        <v>Epic Systems,Microsoft,Google</v>
      </c>
      <c r="H283" s="6" t="str">
        <f>IFERROR(__xludf.DUMMYFUNCTION("""COMPUTED_VALUE"""),"Epic Systems,Microsoft,Google")</f>
        <v>Epic Systems,Microsoft,Google</v>
      </c>
      <c r="I283" s="6">
        <f>IFERROR(__xludf.DUMMYFUNCTION("""COMPUTED_VALUE"""),29.7)</f>
        <v>29.7</v>
      </c>
      <c r="J283" s="6" t="str">
        <f>IFERROR(__xludf.DUMMYFUNCTION("""COMPUTED_VALUE"""),"算法")</f>
        <v>算法</v>
      </c>
    </row>
    <row r="284">
      <c r="A284" s="6">
        <f>IFERROR(__xludf.DUMMYFUNCTION("""COMPUTED_VALUE"""),307.0)</f>
        <v>307</v>
      </c>
      <c r="B284" s="53" t="str">
        <f>IFERROR(__xludf.DUMMYFUNCTION("""COMPUTED_VALUE"""),"Range Sum Query - Mutable")</f>
        <v>Range Sum Query - Mutable</v>
      </c>
      <c r="C284" s="6" t="str">
        <f>IFERROR(__xludf.DUMMYFUNCTION("""COMPUTED_VALUE"""),"Medium")</f>
        <v>Medium</v>
      </c>
      <c r="D284" s="6" t="str">
        <f>IFERROR(__xludf.DUMMYFUNCTION("""COMPUTED_VALUE"""),"Segment Tree,Binary Indexed Tree")</f>
        <v>Segment Tree,Binary Indexed Tree</v>
      </c>
      <c r="E284" s="6" t="str">
        <f>IFERROR(__xludf.DUMMYFUNCTION("""COMPUTED_VALUE"""),"Adobe,Twitter,Facebook,Amazon,Google")</f>
        <v>Adobe,Twitter,Facebook,Amazon,Google</v>
      </c>
      <c r="F284" s="6" t="str">
        <f>IFERROR(__xludf.DUMMYFUNCTION("""COMPUTED_VALUE"""),"Facebook")</f>
        <v>Facebook</v>
      </c>
      <c r="G284" s="6" t="str">
        <f>IFERROR(__xludf.DUMMYFUNCTION("""COMPUTED_VALUE"""),"Google,Amazon,Adobe,Facebook")</f>
        <v>Google,Amazon,Adobe,Facebook</v>
      </c>
      <c r="H284" s="6" t="str">
        <f>IFERROR(__xludf.DUMMYFUNCTION("""COMPUTED_VALUE"""),"Twitter,Google,Amazon,Adobe,Facebook")</f>
        <v>Twitter,Google,Amazon,Adobe,Facebook</v>
      </c>
      <c r="I284" s="6">
        <f>IFERROR(__xludf.DUMMYFUNCTION("""COMPUTED_VALUE"""),36.82)</f>
        <v>36.82</v>
      </c>
      <c r="J284" s="6" t="str">
        <f>IFERROR(__xludf.DUMMYFUNCTION("""COMPUTED_VALUE"""),"算法")</f>
        <v>算法</v>
      </c>
    </row>
    <row r="285">
      <c r="A285" s="6">
        <f>IFERROR(__xludf.DUMMYFUNCTION("""COMPUTED_VALUE"""),308.0)</f>
        <v>308</v>
      </c>
      <c r="B285" s="53" t="str">
        <f>IFERROR(__xludf.DUMMYFUNCTION("""COMPUTED_VALUE"""),"Range Sum Query 2D - Mutable")</f>
        <v>Range Sum Query 2D - Mutable</v>
      </c>
      <c r="C285" s="6" t="str">
        <f>IFERROR(__xludf.DUMMYFUNCTION("""COMPUTED_VALUE"""),"Hard")</f>
        <v>Hard</v>
      </c>
      <c r="D285" s="6" t="str">
        <f>IFERROR(__xludf.DUMMYFUNCTION("""COMPUTED_VALUE"""),"Segment Tree,Binary Indexed Tree")</f>
        <v>Segment Tree,Binary Indexed Tree</v>
      </c>
      <c r="E285" s="6" t="str">
        <f>IFERROR(__xludf.DUMMYFUNCTION("""COMPUTED_VALUE"""),"Facebook,Microsoft,Google")</f>
        <v>Facebook,Microsoft,Google</v>
      </c>
      <c r="F285" s="6" t="str">
        <f>IFERROR(__xludf.DUMMYFUNCTION("""COMPUTED_VALUE"""),"Google")</f>
        <v>Google</v>
      </c>
      <c r="G285" s="6" t="str">
        <f>IFERROR(__xludf.DUMMYFUNCTION("""COMPUTED_VALUE"""),"Facebook,Google")</f>
        <v>Facebook,Google</v>
      </c>
      <c r="H285" s="6" t="str">
        <f>IFERROR(__xludf.DUMMYFUNCTION("""COMPUTED_VALUE"""),"Microsoft,Facebook,Google")</f>
        <v>Microsoft,Facebook,Google</v>
      </c>
      <c r="I285" s="6">
        <f>IFERROR(__xludf.DUMMYFUNCTION("""COMPUTED_VALUE"""),37.85)</f>
        <v>37.85</v>
      </c>
      <c r="J285" s="6" t="str">
        <f>IFERROR(__xludf.DUMMYFUNCTION("""COMPUTED_VALUE"""),"算法")</f>
        <v>算法</v>
      </c>
    </row>
    <row r="286">
      <c r="A286" s="6">
        <f>IFERROR(__xludf.DUMMYFUNCTION("""COMPUTED_VALUE"""),309.0)</f>
        <v>309</v>
      </c>
      <c r="B286" s="53" t="str">
        <f>IFERROR(__xludf.DUMMYFUNCTION("""COMPUTED_VALUE"""),"Best Time to Buy and Sell Stock with Cooldown")</f>
        <v>Best Time to Buy and Sell Stock with Cooldown</v>
      </c>
      <c r="C286" s="6" t="str">
        <f>IFERROR(__xludf.DUMMYFUNCTION("""COMPUTED_VALUE"""),"Medium")</f>
        <v>Medium</v>
      </c>
      <c r="D286" s="6" t="str">
        <f>IFERROR(__xludf.DUMMYFUNCTION("""COMPUTED_VALUE"""),"Dynamic Programming")</f>
        <v>Dynamic Programming</v>
      </c>
      <c r="E286" s="6" t="str">
        <f>IFERROR(__xludf.DUMMYFUNCTION("""COMPUTED_VALUE"""),"Yahoo,Adobe,Facebook,Goldman Sachs,Apple,Amazon,Google")</f>
        <v>Yahoo,Adobe,Facebook,Goldman Sachs,Apple,Amazon,Google</v>
      </c>
      <c r="F286" s="6" t="str">
        <f>IFERROR(__xludf.DUMMYFUNCTION("""COMPUTED_VALUE"""),"Amazon,Yahoo")</f>
        <v>Amazon,Yahoo</v>
      </c>
      <c r="G286" s="6" t="str">
        <f>IFERROR(__xludf.DUMMYFUNCTION("""COMPUTED_VALUE"""),"Facebook,Adobe,Goldman Sachs,Amazon,Yahoo")</f>
        <v>Facebook,Adobe,Goldman Sachs,Amazon,Yahoo</v>
      </c>
      <c r="H286" s="6" t="str">
        <f>IFERROR(__xludf.DUMMYFUNCTION("""COMPUTED_VALUE"""),"Google,Apple,Facebook,Adobe,Goldman Sachs,Amazon,Yahoo")</f>
        <v>Google,Apple,Facebook,Adobe,Goldman Sachs,Amazon,Yahoo</v>
      </c>
      <c r="I286" s="6">
        <f>IFERROR(__xludf.DUMMYFUNCTION("""COMPUTED_VALUE"""),48.24)</f>
        <v>48.24</v>
      </c>
      <c r="J286" s="6" t="str">
        <f>IFERROR(__xludf.DUMMYFUNCTION("""COMPUTED_VALUE"""),"算法")</f>
        <v>算法</v>
      </c>
    </row>
    <row r="287">
      <c r="A287" s="6">
        <f>IFERROR(__xludf.DUMMYFUNCTION("""COMPUTED_VALUE"""),310.0)</f>
        <v>310</v>
      </c>
      <c r="B287" s="53" t="str">
        <f>IFERROR(__xludf.DUMMYFUNCTION("""COMPUTED_VALUE"""),"Minimum Height Trees")</f>
        <v>Minimum Height Trees</v>
      </c>
      <c r="C287" s="6" t="str">
        <f>IFERROR(__xludf.DUMMYFUNCTION("""COMPUTED_VALUE"""),"Medium")</f>
        <v>Medium</v>
      </c>
      <c r="D287" s="6" t="str">
        <f>IFERROR(__xludf.DUMMYFUNCTION("""COMPUTED_VALUE"""),"Graph,Breadth First Search")</f>
        <v>Graph,Breadth First Search</v>
      </c>
      <c r="E287" s="6" t="str">
        <f>IFERROR(__xludf.DUMMYFUNCTION("""COMPUTED_VALUE"""),"Apple,Snapchat,Bloomberg,Facebook,Amazon,Google")</f>
        <v>Apple,Snapchat,Bloomberg,Facebook,Amazon,Google</v>
      </c>
      <c r="F287" s="6" t="str">
        <f>IFERROR(__xludf.DUMMYFUNCTION("""COMPUTED_VALUE"""),"Facebook")</f>
        <v>Facebook</v>
      </c>
      <c r="G287" s="6" t="str">
        <f>IFERROR(__xludf.DUMMYFUNCTION("""COMPUTED_VALUE"""),"Amazon,Google,Bloomberg,Facebook")</f>
        <v>Amazon,Google,Bloomberg,Facebook</v>
      </c>
      <c r="H287" s="6" t="str">
        <f>IFERROR(__xludf.DUMMYFUNCTION("""COMPUTED_VALUE"""),"Snapchat,Apple,Amazon,Google,Bloomberg,Facebook")</f>
        <v>Snapchat,Apple,Amazon,Google,Bloomberg,Facebook</v>
      </c>
      <c r="I287" s="6">
        <f>IFERROR(__xludf.DUMMYFUNCTION("""COMPUTED_VALUE"""),34.77)</f>
        <v>34.77</v>
      </c>
      <c r="J287" s="6" t="str">
        <f>IFERROR(__xludf.DUMMYFUNCTION("""COMPUTED_VALUE"""),"算法")</f>
        <v>算法</v>
      </c>
    </row>
    <row r="288">
      <c r="A288" s="6">
        <f>IFERROR(__xludf.DUMMYFUNCTION("""COMPUTED_VALUE"""),311.0)</f>
        <v>311</v>
      </c>
      <c r="B288" s="53" t="str">
        <f>IFERROR(__xludf.DUMMYFUNCTION("""COMPUTED_VALUE"""),"Sparse Matrix Multiplication")</f>
        <v>Sparse Matrix Multiplication</v>
      </c>
      <c r="C288" s="6" t="str">
        <f>IFERROR(__xludf.DUMMYFUNCTION("""COMPUTED_VALUE"""),"Medium")</f>
        <v>Medium</v>
      </c>
      <c r="D288" s="6" t="str">
        <f>IFERROR(__xludf.DUMMYFUNCTION("""COMPUTED_VALUE"""),"Hash Table")</f>
        <v>Hash Table</v>
      </c>
      <c r="E288" s="6" t="str">
        <f>IFERROR(__xludf.DUMMYFUNCTION("""COMPUTED_VALUE"""),"Wish,Snapchat,Apple,Uber,Bloomberg,Facebook,Amazon,LinkedIn,Microsoft,Google")</f>
        <v>Wish,Snapchat,Apple,Uber,Bloomberg,Facebook,Amazon,LinkedIn,Microsoft,Google</v>
      </c>
      <c r="F288" s="6" t="str">
        <f>IFERROR(__xludf.DUMMYFUNCTION("""COMPUTED_VALUE"""),"Facebook,Apple,Wish")</f>
        <v>Facebook,Apple,Wish</v>
      </c>
      <c r="G288" s="6" t="str">
        <f>IFERROR(__xludf.DUMMYFUNCTION("""COMPUTED_VALUE"""),"Google,Bloomberg,Amazon,Facebook,Apple,Wish")</f>
        <v>Google,Bloomberg,Amazon,Facebook,Apple,Wish</v>
      </c>
      <c r="H288" s="6" t="str">
        <f>IFERROR(__xludf.DUMMYFUNCTION("""COMPUTED_VALUE"""),"Snapchat,Uber,Microsoft,LinkedIn,Google,Bloomberg,Amazon,Facebook,Apple,Wish")</f>
        <v>Snapchat,Uber,Microsoft,LinkedIn,Google,Bloomberg,Amazon,Facebook,Apple,Wish</v>
      </c>
      <c r="I288" s="6">
        <f>IFERROR(__xludf.DUMMYFUNCTION("""COMPUTED_VALUE"""),64.05)</f>
        <v>64.05</v>
      </c>
      <c r="J288" s="6" t="str">
        <f>IFERROR(__xludf.DUMMYFUNCTION("""COMPUTED_VALUE"""),"算法")</f>
        <v>算法</v>
      </c>
    </row>
    <row r="289">
      <c r="A289" s="6">
        <f>IFERROR(__xludf.DUMMYFUNCTION("""COMPUTED_VALUE"""),312.0)</f>
        <v>312</v>
      </c>
      <c r="B289" s="53" t="str">
        <f>IFERROR(__xludf.DUMMYFUNCTION("""COMPUTED_VALUE"""),"Burst Balloons")</f>
        <v>Burst Balloons</v>
      </c>
      <c r="C289" s="6" t="str">
        <f>IFERROR(__xludf.DUMMYFUNCTION("""COMPUTED_VALUE"""),"Hard")</f>
        <v>Hard</v>
      </c>
      <c r="D289" s="6" t="str">
        <f>IFERROR(__xludf.DUMMYFUNCTION("""COMPUTED_VALUE"""),"Dynamic Programming,Divide and Conquer")</f>
        <v>Dynamic Programming,Divide and Conquer</v>
      </c>
      <c r="E289" s="6" t="str">
        <f>IFERROR(__xludf.DUMMYFUNCTION("""COMPUTED_VALUE"""),"Codenation,Uber,Bloomberg,Snapchat,Samsung,Adobe,Facebook,Amazon,Google")</f>
        <v>Codenation,Uber,Bloomberg,Snapchat,Samsung,Adobe,Facebook,Amazon,Google</v>
      </c>
      <c r="F289" s="6" t="str">
        <f>IFERROR(__xludf.DUMMYFUNCTION("""COMPUTED_VALUE"""),"Adobe,Codenation,Bloomberg")</f>
        <v>Adobe,Codenation,Bloomberg</v>
      </c>
      <c r="G289" s="6" t="str">
        <f>IFERROR(__xludf.DUMMYFUNCTION("""COMPUTED_VALUE"""),"Amazon,Samsung,Google,Adobe,Codenation,Bloomberg")</f>
        <v>Amazon,Samsung,Google,Adobe,Codenation,Bloomberg</v>
      </c>
      <c r="H289" s="6" t="str">
        <f>IFERROR(__xludf.DUMMYFUNCTION("""COMPUTED_VALUE"""),"Facebook,Uber,Snapchat,Amazon,Samsung,Google,Adobe,Codenation,Bloomberg")</f>
        <v>Facebook,Uber,Snapchat,Amazon,Samsung,Google,Adobe,Codenation,Bloomberg</v>
      </c>
      <c r="I289" s="6">
        <f>IFERROR(__xludf.DUMMYFUNCTION("""COMPUTED_VALUE"""),53.82)</f>
        <v>53.82</v>
      </c>
      <c r="J289" s="6" t="str">
        <f>IFERROR(__xludf.DUMMYFUNCTION("""COMPUTED_VALUE"""),"算法")</f>
        <v>算法</v>
      </c>
    </row>
    <row r="290">
      <c r="A290" s="6">
        <f>IFERROR(__xludf.DUMMYFUNCTION("""COMPUTED_VALUE"""),313.0)</f>
        <v>313</v>
      </c>
      <c r="B290" s="53" t="str">
        <f>IFERROR(__xludf.DUMMYFUNCTION("""COMPUTED_VALUE"""),"Super Ugly Number")</f>
        <v>Super Ugly Number</v>
      </c>
      <c r="C290" s="6" t="str">
        <f>IFERROR(__xludf.DUMMYFUNCTION("""COMPUTED_VALUE"""),"Medium")</f>
        <v>Medium</v>
      </c>
      <c r="D290" s="6" t="str">
        <f>IFERROR(__xludf.DUMMYFUNCTION("""COMPUTED_VALUE"""),"Heap,Math")</f>
        <v>Heap,Math</v>
      </c>
      <c r="E290" s="6" t="str">
        <f>IFERROR(__xludf.DUMMYFUNCTION("""COMPUTED_VALUE"""),"Amazon,Google")</f>
        <v>Amazon,Google</v>
      </c>
      <c r="F290" s="6"/>
      <c r="G290" s="6"/>
      <c r="H290" s="6" t="str">
        <f>IFERROR(__xludf.DUMMYFUNCTION("""COMPUTED_VALUE"""),"Amazon,Google")</f>
        <v>Amazon,Google</v>
      </c>
      <c r="I290" s="6">
        <f>IFERROR(__xludf.DUMMYFUNCTION("""COMPUTED_VALUE"""),46.25)</f>
        <v>46.25</v>
      </c>
      <c r="J290" s="6" t="str">
        <f>IFERROR(__xludf.DUMMYFUNCTION("""COMPUTED_VALUE"""),"算法")</f>
        <v>算法</v>
      </c>
    </row>
    <row r="291">
      <c r="A291" s="6">
        <f>IFERROR(__xludf.DUMMYFUNCTION("""COMPUTED_VALUE"""),314.0)</f>
        <v>314</v>
      </c>
      <c r="B291" s="53" t="str">
        <f>IFERROR(__xludf.DUMMYFUNCTION("""COMPUTED_VALUE"""),"Binary Tree Vertical Order Traversal")</f>
        <v>Binary Tree Vertical Order Traversal</v>
      </c>
      <c r="C291" s="6" t="str">
        <f>IFERROR(__xludf.DUMMYFUNCTION("""COMPUTED_VALUE"""),"Medium")</f>
        <v>Medium</v>
      </c>
      <c r="D291" s="6" t="str">
        <f>IFERROR(__xludf.DUMMYFUNCTION("""COMPUTED_VALUE"""),"Breadth First Search,Depth First Search")</f>
        <v>Breadth First Search,Depth First Search</v>
      </c>
      <c r="E291" s="6" t="str">
        <f>IFERROR(__xludf.DUMMYFUNCTION("""COMPUTED_VALUE"""),"Reddit,Databricks,ByteDance,Salesforce,Snapchat,Expedia,Wish,Oracle,Mathworks,Bloomberg,Adobe,Facebook,Amazon,Microsoft,Google")</f>
        <v>Reddit,Databricks,ByteDance,Salesforce,Snapchat,Expedia,Wish,Oracle,Mathworks,Bloomberg,Adobe,Facebook,Amazon,Microsoft,Google</v>
      </c>
      <c r="F291" s="6" t="str">
        <f>IFERROR(__xludf.DUMMYFUNCTION("""COMPUTED_VALUE"""),"Bloomberg,Facebook,Amazon")</f>
        <v>Bloomberg,Facebook,Amazon</v>
      </c>
      <c r="G291" s="6" t="str">
        <f>IFERROR(__xludf.DUMMYFUNCTION("""COMPUTED_VALUE"""),"Databricks,Reddit,Google,Bloomberg,Facebook,Amazon")</f>
        <v>Databricks,Reddit,Google,Bloomberg,Facebook,Amazon</v>
      </c>
      <c r="H291" s="6" t="str">
        <f>IFERROR(__xludf.DUMMYFUNCTION("""COMPUTED_VALUE"""),"Microsoft,ByteDance,Oracle,Salesforce,Mathworks,Wish,Snapchat,Databricks,Reddit,Google,Bloomberg,Facebook,Amazon")</f>
        <v>Microsoft,ByteDance,Oracle,Salesforce,Mathworks,Wish,Snapchat,Databricks,Reddit,Google,Bloomberg,Facebook,Amazon</v>
      </c>
      <c r="I291" s="6">
        <f>IFERROR(__xludf.DUMMYFUNCTION("""COMPUTED_VALUE"""),47.12)</f>
        <v>47.12</v>
      </c>
      <c r="J291" s="6" t="str">
        <f>IFERROR(__xludf.DUMMYFUNCTION("""COMPUTED_VALUE"""),"算法")</f>
        <v>算法</v>
      </c>
    </row>
    <row r="292">
      <c r="A292" s="6">
        <f>IFERROR(__xludf.DUMMYFUNCTION("""COMPUTED_VALUE"""),315.0)</f>
        <v>315</v>
      </c>
      <c r="B292" s="53" t="str">
        <f>IFERROR(__xludf.DUMMYFUNCTION("""COMPUTED_VALUE"""),"Count of Smaller Numbers After Self")</f>
        <v>Count of Smaller Numbers After Self</v>
      </c>
      <c r="C292" s="6" t="str">
        <f>IFERROR(__xludf.DUMMYFUNCTION("""COMPUTED_VALUE"""),"Hard")</f>
        <v>Hard</v>
      </c>
      <c r="D292" s="6" t="str">
        <f>IFERROR(__xludf.DUMMYFUNCTION("""COMPUTED_VALUE"""),"Segment Tree,Binary Indexed Tree,Sort,Divide and Conquer,Binary Search")</f>
        <v>Segment Tree,Binary Indexed Tree,Sort,Divide and Conquer,Binary Search</v>
      </c>
      <c r="E292" s="6" t="str">
        <f>IFERROR(__xludf.DUMMYFUNCTION("""COMPUTED_VALUE"""),"Adobe,Oracle,Apple,Uber,Bloomberg,Facebook,Amazon,Microsoft,Google")</f>
        <v>Adobe,Oracle,Apple,Uber,Bloomberg,Facebook,Amazon,Microsoft,Google</v>
      </c>
      <c r="F292" s="6" t="str">
        <f>IFERROR(__xludf.DUMMYFUNCTION("""COMPUTED_VALUE"""),"Google,Amazon,Apple,Bloomberg,Uber")</f>
        <v>Google,Amazon,Apple,Bloomberg,Uber</v>
      </c>
      <c r="G292" s="6" t="str">
        <f>IFERROR(__xludf.DUMMYFUNCTION("""COMPUTED_VALUE"""),"Microsoft,Adobe,Google,Amazon,Apple,Bloomberg,Uber")</f>
        <v>Microsoft,Adobe,Google,Amazon,Apple,Bloomberg,Uber</v>
      </c>
      <c r="H292" s="6" t="str">
        <f>IFERROR(__xludf.DUMMYFUNCTION("""COMPUTED_VALUE"""),"Oracle,Microsoft,Adobe,Google,Amazon,Apple,Bloomberg,Uber")</f>
        <v>Oracle,Microsoft,Adobe,Google,Amazon,Apple,Bloomberg,Uber</v>
      </c>
      <c r="I292" s="6">
        <f>IFERROR(__xludf.DUMMYFUNCTION("""COMPUTED_VALUE"""),42.43)</f>
        <v>42.43</v>
      </c>
      <c r="J292" s="6" t="str">
        <f>IFERROR(__xludf.DUMMYFUNCTION("""COMPUTED_VALUE"""),"算法")</f>
        <v>算法</v>
      </c>
    </row>
    <row r="293">
      <c r="A293" s="6">
        <f>IFERROR(__xludf.DUMMYFUNCTION("""COMPUTED_VALUE"""),316.0)</f>
        <v>316</v>
      </c>
      <c r="B293" s="53" t="str">
        <f>IFERROR(__xludf.DUMMYFUNCTION("""COMPUTED_VALUE"""),"Remove Duplicate Letters")</f>
        <v>Remove Duplicate Letters</v>
      </c>
      <c r="C293" s="6" t="str">
        <f>IFERROR(__xludf.DUMMYFUNCTION("""COMPUTED_VALUE"""),"Medium")</f>
        <v>Medium</v>
      </c>
      <c r="D293" s="6" t="str">
        <f>IFERROR(__xludf.DUMMYFUNCTION("""COMPUTED_VALUE"""),"String,Greedy,Stack")</f>
        <v>String,Greedy,Stack</v>
      </c>
      <c r="E293" s="6" t="str">
        <f>IFERROR(__xludf.DUMMYFUNCTION("""COMPUTED_VALUE"""),"FactSet,Bloomberg,Nutanix,ByteDance,Apple,Yahoo,Adobe,Facebook,Amazon,Microsoft,Google")</f>
        <v>FactSet,Bloomberg,Nutanix,ByteDance,Apple,Yahoo,Adobe,Facebook,Amazon,Microsoft,Google</v>
      </c>
      <c r="F293" s="6" t="str">
        <f>IFERROR(__xludf.DUMMYFUNCTION("""COMPUTED_VALUE"""),"Amazon,Bloomberg,Google")</f>
        <v>Amazon,Bloomberg,Google</v>
      </c>
      <c r="G293" s="6" t="str">
        <f>IFERROR(__xludf.DUMMYFUNCTION("""COMPUTED_VALUE"""),"ByteDance,Adobe,Amazon,Bloomberg,Google")</f>
        <v>ByteDance,Adobe,Amazon,Bloomberg,Google</v>
      </c>
      <c r="H293" s="6" t="str">
        <f>IFERROR(__xludf.DUMMYFUNCTION("""COMPUTED_VALUE"""),"Facebook,Apple,Microsoft,FactSet,ByteDance,Adobe,Amazon,Bloomberg,Google")</f>
        <v>Facebook,Apple,Microsoft,FactSet,ByteDance,Adobe,Amazon,Bloomberg,Google</v>
      </c>
      <c r="I293" s="6">
        <f>IFERROR(__xludf.DUMMYFUNCTION("""COMPUTED_VALUE"""),39.2)</f>
        <v>39.2</v>
      </c>
      <c r="J293" s="6" t="str">
        <f>IFERROR(__xludf.DUMMYFUNCTION("""COMPUTED_VALUE"""),"算法")</f>
        <v>算法</v>
      </c>
    </row>
    <row r="294">
      <c r="A294" s="6">
        <f>IFERROR(__xludf.DUMMYFUNCTION("""COMPUTED_VALUE"""),317.0)</f>
        <v>317</v>
      </c>
      <c r="B294" s="53" t="str">
        <f>IFERROR(__xludf.DUMMYFUNCTION("""COMPUTED_VALUE"""),"Shortest Distance from All Buildings")</f>
        <v>Shortest Distance from All Buildings</v>
      </c>
      <c r="C294" s="6" t="str">
        <f>IFERROR(__xludf.DUMMYFUNCTION("""COMPUTED_VALUE"""),"Hard")</f>
        <v>Hard</v>
      </c>
      <c r="D294" s="6" t="str">
        <f>IFERROR(__xludf.DUMMYFUNCTION("""COMPUTED_VALUE"""),"Breadth First Search")</f>
        <v>Breadth First Search</v>
      </c>
      <c r="E294" s="6" t="str">
        <f>IFERROR(__xludf.DUMMYFUNCTION("""COMPUTED_VALUE"""),"Oracle,Zenefits,Splunk,ByteDance,Snapchat,Mathworks,Uber,Facebook,Amazon,Microsoft,Goldman Sachs,Google")</f>
        <v>Oracle,Zenefits,Splunk,ByteDance,Snapchat,Mathworks,Uber,Facebook,Amazon,Microsoft,Goldman Sachs,Google</v>
      </c>
      <c r="F294" s="6" t="str">
        <f>IFERROR(__xludf.DUMMYFUNCTION("""COMPUTED_VALUE"""),"Facebook,Google,Amazon")</f>
        <v>Facebook,Google,Amazon</v>
      </c>
      <c r="G294" s="6" t="str">
        <f>IFERROR(__xludf.DUMMYFUNCTION("""COMPUTED_VALUE"""),"Snapchat,Facebook,Google,Amazon")</f>
        <v>Snapchat,Facebook,Google,Amazon</v>
      </c>
      <c r="H294" s="6" t="str">
        <f>IFERROR(__xludf.DUMMYFUNCTION("""COMPUTED_VALUE"""),"Mathworks,Microsoft,ByteDance,Uber,Splunk,Oracle,Zenefits,Snapchat,Facebook,Google,Amazon")</f>
        <v>Mathworks,Microsoft,ByteDance,Uber,Splunk,Oracle,Zenefits,Snapchat,Facebook,Google,Amazon</v>
      </c>
      <c r="I294" s="6">
        <f>IFERROR(__xludf.DUMMYFUNCTION("""COMPUTED_VALUE"""),42.81)</f>
        <v>42.81</v>
      </c>
      <c r="J294" s="6" t="str">
        <f>IFERROR(__xludf.DUMMYFUNCTION("""COMPUTED_VALUE"""),"算法")</f>
        <v>算法</v>
      </c>
    </row>
    <row r="295">
      <c r="A295" s="6">
        <f>IFERROR(__xludf.DUMMYFUNCTION("""COMPUTED_VALUE"""),318.0)</f>
        <v>318</v>
      </c>
      <c r="B295" s="53" t="str">
        <f>IFERROR(__xludf.DUMMYFUNCTION("""COMPUTED_VALUE"""),"Maximum Product of Word Lengths")</f>
        <v>Maximum Product of Word Lengths</v>
      </c>
      <c r="C295" s="6" t="str">
        <f>IFERROR(__xludf.DUMMYFUNCTION("""COMPUTED_VALUE"""),"Medium")</f>
        <v>Medium</v>
      </c>
      <c r="D295" s="6" t="str">
        <f>IFERROR(__xludf.DUMMYFUNCTION("""COMPUTED_VALUE"""),"Bit Manipulation")</f>
        <v>Bit Manipulation</v>
      </c>
      <c r="E295" s="6" t="str">
        <f>IFERROR(__xludf.DUMMYFUNCTION("""COMPUTED_VALUE"""),"Google")</f>
        <v>Google</v>
      </c>
      <c r="F295" s="6"/>
      <c r="G295" s="6"/>
      <c r="H295" s="6" t="str">
        <f>IFERROR(__xludf.DUMMYFUNCTION("""COMPUTED_VALUE"""),"Google")</f>
        <v>Google</v>
      </c>
      <c r="I295" s="6">
        <f>IFERROR(__xludf.DUMMYFUNCTION("""COMPUTED_VALUE"""),52.34)</f>
        <v>52.34</v>
      </c>
      <c r="J295" s="6" t="str">
        <f>IFERROR(__xludf.DUMMYFUNCTION("""COMPUTED_VALUE"""),"算法")</f>
        <v>算法</v>
      </c>
    </row>
    <row r="296">
      <c r="A296" s="6">
        <f>IFERROR(__xludf.DUMMYFUNCTION("""COMPUTED_VALUE"""),320.0)</f>
        <v>320</v>
      </c>
      <c r="B296" s="53" t="str">
        <f>IFERROR(__xludf.DUMMYFUNCTION("""COMPUTED_VALUE"""),"Generalized Abbreviation")</f>
        <v>Generalized Abbreviation</v>
      </c>
      <c r="C296" s="6" t="str">
        <f>IFERROR(__xludf.DUMMYFUNCTION("""COMPUTED_VALUE"""),"Medium")</f>
        <v>Medium</v>
      </c>
      <c r="D296" s="6" t="str">
        <f>IFERROR(__xludf.DUMMYFUNCTION("""COMPUTED_VALUE"""),"Bit Manipulation,Backtracking")</f>
        <v>Bit Manipulation,Backtracking</v>
      </c>
      <c r="E296" s="6" t="str">
        <f>IFERROR(__xludf.DUMMYFUNCTION("""COMPUTED_VALUE"""),"ByteDance,Google")</f>
        <v>ByteDance,Google</v>
      </c>
      <c r="F296" s="6"/>
      <c r="G296" s="6" t="str">
        <f>IFERROR(__xludf.DUMMYFUNCTION("""COMPUTED_VALUE"""),"ByteDance")</f>
        <v>ByteDance</v>
      </c>
      <c r="H296" s="6" t="str">
        <f>IFERROR(__xludf.DUMMYFUNCTION("""COMPUTED_VALUE"""),"Google,ByteDance")</f>
        <v>Google,ByteDance</v>
      </c>
      <c r="I296" s="6">
        <f>IFERROR(__xludf.DUMMYFUNCTION("""COMPUTED_VALUE"""),53.86)</f>
        <v>53.86</v>
      </c>
      <c r="J296" s="6" t="str">
        <f>IFERROR(__xludf.DUMMYFUNCTION("""COMPUTED_VALUE"""),"算法")</f>
        <v>算法</v>
      </c>
    </row>
    <row r="297">
      <c r="A297" s="6">
        <f>IFERROR(__xludf.DUMMYFUNCTION("""COMPUTED_VALUE"""),321.0)</f>
        <v>321</v>
      </c>
      <c r="B297" s="53" t="str">
        <f>IFERROR(__xludf.DUMMYFUNCTION("""COMPUTED_VALUE"""),"Create Maximum Number")</f>
        <v>Create Maximum Number</v>
      </c>
      <c r="C297" s="6" t="str">
        <f>IFERROR(__xludf.DUMMYFUNCTION("""COMPUTED_VALUE"""),"Hard")</f>
        <v>Hard</v>
      </c>
      <c r="D297" s="6" t="str">
        <f>IFERROR(__xludf.DUMMYFUNCTION("""COMPUTED_VALUE"""),"Greedy,Dynamic Programming")</f>
        <v>Greedy,Dynamic Programming</v>
      </c>
      <c r="E297" s="6" t="str">
        <f>IFERROR(__xludf.DUMMYFUNCTION("""COMPUTED_VALUE"""),"Apple,Amazon,Google")</f>
        <v>Apple,Amazon,Google</v>
      </c>
      <c r="F297" s="6"/>
      <c r="G297" s="6" t="str">
        <f>IFERROR(__xludf.DUMMYFUNCTION("""COMPUTED_VALUE"""),"Apple")</f>
        <v>Apple</v>
      </c>
      <c r="H297" s="6" t="str">
        <f>IFERROR(__xludf.DUMMYFUNCTION("""COMPUTED_VALUE"""),"Amazon,Google,Apple")</f>
        <v>Amazon,Google,Apple</v>
      </c>
      <c r="I297" s="6">
        <f>IFERROR(__xludf.DUMMYFUNCTION("""COMPUTED_VALUE"""),27.57)</f>
        <v>27.57</v>
      </c>
      <c r="J297" s="6" t="str">
        <f>IFERROR(__xludf.DUMMYFUNCTION("""COMPUTED_VALUE"""),"算法")</f>
        <v>算法</v>
      </c>
    </row>
    <row r="298">
      <c r="A298" s="6">
        <f>IFERROR(__xludf.DUMMYFUNCTION("""COMPUTED_VALUE"""),322.0)</f>
        <v>322</v>
      </c>
      <c r="B298" s="53" t="str">
        <f>IFERROR(__xludf.DUMMYFUNCTION("""COMPUTED_VALUE"""),"Coin Change")</f>
        <v>Coin Change</v>
      </c>
      <c r="C298" s="6" t="str">
        <f>IFERROR(__xludf.DUMMYFUNCTION("""COMPUTED_VALUE"""),"Medium")</f>
        <v>Medium</v>
      </c>
      <c r="D298" s="6" t="str">
        <f>IFERROR(__xludf.DUMMYFUNCTION("""COMPUTED_VALUE"""),"Dynamic Programming")</f>
        <v>Dynamic Programming</v>
      </c>
      <c r="E298" s="6" t="str">
        <f>IFERROR(__xludf.DUMMYFUNCTION("""COMPUTED_VALUE"""),"Grab,SAP,Zappos,ByteDance,Capital One,Visa,VMware,Affirm,Walmart Labs,JPMorgan,Paypal,Oracle,Cisco,EBay,BlackRock,Apple,Airbnb,Uber,Yahoo,Bloomberg,Adobe,Facebook,Amazon,LinkedIn,Microsoft,Goldman Sachs,Google")</f>
        <v>Grab,SAP,Zappos,ByteDance,Capital One,Visa,VMware,Affirm,Walmart Labs,JPMorgan,Paypal,Oracle,Cisco,EBay,BlackRock,Apple,Airbnb,Uber,Yahoo,Bloomberg,Adobe,Facebook,Amazon,LinkedIn,Microsoft,Goldman Sachs,Google</v>
      </c>
      <c r="F298" s="6" t="str">
        <f>IFERROR(__xludf.DUMMYFUNCTION("""COMPUTED_VALUE"""),"Amazon,Goldman Sachs,Bloomberg,Walmart Labs,Airbnb,BlackRock,Uber,Oracle,Apple,Microsoft,Facebook")</f>
        <v>Amazon,Goldman Sachs,Bloomberg,Walmart Labs,Airbnb,BlackRock,Uber,Oracle,Apple,Microsoft,Facebook</v>
      </c>
      <c r="G298" s="6" t="str">
        <f>IFERROR(__xludf.DUMMYFUNCTION("""COMPUTED_VALUE"""),"ByteDance,Google,eBay,Capital One,Grab,VMware,Cisco,Paypal,Amazon,Goldman Sachs,Bloomberg,Walmart Labs,Airbnb,BlackRock,Uber,Oracle,Apple,Microsoft,Facebook")</f>
        <v>ByteDance,Google,eBay,Capital One,Grab,VMware,Cisco,Paypal,Amazon,Goldman Sachs,Bloomberg,Walmart Labs,Airbnb,BlackRock,Uber,Oracle,Apple,Microsoft,Facebook</v>
      </c>
      <c r="H298" s="6" t="str">
        <f>IFERROR(__xludf.DUMMYFUNCTION("""COMPUTED_VALUE"""),"Adobe,Yahoo,Zappos,Affirm,SAP,ByteDance,Google,eBay,Capital One,Grab,VMware,Cisco,Paypal,Amazon,Goldman Sachs,Bloomberg,Walmart Labs,Airbnb,BlackRock,Uber,Oracle,Apple,Microsoft,Facebook")</f>
        <v>Adobe,Yahoo,Zappos,Affirm,SAP,ByteDance,Google,eBay,Capital One,Grab,VMware,Cisco,Paypal,Amazon,Goldman Sachs,Bloomberg,Walmart Labs,Airbnb,BlackRock,Uber,Oracle,Apple,Microsoft,Facebook</v>
      </c>
      <c r="I298" s="6">
        <f>IFERROR(__xludf.DUMMYFUNCTION("""COMPUTED_VALUE"""),37.59)</f>
        <v>37.59</v>
      </c>
      <c r="J298" s="6" t="str">
        <f>IFERROR(__xludf.DUMMYFUNCTION("""COMPUTED_VALUE"""),"算法")</f>
        <v>算法</v>
      </c>
    </row>
    <row r="299">
      <c r="A299" s="6">
        <f>IFERROR(__xludf.DUMMYFUNCTION("""COMPUTED_VALUE"""),323.0)</f>
        <v>323</v>
      </c>
      <c r="B299" s="53" t="str">
        <f>IFERROR(__xludf.DUMMYFUNCTION("""COMPUTED_VALUE"""),"Number of Connected Components in an Undirected Graph")</f>
        <v>Number of Connected Components in an Undirected Graph</v>
      </c>
      <c r="C299" s="6" t="str">
        <f>IFERROR(__xludf.DUMMYFUNCTION("""COMPUTED_VALUE"""),"Medium")</f>
        <v>Medium</v>
      </c>
      <c r="D299" s="6" t="str">
        <f>IFERROR(__xludf.DUMMYFUNCTION("""COMPUTED_VALUE"""),"Graph,Union Find,Breadth First Search,Depth First Search")</f>
        <v>Graph,Union Find,Breadth First Search,Depth First Search</v>
      </c>
      <c r="E299" s="6" t="str">
        <f>IFERROR(__xludf.DUMMYFUNCTION("""COMPUTED_VALUE"""),"Apple,Twitter,Facebook,Amazon,LinkedIn,Microsoft,Google")</f>
        <v>Apple,Twitter,Facebook,Amazon,LinkedIn,Microsoft,Google</v>
      </c>
      <c r="F299" s="6" t="str">
        <f>IFERROR(__xludf.DUMMYFUNCTION("""COMPUTED_VALUE"""),"Amazon,Facebook,Microsoft,LinkedIn,Google,Apple")</f>
        <v>Amazon,Facebook,Microsoft,LinkedIn,Google,Apple</v>
      </c>
      <c r="G299" s="6" t="str">
        <f>IFERROR(__xludf.DUMMYFUNCTION("""COMPUTED_VALUE"""),"Amazon,Facebook,Microsoft,LinkedIn,Google,Apple")</f>
        <v>Amazon,Facebook,Microsoft,LinkedIn,Google,Apple</v>
      </c>
      <c r="H299" s="6" t="str">
        <f>IFERROR(__xludf.DUMMYFUNCTION("""COMPUTED_VALUE"""),"Twitter,Amazon,Facebook,Microsoft,LinkedIn,Google,Apple")</f>
        <v>Twitter,Amazon,Facebook,Microsoft,LinkedIn,Google,Apple</v>
      </c>
      <c r="I299" s="6">
        <f>IFERROR(__xludf.DUMMYFUNCTION("""COMPUTED_VALUE"""),57.95)</f>
        <v>57.95</v>
      </c>
      <c r="J299" s="6" t="str">
        <f>IFERROR(__xludf.DUMMYFUNCTION("""COMPUTED_VALUE"""),"算法")</f>
        <v>算法</v>
      </c>
    </row>
    <row r="300">
      <c r="A300" s="6">
        <f>IFERROR(__xludf.DUMMYFUNCTION("""COMPUTED_VALUE"""),324.0)</f>
        <v>324</v>
      </c>
      <c r="B300" s="53" t="str">
        <f>IFERROR(__xludf.DUMMYFUNCTION("""COMPUTED_VALUE"""),"Wiggle Sort II")</f>
        <v>Wiggle Sort II</v>
      </c>
      <c r="C300" s="6" t="str">
        <f>IFERROR(__xludf.DUMMYFUNCTION("""COMPUTED_VALUE"""),"Medium")</f>
        <v>Medium</v>
      </c>
      <c r="D300" s="6" t="str">
        <f>IFERROR(__xludf.DUMMYFUNCTION("""COMPUTED_VALUE"""),"Sort")</f>
        <v>Sort</v>
      </c>
      <c r="E300" s="6" t="str">
        <f>IFERROR(__xludf.DUMMYFUNCTION("""COMPUTED_VALUE"""),"Paypal,Amazon,Akuna Capital,Airbnb,Facebook,Google")</f>
        <v>Paypal,Amazon,Akuna Capital,Airbnb,Facebook,Google</v>
      </c>
      <c r="F300" s="6"/>
      <c r="G300" s="6" t="str">
        <f>IFERROR(__xludf.DUMMYFUNCTION("""COMPUTED_VALUE"""),"Paypal")</f>
        <v>Paypal</v>
      </c>
      <c r="H300" s="6" t="str">
        <f>IFERROR(__xludf.DUMMYFUNCTION("""COMPUTED_VALUE"""),"Airbnb,Facebook,Amazon,Google,Paypal")</f>
        <v>Airbnb,Facebook,Amazon,Google,Paypal</v>
      </c>
      <c r="I300" s="6">
        <f>IFERROR(__xludf.DUMMYFUNCTION("""COMPUTED_VALUE"""),30.75)</f>
        <v>30.75</v>
      </c>
      <c r="J300" s="6" t="str">
        <f>IFERROR(__xludf.DUMMYFUNCTION("""COMPUTED_VALUE"""),"算法")</f>
        <v>算法</v>
      </c>
    </row>
    <row r="301">
      <c r="A301" s="6">
        <f>IFERROR(__xludf.DUMMYFUNCTION("""COMPUTED_VALUE"""),325.0)</f>
        <v>325</v>
      </c>
      <c r="B301" s="53" t="str">
        <f>IFERROR(__xludf.DUMMYFUNCTION("""COMPUTED_VALUE"""),"Maximum Size Subarray Sum Equals k")</f>
        <v>Maximum Size Subarray Sum Equals k</v>
      </c>
      <c r="C301" s="6" t="str">
        <f>IFERROR(__xludf.DUMMYFUNCTION("""COMPUTED_VALUE"""),"Medium")</f>
        <v>Medium</v>
      </c>
      <c r="D301" s="6" t="str">
        <f>IFERROR(__xludf.DUMMYFUNCTION("""COMPUTED_VALUE"""),"Hash Table")</f>
        <v>Hash Table</v>
      </c>
      <c r="E301" s="6" t="str">
        <f>IFERROR(__xludf.DUMMYFUNCTION("""COMPUTED_VALUE"""),"Palantir Technologies,Facebook,Amazon,Microsoft,Google")</f>
        <v>Palantir Technologies,Facebook,Amazon,Microsoft,Google</v>
      </c>
      <c r="F301" s="6" t="str">
        <f>IFERROR(__xludf.DUMMYFUNCTION("""COMPUTED_VALUE"""),"Facebook,Microsoft")</f>
        <v>Facebook,Microsoft</v>
      </c>
      <c r="G301" s="6" t="str">
        <f>IFERROR(__xludf.DUMMYFUNCTION("""COMPUTED_VALUE"""),"Google,Amazon,Facebook,Microsoft")</f>
        <v>Google,Amazon,Facebook,Microsoft</v>
      </c>
      <c r="H301" s="6" t="str">
        <f>IFERROR(__xludf.DUMMYFUNCTION("""COMPUTED_VALUE"""),"Palantir Technologies,Google,Amazon,Facebook,Microsoft")</f>
        <v>Palantir Technologies,Google,Amazon,Facebook,Microsoft</v>
      </c>
      <c r="I301" s="6">
        <f>IFERROR(__xludf.DUMMYFUNCTION("""COMPUTED_VALUE"""),47.47)</f>
        <v>47.47</v>
      </c>
      <c r="J301" s="6" t="str">
        <f>IFERROR(__xludf.DUMMYFUNCTION("""COMPUTED_VALUE"""),"算法")</f>
        <v>算法</v>
      </c>
    </row>
    <row r="302">
      <c r="A302" s="6">
        <f>IFERROR(__xludf.DUMMYFUNCTION("""COMPUTED_VALUE"""),326.0)</f>
        <v>326</v>
      </c>
      <c r="B302" s="53" t="str">
        <f>IFERROR(__xludf.DUMMYFUNCTION("""COMPUTED_VALUE"""),"Power of Three")</f>
        <v>Power of Three</v>
      </c>
      <c r="C302" s="6" t="str">
        <f>IFERROR(__xludf.DUMMYFUNCTION("""COMPUTED_VALUE"""),"Easy")</f>
        <v>Easy</v>
      </c>
      <c r="D302" s="6" t="str">
        <f>IFERROR(__xludf.DUMMYFUNCTION("""COMPUTED_VALUE"""),"Math")</f>
        <v>Math</v>
      </c>
      <c r="E302" s="6" t="str">
        <f>IFERROR(__xludf.DUMMYFUNCTION("""COMPUTED_VALUE"""),"Hulu,Apple,Goldman Sachs,Google")</f>
        <v>Hulu,Apple,Goldman Sachs,Google</v>
      </c>
      <c r="F302" s="6" t="str">
        <f>IFERROR(__xludf.DUMMYFUNCTION("""COMPUTED_VALUE"""),"Google")</f>
        <v>Google</v>
      </c>
      <c r="G302" s="6" t="str">
        <f>IFERROR(__xludf.DUMMYFUNCTION("""COMPUTED_VALUE"""),"Goldman Sachs,Google")</f>
        <v>Goldman Sachs,Google</v>
      </c>
      <c r="H302" s="6" t="str">
        <f>IFERROR(__xludf.DUMMYFUNCTION("""COMPUTED_VALUE"""),"Hulu,Apple,Goldman Sachs,Google")</f>
        <v>Hulu,Apple,Goldman Sachs,Google</v>
      </c>
      <c r="I302" s="6">
        <f>IFERROR(__xludf.DUMMYFUNCTION("""COMPUTED_VALUE"""),42.11)</f>
        <v>42.11</v>
      </c>
      <c r="J302" s="6" t="str">
        <f>IFERROR(__xludf.DUMMYFUNCTION("""COMPUTED_VALUE"""),"算法")</f>
        <v>算法</v>
      </c>
    </row>
    <row r="303">
      <c r="A303" s="6">
        <f>IFERROR(__xludf.DUMMYFUNCTION("""COMPUTED_VALUE"""),327.0)</f>
        <v>327</v>
      </c>
      <c r="B303" s="53" t="str">
        <f>IFERROR(__xludf.DUMMYFUNCTION("""COMPUTED_VALUE"""),"Count of Range Sum")</f>
        <v>Count of Range Sum</v>
      </c>
      <c r="C303" s="6" t="str">
        <f>IFERROR(__xludf.DUMMYFUNCTION("""COMPUTED_VALUE"""),"Hard")</f>
        <v>Hard</v>
      </c>
      <c r="D303" s="6" t="str">
        <f>IFERROR(__xludf.DUMMYFUNCTION("""COMPUTED_VALUE"""),"Segment Tree,Binary Indexed Tree,Sort,Divide and Conquer,Binary Search")</f>
        <v>Segment Tree,Binary Indexed Tree,Sort,Divide and Conquer,Binary Search</v>
      </c>
      <c r="E303" s="6" t="str">
        <f>IFERROR(__xludf.DUMMYFUNCTION("""COMPUTED_VALUE"""),"Amazon,Google")</f>
        <v>Amazon,Google</v>
      </c>
      <c r="F303" s="6"/>
      <c r="G303" s="6" t="str">
        <f>IFERROR(__xludf.DUMMYFUNCTION("""COMPUTED_VALUE"""),"Amazon")</f>
        <v>Amazon</v>
      </c>
      <c r="H303" s="6" t="str">
        <f>IFERROR(__xludf.DUMMYFUNCTION("""COMPUTED_VALUE"""),"Google,Amazon")</f>
        <v>Google,Amazon</v>
      </c>
      <c r="I303" s="6">
        <f>IFERROR(__xludf.DUMMYFUNCTION("""COMPUTED_VALUE"""),36.09)</f>
        <v>36.09</v>
      </c>
      <c r="J303" s="6" t="str">
        <f>IFERROR(__xludf.DUMMYFUNCTION("""COMPUTED_VALUE"""),"算法")</f>
        <v>算法</v>
      </c>
    </row>
    <row r="304">
      <c r="A304" s="6">
        <f>IFERROR(__xludf.DUMMYFUNCTION("""COMPUTED_VALUE"""),328.0)</f>
        <v>328</v>
      </c>
      <c r="B304" s="53" t="str">
        <f>IFERROR(__xludf.DUMMYFUNCTION("""COMPUTED_VALUE"""),"Odd Even Linked List")</f>
        <v>Odd Even Linked List</v>
      </c>
      <c r="C304" s="6" t="str">
        <f>IFERROR(__xludf.DUMMYFUNCTION("""COMPUTED_VALUE"""),"Medium")</f>
        <v>Medium</v>
      </c>
      <c r="D304" s="6" t="str">
        <f>IFERROR(__xludf.DUMMYFUNCTION("""COMPUTED_VALUE"""),"Linked List")</f>
        <v>Linked List</v>
      </c>
      <c r="E304" s="6" t="str">
        <f>IFERROR(__xludf.DUMMYFUNCTION("""COMPUTED_VALUE"""),"Oracle,Alibaba,Capital One,EBay,Bloomberg,Facebook,Amazon,Microsoft,Google")</f>
        <v>Oracle,Alibaba,Capital One,EBay,Bloomberg,Facebook,Amazon,Microsoft,Google</v>
      </c>
      <c r="F304" s="6" t="str">
        <f>IFERROR(__xludf.DUMMYFUNCTION("""COMPUTED_VALUE"""),"Bloomberg,Oracle,Facebook,Google")</f>
        <v>Bloomberg,Oracle,Facebook,Google</v>
      </c>
      <c r="G304" s="6" t="str">
        <f>IFERROR(__xludf.DUMMYFUNCTION("""COMPUTED_VALUE"""),"Amazon,Microsoft,Capital One,Bloomberg,Oracle,Facebook,Google")</f>
        <v>Amazon,Microsoft,Capital One,Bloomberg,Oracle,Facebook,Google</v>
      </c>
      <c r="H304" s="6" t="str">
        <f>IFERROR(__xludf.DUMMYFUNCTION("""COMPUTED_VALUE"""),"Alibaba,Amazon,Microsoft,Capital One,Bloomberg,Oracle,Facebook,Google")</f>
        <v>Alibaba,Amazon,Microsoft,Capital One,Bloomberg,Oracle,Facebook,Google</v>
      </c>
      <c r="I304" s="6">
        <f>IFERROR(__xludf.DUMMYFUNCTION("""COMPUTED_VALUE"""),57.17)</f>
        <v>57.17</v>
      </c>
      <c r="J304" s="6" t="str">
        <f>IFERROR(__xludf.DUMMYFUNCTION("""COMPUTED_VALUE"""),"算法")</f>
        <v>算法</v>
      </c>
    </row>
    <row r="305">
      <c r="A305" s="6">
        <f>IFERROR(__xludf.DUMMYFUNCTION("""COMPUTED_VALUE"""),329.0)</f>
        <v>329</v>
      </c>
      <c r="B305" s="53" t="str">
        <f>IFERROR(__xludf.DUMMYFUNCTION("""COMPUTED_VALUE"""),"Longest Increasing Path in a Matrix")</f>
        <v>Longest Increasing Path in a Matrix</v>
      </c>
      <c r="C305" s="6" t="str">
        <f>IFERROR(__xludf.DUMMYFUNCTION("""COMPUTED_VALUE"""),"Hard")</f>
        <v>Hard</v>
      </c>
      <c r="D305" s="6" t="str">
        <f>IFERROR(__xludf.DUMMYFUNCTION("""COMPUTED_VALUE"""),"Memoization,Topological Sort,Depth First Search")</f>
        <v>Memoization,Topological Sort,Depth First Search</v>
      </c>
      <c r="E305" s="6" t="str">
        <f>IFERROR(__xludf.DUMMYFUNCTION("""COMPUTED_VALUE"""),"DoorDash,Qualtrics,Oracle,Cisco,ByteDance,Snapchat,Apple,Uber,Bloomberg,Adobe,Facebook,Amazon,Microsoft,Google")</f>
        <v>DoorDash,Qualtrics,Oracle,Cisco,ByteDance,Snapchat,Apple,Uber,Bloomberg,Adobe,Facebook,Amazon,Microsoft,Google</v>
      </c>
      <c r="F305" s="6" t="str">
        <f>IFERROR(__xludf.DUMMYFUNCTION("""COMPUTED_VALUE"""),"Google,Facebook,Bloomberg,ByteDance,Amazon,DoorDash")</f>
        <v>Google,Facebook,Bloomberg,ByteDance,Amazon,DoorDash</v>
      </c>
      <c r="G305" s="6" t="str">
        <f>IFERROR(__xludf.DUMMYFUNCTION("""COMPUTED_VALUE"""),"Apple,Microsoft,Oracle,Snapchat,Cisco,Google,Facebook,Bloomberg,ByteDance,Amazon,DoorDash")</f>
        <v>Apple,Microsoft,Oracle,Snapchat,Cisco,Google,Facebook,Bloomberg,ByteDance,Amazon,DoorDash</v>
      </c>
      <c r="H305" s="6" t="str">
        <f>IFERROR(__xludf.DUMMYFUNCTION("""COMPUTED_VALUE"""),"Uber,Adobe,Qualtrics,Apple,Microsoft,Oracle,Snapchat,Cisco,Google,Facebook,Bloomberg,ByteDance,Amazon,DoorDash")</f>
        <v>Uber,Adobe,Qualtrics,Apple,Microsoft,Oracle,Snapchat,Cisco,Google,Facebook,Bloomberg,ByteDance,Amazon,DoorDash</v>
      </c>
      <c r="I305" s="6">
        <f>IFERROR(__xludf.DUMMYFUNCTION("""COMPUTED_VALUE"""),45.13)</f>
        <v>45.13</v>
      </c>
      <c r="J305" s="6" t="str">
        <f>IFERROR(__xludf.DUMMYFUNCTION("""COMPUTED_VALUE"""),"算法")</f>
        <v>算法</v>
      </c>
    </row>
    <row r="306">
      <c r="A306" s="6">
        <f>IFERROR(__xludf.DUMMYFUNCTION("""COMPUTED_VALUE"""),330.0)</f>
        <v>330</v>
      </c>
      <c r="B306" s="53" t="str">
        <f>IFERROR(__xludf.DUMMYFUNCTION("""COMPUTED_VALUE"""),"Patching Array")</f>
        <v>Patching Array</v>
      </c>
      <c r="C306" s="6" t="str">
        <f>IFERROR(__xludf.DUMMYFUNCTION("""COMPUTED_VALUE"""),"Hard")</f>
        <v>Hard</v>
      </c>
      <c r="D306" s="6" t="str">
        <f>IFERROR(__xludf.DUMMYFUNCTION("""COMPUTED_VALUE"""),"Greedy")</f>
        <v>Greedy</v>
      </c>
      <c r="E306" s="6" t="str">
        <f>IFERROR(__xludf.DUMMYFUNCTION("""COMPUTED_VALUE"""),"Google")</f>
        <v>Google</v>
      </c>
      <c r="F306" s="6"/>
      <c r="G306" s="6"/>
      <c r="H306" s="6" t="str">
        <f>IFERROR(__xludf.DUMMYFUNCTION("""COMPUTED_VALUE"""),"Google")</f>
        <v>Google</v>
      </c>
      <c r="I306" s="6">
        <f>IFERROR(__xludf.DUMMYFUNCTION("""COMPUTED_VALUE"""),35.0)</f>
        <v>35</v>
      </c>
      <c r="J306" s="6" t="str">
        <f>IFERROR(__xludf.DUMMYFUNCTION("""COMPUTED_VALUE"""),"算法")</f>
        <v>算法</v>
      </c>
    </row>
    <row r="307">
      <c r="A307" s="6">
        <f>IFERROR(__xludf.DUMMYFUNCTION("""COMPUTED_VALUE"""),331.0)</f>
        <v>331</v>
      </c>
      <c r="B307" s="53" t="str">
        <f>IFERROR(__xludf.DUMMYFUNCTION("""COMPUTED_VALUE"""),"Verify Preorder Serialization of a Binary Tree")</f>
        <v>Verify Preorder Serialization of a Binary Tree</v>
      </c>
      <c r="C307" s="6" t="str">
        <f>IFERROR(__xludf.DUMMYFUNCTION("""COMPUTED_VALUE"""),"Medium")</f>
        <v>Medium</v>
      </c>
      <c r="D307" s="6" t="str">
        <f>IFERROR(__xludf.DUMMYFUNCTION("""COMPUTED_VALUE"""),"Stack")</f>
        <v>Stack</v>
      </c>
      <c r="E307" s="6" t="str">
        <f>IFERROR(__xludf.DUMMYFUNCTION("""COMPUTED_VALUE"""),"Google")</f>
        <v>Google</v>
      </c>
      <c r="F307" s="6"/>
      <c r="G307" s="6"/>
      <c r="H307" s="6" t="str">
        <f>IFERROR(__xludf.DUMMYFUNCTION("""COMPUTED_VALUE"""),"Google")</f>
        <v>Google</v>
      </c>
      <c r="I307" s="6">
        <f>IFERROR(__xludf.DUMMYFUNCTION("""COMPUTED_VALUE"""),41.05)</f>
        <v>41.05</v>
      </c>
      <c r="J307" s="6" t="str">
        <f>IFERROR(__xludf.DUMMYFUNCTION("""COMPUTED_VALUE"""),"算法")</f>
        <v>算法</v>
      </c>
    </row>
    <row r="308">
      <c r="A308" s="6">
        <f>IFERROR(__xludf.DUMMYFUNCTION("""COMPUTED_VALUE"""),332.0)</f>
        <v>332</v>
      </c>
      <c r="B308" s="53" t="str">
        <f>IFERROR(__xludf.DUMMYFUNCTION("""COMPUTED_VALUE"""),"Reconstruct Itinerary")</f>
        <v>Reconstruct Itinerary</v>
      </c>
      <c r="C308" s="6" t="str">
        <f>IFERROR(__xludf.DUMMYFUNCTION("""COMPUTED_VALUE"""),"Medium")</f>
        <v>Medium</v>
      </c>
      <c r="D308" s="6" t="str">
        <f>IFERROR(__xludf.DUMMYFUNCTION("""COMPUTED_VALUE"""),"Graph,Depth First Search")</f>
        <v>Graph,Depth First Search</v>
      </c>
      <c r="E308" s="6" t="str">
        <f>IFERROR(__xludf.DUMMYFUNCTION("""COMPUTED_VALUE"""),"Akuna Capital,Square,VMware,Twitter,Expedia,Intuit,EBay,Qualtrics,Twilio,Citadel,Snapchat,Yelp,Yandex,Apple,Uber,Bloomberg,Facebook,Amazon,Microsoft,Goldman Sachs,Google")</f>
        <v>Akuna Capital,Square,VMware,Twitter,Expedia,Intuit,EBay,Qualtrics,Twilio,Citadel,Snapchat,Yelp,Yandex,Apple,Uber,Bloomberg,Facebook,Amazon,Microsoft,Goldman Sachs,Google</v>
      </c>
      <c r="F308" s="6" t="str">
        <f>IFERROR(__xludf.DUMMYFUNCTION("""COMPUTED_VALUE"""),"Uber,Amazon,Twilio,Bloomberg,Facebook,Intuit,Microsoft,Twitter,Google,eBay,Expedia,Qualtrics,VMware")</f>
        <v>Uber,Amazon,Twilio,Bloomberg,Facebook,Intuit,Microsoft,Twitter,Google,eBay,Expedia,Qualtrics,VMware</v>
      </c>
      <c r="G308" s="6" t="str">
        <f>IFERROR(__xludf.DUMMYFUNCTION("""COMPUTED_VALUE"""),"Apple,Akuna Capital,Uber,Amazon,Twilio,Bloomberg,Facebook,Intuit,Microsoft,Twitter,Google,eBay,Expedia,Qualtrics,VMware")</f>
        <v>Apple,Akuna Capital,Uber,Amazon,Twilio,Bloomberg,Facebook,Intuit,Microsoft,Twitter,Google,eBay,Expedia,Qualtrics,VMware</v>
      </c>
      <c r="H308" s="6" t="str">
        <f>IFERROR(__xludf.DUMMYFUNCTION("""COMPUTED_VALUE"""),"Goldman Sachs,Yelp,Snapchat,Yandex,Citadel,Square,Apple,Akuna Capital,Uber,Amazon,Twilio,Bloomberg,Facebook,Intuit,Microsoft,Twitter,Google,eBay,Expedia,Qualtrics,VMware")</f>
        <v>Goldman Sachs,Yelp,Snapchat,Yandex,Citadel,Square,Apple,Akuna Capital,Uber,Amazon,Twilio,Bloomberg,Facebook,Intuit,Microsoft,Twitter,Google,eBay,Expedia,Qualtrics,VMware</v>
      </c>
      <c r="I308" s="6">
        <f>IFERROR(__xludf.DUMMYFUNCTION("""COMPUTED_VALUE"""),37.99)</f>
        <v>37.99</v>
      </c>
      <c r="J308" s="6" t="str">
        <f>IFERROR(__xludf.DUMMYFUNCTION("""COMPUTED_VALUE"""),"算法")</f>
        <v>算法</v>
      </c>
    </row>
    <row r="309">
      <c r="A309" s="6">
        <f>IFERROR(__xludf.DUMMYFUNCTION("""COMPUTED_VALUE"""),333.0)</f>
        <v>333</v>
      </c>
      <c r="B309" s="53" t="str">
        <f>IFERROR(__xludf.DUMMYFUNCTION("""COMPUTED_VALUE"""),"Largest BST Subtree")</f>
        <v>Largest BST Subtree</v>
      </c>
      <c r="C309" s="6" t="str">
        <f>IFERROR(__xludf.DUMMYFUNCTION("""COMPUTED_VALUE"""),"Medium")</f>
        <v>Medium</v>
      </c>
      <c r="D309" s="6" t="str">
        <f>IFERROR(__xludf.DUMMYFUNCTION("""COMPUTED_VALUE"""),"Tree")</f>
        <v>Tree</v>
      </c>
      <c r="E309" s="6" t="str">
        <f>IFERROR(__xludf.DUMMYFUNCTION("""COMPUTED_VALUE"""),"Bloomberg,Lyft,Apple,Facebook,Amazon,Microsoft,Google")</f>
        <v>Bloomberg,Lyft,Apple,Facebook,Amazon,Microsoft,Google</v>
      </c>
      <c r="F309" s="6" t="str">
        <f>IFERROR(__xludf.DUMMYFUNCTION("""COMPUTED_VALUE"""),"Facebook,Bloomberg")</f>
        <v>Facebook,Bloomberg</v>
      </c>
      <c r="G309" s="6" t="str">
        <f>IFERROR(__xludf.DUMMYFUNCTION("""COMPUTED_VALUE"""),"Amazon,Facebook,Bloomberg")</f>
        <v>Amazon,Facebook,Bloomberg</v>
      </c>
      <c r="H309" s="6" t="str">
        <f>IFERROR(__xludf.DUMMYFUNCTION("""COMPUTED_VALUE"""),"Lyft,Apple,Microsoft,Amazon,Facebook,Bloomberg")</f>
        <v>Lyft,Apple,Microsoft,Amazon,Facebook,Bloomberg</v>
      </c>
      <c r="I309" s="6">
        <f>IFERROR(__xludf.DUMMYFUNCTION("""COMPUTED_VALUE"""),38.08)</f>
        <v>38.08</v>
      </c>
      <c r="J309" s="6" t="str">
        <f>IFERROR(__xludf.DUMMYFUNCTION("""COMPUTED_VALUE"""),"算法")</f>
        <v>算法</v>
      </c>
    </row>
    <row r="310">
      <c r="A310" s="6">
        <f>IFERROR(__xludf.DUMMYFUNCTION("""COMPUTED_VALUE"""),334.0)</f>
        <v>334</v>
      </c>
      <c r="B310" s="53" t="str">
        <f>IFERROR(__xludf.DUMMYFUNCTION("""COMPUTED_VALUE"""),"Increasing Triplet Subsequence")</f>
        <v>Increasing Triplet Subsequence</v>
      </c>
      <c r="C310" s="6" t="str">
        <f>IFERROR(__xludf.DUMMYFUNCTION("""COMPUTED_VALUE"""),"Medium")</f>
        <v>Medium</v>
      </c>
      <c r="D310" s="6"/>
      <c r="E310" s="6" t="str">
        <f>IFERROR(__xludf.DUMMYFUNCTION("""COMPUTED_VALUE"""),"Oracle,Uber,Yahoo,Bloomberg,Facebook,Amazon,Google")</f>
        <v>Oracle,Uber,Yahoo,Bloomberg,Facebook,Amazon,Google</v>
      </c>
      <c r="F310" s="6" t="str">
        <f>IFERROR(__xludf.DUMMYFUNCTION("""COMPUTED_VALUE"""),"Google")</f>
        <v>Google</v>
      </c>
      <c r="G310" s="6" t="str">
        <f>IFERROR(__xludf.DUMMYFUNCTION("""COMPUTED_VALUE"""),"Facebook,Amazon,Google")</f>
        <v>Facebook,Amazon,Google</v>
      </c>
      <c r="H310" s="6" t="str">
        <f>IFERROR(__xludf.DUMMYFUNCTION("""COMPUTED_VALUE"""),"Oracle,Yahoo,Bloomberg,Uber,Facebook,Amazon,Google")</f>
        <v>Oracle,Yahoo,Bloomberg,Uber,Facebook,Amazon,Google</v>
      </c>
      <c r="I310" s="6">
        <f>IFERROR(__xludf.DUMMYFUNCTION("""COMPUTED_VALUE"""),40.81)</f>
        <v>40.81</v>
      </c>
      <c r="J310" s="6" t="str">
        <f>IFERROR(__xludf.DUMMYFUNCTION("""COMPUTED_VALUE"""),"算法")</f>
        <v>算法</v>
      </c>
    </row>
    <row r="311">
      <c r="A311" s="6">
        <f>IFERROR(__xludf.DUMMYFUNCTION("""COMPUTED_VALUE"""),335.0)</f>
        <v>335</v>
      </c>
      <c r="B311" s="53" t="str">
        <f>IFERROR(__xludf.DUMMYFUNCTION("""COMPUTED_VALUE"""),"Self Crossing")</f>
        <v>Self Crossing</v>
      </c>
      <c r="C311" s="6" t="str">
        <f>IFERROR(__xludf.DUMMYFUNCTION("""COMPUTED_VALUE"""),"Hard")</f>
        <v>Hard</v>
      </c>
      <c r="D311" s="6" t="str">
        <f>IFERROR(__xludf.DUMMYFUNCTION("""COMPUTED_VALUE"""),"Math")</f>
        <v>Math</v>
      </c>
      <c r="E311" s="6" t="str">
        <f>IFERROR(__xludf.DUMMYFUNCTION("""COMPUTED_VALUE"""),"Amazon,Google")</f>
        <v>Amazon,Google</v>
      </c>
      <c r="F311" s="6"/>
      <c r="G311" s="6" t="str">
        <f>IFERROR(__xludf.DUMMYFUNCTION("""COMPUTED_VALUE"""),"Google,Amazon")</f>
        <v>Google,Amazon</v>
      </c>
      <c r="H311" s="6" t="str">
        <f>IFERROR(__xludf.DUMMYFUNCTION("""COMPUTED_VALUE"""),"Google,Amazon")</f>
        <v>Google,Amazon</v>
      </c>
      <c r="I311" s="6">
        <f>IFERROR(__xludf.DUMMYFUNCTION("""COMPUTED_VALUE"""),28.69)</f>
        <v>28.69</v>
      </c>
      <c r="J311" s="6" t="str">
        <f>IFERROR(__xludf.DUMMYFUNCTION("""COMPUTED_VALUE"""),"算法")</f>
        <v>算法</v>
      </c>
    </row>
    <row r="312">
      <c r="A312" s="6">
        <f>IFERROR(__xludf.DUMMYFUNCTION("""COMPUTED_VALUE"""),336.0)</f>
        <v>336</v>
      </c>
      <c r="B312" s="53" t="str">
        <f>IFERROR(__xludf.DUMMYFUNCTION("""COMPUTED_VALUE"""),"Palindrome Pairs")</f>
        <v>Palindrome Pairs</v>
      </c>
      <c r="C312" s="6" t="str">
        <f>IFERROR(__xludf.DUMMYFUNCTION("""COMPUTED_VALUE"""),"Hard")</f>
        <v>Hard</v>
      </c>
      <c r="D312" s="6" t="str">
        <f>IFERROR(__xludf.DUMMYFUNCTION("""COMPUTED_VALUE"""),"Trie,String,Hash Table")</f>
        <v>Trie,String,Hash Table</v>
      </c>
      <c r="E312" s="6" t="str">
        <f>IFERROR(__xludf.DUMMYFUNCTION("""COMPUTED_VALUE"""),"Nutanix,ByteDance,Square,Apple,Airbnb,Uber,Bloomberg,Adobe,Facebook,Amazon,Google")</f>
        <v>Nutanix,ByteDance,Square,Apple,Airbnb,Uber,Bloomberg,Adobe,Facebook,Amazon,Google</v>
      </c>
      <c r="F312" s="6" t="str">
        <f>IFERROR(__xludf.DUMMYFUNCTION("""COMPUTED_VALUE"""),"Airbnb,ByteDance,Facebook,Amazon")</f>
        <v>Airbnb,ByteDance,Facebook,Amazon</v>
      </c>
      <c r="G312" s="6" t="str">
        <f>IFERROR(__xludf.DUMMYFUNCTION("""COMPUTED_VALUE"""),"Square,Uber,Airbnb,ByteDance,Facebook,Amazon")</f>
        <v>Square,Uber,Airbnb,ByteDance,Facebook,Amazon</v>
      </c>
      <c r="H312" s="6" t="str">
        <f>IFERROR(__xludf.DUMMYFUNCTION("""COMPUTED_VALUE"""),"Google,Apple,Nutanix,Square,Uber,Airbnb,ByteDance,Facebook,Amazon")</f>
        <v>Google,Apple,Nutanix,Square,Uber,Airbnb,ByteDance,Facebook,Amazon</v>
      </c>
      <c r="I312" s="6">
        <f>IFERROR(__xludf.DUMMYFUNCTION("""COMPUTED_VALUE"""),34.72)</f>
        <v>34.72</v>
      </c>
      <c r="J312" s="6" t="str">
        <f>IFERROR(__xludf.DUMMYFUNCTION("""COMPUTED_VALUE"""),"算法")</f>
        <v>算法</v>
      </c>
    </row>
    <row r="313">
      <c r="A313" s="6">
        <f>IFERROR(__xludf.DUMMYFUNCTION("""COMPUTED_VALUE"""),337.0)</f>
        <v>337</v>
      </c>
      <c r="B313" s="53" t="str">
        <f>IFERROR(__xludf.DUMMYFUNCTION("""COMPUTED_VALUE"""),"House Robber III")</f>
        <v>House Robber III</v>
      </c>
      <c r="C313" s="6" t="str">
        <f>IFERROR(__xludf.DUMMYFUNCTION("""COMPUTED_VALUE"""),"Medium")</f>
        <v>Medium</v>
      </c>
      <c r="D313" s="6" t="str">
        <f>IFERROR(__xludf.DUMMYFUNCTION("""COMPUTED_VALUE"""),"Dynamic Programming,Depth First Search,Tree")</f>
        <v>Dynamic Programming,Depth First Search,Tree</v>
      </c>
      <c r="E313" s="6" t="str">
        <f>IFERROR(__xludf.DUMMYFUNCTION("""COMPUTED_VALUE"""),"Uber,Facebook,Amazon,Google")</f>
        <v>Uber,Facebook,Amazon,Google</v>
      </c>
      <c r="F313" s="6" t="str">
        <f>IFERROR(__xludf.DUMMYFUNCTION("""COMPUTED_VALUE"""),"Amazon")</f>
        <v>Amazon</v>
      </c>
      <c r="G313" s="6" t="str">
        <f>IFERROR(__xludf.DUMMYFUNCTION("""COMPUTED_VALUE"""),"Google,Amazon")</f>
        <v>Google,Amazon</v>
      </c>
      <c r="H313" s="6" t="str">
        <f>IFERROR(__xludf.DUMMYFUNCTION("""COMPUTED_VALUE"""),"Uber,Google,Amazon")</f>
        <v>Uber,Google,Amazon</v>
      </c>
      <c r="I313" s="6">
        <f>IFERROR(__xludf.DUMMYFUNCTION("""COMPUTED_VALUE"""),51.99)</f>
        <v>51.99</v>
      </c>
      <c r="J313" s="6" t="str">
        <f>IFERROR(__xludf.DUMMYFUNCTION("""COMPUTED_VALUE"""),"算法")</f>
        <v>算法</v>
      </c>
    </row>
    <row r="314">
      <c r="A314" s="6">
        <f>IFERROR(__xludf.DUMMYFUNCTION("""COMPUTED_VALUE"""),340.0)</f>
        <v>340</v>
      </c>
      <c r="B314" s="53" t="str">
        <f>IFERROR(__xludf.DUMMYFUNCTION("""COMPUTED_VALUE"""),"Longest Substring with At Most K Distinct Characters")</f>
        <v>Longest Substring with At Most K Distinct Characters</v>
      </c>
      <c r="C314" s="6" t="str">
        <f>IFERROR(__xludf.DUMMYFUNCTION("""COMPUTED_VALUE"""),"Medium")</f>
        <v>Medium</v>
      </c>
      <c r="D314" s="6" t="str">
        <f>IFERROR(__xludf.DUMMYFUNCTION("""COMPUTED_VALUE"""),"Two Pointers,Sliding Window,String,Hash Table")</f>
        <v>Two Pointers,Sliding Window,String,Hash Table</v>
      </c>
      <c r="E314" s="6" t="str">
        <f>IFERROR(__xludf.DUMMYFUNCTION("""COMPUTED_VALUE"""),"LinkedIn,AppDynamics,Coupang,Citadel,Snapchat,Wish,Oracle,Uber,Bloomberg,Facebook,Amazon,Microsoft,Google")</f>
        <v>LinkedIn,AppDynamics,Coupang,Citadel,Snapchat,Wish,Oracle,Uber,Bloomberg,Facebook,Amazon,Microsoft,Google</v>
      </c>
      <c r="F314" s="6" t="str">
        <f>IFERROR(__xludf.DUMMYFUNCTION("""COMPUTED_VALUE"""),"Facebook,Uber,Amazon,Microsoft,Wish")</f>
        <v>Facebook,Uber,Amazon,Microsoft,Wish</v>
      </c>
      <c r="G314" s="6" t="str">
        <f>IFERROR(__xludf.DUMMYFUNCTION("""COMPUTED_VALUE"""),"Google,Oracle,Facebook,Uber,Amazon,Microsoft,Wish")</f>
        <v>Google,Oracle,Facebook,Uber,Amazon,Microsoft,Wish</v>
      </c>
      <c r="H314" s="6" t="str">
        <f>IFERROR(__xludf.DUMMYFUNCTION("""COMPUTED_VALUE"""),"Bloomberg,Snapchat,LinkedIn,Citadel,AppDynamics,Coupang,Google,Oracle,Facebook,Uber,Amazon,Microsoft,Wish")</f>
        <v>Bloomberg,Snapchat,LinkedIn,Citadel,AppDynamics,Coupang,Google,Oracle,Facebook,Uber,Amazon,Microsoft,Wish</v>
      </c>
      <c r="I314" s="6">
        <f>IFERROR(__xludf.DUMMYFUNCTION("""COMPUTED_VALUE"""),45.62)</f>
        <v>45.62</v>
      </c>
      <c r="J314" s="6" t="str">
        <f>IFERROR(__xludf.DUMMYFUNCTION("""COMPUTED_VALUE"""),"算法")</f>
        <v>算法</v>
      </c>
    </row>
    <row r="315">
      <c r="A315" s="6">
        <f>IFERROR(__xludf.DUMMYFUNCTION("""COMPUTED_VALUE"""),341.0)</f>
        <v>341</v>
      </c>
      <c r="B315" s="53" t="str">
        <f>IFERROR(__xludf.DUMMYFUNCTION("""COMPUTED_VALUE"""),"Flatten Nested List Iterator")</f>
        <v>Flatten Nested List Iterator</v>
      </c>
      <c r="C315" s="6" t="str">
        <f>IFERROR(__xludf.DUMMYFUNCTION("""COMPUTED_VALUE"""),"Medium")</f>
        <v>Medium</v>
      </c>
      <c r="D315" s="6" t="str">
        <f>IFERROR(__xludf.DUMMYFUNCTION("""COMPUTED_VALUE"""),"Design,Stack")</f>
        <v>Design,Stack</v>
      </c>
      <c r="E315" s="6" t="str">
        <f>IFERROR(__xludf.DUMMYFUNCTION("""COMPUTED_VALUE"""),"EBay,Pinterest,Atlassian,Splunk,VMware,Snapchat,Twitter,Oracle,Lyft,Apple,Airbnb,Uber,Bloomberg,Facebook,Amazon,LinkedIn,Microsoft,Google")</f>
        <v>EBay,Pinterest,Atlassian,Splunk,VMware,Snapchat,Twitter,Oracle,Lyft,Apple,Airbnb,Uber,Bloomberg,Facebook,Amazon,LinkedIn,Microsoft,Google</v>
      </c>
      <c r="F315" s="6" t="str">
        <f>IFERROR(__xludf.DUMMYFUNCTION("""COMPUTED_VALUE"""),"Facebook,Amazon,Apple,Airbnb,Oracle,LinkedIn")</f>
        <v>Facebook,Amazon,Apple,Airbnb,Oracle,LinkedIn</v>
      </c>
      <c r="G315" s="6" t="str">
        <f>IFERROR(__xludf.DUMMYFUNCTION("""COMPUTED_VALUE"""),"Uber,Twitter,Google,eBay,Facebook,Amazon,Apple,Airbnb,Oracle,LinkedIn")</f>
        <v>Uber,Twitter,Google,eBay,Facebook,Amazon,Apple,Airbnb,Oracle,LinkedIn</v>
      </c>
      <c r="H315" s="6" t="str">
        <f>IFERROR(__xludf.DUMMYFUNCTION("""COMPUTED_VALUE"""),"Lyft,Bloomberg,Microsoft,VMware,Uber,Twitter,Google,eBay,Facebook,Amazon,Apple,Airbnb,Oracle,LinkedIn")</f>
        <v>Lyft,Bloomberg,Microsoft,VMware,Uber,Twitter,Google,eBay,Facebook,Amazon,Apple,Airbnb,Oracle,LinkedIn</v>
      </c>
      <c r="I315" s="6">
        <f>IFERROR(__xludf.DUMMYFUNCTION("""COMPUTED_VALUE"""),54.68)</f>
        <v>54.68</v>
      </c>
      <c r="J315" s="6" t="str">
        <f>IFERROR(__xludf.DUMMYFUNCTION("""COMPUTED_VALUE"""),"算法")</f>
        <v>算法</v>
      </c>
    </row>
    <row r="316">
      <c r="A316" s="6">
        <f>IFERROR(__xludf.DUMMYFUNCTION("""COMPUTED_VALUE"""),343.0)</f>
        <v>343</v>
      </c>
      <c r="B316" s="53" t="str">
        <f>IFERROR(__xludf.DUMMYFUNCTION("""COMPUTED_VALUE"""),"Integer Break")</f>
        <v>Integer Break</v>
      </c>
      <c r="C316" s="6" t="str">
        <f>IFERROR(__xludf.DUMMYFUNCTION("""COMPUTED_VALUE"""),"Medium")</f>
        <v>Medium</v>
      </c>
      <c r="D316" s="6" t="str">
        <f>IFERROR(__xludf.DUMMYFUNCTION("""COMPUTED_VALUE"""),"Dynamic Programming,Math")</f>
        <v>Dynamic Programming,Math</v>
      </c>
      <c r="E316" s="6" t="str">
        <f>IFERROR(__xludf.DUMMYFUNCTION("""COMPUTED_VALUE"""),"Adobe,Amazon,Apple,Google")</f>
        <v>Adobe,Amazon,Apple,Google</v>
      </c>
      <c r="F316" s="6"/>
      <c r="G316" s="6" t="str">
        <f>IFERROR(__xludf.DUMMYFUNCTION("""COMPUTED_VALUE"""),"Google,Adobe")</f>
        <v>Google,Adobe</v>
      </c>
      <c r="H316" s="6" t="str">
        <f>IFERROR(__xludf.DUMMYFUNCTION("""COMPUTED_VALUE"""),"Apple,Amazon,Google,Adobe")</f>
        <v>Apple,Amazon,Google,Adobe</v>
      </c>
      <c r="I316" s="6">
        <f>IFERROR(__xludf.DUMMYFUNCTION("""COMPUTED_VALUE"""),51.27)</f>
        <v>51.27</v>
      </c>
      <c r="J316" s="6" t="str">
        <f>IFERROR(__xludf.DUMMYFUNCTION("""COMPUTED_VALUE"""),"算法")</f>
        <v>算法</v>
      </c>
    </row>
    <row r="317">
      <c r="A317" s="6">
        <f>IFERROR(__xludf.DUMMYFUNCTION("""COMPUTED_VALUE"""),344.0)</f>
        <v>344</v>
      </c>
      <c r="B317" s="53" t="str">
        <f>IFERROR(__xludf.DUMMYFUNCTION("""COMPUTED_VALUE"""),"Reverse String")</f>
        <v>Reverse String</v>
      </c>
      <c r="C317" s="6" t="str">
        <f>IFERROR(__xludf.DUMMYFUNCTION("""COMPUTED_VALUE"""),"Easy")</f>
        <v>Easy</v>
      </c>
      <c r="D317" s="6" t="str">
        <f>IFERROR(__xludf.DUMMYFUNCTION("""COMPUTED_VALUE"""),"String,Two Pointers")</f>
        <v>String,Two Pointers</v>
      </c>
      <c r="E317" s="6" t="str">
        <f>IFERROR(__xludf.DUMMYFUNCTION("""COMPUTED_VALUE"""),"ServiceNow,GoDaddy,Snapchat,Paypal,Oracle,Cisco,EBay,Apple,Uber,Bloomberg,Adobe,Facebook,Amazon,Microsoft,Goldman Sachs,Google")</f>
        <v>ServiceNow,GoDaddy,Snapchat,Paypal,Oracle,Cisco,EBay,Apple,Uber,Bloomberg,Adobe,Facebook,Amazon,Microsoft,Goldman Sachs,Google</v>
      </c>
      <c r="F317" s="6" t="str">
        <f>IFERROR(__xludf.DUMMYFUNCTION("""COMPUTED_VALUE"""),"Apple,Microsoft,Amazon,Goldman Sachs,eBay,Adobe,Bloomberg")</f>
        <v>Apple,Microsoft,Amazon,Goldman Sachs,eBay,Adobe,Bloomberg</v>
      </c>
      <c r="G317" s="6" t="str">
        <f>IFERROR(__xludf.DUMMYFUNCTION("""COMPUTED_VALUE"""),"ServiceNow,Google,Apple,Microsoft,Amazon,Goldman Sachs,eBay,Adobe,Bloomberg")</f>
        <v>ServiceNow,Google,Apple,Microsoft,Amazon,Goldman Sachs,eBay,Adobe,Bloomberg</v>
      </c>
      <c r="H317" s="6" t="str">
        <f>IFERROR(__xludf.DUMMYFUNCTION("""COMPUTED_VALUE"""),"Facebook,Oracle,Uber,Cisco,Snapchat,ServiceNow,Google,Apple,Microsoft,Amazon,Goldman Sachs,eBay,Adobe,Bloomberg")</f>
        <v>Facebook,Oracle,Uber,Cisco,Snapchat,ServiceNow,Google,Apple,Microsoft,Amazon,Goldman Sachs,eBay,Adobe,Bloomberg</v>
      </c>
      <c r="I317" s="6">
        <f>IFERROR(__xludf.DUMMYFUNCTION("""COMPUTED_VALUE"""),70.52)</f>
        <v>70.52</v>
      </c>
      <c r="J317" s="6" t="str">
        <f>IFERROR(__xludf.DUMMYFUNCTION("""COMPUTED_VALUE"""),"算法")</f>
        <v>算法</v>
      </c>
    </row>
    <row r="318">
      <c r="A318" s="6">
        <f>IFERROR(__xludf.DUMMYFUNCTION("""COMPUTED_VALUE"""),345.0)</f>
        <v>345</v>
      </c>
      <c r="B318" s="53" t="str">
        <f>IFERROR(__xludf.DUMMYFUNCTION("""COMPUTED_VALUE"""),"Reverse Vowels of a String")</f>
        <v>Reverse Vowels of a String</v>
      </c>
      <c r="C318" s="6" t="str">
        <f>IFERROR(__xludf.DUMMYFUNCTION("""COMPUTED_VALUE"""),"Easy")</f>
        <v>Easy</v>
      </c>
      <c r="D318" s="6" t="str">
        <f>IFERROR(__xludf.DUMMYFUNCTION("""COMPUTED_VALUE"""),"String,Two Pointers")</f>
        <v>String,Two Pointers</v>
      </c>
      <c r="E318" s="6" t="str">
        <f>IFERROR(__xludf.DUMMYFUNCTION("""COMPUTED_VALUE"""),"Apple,Facebook,Amazon,Google")</f>
        <v>Apple,Facebook,Amazon,Google</v>
      </c>
      <c r="F318" s="6" t="str">
        <f>IFERROR(__xludf.DUMMYFUNCTION("""COMPUTED_VALUE"""),"Facebook,Amazon,Google")</f>
        <v>Facebook,Amazon,Google</v>
      </c>
      <c r="G318" s="6" t="str">
        <f>IFERROR(__xludf.DUMMYFUNCTION("""COMPUTED_VALUE"""),"Apple,Facebook,Amazon,Google")</f>
        <v>Apple,Facebook,Amazon,Google</v>
      </c>
      <c r="H318" s="6" t="str">
        <f>IFERROR(__xludf.DUMMYFUNCTION("""COMPUTED_VALUE"""),"Apple,Facebook,Amazon,Google")</f>
        <v>Apple,Facebook,Amazon,Google</v>
      </c>
      <c r="I318" s="6">
        <f>IFERROR(__xludf.DUMMYFUNCTION("""COMPUTED_VALUE"""),45.14)</f>
        <v>45.14</v>
      </c>
      <c r="J318" s="6" t="str">
        <f>IFERROR(__xludf.DUMMYFUNCTION("""COMPUTED_VALUE"""),"算法")</f>
        <v>算法</v>
      </c>
    </row>
    <row r="319">
      <c r="A319" s="6">
        <f>IFERROR(__xludf.DUMMYFUNCTION("""COMPUTED_VALUE"""),346.0)</f>
        <v>346</v>
      </c>
      <c r="B319" s="53" t="str">
        <f>IFERROR(__xludf.DUMMYFUNCTION("""COMPUTED_VALUE"""),"Moving Average from Data Stream")</f>
        <v>Moving Average from Data Stream</v>
      </c>
      <c r="C319" s="6" t="str">
        <f>IFERROR(__xludf.DUMMYFUNCTION("""COMPUTED_VALUE"""),"Easy")</f>
        <v>Easy</v>
      </c>
      <c r="D319" s="6" t="str">
        <f>IFERROR(__xludf.DUMMYFUNCTION("""COMPUTED_VALUE"""),"Queue,Design")</f>
        <v>Queue,Design</v>
      </c>
      <c r="E319" s="6" t="str">
        <f>IFERROR(__xludf.DUMMYFUNCTION("""COMPUTED_VALUE"""),"Paypal,Spotify,Apple,AppDynamics,Indeed,Twitter,Uber,Bloomberg,Facebook,Amazon,Microsoft,Google")</f>
        <v>Paypal,Spotify,Apple,AppDynamics,Indeed,Twitter,Uber,Bloomberg,Facebook,Amazon,Microsoft,Google</v>
      </c>
      <c r="F319" s="6" t="str">
        <f>IFERROR(__xludf.DUMMYFUNCTION("""COMPUTED_VALUE"""),"Google,Apple,Spotify,Amazon,Indeed,Facebook")</f>
        <v>Google,Apple,Spotify,Amazon,Indeed,Facebook</v>
      </c>
      <c r="G319" s="6" t="str">
        <f>IFERROR(__xludf.DUMMYFUNCTION("""COMPUTED_VALUE"""),"Microsoft,AppDynamics,Paypal,Google,Apple,Spotify,Amazon,Indeed,Facebook")</f>
        <v>Microsoft,AppDynamics,Paypal,Google,Apple,Spotify,Amazon,Indeed,Facebook</v>
      </c>
      <c r="H319" s="6" t="str">
        <f>IFERROR(__xludf.DUMMYFUNCTION("""COMPUTED_VALUE"""),"Uber,Microsoft,AppDynamics,Paypal,Google,Apple,Spotify,Amazon,Indeed,Facebook")</f>
        <v>Uber,Microsoft,AppDynamics,Paypal,Google,Apple,Spotify,Amazon,Indeed,Facebook</v>
      </c>
      <c r="I319" s="6">
        <f>IFERROR(__xludf.DUMMYFUNCTION("""COMPUTED_VALUE"""),73.43)</f>
        <v>73.43</v>
      </c>
      <c r="J319" s="6" t="str">
        <f>IFERROR(__xludf.DUMMYFUNCTION("""COMPUTED_VALUE"""),"算法")</f>
        <v>算法</v>
      </c>
    </row>
    <row r="320">
      <c r="A320" s="6">
        <f>IFERROR(__xludf.DUMMYFUNCTION("""COMPUTED_VALUE"""),347.0)</f>
        <v>347</v>
      </c>
      <c r="B320" s="53" t="str">
        <f>IFERROR(__xludf.DUMMYFUNCTION("""COMPUTED_VALUE"""),"Top K Frequent Elements")</f>
        <v>Top K Frequent Elements</v>
      </c>
      <c r="C320" s="6" t="str">
        <f>IFERROR(__xludf.DUMMYFUNCTION("""COMPUTED_VALUE"""),"Medium")</f>
        <v>Medium</v>
      </c>
      <c r="D320" s="6" t="str">
        <f>IFERROR(__xludf.DUMMYFUNCTION("""COMPUTED_VALUE"""),"Heap,Hash Table")</f>
        <v>Heap,Hash Table</v>
      </c>
      <c r="E320" s="6" t="str">
        <f>IFERROR(__xludf.DUMMYFUNCTION("""COMPUTED_VALUE"""),"Booking.com,Capital One,Infosys,Hulu,Pocket Gems,ByteDance,Salesforce,VMware,Walmart Labs,Snapchat,Yelp,Oracle,Spotify,EBay,Apple,Uber,Yahoo,Bloomberg,Facebook,Amazon,LinkedIn,Microsoft,Goldman Sachs,Google")</f>
        <v>Booking.com,Capital One,Infosys,Hulu,Pocket Gems,ByteDance,Salesforce,VMware,Walmart Labs,Snapchat,Yelp,Oracle,Spotify,EBay,Apple,Uber,Yahoo,Bloomberg,Facebook,Amazon,LinkedIn,Microsoft,Goldman Sachs,Google</v>
      </c>
      <c r="F320" s="6" t="str">
        <f>IFERROR(__xludf.DUMMYFUNCTION("""COMPUTED_VALUE"""),"Capital One,Facebook,Amazon,Oracle,Apple,Bloomberg,Google,ByteDance,Walmart Labs,Yelp,Microsoft,eBay")</f>
        <v>Capital One,Facebook,Amazon,Oracle,Apple,Bloomberg,Google,ByteDance,Walmart Labs,Yelp,Microsoft,eBay</v>
      </c>
      <c r="G320" s="6" t="str">
        <f>IFERROR(__xludf.DUMMYFUNCTION("""COMPUTED_VALUE"""),"Pocket Gems,Goldman Sachs,Capital One,Facebook,Amazon,Oracle,Apple,Bloomberg,Google,ByteDance,Walmart Labs,Yelp,Microsoft,eBay")</f>
        <v>Pocket Gems,Goldman Sachs,Capital One,Facebook,Amazon,Oracle,Apple,Bloomberg,Google,ByteDance,Walmart Labs,Yelp,Microsoft,eBay</v>
      </c>
      <c r="H320" s="6" t="str">
        <f>IFERROR(__xludf.DUMMYFUNCTION("""COMPUTED_VALUE"""),"Uber,Snapchat,Spotify,VMware,Yahoo,Hulu,Booking.com,Infosys,Pocket Gems,Goldman Sachs,Capital One,Facebook,Amazon,Oracle,Apple,Bloomberg,Google,ByteDance,Walmart Labs,Yelp,Microsoft,eBay")</f>
        <v>Uber,Snapchat,Spotify,VMware,Yahoo,Hulu,Booking.com,Infosys,Pocket Gems,Goldman Sachs,Capital One,Facebook,Amazon,Oracle,Apple,Bloomberg,Google,ByteDance,Walmart Labs,Yelp,Microsoft,eBay</v>
      </c>
      <c r="I320" s="6">
        <f>IFERROR(__xludf.DUMMYFUNCTION("""COMPUTED_VALUE"""),62.5)</f>
        <v>62.5</v>
      </c>
      <c r="J320" s="6" t="str">
        <f>IFERROR(__xludf.DUMMYFUNCTION("""COMPUTED_VALUE"""),"算法")</f>
        <v>算法</v>
      </c>
    </row>
    <row r="321">
      <c r="A321" s="6">
        <f>IFERROR(__xludf.DUMMYFUNCTION("""COMPUTED_VALUE"""),348.0)</f>
        <v>348</v>
      </c>
      <c r="B321" s="53" t="str">
        <f>IFERROR(__xludf.DUMMYFUNCTION("""COMPUTED_VALUE"""),"Design Tic-Tac-Toe")</f>
        <v>Design Tic-Tac-Toe</v>
      </c>
      <c r="C321" s="6" t="str">
        <f>IFERROR(__xludf.DUMMYFUNCTION("""COMPUTED_VALUE"""),"Medium")</f>
        <v>Medium</v>
      </c>
      <c r="D321" s="6" t="str">
        <f>IFERROR(__xludf.DUMMYFUNCTION("""COMPUTED_VALUE"""),"Design")</f>
        <v>Design</v>
      </c>
      <c r="E321" s="6" t="str">
        <f>IFERROR(__xludf.DUMMYFUNCTION("""COMPUTED_VALUE"""),"DiDi,Oracle,Intuit,TripleByte,DoorDash,Salesforce,Apple,Uber,Bloomberg,Facebook,Amazon,Microsoft,Google")</f>
        <v>DiDi,Oracle,Intuit,TripleByte,DoorDash,Salesforce,Apple,Uber,Bloomberg,Facebook,Amazon,Microsoft,Google</v>
      </c>
      <c r="F321" s="6" t="str">
        <f>IFERROR(__xludf.DUMMYFUNCTION("""COMPUTED_VALUE"""),"Amazon,Microsoft,Facebook,Intuit,Apple,Oracle")</f>
        <v>Amazon,Microsoft,Facebook,Intuit,Apple,Oracle</v>
      </c>
      <c r="G321" s="6" t="str">
        <f>IFERROR(__xludf.DUMMYFUNCTION("""COMPUTED_VALUE"""),"Bloomberg,TripleByte,Salesforce,DiDi,Amazon,Microsoft,Facebook,Intuit,Apple,Oracle")</f>
        <v>Bloomberg,TripleByte,Salesforce,DiDi,Amazon,Microsoft,Facebook,Intuit,Apple,Oracle</v>
      </c>
      <c r="H321" s="6" t="str">
        <f>IFERROR(__xludf.DUMMYFUNCTION("""COMPUTED_VALUE"""),"Uber,Google,Bloomberg,TripleByte,Salesforce,DiDi,Amazon,Microsoft,Facebook,Intuit,Apple,Oracle")</f>
        <v>Uber,Google,Bloomberg,TripleByte,Salesforce,DiDi,Amazon,Microsoft,Facebook,Intuit,Apple,Oracle</v>
      </c>
      <c r="I321" s="6">
        <f>IFERROR(__xludf.DUMMYFUNCTION("""COMPUTED_VALUE"""),55.65)</f>
        <v>55.65</v>
      </c>
      <c r="J321" s="6" t="str">
        <f>IFERROR(__xludf.DUMMYFUNCTION("""COMPUTED_VALUE"""),"算法")</f>
        <v>算法</v>
      </c>
    </row>
    <row r="322">
      <c r="A322" s="6">
        <f>IFERROR(__xludf.DUMMYFUNCTION("""COMPUTED_VALUE"""),349.0)</f>
        <v>349</v>
      </c>
      <c r="B322" s="53" t="str">
        <f>IFERROR(__xludf.DUMMYFUNCTION("""COMPUTED_VALUE"""),"Intersection of Two Arrays")</f>
        <v>Intersection of Two Arrays</v>
      </c>
      <c r="C322" s="6" t="str">
        <f>IFERROR(__xludf.DUMMYFUNCTION("""COMPUTED_VALUE"""),"Easy")</f>
        <v>Easy</v>
      </c>
      <c r="D322" s="6" t="str">
        <f>IFERROR(__xludf.DUMMYFUNCTION("""COMPUTED_VALUE"""),"Sort,Binary Search,Two Pointers,Hash Table")</f>
        <v>Sort,Binary Search,Two Pointers,Hash Table</v>
      </c>
      <c r="E322" s="6" t="str">
        <f>IFERROR(__xludf.DUMMYFUNCTION("""COMPUTED_VALUE"""),"Yandex,Bloomberg,Two Sigma,ByteDance,Indeed,JPMorgan,Yelp,Oracle,Lyft,Apple,Uber,Facebook,Amazon,LinkedIn,Microsoft,Google")</f>
        <v>Yandex,Bloomberg,Two Sigma,ByteDance,Indeed,JPMorgan,Yelp,Oracle,Lyft,Apple,Uber,Facebook,Amazon,LinkedIn,Microsoft,Google</v>
      </c>
      <c r="F322" s="6" t="str">
        <f>IFERROR(__xludf.DUMMYFUNCTION("""COMPUTED_VALUE"""),"Facebook,ByteDance")</f>
        <v>Facebook,ByteDance</v>
      </c>
      <c r="G322" s="6" t="str">
        <f>IFERROR(__xludf.DUMMYFUNCTION("""COMPUTED_VALUE"""),"Amazon,Microsoft,Facebook,ByteDance")</f>
        <v>Amazon,Microsoft,Facebook,ByteDance</v>
      </c>
      <c r="H322" s="6" t="str">
        <f>IFERROR(__xludf.DUMMYFUNCTION("""COMPUTED_VALUE"""),"Oracle,Lyft,Google,LinkedIn,Apple,Bloomberg,Yandex,Two Sigma,Amazon,Microsoft,Facebook,ByteDance")</f>
        <v>Oracle,Lyft,Google,LinkedIn,Apple,Bloomberg,Yandex,Two Sigma,Amazon,Microsoft,Facebook,ByteDance</v>
      </c>
      <c r="I322" s="6">
        <f>IFERROR(__xludf.DUMMYFUNCTION("""COMPUTED_VALUE"""),65.0)</f>
        <v>65</v>
      </c>
      <c r="J322" s="6" t="str">
        <f>IFERROR(__xludf.DUMMYFUNCTION("""COMPUTED_VALUE"""),"算法")</f>
        <v>算法</v>
      </c>
    </row>
    <row r="323">
      <c r="A323" s="6">
        <f>IFERROR(__xludf.DUMMYFUNCTION("""COMPUTED_VALUE"""),350.0)</f>
        <v>350</v>
      </c>
      <c r="B323" s="53" t="str">
        <f>IFERROR(__xludf.DUMMYFUNCTION("""COMPUTED_VALUE"""),"Intersection of Two Arrays II")</f>
        <v>Intersection of Two Arrays II</v>
      </c>
      <c r="C323" s="6" t="str">
        <f>IFERROR(__xludf.DUMMYFUNCTION("""COMPUTED_VALUE"""),"Easy")</f>
        <v>Easy</v>
      </c>
      <c r="D323" s="6" t="str">
        <f>IFERROR(__xludf.DUMMYFUNCTION("""COMPUTED_VALUE"""),"Sort,Binary Search,Two Pointers,Hash Table")</f>
        <v>Sort,Binary Search,Two Pointers,Hash Table</v>
      </c>
      <c r="E323" s="6" t="str">
        <f>IFERROR(__xludf.DUMMYFUNCTION("""COMPUTED_VALUE"""),"Nutanix,Adobe,Databricks,ByteDance,Salesforce,Oracle,Yandex,Apple,Uber,Bloomberg,Facebook,Amazon,LinkedIn,Microsoft,Google")</f>
        <v>Nutanix,Adobe,Databricks,ByteDance,Salesforce,Oracle,Yandex,Apple,Uber,Bloomberg,Facebook,Amazon,LinkedIn,Microsoft,Google</v>
      </c>
      <c r="F323" s="6" t="str">
        <f>IFERROR(__xludf.DUMMYFUNCTION("""COMPUTED_VALUE"""),"Google,Facebook,Amazon,Oracle")</f>
        <v>Google,Facebook,Amazon,Oracle</v>
      </c>
      <c r="G323" s="6" t="str">
        <f>IFERROR(__xludf.DUMMYFUNCTION("""COMPUTED_VALUE"""),"ByteDance,Bloomberg,Microsoft,Google,Facebook,Amazon,Oracle")</f>
        <v>ByteDance,Bloomberg,Microsoft,Google,Facebook,Amazon,Oracle</v>
      </c>
      <c r="H323" s="6" t="str">
        <f>IFERROR(__xludf.DUMMYFUNCTION("""COMPUTED_VALUE"""),"Apple,LinkedIn,Yandex,Adobe,Nutanix,ByteDance,Bloomberg,Microsoft,Google,Facebook,Amazon,Oracle")</f>
        <v>Apple,LinkedIn,Yandex,Adobe,Nutanix,ByteDance,Bloomberg,Microsoft,Google,Facebook,Amazon,Oracle</v>
      </c>
      <c r="I323" s="6">
        <f>IFERROR(__xludf.DUMMYFUNCTION("""COMPUTED_VALUE"""),51.99)</f>
        <v>51.99</v>
      </c>
      <c r="J323" s="6" t="str">
        <f>IFERROR(__xludf.DUMMYFUNCTION("""COMPUTED_VALUE"""),"算法")</f>
        <v>算法</v>
      </c>
    </row>
    <row r="324">
      <c r="A324" s="6">
        <f>IFERROR(__xludf.DUMMYFUNCTION("""COMPUTED_VALUE"""),351.0)</f>
        <v>351</v>
      </c>
      <c r="B324" s="53" t="str">
        <f>IFERROR(__xludf.DUMMYFUNCTION("""COMPUTED_VALUE"""),"Android Unlock Patterns")</f>
        <v>Android Unlock Patterns</v>
      </c>
      <c r="C324" s="6" t="str">
        <f>IFERROR(__xludf.DUMMYFUNCTION("""COMPUTED_VALUE"""),"Medium")</f>
        <v>Medium</v>
      </c>
      <c r="D324" s="6" t="str">
        <f>IFERROR(__xludf.DUMMYFUNCTION("""COMPUTED_VALUE"""),"Backtracking,Dynamic Programming")</f>
        <v>Backtracking,Dynamic Programming</v>
      </c>
      <c r="E324" s="6" t="str">
        <f>IFERROR(__xludf.DUMMYFUNCTION("""COMPUTED_VALUE"""),"Microsoft,ByteDance,Apple,Amazon,Google")</f>
        <v>Microsoft,ByteDance,Apple,Amazon,Google</v>
      </c>
      <c r="F324" s="6" t="str">
        <f>IFERROR(__xludf.DUMMYFUNCTION("""COMPUTED_VALUE"""),"Google,Microsoft")</f>
        <v>Google,Microsoft</v>
      </c>
      <c r="G324" s="6" t="str">
        <f>IFERROR(__xludf.DUMMYFUNCTION("""COMPUTED_VALUE"""),"Apple,ByteDance,Google,Microsoft")</f>
        <v>Apple,ByteDance,Google,Microsoft</v>
      </c>
      <c r="H324" s="6" t="str">
        <f>IFERROR(__xludf.DUMMYFUNCTION("""COMPUTED_VALUE"""),"Amazon,Apple,ByteDance,Google,Microsoft")</f>
        <v>Amazon,Apple,ByteDance,Google,Microsoft</v>
      </c>
      <c r="I324" s="6">
        <f>IFERROR(__xludf.DUMMYFUNCTION("""COMPUTED_VALUE"""),49.76)</f>
        <v>49.76</v>
      </c>
      <c r="J324" s="6" t="str">
        <f>IFERROR(__xludf.DUMMYFUNCTION("""COMPUTED_VALUE"""),"算法")</f>
        <v>算法</v>
      </c>
    </row>
    <row r="325">
      <c r="A325" s="6">
        <f>IFERROR(__xludf.DUMMYFUNCTION("""COMPUTED_VALUE"""),352.0)</f>
        <v>352</v>
      </c>
      <c r="B325" s="53" t="str">
        <f>IFERROR(__xludf.DUMMYFUNCTION("""COMPUTED_VALUE"""),"Data Stream as Disjoint Intervals")</f>
        <v>Data Stream as Disjoint Intervals</v>
      </c>
      <c r="C325" s="6" t="str">
        <f>IFERROR(__xludf.DUMMYFUNCTION("""COMPUTED_VALUE"""),"Hard")</f>
        <v>Hard</v>
      </c>
      <c r="D325" s="6" t="str">
        <f>IFERROR(__xludf.DUMMYFUNCTION("""COMPUTED_VALUE"""),"Ordered Map,Binary Search")</f>
        <v>Ordered Map,Binary Search</v>
      </c>
      <c r="E325" s="6" t="str">
        <f>IFERROR(__xludf.DUMMYFUNCTION("""COMPUTED_VALUE"""),"Uber,Oracle,Facebook,Amazon,Google")</f>
        <v>Uber,Oracle,Facebook,Amazon,Google</v>
      </c>
      <c r="F325" s="6" t="str">
        <f>IFERROR(__xludf.DUMMYFUNCTION("""COMPUTED_VALUE"""),"Oracle")</f>
        <v>Oracle</v>
      </c>
      <c r="G325" s="6" t="str">
        <f>IFERROR(__xludf.DUMMYFUNCTION("""COMPUTED_VALUE"""),"Amazon,Oracle")</f>
        <v>Amazon,Oracle</v>
      </c>
      <c r="H325" s="6" t="str">
        <f>IFERROR(__xludf.DUMMYFUNCTION("""COMPUTED_VALUE"""),"Facebook,Google,Uber,Amazon,Oracle")</f>
        <v>Facebook,Google,Uber,Amazon,Oracle</v>
      </c>
      <c r="I325" s="6">
        <f>IFERROR(__xludf.DUMMYFUNCTION("""COMPUTED_VALUE"""),48.72)</f>
        <v>48.72</v>
      </c>
      <c r="J325" s="6" t="str">
        <f>IFERROR(__xludf.DUMMYFUNCTION("""COMPUTED_VALUE"""),"算法")</f>
        <v>算法</v>
      </c>
    </row>
    <row r="326">
      <c r="A326" s="6">
        <f>IFERROR(__xludf.DUMMYFUNCTION("""COMPUTED_VALUE"""),353.0)</f>
        <v>353</v>
      </c>
      <c r="B326" s="53" t="str">
        <f>IFERROR(__xludf.DUMMYFUNCTION("""COMPUTED_VALUE"""),"Design Snake Game")</f>
        <v>Design Snake Game</v>
      </c>
      <c r="C326" s="6" t="str">
        <f>IFERROR(__xludf.DUMMYFUNCTION("""COMPUTED_VALUE"""),"Medium")</f>
        <v>Medium</v>
      </c>
      <c r="D326" s="6" t="str">
        <f>IFERROR(__xludf.DUMMYFUNCTION("""COMPUTED_VALUE"""),"Queue,Design")</f>
        <v>Queue,Design</v>
      </c>
      <c r="E326" s="6" t="str">
        <f>IFERROR(__xludf.DUMMYFUNCTION("""COMPUTED_VALUE"""),"Apple,Bloomberg,Microsoft,Salesforce,Zillow,Uber,Facebook,Amazon,Google")</f>
        <v>Apple,Bloomberg,Microsoft,Salesforce,Zillow,Uber,Facebook,Amazon,Google</v>
      </c>
      <c r="F326" s="6" t="str">
        <f>IFERROR(__xludf.DUMMYFUNCTION("""COMPUTED_VALUE"""),"Amazon,Microsoft")</f>
        <v>Amazon,Microsoft</v>
      </c>
      <c r="G326" s="6" t="str">
        <f>IFERROR(__xludf.DUMMYFUNCTION("""COMPUTED_VALUE"""),"Apple,Bloomberg,Amazon,Microsoft")</f>
        <v>Apple,Bloomberg,Amazon,Microsoft</v>
      </c>
      <c r="H326" s="6" t="str">
        <f>IFERROR(__xludf.DUMMYFUNCTION("""COMPUTED_VALUE"""),"Google,Uber,Apple,Bloomberg,Amazon,Microsoft")</f>
        <v>Google,Uber,Apple,Bloomberg,Amazon,Microsoft</v>
      </c>
      <c r="I326" s="6">
        <f>IFERROR(__xludf.DUMMYFUNCTION("""COMPUTED_VALUE"""),35.98)</f>
        <v>35.98</v>
      </c>
      <c r="J326" s="6" t="str">
        <f>IFERROR(__xludf.DUMMYFUNCTION("""COMPUTED_VALUE"""),"算法")</f>
        <v>算法</v>
      </c>
    </row>
    <row r="327">
      <c r="A327" s="6">
        <f>IFERROR(__xludf.DUMMYFUNCTION("""COMPUTED_VALUE"""),354.0)</f>
        <v>354</v>
      </c>
      <c r="B327" s="53" t="str">
        <f>IFERROR(__xludf.DUMMYFUNCTION("""COMPUTED_VALUE"""),"Russian Doll Envelopes")</f>
        <v>Russian Doll Envelopes</v>
      </c>
      <c r="C327" s="6" t="str">
        <f>IFERROR(__xludf.DUMMYFUNCTION("""COMPUTED_VALUE"""),"Hard")</f>
        <v>Hard</v>
      </c>
      <c r="D327" s="6" t="str">
        <f>IFERROR(__xludf.DUMMYFUNCTION("""COMPUTED_VALUE"""),"Dynamic Programming,Binary Search")</f>
        <v>Dynamic Programming,Binary Search</v>
      </c>
      <c r="E327" s="6" t="str">
        <f>IFERROR(__xludf.DUMMYFUNCTION("""COMPUTED_VALUE"""),"ByteDance,Uber,Amazon,Microsoft,Google")</f>
        <v>ByteDance,Uber,Amazon,Microsoft,Google</v>
      </c>
      <c r="F327" s="6" t="str">
        <f>IFERROR(__xludf.DUMMYFUNCTION("""COMPUTED_VALUE"""),"Google,Amazon,Uber,ByteDance,Microsoft")</f>
        <v>Google,Amazon,Uber,ByteDance,Microsoft</v>
      </c>
      <c r="G327" s="6" t="str">
        <f>IFERROR(__xludf.DUMMYFUNCTION("""COMPUTED_VALUE"""),"Google,Amazon,Uber,ByteDance,Microsoft")</f>
        <v>Google,Amazon,Uber,ByteDance,Microsoft</v>
      </c>
      <c r="H327" s="6" t="str">
        <f>IFERROR(__xludf.DUMMYFUNCTION("""COMPUTED_VALUE"""),"Google,Amazon,Uber,ByteDance,Microsoft")</f>
        <v>Google,Amazon,Uber,ByteDance,Microsoft</v>
      </c>
      <c r="I327" s="6">
        <f>IFERROR(__xludf.DUMMYFUNCTION("""COMPUTED_VALUE"""),36.44)</f>
        <v>36.44</v>
      </c>
      <c r="J327" s="6" t="str">
        <f>IFERROR(__xludf.DUMMYFUNCTION("""COMPUTED_VALUE"""),"算法")</f>
        <v>算法</v>
      </c>
    </row>
    <row r="328">
      <c r="A328" s="6">
        <f>IFERROR(__xludf.DUMMYFUNCTION("""COMPUTED_VALUE"""),356.0)</f>
        <v>356</v>
      </c>
      <c r="B328" s="53" t="str">
        <f>IFERROR(__xludf.DUMMYFUNCTION("""COMPUTED_VALUE"""),"Line Reflection")</f>
        <v>Line Reflection</v>
      </c>
      <c r="C328" s="6" t="str">
        <f>IFERROR(__xludf.DUMMYFUNCTION("""COMPUTED_VALUE"""),"Medium")</f>
        <v>Medium</v>
      </c>
      <c r="D328" s="6" t="str">
        <f>IFERROR(__xludf.DUMMYFUNCTION("""COMPUTED_VALUE"""),"Math,Hash Table")</f>
        <v>Math,Hash Table</v>
      </c>
      <c r="E328" s="6" t="str">
        <f>IFERROR(__xludf.DUMMYFUNCTION("""COMPUTED_VALUE"""),"Yandex,Amazon,Google")</f>
        <v>Yandex,Amazon,Google</v>
      </c>
      <c r="F328" s="6" t="str">
        <f>IFERROR(__xludf.DUMMYFUNCTION("""COMPUTED_VALUE"""),"Yandex")</f>
        <v>Yandex</v>
      </c>
      <c r="G328" s="6" t="str">
        <f>IFERROR(__xludf.DUMMYFUNCTION("""COMPUTED_VALUE"""),"Amazon,Yandex")</f>
        <v>Amazon,Yandex</v>
      </c>
      <c r="H328" s="6" t="str">
        <f>IFERROR(__xludf.DUMMYFUNCTION("""COMPUTED_VALUE"""),"Google,Amazon,Yandex")</f>
        <v>Google,Amazon,Yandex</v>
      </c>
      <c r="I328" s="6">
        <f>IFERROR(__xludf.DUMMYFUNCTION("""COMPUTED_VALUE"""),32.98)</f>
        <v>32.98</v>
      </c>
      <c r="J328" s="6" t="str">
        <f>IFERROR(__xludf.DUMMYFUNCTION("""COMPUTED_VALUE"""),"算法")</f>
        <v>算法</v>
      </c>
    </row>
    <row r="329">
      <c r="A329" s="6">
        <f>IFERROR(__xludf.DUMMYFUNCTION("""COMPUTED_VALUE"""),357.0)</f>
        <v>357</v>
      </c>
      <c r="B329" s="53" t="str">
        <f>IFERROR(__xludf.DUMMYFUNCTION("""COMPUTED_VALUE"""),"Count Numbers with Unique Digits")</f>
        <v>Count Numbers with Unique Digits</v>
      </c>
      <c r="C329" s="6" t="str">
        <f>IFERROR(__xludf.DUMMYFUNCTION("""COMPUTED_VALUE"""),"Medium")</f>
        <v>Medium</v>
      </c>
      <c r="D329" s="6" t="str">
        <f>IFERROR(__xludf.DUMMYFUNCTION("""COMPUTED_VALUE"""),"Backtracking,Dynamic Programming,Math")</f>
        <v>Backtracking,Dynamic Programming,Math</v>
      </c>
      <c r="E329" s="6" t="str">
        <f>IFERROR(__xludf.DUMMYFUNCTION("""COMPUTED_VALUE"""),"Google")</f>
        <v>Google</v>
      </c>
      <c r="F329" s="6"/>
      <c r="G329" s="6"/>
      <c r="H329" s="6" t="str">
        <f>IFERROR(__xludf.DUMMYFUNCTION("""COMPUTED_VALUE"""),"Google")</f>
        <v>Google</v>
      </c>
      <c r="I329" s="6">
        <f>IFERROR(__xludf.DUMMYFUNCTION("""COMPUTED_VALUE"""),48.9)</f>
        <v>48.9</v>
      </c>
      <c r="J329" s="6" t="str">
        <f>IFERROR(__xludf.DUMMYFUNCTION("""COMPUTED_VALUE"""),"算法")</f>
        <v>算法</v>
      </c>
    </row>
    <row r="330">
      <c r="A330" s="6">
        <f>IFERROR(__xludf.DUMMYFUNCTION("""COMPUTED_VALUE"""),358.0)</f>
        <v>358</v>
      </c>
      <c r="B330" s="53" t="str">
        <f>IFERROR(__xludf.DUMMYFUNCTION("""COMPUTED_VALUE"""),"Rearrange String k Distance Apart")</f>
        <v>Rearrange String k Distance Apart</v>
      </c>
      <c r="C330" s="6" t="str">
        <f>IFERROR(__xludf.DUMMYFUNCTION("""COMPUTED_VALUE"""),"Hard")</f>
        <v>Hard</v>
      </c>
      <c r="D330" s="6" t="str">
        <f>IFERROR(__xludf.DUMMYFUNCTION("""COMPUTED_VALUE"""),"Greedy,Heap,Hash Table")</f>
        <v>Greedy,Heap,Hash Table</v>
      </c>
      <c r="E330" s="6" t="str">
        <f>IFERROR(__xludf.DUMMYFUNCTION("""COMPUTED_VALUE"""),"EBay,Facebook,Amazon,Microsoft,Google")</f>
        <v>EBay,Facebook,Amazon,Microsoft,Google</v>
      </c>
      <c r="F330" s="6"/>
      <c r="G330" s="6" t="str">
        <f>IFERROR(__xludf.DUMMYFUNCTION("""COMPUTED_VALUE"""),"Microsoft,Facebook")</f>
        <v>Microsoft,Facebook</v>
      </c>
      <c r="H330" s="6" t="str">
        <f>IFERROR(__xludf.DUMMYFUNCTION("""COMPUTED_VALUE"""),"Google,Amazon,Microsoft,Facebook")</f>
        <v>Google,Amazon,Microsoft,Facebook</v>
      </c>
      <c r="I330" s="6">
        <f>IFERROR(__xludf.DUMMYFUNCTION("""COMPUTED_VALUE"""),35.7)</f>
        <v>35.7</v>
      </c>
      <c r="J330" s="6" t="str">
        <f>IFERROR(__xludf.DUMMYFUNCTION("""COMPUTED_VALUE"""),"算法")</f>
        <v>算法</v>
      </c>
    </row>
    <row r="331">
      <c r="A331" s="6">
        <f>IFERROR(__xludf.DUMMYFUNCTION("""COMPUTED_VALUE"""),359.0)</f>
        <v>359</v>
      </c>
      <c r="B331" s="53" t="str">
        <f>IFERROR(__xludf.DUMMYFUNCTION("""COMPUTED_VALUE"""),"Logger Rate Limiter")</f>
        <v>Logger Rate Limiter</v>
      </c>
      <c r="C331" s="6" t="str">
        <f>IFERROR(__xludf.DUMMYFUNCTION("""COMPUTED_VALUE"""),"Easy")</f>
        <v>Easy</v>
      </c>
      <c r="D331" s="6" t="str">
        <f>IFERROR(__xludf.DUMMYFUNCTION("""COMPUTED_VALUE"""),"Design,Hash Table")</f>
        <v>Design,Hash Table</v>
      </c>
      <c r="E331" s="6" t="str">
        <f>IFERROR(__xludf.DUMMYFUNCTION("""COMPUTED_VALUE"""),"Citadel,Oracle,Microsoft,Atlassian,Apple,Uber,Bloomberg,Amazon,LinkedIn,Google")</f>
        <v>Citadel,Oracle,Microsoft,Atlassian,Apple,Uber,Bloomberg,Amazon,LinkedIn,Google</v>
      </c>
      <c r="F331" s="6" t="str">
        <f>IFERROR(__xludf.DUMMYFUNCTION("""COMPUTED_VALUE"""),"Google,Apple,Amazon,Microsoft,Oracle")</f>
        <v>Google,Apple,Amazon,Microsoft,Oracle</v>
      </c>
      <c r="G331" s="6" t="str">
        <f>IFERROR(__xludf.DUMMYFUNCTION("""COMPUTED_VALUE"""),"Atlassian,Bloomberg,Citadel,Google,Apple,Amazon,Microsoft,Oracle")</f>
        <v>Atlassian,Bloomberg,Citadel,Google,Apple,Amazon,Microsoft,Oracle</v>
      </c>
      <c r="H331" s="6" t="str">
        <f>IFERROR(__xludf.DUMMYFUNCTION("""COMPUTED_VALUE"""),"Uber,Atlassian,Bloomberg,Citadel,Google,Apple,Amazon,Microsoft,Oracle")</f>
        <v>Uber,Atlassian,Bloomberg,Citadel,Google,Apple,Amazon,Microsoft,Oracle</v>
      </c>
      <c r="I331" s="6">
        <f>IFERROR(__xludf.DUMMYFUNCTION("""COMPUTED_VALUE"""),72.4)</f>
        <v>72.4</v>
      </c>
      <c r="J331" s="6" t="str">
        <f>IFERROR(__xludf.DUMMYFUNCTION("""COMPUTED_VALUE"""),"算法")</f>
        <v>算法</v>
      </c>
    </row>
    <row r="332">
      <c r="A332" s="6">
        <f>IFERROR(__xludf.DUMMYFUNCTION("""COMPUTED_VALUE"""),360.0)</f>
        <v>360</v>
      </c>
      <c r="B332" s="53" t="str">
        <f>IFERROR(__xludf.DUMMYFUNCTION("""COMPUTED_VALUE"""),"Sort Transformed Array")</f>
        <v>Sort Transformed Array</v>
      </c>
      <c r="C332" s="6" t="str">
        <f>IFERROR(__xludf.DUMMYFUNCTION("""COMPUTED_VALUE"""),"Medium")</f>
        <v>Medium</v>
      </c>
      <c r="D332" s="6" t="str">
        <f>IFERROR(__xludf.DUMMYFUNCTION("""COMPUTED_VALUE"""),"Sort,Two Pointers,Math")</f>
        <v>Sort,Two Pointers,Math</v>
      </c>
      <c r="E332" s="6" t="str">
        <f>IFERROR(__xludf.DUMMYFUNCTION("""COMPUTED_VALUE"""),"LinkedIn,Facebook,Google")</f>
        <v>LinkedIn,Facebook,Google</v>
      </c>
      <c r="F332" s="6" t="str">
        <f>IFERROR(__xludf.DUMMYFUNCTION("""COMPUTED_VALUE"""),"Google")</f>
        <v>Google</v>
      </c>
      <c r="G332" s="6" t="str">
        <f>IFERROR(__xludf.DUMMYFUNCTION("""COMPUTED_VALUE"""),"Google")</f>
        <v>Google</v>
      </c>
      <c r="H332" s="6" t="str">
        <f>IFERROR(__xludf.DUMMYFUNCTION("""COMPUTED_VALUE"""),"LinkedIn,Google")</f>
        <v>LinkedIn,Google</v>
      </c>
      <c r="I332" s="6">
        <f>IFERROR(__xludf.DUMMYFUNCTION("""COMPUTED_VALUE"""),49.77)</f>
        <v>49.77</v>
      </c>
      <c r="J332" s="6" t="str">
        <f>IFERROR(__xludf.DUMMYFUNCTION("""COMPUTED_VALUE"""),"算法")</f>
        <v>算法</v>
      </c>
    </row>
    <row r="333">
      <c r="A333" s="6">
        <f>IFERROR(__xludf.DUMMYFUNCTION("""COMPUTED_VALUE"""),361.0)</f>
        <v>361</v>
      </c>
      <c r="B333" s="53" t="str">
        <f>IFERROR(__xludf.DUMMYFUNCTION("""COMPUTED_VALUE"""),"Bomb Enemy")</f>
        <v>Bomb Enemy</v>
      </c>
      <c r="C333" s="6" t="str">
        <f>IFERROR(__xludf.DUMMYFUNCTION("""COMPUTED_VALUE"""),"Medium")</f>
        <v>Medium</v>
      </c>
      <c r="D333" s="6" t="str">
        <f>IFERROR(__xludf.DUMMYFUNCTION("""COMPUTED_VALUE"""),"Dynamic Programming")</f>
        <v>Dynamic Programming</v>
      </c>
      <c r="E333" s="6" t="str">
        <f>IFERROR(__xludf.DUMMYFUNCTION("""COMPUTED_VALUE"""),"Uber,Amazon,Google")</f>
        <v>Uber,Amazon,Google</v>
      </c>
      <c r="F333" s="6" t="str">
        <f>IFERROR(__xludf.DUMMYFUNCTION("""COMPUTED_VALUE"""),"Google")</f>
        <v>Google</v>
      </c>
      <c r="G333" s="6" t="str">
        <f>IFERROR(__xludf.DUMMYFUNCTION("""COMPUTED_VALUE"""),"Amazon,Google")</f>
        <v>Amazon,Google</v>
      </c>
      <c r="H333" s="6" t="str">
        <f>IFERROR(__xludf.DUMMYFUNCTION("""COMPUTED_VALUE"""),"Uber,Amazon,Google")</f>
        <v>Uber,Amazon,Google</v>
      </c>
      <c r="I333" s="6">
        <f>IFERROR(__xludf.DUMMYFUNCTION("""COMPUTED_VALUE"""),46.75)</f>
        <v>46.75</v>
      </c>
      <c r="J333" s="6" t="str">
        <f>IFERROR(__xludf.DUMMYFUNCTION("""COMPUTED_VALUE"""),"算法")</f>
        <v>算法</v>
      </c>
    </row>
    <row r="334">
      <c r="A334" s="6">
        <f>IFERROR(__xludf.DUMMYFUNCTION("""COMPUTED_VALUE"""),362.0)</f>
        <v>362</v>
      </c>
      <c r="B334" s="53" t="str">
        <f>IFERROR(__xludf.DUMMYFUNCTION("""COMPUTED_VALUE"""),"Design Hit Counter")</f>
        <v>Design Hit Counter</v>
      </c>
      <c r="C334" s="6" t="str">
        <f>IFERROR(__xludf.DUMMYFUNCTION("""COMPUTED_VALUE"""),"Medium")</f>
        <v>Medium</v>
      </c>
      <c r="D334" s="6" t="str">
        <f>IFERROR(__xludf.DUMMYFUNCTION("""COMPUTED_VALUE"""),"Design")</f>
        <v>Design</v>
      </c>
      <c r="E334" s="6" t="str">
        <f>IFERROR(__xludf.DUMMYFUNCTION("""COMPUTED_VALUE"""),"Citadel,Cisco,Yandex,Netflix,Quip (Salesforce),Pinterest,Atlassian,Booking.com,Visa,Affirm,Dropbox,Snapchat,Indeed,Zillow,Oracle,Apple,Uber,Yahoo,Bloomberg,Amazon,LinkedIn,Microsoft,Google")</f>
        <v>Citadel,Cisco,Yandex,Netflix,Quip (Salesforce),Pinterest,Atlassian,Booking.com,Visa,Affirm,Dropbox,Snapchat,Indeed,Zillow,Oracle,Apple,Uber,Yahoo,Bloomberg,Amazon,LinkedIn,Microsoft,Google</v>
      </c>
      <c r="F334" s="6" t="str">
        <f>IFERROR(__xludf.DUMMYFUNCTION("""COMPUTED_VALUE"""),"Amazon,Microsoft,Apple,Bloomberg,Oracle,Google,Yandex")</f>
        <v>Amazon,Microsoft,Apple,Bloomberg,Oracle,Google,Yandex</v>
      </c>
      <c r="G334" s="6" t="str">
        <f>IFERROR(__xludf.DUMMYFUNCTION("""COMPUTED_VALUE"""),"Atlassian,Dropbox,Pinterest,Cisco,Netflix,Citadel,Amazon,Microsoft,Apple,Bloomberg,Oracle,Google,Yandex")</f>
        <v>Atlassian,Dropbox,Pinterest,Cisco,Netflix,Citadel,Amazon,Microsoft,Apple,Bloomberg,Oracle,Google,Yandex</v>
      </c>
      <c r="H334" s="6" t="str">
        <f>IFERROR(__xludf.DUMMYFUNCTION("""COMPUTED_VALUE"""),"Quip (Salesforce),Indeed,Affirm,Visa,Snapchat,LinkedIn,Booking.com,Atlassian,Dropbox,Pinterest,Cisco,Netflix,Citadel,Amazon,Microsoft,Apple,Bloomberg,Oracle,Google,Yandex")</f>
        <v>Quip (Salesforce),Indeed,Affirm,Visa,Snapchat,LinkedIn,Booking.com,Atlassian,Dropbox,Pinterest,Cisco,Netflix,Citadel,Amazon,Microsoft,Apple,Bloomberg,Oracle,Google,Yandex</v>
      </c>
      <c r="I334" s="6">
        <f>IFERROR(__xludf.DUMMYFUNCTION("""COMPUTED_VALUE"""),65.38)</f>
        <v>65.38</v>
      </c>
      <c r="J334" s="6" t="str">
        <f>IFERROR(__xludf.DUMMYFUNCTION("""COMPUTED_VALUE"""),"算法")</f>
        <v>算法</v>
      </c>
    </row>
    <row r="335">
      <c r="A335" s="6">
        <f>IFERROR(__xludf.DUMMYFUNCTION("""COMPUTED_VALUE"""),363.0)</f>
        <v>363</v>
      </c>
      <c r="B335" s="53" t="str">
        <f>IFERROR(__xludf.DUMMYFUNCTION("""COMPUTED_VALUE"""),"Max Sum of Rectangle No Larger Than K")</f>
        <v>Max Sum of Rectangle No Larger Than K</v>
      </c>
      <c r="C335" s="6" t="str">
        <f>IFERROR(__xludf.DUMMYFUNCTION("""COMPUTED_VALUE"""),"Hard")</f>
        <v>Hard</v>
      </c>
      <c r="D335" s="6" t="str">
        <f>IFERROR(__xludf.DUMMYFUNCTION("""COMPUTED_VALUE"""),"Queue,Dynamic Programming,Binary Search")</f>
        <v>Queue,Dynamic Programming,Binary Search</v>
      </c>
      <c r="E335" s="6" t="str">
        <f>IFERROR(__xludf.DUMMYFUNCTION("""COMPUTED_VALUE"""),"Roblox,Facebook,Google")</f>
        <v>Roblox,Facebook,Google</v>
      </c>
      <c r="F335" s="6" t="str">
        <f>IFERROR(__xludf.DUMMYFUNCTION("""COMPUTED_VALUE"""),"Roblox")</f>
        <v>Roblox</v>
      </c>
      <c r="G335" s="6" t="str">
        <f>IFERROR(__xludf.DUMMYFUNCTION("""COMPUTED_VALUE"""),"Google,Roblox")</f>
        <v>Google,Roblox</v>
      </c>
      <c r="H335" s="6" t="str">
        <f>IFERROR(__xludf.DUMMYFUNCTION("""COMPUTED_VALUE"""),"Facebook,Google,Roblox")</f>
        <v>Facebook,Google,Roblox</v>
      </c>
      <c r="I335" s="6">
        <f>IFERROR(__xludf.DUMMYFUNCTION("""COMPUTED_VALUE"""),38.45)</f>
        <v>38.45</v>
      </c>
      <c r="J335" s="6" t="str">
        <f>IFERROR(__xludf.DUMMYFUNCTION("""COMPUTED_VALUE"""),"算法")</f>
        <v>算法</v>
      </c>
    </row>
    <row r="336">
      <c r="A336" s="6">
        <f>IFERROR(__xludf.DUMMYFUNCTION("""COMPUTED_VALUE"""),365.0)</f>
        <v>365</v>
      </c>
      <c r="B336" s="53" t="str">
        <f>IFERROR(__xludf.DUMMYFUNCTION("""COMPUTED_VALUE"""),"Water and Jug Problem")</f>
        <v>Water and Jug Problem</v>
      </c>
      <c r="C336" s="6" t="str">
        <f>IFERROR(__xludf.DUMMYFUNCTION("""COMPUTED_VALUE"""),"Medium")</f>
        <v>Medium</v>
      </c>
      <c r="D336" s="6" t="str">
        <f>IFERROR(__xludf.DUMMYFUNCTION("""COMPUTED_VALUE"""),"Math")</f>
        <v>Math</v>
      </c>
      <c r="E336" s="6" t="str">
        <f>IFERROR(__xludf.DUMMYFUNCTION("""COMPUTED_VALUE"""),"Lyft,Uber,Amazon,Microsoft,Google")</f>
        <v>Lyft,Uber,Amazon,Microsoft,Google</v>
      </c>
      <c r="F336" s="6" t="str">
        <f>IFERROR(__xludf.DUMMYFUNCTION("""COMPUTED_VALUE"""),"Lyft,Google")</f>
        <v>Lyft,Google</v>
      </c>
      <c r="G336" s="6" t="str">
        <f>IFERROR(__xludf.DUMMYFUNCTION("""COMPUTED_VALUE"""),"Lyft,Google")</f>
        <v>Lyft,Google</v>
      </c>
      <c r="H336" s="6" t="str">
        <f>IFERROR(__xludf.DUMMYFUNCTION("""COMPUTED_VALUE"""),"Uber,Microsoft,Lyft,Google")</f>
        <v>Uber,Microsoft,Lyft,Google</v>
      </c>
      <c r="I336" s="6">
        <f>IFERROR(__xludf.DUMMYFUNCTION("""COMPUTED_VALUE"""),31.16)</f>
        <v>31.16</v>
      </c>
      <c r="J336" s="6" t="str">
        <f>IFERROR(__xludf.DUMMYFUNCTION("""COMPUTED_VALUE"""),"算法")</f>
        <v>算法</v>
      </c>
    </row>
    <row r="337">
      <c r="A337" s="6">
        <f>IFERROR(__xludf.DUMMYFUNCTION("""COMPUTED_VALUE"""),366.0)</f>
        <v>366</v>
      </c>
      <c r="B337" s="53" t="str">
        <f>IFERROR(__xludf.DUMMYFUNCTION("""COMPUTED_VALUE"""),"Find Leaves of Binary Tree")</f>
        <v>Find Leaves of Binary Tree</v>
      </c>
      <c r="C337" s="6" t="str">
        <f>IFERROR(__xludf.DUMMYFUNCTION("""COMPUTED_VALUE"""),"Medium")</f>
        <v>Medium</v>
      </c>
      <c r="D337" s="6" t="str">
        <f>IFERROR(__xludf.DUMMYFUNCTION("""COMPUTED_VALUE"""),"Depth First Search,Tree")</f>
        <v>Depth First Search,Tree</v>
      </c>
      <c r="E337" s="6" t="str">
        <f>IFERROR(__xludf.DUMMYFUNCTION("""COMPUTED_VALUE"""),"Pocket Gems,Atlassian,EBay,Amazon,LinkedIn,Google")</f>
        <v>Pocket Gems,Atlassian,EBay,Amazon,LinkedIn,Google</v>
      </c>
      <c r="F337" s="6" t="str">
        <f>IFERROR(__xludf.DUMMYFUNCTION("""COMPUTED_VALUE"""),"LinkedIn")</f>
        <v>LinkedIn</v>
      </c>
      <c r="G337" s="6" t="str">
        <f>IFERROR(__xludf.DUMMYFUNCTION("""COMPUTED_VALUE"""),"Pocket Gems,Amazon,Atlassian,eBay,LinkedIn")</f>
        <v>Pocket Gems,Amazon,Atlassian,eBay,LinkedIn</v>
      </c>
      <c r="H337" s="6" t="str">
        <f>IFERROR(__xludf.DUMMYFUNCTION("""COMPUTED_VALUE"""),"Google,Pocket Gems,Amazon,Atlassian,eBay,LinkedIn")</f>
        <v>Google,Pocket Gems,Amazon,Atlassian,eBay,LinkedIn</v>
      </c>
      <c r="I337" s="6">
        <f>IFERROR(__xludf.DUMMYFUNCTION("""COMPUTED_VALUE"""),71.95)</f>
        <v>71.95</v>
      </c>
      <c r="J337" s="6" t="str">
        <f>IFERROR(__xludf.DUMMYFUNCTION("""COMPUTED_VALUE"""),"算法")</f>
        <v>算法</v>
      </c>
    </row>
    <row r="338">
      <c r="A338" s="6">
        <f>IFERROR(__xludf.DUMMYFUNCTION("""COMPUTED_VALUE"""),367.0)</f>
        <v>367</v>
      </c>
      <c r="B338" s="53" t="str">
        <f>IFERROR(__xludf.DUMMYFUNCTION("""COMPUTED_VALUE"""),"Valid Perfect Square")</f>
        <v>Valid Perfect Square</v>
      </c>
      <c r="C338" s="6" t="str">
        <f>IFERROR(__xludf.DUMMYFUNCTION("""COMPUTED_VALUE"""),"Easy")</f>
        <v>Easy</v>
      </c>
      <c r="D338" s="6" t="str">
        <f>IFERROR(__xludf.DUMMYFUNCTION("""COMPUTED_VALUE"""),"Binary Search,Math")</f>
        <v>Binary Search,Math</v>
      </c>
      <c r="E338" s="6" t="str">
        <f>IFERROR(__xludf.DUMMYFUNCTION("""COMPUTED_VALUE"""),"Adobe,Facebook,Amazon,LinkedIn,Microsoft,Google")</f>
        <v>Adobe,Facebook,Amazon,LinkedIn,Microsoft,Google</v>
      </c>
      <c r="F338" s="6" t="str">
        <f>IFERROR(__xludf.DUMMYFUNCTION("""COMPUTED_VALUE"""),"LinkedIn,Facebook,Adobe")</f>
        <v>LinkedIn,Facebook,Adobe</v>
      </c>
      <c r="G338" s="6" t="str">
        <f>IFERROR(__xludf.DUMMYFUNCTION("""COMPUTED_VALUE"""),"Amazon,LinkedIn,Facebook,Adobe")</f>
        <v>Amazon,LinkedIn,Facebook,Adobe</v>
      </c>
      <c r="H338" s="6" t="str">
        <f>IFERROR(__xludf.DUMMYFUNCTION("""COMPUTED_VALUE"""),"Microsoft,Amazon,LinkedIn,Facebook,Adobe")</f>
        <v>Microsoft,Amazon,LinkedIn,Facebook,Adobe</v>
      </c>
      <c r="I338" s="6">
        <f>IFERROR(__xludf.DUMMYFUNCTION("""COMPUTED_VALUE"""),42.05)</f>
        <v>42.05</v>
      </c>
      <c r="J338" s="6" t="str">
        <f>IFERROR(__xludf.DUMMYFUNCTION("""COMPUTED_VALUE"""),"算法")</f>
        <v>算法</v>
      </c>
    </row>
    <row r="339">
      <c r="A339" s="6">
        <f>IFERROR(__xludf.DUMMYFUNCTION("""COMPUTED_VALUE"""),368.0)</f>
        <v>368</v>
      </c>
      <c r="B339" s="53" t="str">
        <f>IFERROR(__xludf.DUMMYFUNCTION("""COMPUTED_VALUE"""),"Largest Divisible Subset")</f>
        <v>Largest Divisible Subset</v>
      </c>
      <c r="C339" s="6" t="str">
        <f>IFERROR(__xludf.DUMMYFUNCTION("""COMPUTED_VALUE"""),"Medium")</f>
        <v>Medium</v>
      </c>
      <c r="D339" s="6" t="str">
        <f>IFERROR(__xludf.DUMMYFUNCTION("""COMPUTED_VALUE"""),"Dynamic Programming,Math")</f>
        <v>Dynamic Programming,Math</v>
      </c>
      <c r="E339" s="6" t="str">
        <f>IFERROR(__xludf.DUMMYFUNCTION("""COMPUTED_VALUE"""),"Adobe,Amazon,Google")</f>
        <v>Adobe,Amazon,Google</v>
      </c>
      <c r="F339" s="6" t="str">
        <f>IFERROR(__xludf.DUMMYFUNCTION("""COMPUTED_VALUE"""),"Amazon")</f>
        <v>Amazon</v>
      </c>
      <c r="G339" s="6" t="str">
        <f>IFERROR(__xludf.DUMMYFUNCTION("""COMPUTED_VALUE"""),"Adobe,Amazon")</f>
        <v>Adobe,Amazon</v>
      </c>
      <c r="H339" s="6" t="str">
        <f>IFERROR(__xludf.DUMMYFUNCTION("""COMPUTED_VALUE"""),"Google,Adobe,Amazon")</f>
        <v>Google,Adobe,Amazon</v>
      </c>
      <c r="I339" s="6">
        <f>IFERROR(__xludf.DUMMYFUNCTION("""COMPUTED_VALUE"""),38.36)</f>
        <v>38.36</v>
      </c>
      <c r="J339" s="6" t="str">
        <f>IFERROR(__xludf.DUMMYFUNCTION("""COMPUTED_VALUE"""),"算法")</f>
        <v>算法</v>
      </c>
    </row>
    <row r="340">
      <c r="A340" s="6">
        <f>IFERROR(__xludf.DUMMYFUNCTION("""COMPUTED_VALUE"""),369.0)</f>
        <v>369</v>
      </c>
      <c r="B340" s="53" t="str">
        <f>IFERROR(__xludf.DUMMYFUNCTION("""COMPUTED_VALUE"""),"Plus One Linked List")</f>
        <v>Plus One Linked List</v>
      </c>
      <c r="C340" s="6" t="str">
        <f>IFERROR(__xludf.DUMMYFUNCTION("""COMPUTED_VALUE"""),"Medium")</f>
        <v>Medium</v>
      </c>
      <c r="D340" s="6" t="str">
        <f>IFERROR(__xludf.DUMMYFUNCTION("""COMPUTED_VALUE"""),"Recursion,Linked List")</f>
        <v>Recursion,Linked List</v>
      </c>
      <c r="E340" s="6" t="str">
        <f>IFERROR(__xludf.DUMMYFUNCTION("""COMPUTED_VALUE"""),"Apple,Amazon,Google")</f>
        <v>Apple,Amazon,Google</v>
      </c>
      <c r="F340" s="6"/>
      <c r="G340" s="6"/>
      <c r="H340" s="6" t="str">
        <f>IFERROR(__xludf.DUMMYFUNCTION("""COMPUTED_VALUE"""),"Google,Amazon")</f>
        <v>Google,Amazon</v>
      </c>
      <c r="I340" s="6">
        <f>IFERROR(__xludf.DUMMYFUNCTION("""COMPUTED_VALUE"""),59.58)</f>
        <v>59.58</v>
      </c>
      <c r="J340" s="6" t="str">
        <f>IFERROR(__xludf.DUMMYFUNCTION("""COMPUTED_VALUE"""),"算法")</f>
        <v>算法</v>
      </c>
    </row>
    <row r="341">
      <c r="A341" s="6">
        <f>IFERROR(__xludf.DUMMYFUNCTION("""COMPUTED_VALUE"""),370.0)</f>
        <v>370</v>
      </c>
      <c r="B341" s="53" t="str">
        <f>IFERROR(__xludf.DUMMYFUNCTION("""COMPUTED_VALUE"""),"Range Addition")</f>
        <v>Range Addition</v>
      </c>
      <c r="C341" s="6" t="str">
        <f>IFERROR(__xludf.DUMMYFUNCTION("""COMPUTED_VALUE"""),"Medium")</f>
        <v>Medium</v>
      </c>
      <c r="D341" s="6" t="str">
        <f>IFERROR(__xludf.DUMMYFUNCTION("""COMPUTED_VALUE"""),"Array")</f>
        <v>Array</v>
      </c>
      <c r="E341" s="6" t="str">
        <f>IFERROR(__xludf.DUMMYFUNCTION("""COMPUTED_VALUE"""),"Google")</f>
        <v>Google</v>
      </c>
      <c r="F341" s="6"/>
      <c r="G341" s="6"/>
      <c r="H341" s="6" t="str">
        <f>IFERROR(__xludf.DUMMYFUNCTION("""COMPUTED_VALUE"""),"Google")</f>
        <v>Google</v>
      </c>
      <c r="I341" s="6">
        <f>IFERROR(__xludf.DUMMYFUNCTION("""COMPUTED_VALUE"""),63.64)</f>
        <v>63.64</v>
      </c>
      <c r="J341" s="6" t="str">
        <f>IFERROR(__xludf.DUMMYFUNCTION("""COMPUTED_VALUE"""),"算法")</f>
        <v>算法</v>
      </c>
    </row>
    <row r="342">
      <c r="A342" s="6">
        <f>IFERROR(__xludf.DUMMYFUNCTION("""COMPUTED_VALUE"""),371.0)</f>
        <v>371</v>
      </c>
      <c r="B342" s="53" t="str">
        <f>IFERROR(__xludf.DUMMYFUNCTION("""COMPUTED_VALUE"""),"Sum of Two Integers")</f>
        <v>Sum of Two Integers</v>
      </c>
      <c r="C342" s="6" t="str">
        <f>IFERROR(__xludf.DUMMYFUNCTION("""COMPUTED_VALUE"""),"Medium")</f>
        <v>Medium</v>
      </c>
      <c r="D342" s="6" t="str">
        <f>IFERROR(__xludf.DUMMYFUNCTION("""COMPUTED_VALUE"""),"Bit Manipulation")</f>
        <v>Bit Manipulation</v>
      </c>
      <c r="E342" s="6" t="str">
        <f>IFERROR(__xludf.DUMMYFUNCTION("""COMPUTED_VALUE"""),"Apple,Yahoo,Bloomberg,Google,Hulu,Facebook,Amazon")</f>
        <v>Apple,Yahoo,Bloomberg,Google,Hulu,Facebook,Amazon</v>
      </c>
      <c r="F342" s="6" t="str">
        <f>IFERROR(__xludf.DUMMYFUNCTION("""COMPUTED_VALUE"""),"Facebook")</f>
        <v>Facebook</v>
      </c>
      <c r="G342" s="6" t="str">
        <f>IFERROR(__xludf.DUMMYFUNCTION("""COMPUTED_VALUE"""),"Apple,Yahoo,Bloomberg,Facebook")</f>
        <v>Apple,Yahoo,Bloomberg,Facebook</v>
      </c>
      <c r="H342" s="6" t="str">
        <f>IFERROR(__xludf.DUMMYFUNCTION("""COMPUTED_VALUE"""),"Google,Hulu,Apple,Yahoo,Bloomberg,Facebook")</f>
        <v>Google,Hulu,Apple,Yahoo,Bloomberg,Facebook</v>
      </c>
      <c r="I342" s="6">
        <f>IFERROR(__xludf.DUMMYFUNCTION("""COMPUTED_VALUE"""),50.6)</f>
        <v>50.6</v>
      </c>
      <c r="J342" s="6" t="str">
        <f>IFERROR(__xludf.DUMMYFUNCTION("""COMPUTED_VALUE"""),"算法")</f>
        <v>算法</v>
      </c>
    </row>
    <row r="343">
      <c r="A343" s="6">
        <f>IFERROR(__xludf.DUMMYFUNCTION("""COMPUTED_VALUE"""),373.0)</f>
        <v>373</v>
      </c>
      <c r="B343" s="53" t="str">
        <f>IFERROR(__xludf.DUMMYFUNCTION("""COMPUTED_VALUE"""),"Find K Pairs with Smallest Sums")</f>
        <v>Find K Pairs with Smallest Sums</v>
      </c>
      <c r="C343" s="6" t="str">
        <f>IFERROR(__xludf.DUMMYFUNCTION("""COMPUTED_VALUE"""),"Medium")</f>
        <v>Medium</v>
      </c>
      <c r="D343" s="6" t="str">
        <f>IFERROR(__xludf.DUMMYFUNCTION("""COMPUTED_VALUE"""),"Heap")</f>
        <v>Heap</v>
      </c>
      <c r="E343" s="6" t="str">
        <f>IFERROR(__xludf.DUMMYFUNCTION("""COMPUTED_VALUE"""),"Pinterest,Walmart Labs,Apple,Uber,Facebook,Amazon,LinkedIn,Microsoft,Google")</f>
        <v>Pinterest,Walmart Labs,Apple,Uber,Facebook,Amazon,LinkedIn,Microsoft,Google</v>
      </c>
      <c r="F343" s="6" t="str">
        <f>IFERROR(__xludf.DUMMYFUNCTION("""COMPUTED_VALUE"""),"Amazon,Walmart Labs")</f>
        <v>Amazon,Walmart Labs</v>
      </c>
      <c r="G343" s="6" t="str">
        <f>IFERROR(__xludf.DUMMYFUNCTION("""COMPUTED_VALUE"""),"Facebook,Amazon,Walmart Labs")</f>
        <v>Facebook,Amazon,Walmart Labs</v>
      </c>
      <c r="H343" s="6" t="str">
        <f>IFERROR(__xludf.DUMMYFUNCTION("""COMPUTED_VALUE"""),"LinkedIn,Google,Pinterest,Uber,Facebook,Amazon,Walmart Labs")</f>
        <v>LinkedIn,Google,Pinterest,Uber,Facebook,Amazon,Walmart Labs</v>
      </c>
      <c r="I343" s="6">
        <f>IFERROR(__xludf.DUMMYFUNCTION("""COMPUTED_VALUE"""),37.81)</f>
        <v>37.81</v>
      </c>
      <c r="J343" s="6" t="str">
        <f>IFERROR(__xludf.DUMMYFUNCTION("""COMPUTED_VALUE"""),"算法")</f>
        <v>算法</v>
      </c>
    </row>
    <row r="344">
      <c r="A344" s="6">
        <f>IFERROR(__xludf.DUMMYFUNCTION("""COMPUTED_VALUE"""),374.0)</f>
        <v>374</v>
      </c>
      <c r="B344" s="53" t="str">
        <f>IFERROR(__xludf.DUMMYFUNCTION("""COMPUTED_VALUE"""),"Guess Number Higher or Lower")</f>
        <v>Guess Number Higher or Lower</v>
      </c>
      <c r="C344" s="6" t="str">
        <f>IFERROR(__xludf.DUMMYFUNCTION("""COMPUTED_VALUE"""),"Easy")</f>
        <v>Easy</v>
      </c>
      <c r="D344" s="6" t="str">
        <f>IFERROR(__xludf.DUMMYFUNCTION("""COMPUTED_VALUE"""),"Binary Search")</f>
        <v>Binary Search</v>
      </c>
      <c r="E344" s="6" t="str">
        <f>IFERROR(__xludf.DUMMYFUNCTION("""COMPUTED_VALUE"""),"Apple,Google")</f>
        <v>Apple,Google</v>
      </c>
      <c r="F344" s="6"/>
      <c r="G344" s="6" t="str">
        <f>IFERROR(__xludf.DUMMYFUNCTION("""COMPUTED_VALUE"""),"Apple")</f>
        <v>Apple</v>
      </c>
      <c r="H344" s="6" t="str">
        <f>IFERROR(__xludf.DUMMYFUNCTION("""COMPUTED_VALUE"""),"Google,Apple")</f>
        <v>Google,Apple</v>
      </c>
      <c r="I344" s="6">
        <f>IFERROR(__xludf.DUMMYFUNCTION("""COMPUTED_VALUE"""),44.78)</f>
        <v>44.78</v>
      </c>
      <c r="J344" s="6" t="str">
        <f>IFERROR(__xludf.DUMMYFUNCTION("""COMPUTED_VALUE"""),"算法")</f>
        <v>算法</v>
      </c>
    </row>
    <row r="345">
      <c r="A345" s="6">
        <f>IFERROR(__xludf.DUMMYFUNCTION("""COMPUTED_VALUE"""),375.0)</f>
        <v>375</v>
      </c>
      <c r="B345" s="53" t="str">
        <f>IFERROR(__xludf.DUMMYFUNCTION("""COMPUTED_VALUE"""),"Guess Number Higher or Lower II")</f>
        <v>Guess Number Higher or Lower II</v>
      </c>
      <c r="C345" s="6" t="str">
        <f>IFERROR(__xludf.DUMMYFUNCTION("""COMPUTED_VALUE"""),"Medium")</f>
        <v>Medium</v>
      </c>
      <c r="D345" s="6" t="str">
        <f>IFERROR(__xludf.DUMMYFUNCTION("""COMPUTED_VALUE"""),"Minimax,Dynamic Programming")</f>
        <v>Minimax,Dynamic Programming</v>
      </c>
      <c r="E345" s="6" t="str">
        <f>IFERROR(__xludf.DUMMYFUNCTION("""COMPUTED_VALUE"""),"Adobe,Google")</f>
        <v>Adobe,Google</v>
      </c>
      <c r="F345" s="6"/>
      <c r="G345" s="6" t="str">
        <f>IFERROR(__xludf.DUMMYFUNCTION("""COMPUTED_VALUE"""),"Google")</f>
        <v>Google</v>
      </c>
      <c r="H345" s="6" t="str">
        <f>IFERROR(__xludf.DUMMYFUNCTION("""COMPUTED_VALUE"""),"Google")</f>
        <v>Google</v>
      </c>
      <c r="I345" s="6">
        <f>IFERROR(__xludf.DUMMYFUNCTION("""COMPUTED_VALUE"""),42.28)</f>
        <v>42.28</v>
      </c>
      <c r="J345" s="6" t="str">
        <f>IFERROR(__xludf.DUMMYFUNCTION("""COMPUTED_VALUE"""),"算法")</f>
        <v>算法</v>
      </c>
    </row>
    <row r="346">
      <c r="A346" s="6">
        <f>IFERROR(__xludf.DUMMYFUNCTION("""COMPUTED_VALUE"""),377.0)</f>
        <v>377</v>
      </c>
      <c r="B346" s="53" t="str">
        <f>IFERROR(__xludf.DUMMYFUNCTION("""COMPUTED_VALUE"""),"Combination Sum IV")</f>
        <v>Combination Sum IV</v>
      </c>
      <c r="C346" s="6" t="str">
        <f>IFERROR(__xludf.DUMMYFUNCTION("""COMPUTED_VALUE"""),"Medium")</f>
        <v>Medium</v>
      </c>
      <c r="D346" s="6" t="str">
        <f>IFERROR(__xludf.DUMMYFUNCTION("""COMPUTED_VALUE"""),"Dynamic Programming")</f>
        <v>Dynamic Programming</v>
      </c>
      <c r="E346" s="6" t="str">
        <f>IFERROR(__xludf.DUMMYFUNCTION("""COMPUTED_VALUE"""),"Apple,Bloomberg,Visa,Snapchat,Facebook,Amazon,Google")</f>
        <v>Apple,Bloomberg,Visa,Snapchat,Facebook,Amazon,Google</v>
      </c>
      <c r="F346" s="6" t="str">
        <f>IFERROR(__xludf.DUMMYFUNCTION("""COMPUTED_VALUE"""),"Bloomberg,Apple")</f>
        <v>Bloomberg,Apple</v>
      </c>
      <c r="G346" s="6" t="str">
        <f>IFERROR(__xludf.DUMMYFUNCTION("""COMPUTED_VALUE"""),"Bloomberg,Apple")</f>
        <v>Bloomberg,Apple</v>
      </c>
      <c r="H346" s="6" t="str">
        <f>IFERROR(__xludf.DUMMYFUNCTION("""COMPUTED_VALUE"""),"Amazon,Google,Facebook,Snapchat,Bloomberg,Apple")</f>
        <v>Amazon,Google,Facebook,Snapchat,Bloomberg,Apple</v>
      </c>
      <c r="I346" s="6">
        <f>IFERROR(__xludf.DUMMYFUNCTION("""COMPUTED_VALUE"""),46.13)</f>
        <v>46.13</v>
      </c>
      <c r="J346" s="6" t="str">
        <f>IFERROR(__xludf.DUMMYFUNCTION("""COMPUTED_VALUE"""),"算法")</f>
        <v>算法</v>
      </c>
    </row>
    <row r="347">
      <c r="A347" s="6">
        <f>IFERROR(__xludf.DUMMYFUNCTION("""COMPUTED_VALUE"""),378.0)</f>
        <v>378</v>
      </c>
      <c r="B347" s="53" t="str">
        <f>IFERROR(__xludf.DUMMYFUNCTION("""COMPUTED_VALUE"""),"Kth Smallest Element in a Sorted Matrix")</f>
        <v>Kth Smallest Element in a Sorted Matrix</v>
      </c>
      <c r="C347" s="6" t="str">
        <f>IFERROR(__xludf.DUMMYFUNCTION("""COMPUTED_VALUE"""),"Medium")</f>
        <v>Medium</v>
      </c>
      <c r="D347" s="6" t="str">
        <f>IFERROR(__xludf.DUMMYFUNCTION("""COMPUTED_VALUE"""),"Heap,Binary Search")</f>
        <v>Heap,Binary Search</v>
      </c>
      <c r="E347" s="6" t="str">
        <f>IFERROR(__xludf.DUMMYFUNCTION("""COMPUTED_VALUE"""),"Walmart Labs,Twitter,Apple,Uber,Yahoo,Bloomberg,Adobe,Facebook,Amazon,Microsoft,Google")</f>
        <v>Walmart Labs,Twitter,Apple,Uber,Yahoo,Bloomberg,Adobe,Facebook,Amazon,Microsoft,Google</v>
      </c>
      <c r="F347" s="6" t="str">
        <f>IFERROR(__xludf.DUMMYFUNCTION("""COMPUTED_VALUE"""),"Facebook,Amazon,Google")</f>
        <v>Facebook,Amazon,Google</v>
      </c>
      <c r="G347" s="6" t="str">
        <f>IFERROR(__xludf.DUMMYFUNCTION("""COMPUTED_VALUE"""),"Microsoft,Facebook,Amazon,Google")</f>
        <v>Microsoft,Facebook,Amazon,Google</v>
      </c>
      <c r="H347" s="6" t="str">
        <f>IFERROR(__xludf.DUMMYFUNCTION("""COMPUTED_VALUE"""),"Apple,Adobe,Yahoo,Uber,Walmart Labs,Twitter,Microsoft,Facebook,Amazon,Google")</f>
        <v>Apple,Adobe,Yahoo,Uber,Walmart Labs,Twitter,Microsoft,Facebook,Amazon,Google</v>
      </c>
      <c r="I347" s="6">
        <f>IFERROR(__xludf.DUMMYFUNCTION("""COMPUTED_VALUE"""),56.29)</f>
        <v>56.29</v>
      </c>
      <c r="J347" s="6" t="str">
        <f>IFERROR(__xludf.DUMMYFUNCTION("""COMPUTED_VALUE"""),"算法")</f>
        <v>算法</v>
      </c>
    </row>
    <row r="348">
      <c r="A348" s="6">
        <f>IFERROR(__xludf.DUMMYFUNCTION("""COMPUTED_VALUE"""),379.0)</f>
        <v>379</v>
      </c>
      <c r="B348" s="53" t="str">
        <f>IFERROR(__xludf.DUMMYFUNCTION("""COMPUTED_VALUE"""),"Design Phone Directory")</f>
        <v>Design Phone Directory</v>
      </c>
      <c r="C348" s="6" t="str">
        <f>IFERROR(__xludf.DUMMYFUNCTION("""COMPUTED_VALUE"""),"Medium")</f>
        <v>Medium</v>
      </c>
      <c r="D348" s="6" t="str">
        <f>IFERROR(__xludf.DUMMYFUNCTION("""COMPUTED_VALUE"""),"Design,Linked List")</f>
        <v>Design,Linked List</v>
      </c>
      <c r="E348" s="6" t="str">
        <f>IFERROR(__xludf.DUMMYFUNCTION("""COMPUTED_VALUE"""),"Dropbox,Microsoft,Google")</f>
        <v>Dropbox,Microsoft,Google</v>
      </c>
      <c r="F348" s="6" t="str">
        <f>IFERROR(__xludf.DUMMYFUNCTION("""COMPUTED_VALUE"""),"Google")</f>
        <v>Google</v>
      </c>
      <c r="G348" s="6" t="str">
        <f>IFERROR(__xludf.DUMMYFUNCTION("""COMPUTED_VALUE"""),"Dropbox,Google")</f>
        <v>Dropbox,Google</v>
      </c>
      <c r="H348" s="6" t="str">
        <f>IFERROR(__xludf.DUMMYFUNCTION("""COMPUTED_VALUE"""),"Microsoft,Dropbox,Google")</f>
        <v>Microsoft,Dropbox,Google</v>
      </c>
      <c r="I348" s="6">
        <f>IFERROR(__xludf.DUMMYFUNCTION("""COMPUTED_VALUE"""),48.35)</f>
        <v>48.35</v>
      </c>
      <c r="J348" s="6" t="str">
        <f>IFERROR(__xludf.DUMMYFUNCTION("""COMPUTED_VALUE"""),"算法")</f>
        <v>算法</v>
      </c>
    </row>
    <row r="349">
      <c r="A349" s="6">
        <f>IFERROR(__xludf.DUMMYFUNCTION("""COMPUTED_VALUE"""),380.0)</f>
        <v>380</v>
      </c>
      <c r="B349" s="53" t="str">
        <f>IFERROR(__xludf.DUMMYFUNCTION("""COMPUTED_VALUE"""),"Insert Delete GetRandom O(1)")</f>
        <v>Insert Delete GetRandom O(1)</v>
      </c>
      <c r="C349" s="6" t="str">
        <f>IFERROR(__xludf.DUMMYFUNCTION("""COMPUTED_VALUE"""),"Medium")</f>
        <v>Medium</v>
      </c>
      <c r="D349" s="6" t="str">
        <f>IFERROR(__xludf.DUMMYFUNCTION("""COMPUTED_VALUE"""),"Design,Hash Table,Array")</f>
        <v>Design,Hash Table,Array</v>
      </c>
      <c r="E349" s="6" t="str">
        <f>IFERROR(__xludf.DUMMYFUNCTION("""COMPUTED_VALUE"""),"HRT,AppDynamics,Snapchat,ByteDance,Visa,Citadel,Zillow,Nvidia,Pinterest,Databricks,Pocket Gems,Pure Storage,Two Sigma,Flipkart,Twilio,Salesforce,VMware,Quora,Affirm,Walmart Labs,Indeed,Twitter,Yelp,Oracle,Yandex,Apple,Uber,Bloomberg,Adobe,Facebook,Amazon,"&amp;"LinkedIn,Microsoft,Goldman Sachs,Google")</f>
        <v>HRT,AppDynamics,Snapchat,ByteDance,Visa,Citadel,Zillow,Nvidia,Pinterest,Databricks,Pocket Gems,Pure Storage,Two Sigma,Flipkart,Twilio,Salesforce,VMware,Quora,Affirm,Walmart Labs,Indeed,Twitter,Yelp,Oracle,Yandex,Apple,Uber,Bloomberg,Adobe,Facebook,Amazon,LinkedIn,Microsoft,Goldman Sachs,Google</v>
      </c>
      <c r="F349" s="6" t="str">
        <f>IFERROR(__xludf.DUMMYFUNCTION("""COMPUTED_VALUE"""),"Amazon,Bloomberg,Twitter,Facebook,Microsoft,Affirm,Oracle,Two Sigma,Yandex,Nvidia,LinkedIn,Google,Apple,Snapchat,Databricks,Quora,Adobe,Citadel,Zillow,HRT")</f>
        <v>Amazon,Bloomberg,Twitter,Facebook,Microsoft,Affirm,Oracle,Two Sigma,Yandex,Nvidia,LinkedIn,Google,Apple,Snapchat,Databricks,Quora,Adobe,Citadel,Zillow,HRT</v>
      </c>
      <c r="G349" s="6" t="str">
        <f>IFERROR(__xludf.DUMMYFUNCTION("""COMPUTED_VALUE"""),"AppDynamics,Amazon,Bloomberg,Twitter,Facebook,Microsoft,Affirm,Oracle,Two Sigma,Yandex,Nvidia,LinkedIn,Google,Apple,Snapchat,Databricks,Quora,Adobe,Citadel,Zillow,HRT")</f>
        <v>AppDynamics,Amazon,Bloomberg,Twitter,Facebook,Microsoft,Affirm,Oracle,Two Sigma,Yandex,Nvidia,LinkedIn,Google,Apple,Snapchat,Databricks,Quora,Adobe,Citadel,Zillow,HRT</v>
      </c>
      <c r="H349" s="6" t="str">
        <f>IFERROR(__xludf.DUMMYFUNCTION("""COMPUTED_VALUE"""),"Uber,VMware,Indeed,Goldman Sachs,Salesforce,Walmart Labs,Flipkart,ByteDance,Twilio,Visa,Yelp,Pocket Gems,AppDynamics,Amazon,Bloomberg,Twitter,Facebook,Microsoft,Affirm,Oracle,Two Sigma,Yandex,Nvidia,LinkedIn,Google,Apple,Snapchat,Databricks,Quora,Adobe,Ci"&amp;"tadel,Zillow,HRT")</f>
        <v>Uber,VMware,Indeed,Goldman Sachs,Salesforce,Walmart Labs,Flipkart,ByteDance,Twilio,Visa,Yelp,Pocket Gems,AppDynamics,Amazon,Bloomberg,Twitter,Facebook,Microsoft,Affirm,Oracle,Two Sigma,Yandex,Nvidia,LinkedIn,Google,Apple,Snapchat,Databricks,Quora,Adobe,Citadel,Zillow,HRT</v>
      </c>
      <c r="I349" s="6">
        <f>IFERROR(__xludf.DUMMYFUNCTION("""COMPUTED_VALUE"""),48.95)</f>
        <v>48.95</v>
      </c>
      <c r="J349" s="6" t="str">
        <f>IFERROR(__xludf.DUMMYFUNCTION("""COMPUTED_VALUE"""),"算法")</f>
        <v>算法</v>
      </c>
    </row>
    <row r="350">
      <c r="A350" s="6">
        <f>IFERROR(__xludf.DUMMYFUNCTION("""COMPUTED_VALUE"""),381.0)</f>
        <v>381</v>
      </c>
      <c r="B350" s="53" t="str">
        <f>IFERROR(__xludf.DUMMYFUNCTION("""COMPUTED_VALUE"""),"Insert Delete GetRandom O(1) - Duplicates allowed")</f>
        <v>Insert Delete GetRandom O(1) - Duplicates allowed</v>
      </c>
      <c r="C350" s="6" t="str">
        <f>IFERROR(__xludf.DUMMYFUNCTION("""COMPUTED_VALUE"""),"Hard")</f>
        <v>Hard</v>
      </c>
      <c r="D350" s="6" t="str">
        <f>IFERROR(__xludf.DUMMYFUNCTION("""COMPUTED_VALUE"""),"Design,Hash Table,Array")</f>
        <v>Design,Hash Table,Array</v>
      </c>
      <c r="E350" s="6" t="str">
        <f>IFERROR(__xludf.DUMMYFUNCTION("""COMPUTED_VALUE"""),"Quora,Wish,Bloomberg,Databricks,Affirm,Walmart Labs,Yelp,Apple,Uber,Facebook,Amazon,LinkedIn,Microsoft,Google")</f>
        <v>Quora,Wish,Bloomberg,Databricks,Affirm,Walmart Labs,Yelp,Apple,Uber,Facebook,Amazon,LinkedIn,Microsoft,Google</v>
      </c>
      <c r="F350" s="6" t="str">
        <f>IFERROR(__xludf.DUMMYFUNCTION("""COMPUTED_VALUE"""),"Facebook,Affirm")</f>
        <v>Facebook,Affirm</v>
      </c>
      <c r="G350" s="6" t="str">
        <f>IFERROR(__xludf.DUMMYFUNCTION("""COMPUTED_VALUE"""),"LinkedIn,Facebook,Affirm")</f>
        <v>LinkedIn,Facebook,Affirm</v>
      </c>
      <c r="H350" s="6" t="str">
        <f>IFERROR(__xludf.DUMMYFUNCTION("""COMPUTED_VALUE"""),"Apple,Amazon,Microsoft,Uber,Bloomberg,Walmart Labs,Databricks,Wish,Quora,Yelp,LinkedIn,Facebook,Affirm")</f>
        <v>Apple,Amazon,Microsoft,Uber,Bloomberg,Walmart Labs,Databricks,Wish,Quora,Yelp,LinkedIn,Facebook,Affirm</v>
      </c>
      <c r="I350" s="6">
        <f>IFERROR(__xludf.DUMMYFUNCTION("""COMPUTED_VALUE"""),34.92)</f>
        <v>34.92</v>
      </c>
      <c r="J350" s="6" t="str">
        <f>IFERROR(__xludf.DUMMYFUNCTION("""COMPUTED_VALUE"""),"算法")</f>
        <v>算法</v>
      </c>
    </row>
    <row r="351">
      <c r="A351" s="6">
        <f>IFERROR(__xludf.DUMMYFUNCTION("""COMPUTED_VALUE"""),382.0)</f>
        <v>382</v>
      </c>
      <c r="B351" s="53" t="str">
        <f>IFERROR(__xludf.DUMMYFUNCTION("""COMPUTED_VALUE"""),"Linked List Random Node")</f>
        <v>Linked List Random Node</v>
      </c>
      <c r="C351" s="6" t="str">
        <f>IFERROR(__xludf.DUMMYFUNCTION("""COMPUTED_VALUE"""),"Medium")</f>
        <v>Medium</v>
      </c>
      <c r="D351" s="6" t="str">
        <f>IFERROR(__xludf.DUMMYFUNCTION("""COMPUTED_VALUE"""),"Reservoir Sampling")</f>
        <v>Reservoir Sampling</v>
      </c>
      <c r="E351" s="6" t="str">
        <f>IFERROR(__xludf.DUMMYFUNCTION("""COMPUTED_VALUE"""),"Amazon,Apple,Facebook,Google")</f>
        <v>Amazon,Apple,Facebook,Google</v>
      </c>
      <c r="F351" s="6"/>
      <c r="G351" s="6" t="str">
        <f>IFERROR(__xludf.DUMMYFUNCTION("""COMPUTED_VALUE"""),"Amazon")</f>
        <v>Amazon</v>
      </c>
      <c r="H351" s="6" t="str">
        <f>IFERROR(__xludf.DUMMYFUNCTION("""COMPUTED_VALUE"""),"Google,Facebook,Amazon")</f>
        <v>Google,Facebook,Amazon</v>
      </c>
      <c r="I351" s="6">
        <f>IFERROR(__xludf.DUMMYFUNCTION("""COMPUTED_VALUE"""),54.2)</f>
        <v>54.2</v>
      </c>
      <c r="J351" s="6" t="str">
        <f>IFERROR(__xludf.DUMMYFUNCTION("""COMPUTED_VALUE"""),"算法")</f>
        <v>算法</v>
      </c>
    </row>
    <row r="352">
      <c r="A352" s="6">
        <f>IFERROR(__xludf.DUMMYFUNCTION("""COMPUTED_VALUE"""),384.0)</f>
        <v>384</v>
      </c>
      <c r="B352" s="53" t="str">
        <f>IFERROR(__xludf.DUMMYFUNCTION("""COMPUTED_VALUE"""),"Shuffle an Array")</f>
        <v>Shuffle an Array</v>
      </c>
      <c r="C352" s="6" t="str">
        <f>IFERROR(__xludf.DUMMYFUNCTION("""COMPUTED_VALUE"""),"Medium")</f>
        <v>Medium</v>
      </c>
      <c r="D352" s="6"/>
      <c r="E352" s="6" t="str">
        <f>IFERROR(__xludf.DUMMYFUNCTION("""COMPUTED_VALUE"""),"Oracle,TripAdvisor,Two Sigma,Salesforce,Cisco,Apple,Yahoo,Bloomberg,Facebook,Amazon,LinkedIn,Microsoft,Google")</f>
        <v>Oracle,TripAdvisor,Two Sigma,Salesforce,Cisco,Apple,Yahoo,Bloomberg,Facebook,Amazon,LinkedIn,Microsoft,Google</v>
      </c>
      <c r="F352" s="6" t="str">
        <f>IFERROR(__xludf.DUMMYFUNCTION("""COMPUTED_VALUE"""),"Amazon,Microsoft,Google,Apple")</f>
        <v>Amazon,Microsoft,Google,Apple</v>
      </c>
      <c r="G352" s="6" t="str">
        <f>IFERROR(__xludf.DUMMYFUNCTION("""COMPUTED_VALUE"""),"Bloomberg,Facebook,Oracle,Amazon,Microsoft,Google,Apple")</f>
        <v>Bloomberg,Facebook,Oracle,Amazon,Microsoft,Google,Apple</v>
      </c>
      <c r="H352" s="6" t="str">
        <f>IFERROR(__xludf.DUMMYFUNCTION("""COMPUTED_VALUE"""),"Yahoo,Two Sigma,Bloomberg,Facebook,Oracle,Amazon,Microsoft,Google,Apple")</f>
        <v>Yahoo,Two Sigma,Bloomberg,Facebook,Oracle,Amazon,Microsoft,Google,Apple</v>
      </c>
      <c r="I352" s="6">
        <f>IFERROR(__xludf.DUMMYFUNCTION("""COMPUTED_VALUE"""),54.07)</f>
        <v>54.07</v>
      </c>
      <c r="J352" s="6" t="str">
        <f>IFERROR(__xludf.DUMMYFUNCTION("""COMPUTED_VALUE"""),"算法")</f>
        <v>算法</v>
      </c>
    </row>
    <row r="353">
      <c r="A353" s="6">
        <f>IFERROR(__xludf.DUMMYFUNCTION("""COMPUTED_VALUE"""),385.0)</f>
        <v>385</v>
      </c>
      <c r="B353" s="53" t="str">
        <f>IFERROR(__xludf.DUMMYFUNCTION("""COMPUTED_VALUE"""),"Mini Parser")</f>
        <v>Mini Parser</v>
      </c>
      <c r="C353" s="6" t="str">
        <f>IFERROR(__xludf.DUMMYFUNCTION("""COMPUTED_VALUE"""),"Medium")</f>
        <v>Medium</v>
      </c>
      <c r="D353" s="6" t="str">
        <f>IFERROR(__xludf.DUMMYFUNCTION("""COMPUTED_VALUE"""),"Stack,String")</f>
        <v>Stack,String</v>
      </c>
      <c r="E353" s="6" t="str">
        <f>IFERROR(__xludf.DUMMYFUNCTION("""COMPUTED_VALUE"""),"Airbnb,Google")</f>
        <v>Airbnb,Google</v>
      </c>
      <c r="F353" s="6"/>
      <c r="G353" s="6"/>
      <c r="H353" s="6" t="str">
        <f>IFERROR(__xludf.DUMMYFUNCTION("""COMPUTED_VALUE"""),"Google,Airbnb")</f>
        <v>Google,Airbnb</v>
      </c>
      <c r="I353" s="6">
        <f>IFERROR(__xludf.DUMMYFUNCTION("""COMPUTED_VALUE"""),34.53)</f>
        <v>34.53</v>
      </c>
      <c r="J353" s="6" t="str">
        <f>IFERROR(__xludf.DUMMYFUNCTION("""COMPUTED_VALUE"""),"算法")</f>
        <v>算法</v>
      </c>
    </row>
    <row r="354">
      <c r="A354" s="6">
        <f>IFERROR(__xludf.DUMMYFUNCTION("""COMPUTED_VALUE"""),386.0)</f>
        <v>386</v>
      </c>
      <c r="B354" s="53" t="str">
        <f>IFERROR(__xludf.DUMMYFUNCTION("""COMPUTED_VALUE"""),"Lexicographical Numbers")</f>
        <v>Lexicographical Numbers</v>
      </c>
      <c r="C354" s="6" t="str">
        <f>IFERROR(__xludf.DUMMYFUNCTION("""COMPUTED_VALUE"""),"Medium")</f>
        <v>Medium</v>
      </c>
      <c r="D354" s="6"/>
      <c r="E354" s="6" t="str">
        <f>IFERROR(__xludf.DUMMYFUNCTION("""COMPUTED_VALUE"""),"Pony.ai,ByteDance,Bloomberg,Adobe,Google")</f>
        <v>Pony.ai,ByteDance,Bloomberg,Adobe,Google</v>
      </c>
      <c r="F354" s="6" t="str">
        <f>IFERROR(__xludf.DUMMYFUNCTION("""COMPUTED_VALUE"""),"Pony.ai,ByteDance")</f>
        <v>Pony.ai,ByteDance</v>
      </c>
      <c r="G354" s="6" t="str">
        <f>IFERROR(__xludf.DUMMYFUNCTION("""COMPUTED_VALUE"""),"Pony.ai,ByteDance")</f>
        <v>Pony.ai,ByteDance</v>
      </c>
      <c r="H354" s="6" t="str">
        <f>IFERROR(__xludf.DUMMYFUNCTION("""COMPUTED_VALUE"""),"Adobe,Bloomberg,Pony.ai,ByteDance")</f>
        <v>Adobe,Bloomberg,Pony.ai,ByteDance</v>
      </c>
      <c r="I354" s="6">
        <f>IFERROR(__xludf.DUMMYFUNCTION("""COMPUTED_VALUE"""),54.34)</f>
        <v>54.34</v>
      </c>
      <c r="J354" s="6" t="str">
        <f>IFERROR(__xludf.DUMMYFUNCTION("""COMPUTED_VALUE"""),"算法")</f>
        <v>算法</v>
      </c>
    </row>
    <row r="355">
      <c r="A355" s="6">
        <f>IFERROR(__xludf.DUMMYFUNCTION("""COMPUTED_VALUE"""),387.0)</f>
        <v>387</v>
      </c>
      <c r="B355" s="53" t="str">
        <f>IFERROR(__xludf.DUMMYFUNCTION("""COMPUTED_VALUE"""),"First Unique Character in a String")</f>
        <v>First Unique Character in a String</v>
      </c>
      <c r="C355" s="6" t="str">
        <f>IFERROR(__xludf.DUMMYFUNCTION("""COMPUTED_VALUE"""),"Easy")</f>
        <v>Easy</v>
      </c>
      <c r="D355" s="6" t="str">
        <f>IFERROR(__xludf.DUMMYFUNCTION("""COMPUTED_VALUE"""),"String,Hash Table")</f>
        <v>String,Hash Table</v>
      </c>
      <c r="E355" s="6" t="str">
        <f>IFERROR(__xludf.DUMMYFUNCTION("""COMPUTED_VALUE"""),"Tcs,Twitter,Oracle,EBay,Uber,Zulily,Walmart Labs,JPMorgan,Zillow,ServiceNow,Huawei,Apple,Yahoo,Bloomberg,Adobe,Facebook,Amazon,LinkedIn,Microsoft,Goldman Sachs,Google")</f>
        <v>Tcs,Twitter,Oracle,EBay,Uber,Zulily,Walmart Labs,JPMorgan,Zillow,ServiceNow,Huawei,Apple,Yahoo,Bloomberg,Adobe,Facebook,Amazon,LinkedIn,Microsoft,Goldman Sachs,Google</v>
      </c>
      <c r="F355" s="6" t="str">
        <f>IFERROR(__xludf.DUMMYFUNCTION("""COMPUTED_VALUE"""),"Bloomberg,Goldman Sachs,Amazon,Facebook,Microsoft,Google,Zillow,Apple,Adobe,Oracle")</f>
        <v>Bloomberg,Goldman Sachs,Amazon,Facebook,Microsoft,Google,Zillow,Apple,Adobe,Oracle</v>
      </c>
      <c r="G355" s="6" t="str">
        <f>IFERROR(__xludf.DUMMYFUNCTION("""COMPUTED_VALUE"""),"ServiceNow,tcs,Bloomberg,Goldman Sachs,Amazon,Facebook,Microsoft,Google,Zillow,Apple,Adobe,Oracle")</f>
        <v>ServiceNow,tcs,Bloomberg,Goldman Sachs,Amazon,Facebook,Microsoft,Google,Zillow,Apple,Adobe,Oracle</v>
      </c>
      <c r="H355" s="6" t="str">
        <f>IFERROR(__xludf.DUMMYFUNCTION("""COMPUTED_VALUE"""),"Yahoo,eBay,Uber,Walmart Labs,Zulily,LinkedIn,Twitter,ServiceNow,tcs,Bloomberg,Goldman Sachs,Amazon,Facebook,Microsoft,Google,Zillow,Apple,Adobe,Oracle")</f>
        <v>Yahoo,eBay,Uber,Walmart Labs,Zulily,LinkedIn,Twitter,ServiceNow,tcs,Bloomberg,Goldman Sachs,Amazon,Facebook,Microsoft,Google,Zillow,Apple,Adobe,Oracle</v>
      </c>
      <c r="I355" s="6">
        <f>IFERROR(__xludf.DUMMYFUNCTION("""COMPUTED_VALUE"""),53.8)</f>
        <v>53.8</v>
      </c>
      <c r="J355" s="6" t="str">
        <f>IFERROR(__xludf.DUMMYFUNCTION("""COMPUTED_VALUE"""),"算法")</f>
        <v>算法</v>
      </c>
    </row>
    <row r="356">
      <c r="A356" s="6">
        <f>IFERROR(__xludf.DUMMYFUNCTION("""COMPUTED_VALUE"""),388.0)</f>
        <v>388</v>
      </c>
      <c r="B356" s="53" t="str">
        <f>IFERROR(__xludf.DUMMYFUNCTION("""COMPUTED_VALUE"""),"Longest Absolute File Path")</f>
        <v>Longest Absolute File Path</v>
      </c>
      <c r="C356" s="6" t="str">
        <f>IFERROR(__xludf.DUMMYFUNCTION("""COMPUTED_VALUE"""),"Medium")</f>
        <v>Medium</v>
      </c>
      <c r="D356" s="6"/>
      <c r="E356" s="6" t="str">
        <f>IFERROR(__xludf.DUMMYFUNCTION("""COMPUTED_VALUE"""),"Square,Nvidia,Bloomberg,Wish,Apple,Uber,Facebook,Amazon,Google")</f>
        <v>Square,Nvidia,Bloomberg,Wish,Apple,Uber,Facebook,Amazon,Google</v>
      </c>
      <c r="F356" s="6" t="str">
        <f>IFERROR(__xludf.DUMMYFUNCTION("""COMPUTED_VALUE"""),"Amazon,Facebook,Google")</f>
        <v>Amazon,Facebook,Google</v>
      </c>
      <c r="G356" s="6" t="str">
        <f>IFERROR(__xludf.DUMMYFUNCTION("""COMPUTED_VALUE"""),"Square,Apple,Bloomberg,Nvidia,Amazon,Facebook,Google")</f>
        <v>Square,Apple,Bloomberg,Nvidia,Amazon,Facebook,Google</v>
      </c>
      <c r="H356" s="6" t="str">
        <f>IFERROR(__xludf.DUMMYFUNCTION("""COMPUTED_VALUE"""),"Wish,Square,Apple,Bloomberg,Nvidia,Amazon,Facebook,Google")</f>
        <v>Wish,Square,Apple,Bloomberg,Nvidia,Amazon,Facebook,Google</v>
      </c>
      <c r="I356" s="6">
        <f>IFERROR(__xludf.DUMMYFUNCTION("""COMPUTED_VALUE"""),43.0)</f>
        <v>43</v>
      </c>
      <c r="J356" s="6" t="str">
        <f>IFERROR(__xludf.DUMMYFUNCTION("""COMPUTED_VALUE"""),"算法")</f>
        <v>算法</v>
      </c>
    </row>
    <row r="357">
      <c r="A357" s="6">
        <f>IFERROR(__xludf.DUMMYFUNCTION("""COMPUTED_VALUE"""),389.0)</f>
        <v>389</v>
      </c>
      <c r="B357" s="53" t="str">
        <f>IFERROR(__xludf.DUMMYFUNCTION("""COMPUTED_VALUE"""),"Find the Difference")</f>
        <v>Find the Difference</v>
      </c>
      <c r="C357" s="6" t="str">
        <f>IFERROR(__xludf.DUMMYFUNCTION("""COMPUTED_VALUE"""),"Easy")</f>
        <v>Easy</v>
      </c>
      <c r="D357" s="6" t="str">
        <f>IFERROR(__xludf.DUMMYFUNCTION("""COMPUTED_VALUE"""),"Bit Manipulation,Hash Table")</f>
        <v>Bit Manipulation,Hash Table</v>
      </c>
      <c r="E357" s="6" t="str">
        <f>IFERROR(__xludf.DUMMYFUNCTION("""COMPUTED_VALUE"""),"Amazon,Adobe,Google")</f>
        <v>Amazon,Adobe,Google</v>
      </c>
      <c r="F357" s="6"/>
      <c r="G357" s="6" t="str">
        <f>IFERROR(__xludf.DUMMYFUNCTION("""COMPUTED_VALUE"""),"Google,Amazon")</f>
        <v>Google,Amazon</v>
      </c>
      <c r="H357" s="6" t="str">
        <f>IFERROR(__xludf.DUMMYFUNCTION("""COMPUTED_VALUE"""),"Adobe,Google,Amazon")</f>
        <v>Adobe,Google,Amazon</v>
      </c>
      <c r="I357" s="6">
        <f>IFERROR(__xludf.DUMMYFUNCTION("""COMPUTED_VALUE"""),57.86)</f>
        <v>57.86</v>
      </c>
      <c r="J357" s="6" t="str">
        <f>IFERROR(__xludf.DUMMYFUNCTION("""COMPUTED_VALUE"""),"算法")</f>
        <v>算法</v>
      </c>
    </row>
    <row r="358">
      <c r="A358" s="6">
        <f>IFERROR(__xludf.DUMMYFUNCTION("""COMPUTED_VALUE"""),391.0)</f>
        <v>391</v>
      </c>
      <c r="B358" s="53" t="str">
        <f>IFERROR(__xludf.DUMMYFUNCTION("""COMPUTED_VALUE"""),"Perfect Rectangle")</f>
        <v>Perfect Rectangle</v>
      </c>
      <c r="C358" s="6" t="str">
        <f>IFERROR(__xludf.DUMMYFUNCTION("""COMPUTED_VALUE"""),"Hard")</f>
        <v>Hard</v>
      </c>
      <c r="D358" s="6" t="str">
        <f>IFERROR(__xludf.DUMMYFUNCTION("""COMPUTED_VALUE"""),"Line Sweep")</f>
        <v>Line Sweep</v>
      </c>
      <c r="E358" s="6" t="str">
        <f>IFERROR(__xludf.DUMMYFUNCTION("""COMPUTED_VALUE"""),"Apple,Uber,Google")</f>
        <v>Apple,Uber,Google</v>
      </c>
      <c r="F358" s="6"/>
      <c r="G358" s="6" t="str">
        <f>IFERROR(__xludf.DUMMYFUNCTION("""COMPUTED_VALUE"""),"Apple")</f>
        <v>Apple</v>
      </c>
      <c r="H358" s="6" t="str">
        <f>IFERROR(__xludf.DUMMYFUNCTION("""COMPUTED_VALUE"""),"Uber,Google,Apple")</f>
        <v>Uber,Google,Apple</v>
      </c>
      <c r="I358" s="6">
        <f>IFERROR(__xludf.DUMMYFUNCTION("""COMPUTED_VALUE"""),31.23)</f>
        <v>31.23</v>
      </c>
      <c r="J358" s="6" t="str">
        <f>IFERROR(__xludf.DUMMYFUNCTION("""COMPUTED_VALUE"""),"算法")</f>
        <v>算法</v>
      </c>
    </row>
    <row r="359">
      <c r="A359" s="6">
        <f>IFERROR(__xludf.DUMMYFUNCTION("""COMPUTED_VALUE"""),392.0)</f>
        <v>392</v>
      </c>
      <c r="B359" s="53" t="str">
        <f>IFERROR(__xludf.DUMMYFUNCTION("""COMPUTED_VALUE"""),"Is Subsequence")</f>
        <v>Is Subsequence</v>
      </c>
      <c r="C359" s="6" t="str">
        <f>IFERROR(__xludf.DUMMYFUNCTION("""COMPUTED_VALUE"""),"Easy")</f>
        <v>Easy</v>
      </c>
      <c r="D359" s="6" t="str">
        <f>IFERROR(__xludf.DUMMYFUNCTION("""COMPUTED_VALUE"""),"Greedy,Dynamic Programming,Binary Search")</f>
        <v>Greedy,Dynamic Programming,Binary Search</v>
      </c>
      <c r="E359" s="6" t="str">
        <f>IFERROR(__xludf.DUMMYFUNCTION("""COMPUTED_VALUE"""),"Yandex,Adobe,Microsoft,Pinterest,Coursera,Bloomberg,Facebook,Amazon,Google")</f>
        <v>Yandex,Adobe,Microsoft,Pinterest,Coursera,Bloomberg,Facebook,Amazon,Google</v>
      </c>
      <c r="F359" s="6" t="str">
        <f>IFERROR(__xludf.DUMMYFUNCTION("""COMPUTED_VALUE"""),"Facebook,Adobe,Bloomberg")</f>
        <v>Facebook,Adobe,Bloomberg</v>
      </c>
      <c r="G359" s="6" t="str">
        <f>IFERROR(__xludf.DUMMYFUNCTION("""COMPUTED_VALUE"""),"Google,Microsoft,Yandex,Facebook,Adobe,Bloomberg")</f>
        <v>Google,Microsoft,Yandex,Facebook,Adobe,Bloomberg</v>
      </c>
      <c r="H359" s="6" t="str">
        <f>IFERROR(__xludf.DUMMYFUNCTION("""COMPUTED_VALUE"""),"Amazon,Pinterest,Google,Microsoft,Yandex,Facebook,Adobe,Bloomberg")</f>
        <v>Amazon,Pinterest,Google,Microsoft,Yandex,Facebook,Adobe,Bloomberg</v>
      </c>
      <c r="I359" s="6">
        <f>IFERROR(__xludf.DUMMYFUNCTION("""COMPUTED_VALUE"""),49.48)</f>
        <v>49.48</v>
      </c>
      <c r="J359" s="6" t="str">
        <f>IFERROR(__xludf.DUMMYFUNCTION("""COMPUTED_VALUE"""),"算法")</f>
        <v>算法</v>
      </c>
    </row>
    <row r="360">
      <c r="A360" s="6">
        <f>IFERROR(__xludf.DUMMYFUNCTION("""COMPUTED_VALUE"""),393.0)</f>
        <v>393</v>
      </c>
      <c r="B360" s="53" t="str">
        <f>IFERROR(__xludf.DUMMYFUNCTION("""COMPUTED_VALUE"""),"UTF-8 Validation")</f>
        <v>UTF-8 Validation</v>
      </c>
      <c r="C360" s="6" t="str">
        <f>IFERROR(__xludf.DUMMYFUNCTION("""COMPUTED_VALUE"""),"Medium")</f>
        <v>Medium</v>
      </c>
      <c r="D360" s="6" t="str">
        <f>IFERROR(__xludf.DUMMYFUNCTION("""COMPUTED_VALUE"""),"Bit Manipulation")</f>
        <v>Bit Manipulation</v>
      </c>
      <c r="E360" s="6" t="str">
        <f>IFERROR(__xludf.DUMMYFUNCTION("""COMPUTED_VALUE"""),"Microsoft,Palantir Technologies,Apple,Facebook,Amazon,Google")</f>
        <v>Microsoft,Palantir Technologies,Apple,Facebook,Amazon,Google</v>
      </c>
      <c r="F360" s="6" t="str">
        <f>IFERROR(__xludf.DUMMYFUNCTION("""COMPUTED_VALUE"""),"Palantir Technologies,Facebook,Amazon")</f>
        <v>Palantir Technologies,Facebook,Amazon</v>
      </c>
      <c r="G360" s="6" t="str">
        <f>IFERROR(__xludf.DUMMYFUNCTION("""COMPUTED_VALUE"""),"Microsoft,Google,Palantir Technologies,Facebook,Amazon")</f>
        <v>Microsoft,Google,Palantir Technologies,Facebook,Amazon</v>
      </c>
      <c r="H360" s="6" t="str">
        <f>IFERROR(__xludf.DUMMYFUNCTION("""COMPUTED_VALUE"""),"Apple,Microsoft,Google,Palantir Technologies,Facebook,Amazon")</f>
        <v>Apple,Microsoft,Google,Palantir Technologies,Facebook,Amazon</v>
      </c>
      <c r="I360" s="6">
        <f>IFERROR(__xludf.DUMMYFUNCTION("""COMPUTED_VALUE"""),38.07)</f>
        <v>38.07</v>
      </c>
      <c r="J360" s="6" t="str">
        <f>IFERROR(__xludf.DUMMYFUNCTION("""COMPUTED_VALUE"""),"算法")</f>
        <v>算法</v>
      </c>
    </row>
    <row r="361">
      <c r="A361" s="6">
        <f>IFERROR(__xludf.DUMMYFUNCTION("""COMPUTED_VALUE"""),394.0)</f>
        <v>394</v>
      </c>
      <c r="B361" s="53" t="str">
        <f>IFERROR(__xludf.DUMMYFUNCTION("""COMPUTED_VALUE"""),"Decode String")</f>
        <v>Decode String</v>
      </c>
      <c r="C361" s="6" t="str">
        <f>IFERROR(__xludf.DUMMYFUNCTION("""COMPUTED_VALUE"""),"Medium")</f>
        <v>Medium</v>
      </c>
      <c r="D361" s="6" t="str">
        <f>IFERROR(__xludf.DUMMYFUNCTION("""COMPUTED_VALUE"""),"Depth First Search,Stack")</f>
        <v>Depth First Search,Stack</v>
      </c>
      <c r="E361" s="6" t="str">
        <f>IFERROR(__xludf.DUMMYFUNCTION("""COMPUTED_VALUE"""),"Splunk,Walmart Labs,Citrix,Alibaba,AppDynamics,Hulu,Cruise Automation,Coupang,Atlassian,ByteDance,Salesforce,VMware,Snapchat,Yelp,Oracle,Cisco,Huawei,EBay,Apple,Yahoo,Tencent,Bloomberg,Facebook,Amazon,Microsoft,Google")</f>
        <v>Splunk,Walmart Labs,Citrix,Alibaba,AppDynamics,Hulu,Cruise Automation,Coupang,Atlassian,ByteDance,Salesforce,VMware,Snapchat,Yelp,Oracle,Cisco,Huawei,EBay,Apple,Yahoo,Tencent,Bloomberg,Facebook,Amazon,Microsoft,Google</v>
      </c>
      <c r="F361" s="6" t="str">
        <f>IFERROR(__xludf.DUMMYFUNCTION("""COMPUTED_VALUE"""),"Bloomberg,Amazon,Google,Oracle,Apple,ByteDance,Walmart Labs,VMware,Cisco")</f>
        <v>Bloomberg,Amazon,Google,Oracle,Apple,ByteDance,Walmart Labs,VMware,Cisco</v>
      </c>
      <c r="G361" s="6" t="str">
        <f>IFERROR(__xludf.DUMMYFUNCTION("""COMPUTED_VALUE"""),"Microsoft,eBay,Coupang,Facebook,Tencent,Hulu,Citrix,Bloomberg,Amazon,Google,Oracle,Apple,ByteDance,Walmart Labs,VMware,Cisco")</f>
        <v>Microsoft,eBay,Coupang,Facebook,Tencent,Hulu,Citrix,Bloomberg,Amazon,Google,Oracle,Apple,ByteDance,Walmart Labs,VMware,Cisco</v>
      </c>
      <c r="H361" s="6" t="str">
        <f>IFERROR(__xludf.DUMMYFUNCTION("""COMPUTED_VALUE"""),"Huawei,Atlassian,Snapchat,Salesforce,Alibaba,Splunk,Yelp,Microsoft,eBay,Coupang,Facebook,Tencent,Hulu,Citrix,Bloomberg,Amazon,Google,Oracle,Apple,ByteDance,Walmart Labs,VMware,Cisco")</f>
        <v>Huawei,Atlassian,Snapchat,Salesforce,Alibaba,Splunk,Yelp,Microsoft,eBay,Coupang,Facebook,Tencent,Hulu,Citrix,Bloomberg,Amazon,Google,Oracle,Apple,ByteDance,Walmart Labs,VMware,Cisco</v>
      </c>
      <c r="I361" s="6">
        <f>IFERROR(__xludf.DUMMYFUNCTION("""COMPUTED_VALUE"""),52.8)</f>
        <v>52.8</v>
      </c>
      <c r="J361" s="6" t="str">
        <f>IFERROR(__xludf.DUMMYFUNCTION("""COMPUTED_VALUE"""),"算法")</f>
        <v>算法</v>
      </c>
    </row>
    <row r="362">
      <c r="A362" s="6">
        <f>IFERROR(__xludf.DUMMYFUNCTION("""COMPUTED_VALUE"""),395.0)</f>
        <v>395</v>
      </c>
      <c r="B362" s="53" t="str">
        <f>IFERROR(__xludf.DUMMYFUNCTION("""COMPUTED_VALUE"""),"Longest Substring with At Least K Repeating Characters")</f>
        <v>Longest Substring with At Least K Repeating Characters</v>
      </c>
      <c r="C362" s="6" t="str">
        <f>IFERROR(__xludf.DUMMYFUNCTION("""COMPUTED_VALUE"""),"Medium")</f>
        <v>Medium</v>
      </c>
      <c r="D362" s="6" t="str">
        <f>IFERROR(__xludf.DUMMYFUNCTION("""COMPUTED_VALUE"""),"Sliding Window,Recursion,Divide and Conquer")</f>
        <v>Sliding Window,Recursion,Divide and Conquer</v>
      </c>
      <c r="E362" s="6" t="str">
        <f>IFERROR(__xludf.DUMMYFUNCTION("""COMPUTED_VALUE"""),"Apple,ByteDance,Baidu,Uber,Bloomberg,Adobe,Facebook,Amazon,Google")</f>
        <v>Apple,ByteDance,Baidu,Uber,Bloomberg,Adobe,Facebook,Amazon,Google</v>
      </c>
      <c r="F362" s="6" t="str">
        <f>IFERROR(__xludf.DUMMYFUNCTION("""COMPUTED_VALUE"""),"Facebook,Amazon")</f>
        <v>Facebook,Amazon</v>
      </c>
      <c r="G362" s="6" t="str">
        <f>IFERROR(__xludf.DUMMYFUNCTION("""COMPUTED_VALUE"""),"Uber,Apple,ByteDance,Bloomberg,Facebook,Amazon")</f>
        <v>Uber,Apple,ByteDance,Bloomberg,Facebook,Amazon</v>
      </c>
      <c r="H362" s="6" t="str">
        <f>IFERROR(__xludf.DUMMYFUNCTION("""COMPUTED_VALUE"""),"Google,Adobe,Baidu,Uber,Apple,ByteDance,Bloomberg,Facebook,Amazon")</f>
        <v>Google,Adobe,Baidu,Uber,Apple,ByteDance,Bloomberg,Facebook,Amazon</v>
      </c>
      <c r="I362" s="6">
        <f>IFERROR(__xludf.DUMMYFUNCTION("""COMPUTED_VALUE"""),43.59)</f>
        <v>43.59</v>
      </c>
      <c r="J362" s="6" t="str">
        <f>IFERROR(__xludf.DUMMYFUNCTION("""COMPUTED_VALUE"""),"算法")</f>
        <v>算法</v>
      </c>
    </row>
    <row r="363">
      <c r="A363" s="6">
        <f>IFERROR(__xludf.DUMMYFUNCTION("""COMPUTED_VALUE"""),397.0)</f>
        <v>397</v>
      </c>
      <c r="B363" s="53" t="str">
        <f>IFERROR(__xludf.DUMMYFUNCTION("""COMPUTED_VALUE"""),"Integer Replacement")</f>
        <v>Integer Replacement</v>
      </c>
      <c r="C363" s="6" t="str">
        <f>IFERROR(__xludf.DUMMYFUNCTION("""COMPUTED_VALUE"""),"Medium")</f>
        <v>Medium</v>
      </c>
      <c r="D363" s="6" t="str">
        <f>IFERROR(__xludf.DUMMYFUNCTION("""COMPUTED_VALUE"""),"Bit Manipulation,Math")</f>
        <v>Bit Manipulation,Math</v>
      </c>
      <c r="E363" s="6" t="str">
        <f>IFERROR(__xludf.DUMMYFUNCTION("""COMPUTED_VALUE"""),"Baidu,Bloomberg,Amazon,Microsoft,Google")</f>
        <v>Baidu,Bloomberg,Amazon,Microsoft,Google</v>
      </c>
      <c r="F363" s="6" t="str">
        <f>IFERROR(__xludf.DUMMYFUNCTION("""COMPUTED_VALUE"""),"Google")</f>
        <v>Google</v>
      </c>
      <c r="G363" s="6" t="str">
        <f>IFERROR(__xludf.DUMMYFUNCTION("""COMPUTED_VALUE"""),"Google")</f>
        <v>Google</v>
      </c>
      <c r="H363" s="6" t="str">
        <f>IFERROR(__xludf.DUMMYFUNCTION("""COMPUTED_VALUE"""),"Amazon,Bloomberg,Baidu,Google")</f>
        <v>Amazon,Bloomberg,Baidu,Google</v>
      </c>
      <c r="I363" s="6">
        <f>IFERROR(__xludf.DUMMYFUNCTION("""COMPUTED_VALUE"""),33.52)</f>
        <v>33.52</v>
      </c>
      <c r="J363" s="6" t="str">
        <f>IFERROR(__xludf.DUMMYFUNCTION("""COMPUTED_VALUE"""),"算法")</f>
        <v>算法</v>
      </c>
    </row>
    <row r="364">
      <c r="A364" s="6">
        <f>IFERROR(__xludf.DUMMYFUNCTION("""COMPUTED_VALUE"""),398.0)</f>
        <v>398</v>
      </c>
      <c r="B364" s="53" t="str">
        <f>IFERROR(__xludf.DUMMYFUNCTION("""COMPUTED_VALUE"""),"Random Pick Index")</f>
        <v>Random Pick Index</v>
      </c>
      <c r="C364" s="6" t="str">
        <f>IFERROR(__xludf.DUMMYFUNCTION("""COMPUTED_VALUE"""),"Medium")</f>
        <v>Medium</v>
      </c>
      <c r="D364" s="6" t="str">
        <f>IFERROR(__xludf.DUMMYFUNCTION("""COMPUTED_VALUE"""),"Reservoir Sampling")</f>
        <v>Reservoir Sampling</v>
      </c>
      <c r="E364" s="6" t="str">
        <f>IFERROR(__xludf.DUMMYFUNCTION("""COMPUTED_VALUE"""),"Uber,Facebook,Google")</f>
        <v>Uber,Facebook,Google</v>
      </c>
      <c r="F364" s="6" t="str">
        <f>IFERROR(__xludf.DUMMYFUNCTION("""COMPUTED_VALUE"""),"Facebook,Google")</f>
        <v>Facebook,Google</v>
      </c>
      <c r="G364" s="6" t="str">
        <f>IFERROR(__xludf.DUMMYFUNCTION("""COMPUTED_VALUE"""),"Facebook,Google")</f>
        <v>Facebook,Google</v>
      </c>
      <c r="H364" s="6" t="str">
        <f>IFERROR(__xludf.DUMMYFUNCTION("""COMPUTED_VALUE"""),"Facebook,Google")</f>
        <v>Facebook,Google</v>
      </c>
      <c r="I364" s="6">
        <f>IFERROR(__xludf.DUMMYFUNCTION("""COMPUTED_VALUE"""),58.1)</f>
        <v>58.1</v>
      </c>
      <c r="J364" s="6" t="str">
        <f>IFERROR(__xludf.DUMMYFUNCTION("""COMPUTED_VALUE"""),"算法")</f>
        <v>算法</v>
      </c>
    </row>
    <row r="365">
      <c r="A365" s="6">
        <f>IFERROR(__xludf.DUMMYFUNCTION("""COMPUTED_VALUE"""),399.0)</f>
        <v>399</v>
      </c>
      <c r="B365" s="53" t="str">
        <f>IFERROR(__xludf.DUMMYFUNCTION("""COMPUTED_VALUE"""),"Evaluate Division")</f>
        <v>Evaluate Division</v>
      </c>
      <c r="C365" s="6" t="str">
        <f>IFERROR(__xludf.DUMMYFUNCTION("""COMPUTED_VALUE"""),"Medium")</f>
        <v>Medium</v>
      </c>
      <c r="D365" s="6" t="str">
        <f>IFERROR(__xludf.DUMMYFUNCTION("""COMPUTED_VALUE"""),"Graph,Union Find")</f>
        <v>Graph,Union Find</v>
      </c>
      <c r="E365" s="6" t="str">
        <f>IFERROR(__xludf.DUMMYFUNCTION("""COMPUTED_VALUE"""),"Apple,Microsoft,Uber,Bloomberg,Adobe,Facebook,Amazon,Google")</f>
        <v>Apple,Microsoft,Uber,Bloomberg,Adobe,Facebook,Amazon,Google</v>
      </c>
      <c r="F365" s="6" t="str">
        <f>IFERROR(__xludf.DUMMYFUNCTION("""COMPUTED_VALUE"""),"Bloomberg,Amazon,Uber,Facebook,Google,Microsoft,Apple")</f>
        <v>Bloomberg,Amazon,Uber,Facebook,Google,Microsoft,Apple</v>
      </c>
      <c r="G365" s="6" t="str">
        <f>IFERROR(__xludf.DUMMYFUNCTION("""COMPUTED_VALUE"""),"Bloomberg,Amazon,Uber,Facebook,Google,Microsoft,Apple")</f>
        <v>Bloomberg,Amazon,Uber,Facebook,Google,Microsoft,Apple</v>
      </c>
      <c r="H365" s="6" t="str">
        <f>IFERROR(__xludf.DUMMYFUNCTION("""COMPUTED_VALUE"""),"Bloomberg,Amazon,Uber,Facebook,Google,Microsoft,Apple")</f>
        <v>Bloomberg,Amazon,Uber,Facebook,Google,Microsoft,Apple</v>
      </c>
      <c r="I365" s="6">
        <f>IFERROR(__xludf.DUMMYFUNCTION("""COMPUTED_VALUE"""),54.47)</f>
        <v>54.47</v>
      </c>
      <c r="J365" s="6" t="str">
        <f>IFERROR(__xludf.DUMMYFUNCTION("""COMPUTED_VALUE"""),"算法")</f>
        <v>算法</v>
      </c>
    </row>
    <row r="366">
      <c r="A366" s="6">
        <f>IFERROR(__xludf.DUMMYFUNCTION("""COMPUTED_VALUE"""),400.0)</f>
        <v>400</v>
      </c>
      <c r="B366" s="53" t="str">
        <f>IFERROR(__xludf.DUMMYFUNCTION("""COMPUTED_VALUE"""),"Nth Digit")</f>
        <v>Nth Digit</v>
      </c>
      <c r="C366" s="6" t="str">
        <f>IFERROR(__xludf.DUMMYFUNCTION("""COMPUTED_VALUE"""),"Medium")</f>
        <v>Medium</v>
      </c>
      <c r="D366" s="6" t="str">
        <f>IFERROR(__xludf.DUMMYFUNCTION("""COMPUTED_VALUE"""),"Math")</f>
        <v>Math</v>
      </c>
      <c r="E366" s="6" t="str">
        <f>IFERROR(__xludf.DUMMYFUNCTION("""COMPUTED_VALUE"""),"Facebook,Google")</f>
        <v>Facebook,Google</v>
      </c>
      <c r="F366" s="6"/>
      <c r="G366" s="6" t="str">
        <f>IFERROR(__xludf.DUMMYFUNCTION("""COMPUTED_VALUE"""),"Facebook")</f>
        <v>Facebook</v>
      </c>
      <c r="H366" s="6" t="str">
        <f>IFERROR(__xludf.DUMMYFUNCTION("""COMPUTED_VALUE"""),"Google,Facebook")</f>
        <v>Google,Facebook</v>
      </c>
      <c r="I366" s="6">
        <f>IFERROR(__xludf.DUMMYFUNCTION("""COMPUTED_VALUE"""),32.4)</f>
        <v>32.4</v>
      </c>
      <c r="J366" s="6" t="str">
        <f>IFERROR(__xludf.DUMMYFUNCTION("""COMPUTED_VALUE"""),"算法")</f>
        <v>算法</v>
      </c>
    </row>
    <row r="367">
      <c r="A367" s="6">
        <f>IFERROR(__xludf.DUMMYFUNCTION("""COMPUTED_VALUE"""),401.0)</f>
        <v>401</v>
      </c>
      <c r="B367" s="53" t="str">
        <f>IFERROR(__xludf.DUMMYFUNCTION("""COMPUTED_VALUE"""),"Binary Watch")</f>
        <v>Binary Watch</v>
      </c>
      <c r="C367" s="6" t="str">
        <f>IFERROR(__xludf.DUMMYFUNCTION("""COMPUTED_VALUE"""),"Easy")</f>
        <v>Easy</v>
      </c>
      <c r="D367" s="6" t="str">
        <f>IFERROR(__xludf.DUMMYFUNCTION("""COMPUTED_VALUE"""),"Bit Manipulation,Backtracking")</f>
        <v>Bit Manipulation,Backtracking</v>
      </c>
      <c r="E367" s="6" t="str">
        <f>IFERROR(__xludf.DUMMYFUNCTION("""COMPUTED_VALUE"""),"Apple,Google")</f>
        <v>Apple,Google</v>
      </c>
      <c r="F367" s="6"/>
      <c r="G367" s="6"/>
      <c r="H367" s="6" t="str">
        <f>IFERROR(__xludf.DUMMYFUNCTION("""COMPUTED_VALUE"""),"Apple,Google")</f>
        <v>Apple,Google</v>
      </c>
      <c r="I367" s="6">
        <f>IFERROR(__xludf.DUMMYFUNCTION("""COMPUTED_VALUE"""),48.51)</f>
        <v>48.51</v>
      </c>
      <c r="J367" s="6" t="str">
        <f>IFERROR(__xludf.DUMMYFUNCTION("""COMPUTED_VALUE"""),"算法")</f>
        <v>算法</v>
      </c>
    </row>
    <row r="368">
      <c r="A368" s="6">
        <f>IFERROR(__xludf.DUMMYFUNCTION("""COMPUTED_VALUE"""),402.0)</f>
        <v>402</v>
      </c>
      <c r="B368" s="53" t="str">
        <f>IFERROR(__xludf.DUMMYFUNCTION("""COMPUTED_VALUE"""),"Remove K Digits")</f>
        <v>Remove K Digits</v>
      </c>
      <c r="C368" s="6" t="str">
        <f>IFERROR(__xludf.DUMMYFUNCTION("""COMPUTED_VALUE"""),"Medium")</f>
        <v>Medium</v>
      </c>
      <c r="D368" s="6" t="str">
        <f>IFERROR(__xludf.DUMMYFUNCTION("""COMPUTED_VALUE"""),"Greedy,Stack")</f>
        <v>Greedy,Stack</v>
      </c>
      <c r="E368" s="6" t="str">
        <f>IFERROR(__xludf.DUMMYFUNCTION("""COMPUTED_VALUE"""),"Sprinklr,Codenation,Uber,Nutanix,ByteDance,VMware,Snapchat,Oracle,DiDi,Bloomberg,Adobe,Facebook,Amazon,Microsoft,Google")</f>
        <v>Sprinklr,Codenation,Uber,Nutanix,ByteDance,VMware,Snapchat,Oracle,DiDi,Bloomberg,Adobe,Facebook,Amazon,Microsoft,Google</v>
      </c>
      <c r="F368" s="6" t="str">
        <f>IFERROR(__xludf.DUMMYFUNCTION("""COMPUTED_VALUE"""),"Amazon,Microsoft,Adobe,Oracle")</f>
        <v>Amazon,Microsoft,Adobe,Oracle</v>
      </c>
      <c r="G368" s="6" t="str">
        <f>IFERROR(__xludf.DUMMYFUNCTION("""COMPUTED_VALUE"""),"Codenation,Bloomberg,ByteDance,Sprinklr,Amazon,Microsoft,Adobe,Oracle")</f>
        <v>Codenation,Bloomberg,ByteDance,Sprinklr,Amazon,Microsoft,Adobe,Oracle</v>
      </c>
      <c r="H368" s="6" t="str">
        <f>IFERROR(__xludf.DUMMYFUNCTION("""COMPUTED_VALUE"""),"DiDi,Facebook,Uber,Google,Snapchat,Codenation,Bloomberg,ByteDance,Sprinklr,Amazon,Microsoft,Adobe,Oracle")</f>
        <v>DiDi,Facebook,Uber,Google,Snapchat,Codenation,Bloomberg,ByteDance,Sprinklr,Amazon,Microsoft,Adobe,Oracle</v>
      </c>
      <c r="I368" s="6">
        <f>IFERROR(__xludf.DUMMYFUNCTION("""COMPUTED_VALUE"""),28.69)</f>
        <v>28.69</v>
      </c>
      <c r="J368" s="6" t="str">
        <f>IFERROR(__xludf.DUMMYFUNCTION("""COMPUTED_VALUE"""),"算法")</f>
        <v>算法</v>
      </c>
    </row>
    <row r="369">
      <c r="A369" s="6">
        <f>IFERROR(__xludf.DUMMYFUNCTION("""COMPUTED_VALUE"""),403.0)</f>
        <v>403</v>
      </c>
      <c r="B369" s="53" t="str">
        <f>IFERROR(__xludf.DUMMYFUNCTION("""COMPUTED_VALUE"""),"Frog Jump")</f>
        <v>Frog Jump</v>
      </c>
      <c r="C369" s="6" t="str">
        <f>IFERROR(__xludf.DUMMYFUNCTION("""COMPUTED_VALUE"""),"Hard")</f>
        <v>Hard</v>
      </c>
      <c r="D369" s="6" t="str">
        <f>IFERROR(__xludf.DUMMYFUNCTION("""COMPUTED_VALUE"""),"Dynamic Programming")</f>
        <v>Dynamic Programming</v>
      </c>
      <c r="E369" s="6" t="str">
        <f>IFERROR(__xludf.DUMMYFUNCTION("""COMPUTED_VALUE"""),"Wish,Salesforce,Yahoo,Nutanix,ByteDance,Snapchat,Oracle,Apple,Facebook,Amazon,Microsoft,Google")</f>
        <v>Wish,Salesforce,Yahoo,Nutanix,ByteDance,Snapchat,Oracle,Apple,Facebook,Amazon,Microsoft,Google</v>
      </c>
      <c r="F369" s="6" t="str">
        <f>IFERROR(__xludf.DUMMYFUNCTION("""COMPUTED_VALUE"""),"Amazon,Microsoft,Salesforce,Google,Yahoo,ByteDance")</f>
        <v>Amazon,Microsoft,Salesforce,Google,Yahoo,ByteDance</v>
      </c>
      <c r="G369" s="6" t="str">
        <f>IFERROR(__xludf.DUMMYFUNCTION("""COMPUTED_VALUE"""),"Apple,Facebook,Amazon,Microsoft,Salesforce,Google,Yahoo,ByteDance")</f>
        <v>Apple,Facebook,Amazon,Microsoft,Salesforce,Google,Yahoo,ByteDance</v>
      </c>
      <c r="H369" s="6" t="str">
        <f>IFERROR(__xludf.DUMMYFUNCTION("""COMPUTED_VALUE"""),"Oracle,Nutanix,Snapchat,Wish,Apple,Facebook,Amazon,Microsoft,Salesforce,Google,Yahoo,ByteDance")</f>
        <v>Oracle,Nutanix,Snapchat,Wish,Apple,Facebook,Amazon,Microsoft,Salesforce,Google,Yahoo,ByteDance</v>
      </c>
      <c r="I369" s="6">
        <f>IFERROR(__xludf.DUMMYFUNCTION("""COMPUTED_VALUE"""),41.57)</f>
        <v>41.57</v>
      </c>
      <c r="J369" s="6" t="str">
        <f>IFERROR(__xludf.DUMMYFUNCTION("""COMPUTED_VALUE"""),"算法")</f>
        <v>算法</v>
      </c>
    </row>
    <row r="370">
      <c r="A370" s="6">
        <f>IFERROR(__xludf.DUMMYFUNCTION("""COMPUTED_VALUE"""),404.0)</f>
        <v>404</v>
      </c>
      <c r="B370" s="53" t="str">
        <f>IFERROR(__xludf.DUMMYFUNCTION("""COMPUTED_VALUE"""),"Sum of Left Leaves")</f>
        <v>Sum of Left Leaves</v>
      </c>
      <c r="C370" s="6" t="str">
        <f>IFERROR(__xludf.DUMMYFUNCTION("""COMPUTED_VALUE"""),"Easy")</f>
        <v>Easy</v>
      </c>
      <c r="D370" s="6" t="str">
        <f>IFERROR(__xludf.DUMMYFUNCTION("""COMPUTED_VALUE"""),"Tree")</f>
        <v>Tree</v>
      </c>
      <c r="E370" s="6" t="str">
        <f>IFERROR(__xludf.DUMMYFUNCTION("""COMPUTED_VALUE"""),"Apple,Expedia,Mathworks,Bloomberg,Adobe,Facebook,Amazon,Google")</f>
        <v>Apple,Expedia,Mathworks,Bloomberg,Adobe,Facebook,Amazon,Google</v>
      </c>
      <c r="F370" s="6" t="str">
        <f>IFERROR(__xludf.DUMMYFUNCTION("""COMPUTED_VALUE"""),"Adobe,Apple")</f>
        <v>Adobe,Apple</v>
      </c>
      <c r="G370" s="6" t="str">
        <f>IFERROR(__xludf.DUMMYFUNCTION("""COMPUTED_VALUE"""),"Amazon,Adobe,Apple")</f>
        <v>Amazon,Adobe,Apple</v>
      </c>
      <c r="H370" s="6" t="str">
        <f>IFERROR(__xludf.DUMMYFUNCTION("""COMPUTED_VALUE"""),"Bloomberg,Google,Expedia,Facebook,Amazon,Adobe,Apple")</f>
        <v>Bloomberg,Google,Expedia,Facebook,Amazon,Adobe,Apple</v>
      </c>
      <c r="I370" s="6">
        <f>IFERROR(__xludf.DUMMYFUNCTION("""COMPUTED_VALUE"""),52.27)</f>
        <v>52.27</v>
      </c>
      <c r="J370" s="6" t="str">
        <f>IFERROR(__xludf.DUMMYFUNCTION("""COMPUTED_VALUE"""),"算法")</f>
        <v>算法</v>
      </c>
    </row>
    <row r="371">
      <c r="A371" s="6">
        <f>IFERROR(__xludf.DUMMYFUNCTION("""COMPUTED_VALUE"""),406.0)</f>
        <v>406</v>
      </c>
      <c r="B371" s="53" t="str">
        <f>IFERROR(__xludf.DUMMYFUNCTION("""COMPUTED_VALUE"""),"Queue Reconstruction by Height")</f>
        <v>Queue Reconstruction by Height</v>
      </c>
      <c r="C371" s="6" t="str">
        <f>IFERROR(__xludf.DUMMYFUNCTION("""COMPUTED_VALUE"""),"Medium")</f>
        <v>Medium</v>
      </c>
      <c r="D371" s="6" t="str">
        <f>IFERROR(__xludf.DUMMYFUNCTION("""COMPUTED_VALUE"""),"Greedy")</f>
        <v>Greedy</v>
      </c>
      <c r="E371" s="6" t="str">
        <f>IFERROR(__xludf.DUMMYFUNCTION("""COMPUTED_VALUE"""),"ByteDance,Apple,Bloomberg,Facebook,Amazon,Microsoft,Google")</f>
        <v>ByteDance,Apple,Bloomberg,Facebook,Amazon,Microsoft,Google</v>
      </c>
      <c r="F371" s="6" t="str">
        <f>IFERROR(__xludf.DUMMYFUNCTION("""COMPUTED_VALUE"""),"Google,Amazon,Apple,Facebook")</f>
        <v>Google,Amazon,Apple,Facebook</v>
      </c>
      <c r="G371" s="6" t="str">
        <f>IFERROR(__xludf.DUMMYFUNCTION("""COMPUTED_VALUE"""),"ByteDance,Google,Amazon,Apple,Facebook")</f>
        <v>ByteDance,Google,Amazon,Apple,Facebook</v>
      </c>
      <c r="H371" s="6" t="str">
        <f>IFERROR(__xludf.DUMMYFUNCTION("""COMPUTED_VALUE"""),"Microsoft,ByteDance,Google,Amazon,Apple,Facebook")</f>
        <v>Microsoft,ByteDance,Google,Amazon,Apple,Facebook</v>
      </c>
      <c r="I371" s="6">
        <f>IFERROR(__xludf.DUMMYFUNCTION("""COMPUTED_VALUE"""),68.5)</f>
        <v>68.5</v>
      </c>
      <c r="J371" s="6" t="str">
        <f>IFERROR(__xludf.DUMMYFUNCTION("""COMPUTED_VALUE"""),"算法")</f>
        <v>算法</v>
      </c>
    </row>
    <row r="372">
      <c r="A372" s="6">
        <f>IFERROR(__xludf.DUMMYFUNCTION("""COMPUTED_VALUE"""),407.0)</f>
        <v>407</v>
      </c>
      <c r="B372" s="53" t="str">
        <f>IFERROR(__xludf.DUMMYFUNCTION("""COMPUTED_VALUE"""),"Trapping Rain Water II")</f>
        <v>Trapping Rain Water II</v>
      </c>
      <c r="C372" s="6" t="str">
        <f>IFERROR(__xludf.DUMMYFUNCTION("""COMPUTED_VALUE"""),"Hard")</f>
        <v>Hard</v>
      </c>
      <c r="D372" s="6" t="str">
        <f>IFERROR(__xludf.DUMMYFUNCTION("""COMPUTED_VALUE"""),"Breadth First Search,Heap")</f>
        <v>Breadth First Search,Heap</v>
      </c>
      <c r="E372" s="6" t="str">
        <f>IFERROR(__xludf.DUMMYFUNCTION("""COMPUTED_VALUE"""),"Facebook,ByteDance,Twitter,Apple,Amazon,Microsoft,Google")</f>
        <v>Facebook,ByteDance,Twitter,Apple,Amazon,Microsoft,Google</v>
      </c>
      <c r="F372" s="6" t="str">
        <f>IFERROR(__xludf.DUMMYFUNCTION("""COMPUTED_VALUE"""),"Amazon,Google")</f>
        <v>Amazon,Google</v>
      </c>
      <c r="G372" s="6" t="str">
        <f>IFERROR(__xludf.DUMMYFUNCTION("""COMPUTED_VALUE"""),"ByteDance,Amazon,Google")</f>
        <v>ByteDance,Amazon,Google</v>
      </c>
      <c r="H372" s="6" t="str">
        <f>IFERROR(__xludf.DUMMYFUNCTION("""COMPUTED_VALUE"""),"Apple,Facebook,Microsoft,Twitter,ByteDance,Amazon,Google")</f>
        <v>Apple,Facebook,Microsoft,Twitter,ByteDance,Amazon,Google</v>
      </c>
      <c r="I372" s="6">
        <f>IFERROR(__xludf.DUMMYFUNCTION("""COMPUTED_VALUE"""),44.39)</f>
        <v>44.39</v>
      </c>
      <c r="J372" s="6" t="str">
        <f>IFERROR(__xludf.DUMMYFUNCTION("""COMPUTED_VALUE"""),"算法")</f>
        <v>算法</v>
      </c>
    </row>
    <row r="373">
      <c r="A373" s="6">
        <f>IFERROR(__xludf.DUMMYFUNCTION("""COMPUTED_VALUE"""),408.0)</f>
        <v>408</v>
      </c>
      <c r="B373" s="53" t="str">
        <f>IFERROR(__xludf.DUMMYFUNCTION("""COMPUTED_VALUE"""),"Valid Word Abbreviation")</f>
        <v>Valid Word Abbreviation</v>
      </c>
      <c r="C373" s="6" t="str">
        <f>IFERROR(__xludf.DUMMYFUNCTION("""COMPUTED_VALUE"""),"Easy")</f>
        <v>Easy</v>
      </c>
      <c r="D373" s="6" t="str">
        <f>IFERROR(__xludf.DUMMYFUNCTION("""COMPUTED_VALUE"""),"String")</f>
        <v>String</v>
      </c>
      <c r="E373" s="6" t="str">
        <f>IFERROR(__xludf.DUMMYFUNCTION("""COMPUTED_VALUE"""),"Facebook,Google")</f>
        <v>Facebook,Google</v>
      </c>
      <c r="F373" s="6" t="str">
        <f>IFERROR(__xludf.DUMMYFUNCTION("""COMPUTED_VALUE"""),"Facebook")</f>
        <v>Facebook</v>
      </c>
      <c r="G373" s="6" t="str">
        <f>IFERROR(__xludf.DUMMYFUNCTION("""COMPUTED_VALUE"""),"Facebook")</f>
        <v>Facebook</v>
      </c>
      <c r="H373" s="6" t="str">
        <f>IFERROR(__xludf.DUMMYFUNCTION("""COMPUTED_VALUE"""),"Google,Facebook")</f>
        <v>Google,Facebook</v>
      </c>
      <c r="I373" s="6">
        <f>IFERROR(__xludf.DUMMYFUNCTION("""COMPUTED_VALUE"""),31.41)</f>
        <v>31.41</v>
      </c>
      <c r="J373" s="6" t="str">
        <f>IFERROR(__xludf.DUMMYFUNCTION("""COMPUTED_VALUE"""),"算法")</f>
        <v>算法</v>
      </c>
    </row>
    <row r="374">
      <c r="A374" s="6">
        <f>IFERROR(__xludf.DUMMYFUNCTION("""COMPUTED_VALUE"""),409.0)</f>
        <v>409</v>
      </c>
      <c r="B374" s="53" t="str">
        <f>IFERROR(__xludf.DUMMYFUNCTION("""COMPUTED_VALUE"""),"Longest Palindrome")</f>
        <v>Longest Palindrome</v>
      </c>
      <c r="C374" s="6" t="str">
        <f>IFERROR(__xludf.DUMMYFUNCTION("""COMPUTED_VALUE"""),"Easy")</f>
        <v>Easy</v>
      </c>
      <c r="D374" s="6" t="str">
        <f>IFERROR(__xludf.DUMMYFUNCTION("""COMPUTED_VALUE"""),"Hash Table")</f>
        <v>Hash Table</v>
      </c>
      <c r="E374" s="6" t="str">
        <f>IFERROR(__xludf.DUMMYFUNCTION("""COMPUTED_VALUE"""),"Lyft,Bloomberg,Microsoft,Intuit,Amazon,Google")</f>
        <v>Lyft,Bloomberg,Microsoft,Intuit,Amazon,Google</v>
      </c>
      <c r="F374" s="6"/>
      <c r="G374" s="6" t="str">
        <f>IFERROR(__xludf.DUMMYFUNCTION("""COMPUTED_VALUE"""),"Lyft,Amazon,Google")</f>
        <v>Lyft,Amazon,Google</v>
      </c>
      <c r="H374" s="6" t="str">
        <f>IFERROR(__xludf.DUMMYFUNCTION("""COMPUTED_VALUE"""),"Intuit,Microsoft,Bloomberg,Lyft,Amazon,Google")</f>
        <v>Intuit,Microsoft,Bloomberg,Lyft,Amazon,Google</v>
      </c>
      <c r="I374" s="6">
        <f>IFERROR(__xludf.DUMMYFUNCTION("""COMPUTED_VALUE"""),52.24)</f>
        <v>52.24</v>
      </c>
      <c r="J374" s="6" t="str">
        <f>IFERROR(__xludf.DUMMYFUNCTION("""COMPUTED_VALUE"""),"算法")</f>
        <v>算法</v>
      </c>
    </row>
    <row r="375">
      <c r="A375" s="6">
        <f>IFERROR(__xludf.DUMMYFUNCTION("""COMPUTED_VALUE"""),410.0)</f>
        <v>410</v>
      </c>
      <c r="B375" s="53" t="str">
        <f>IFERROR(__xludf.DUMMYFUNCTION("""COMPUTED_VALUE"""),"Split Array Largest Sum")</f>
        <v>Split Array Largest Sum</v>
      </c>
      <c r="C375" s="6" t="str">
        <f>IFERROR(__xludf.DUMMYFUNCTION("""COMPUTED_VALUE"""),"Hard")</f>
        <v>Hard</v>
      </c>
      <c r="D375" s="6" t="str">
        <f>IFERROR(__xludf.DUMMYFUNCTION("""COMPUTED_VALUE"""),"Dynamic Programming,Binary Search")</f>
        <v>Dynamic Programming,Binary Search</v>
      </c>
      <c r="E375" s="6" t="str">
        <f>IFERROR(__xludf.DUMMYFUNCTION("""COMPUTED_VALUE"""),"Infosys,ByteDance,Apple,Microsoft,Baidu,Facebook,Amazon,Google")</f>
        <v>Infosys,ByteDance,Apple,Microsoft,Baidu,Facebook,Amazon,Google</v>
      </c>
      <c r="F375" s="6" t="str">
        <f>IFERROR(__xludf.DUMMYFUNCTION("""COMPUTED_VALUE"""),"Amazon,Google,ByteDance")</f>
        <v>Amazon,Google,ByteDance</v>
      </c>
      <c r="G375" s="6" t="str">
        <f>IFERROR(__xludf.DUMMYFUNCTION("""COMPUTED_VALUE"""),"Apple,Infosys,Amazon,Google,ByteDance")</f>
        <v>Apple,Infosys,Amazon,Google,ByteDance</v>
      </c>
      <c r="H375" s="6" t="str">
        <f>IFERROR(__xludf.DUMMYFUNCTION("""COMPUTED_VALUE"""),"Facebook,Microsoft,Baidu,Apple,Infosys,Amazon,Google,ByteDance")</f>
        <v>Facebook,Microsoft,Baidu,Apple,Infosys,Amazon,Google,ByteDance</v>
      </c>
      <c r="I375" s="6">
        <f>IFERROR(__xludf.DUMMYFUNCTION("""COMPUTED_VALUE"""),46.5)</f>
        <v>46.5</v>
      </c>
      <c r="J375" s="6" t="str">
        <f>IFERROR(__xludf.DUMMYFUNCTION("""COMPUTED_VALUE"""),"算法")</f>
        <v>算法</v>
      </c>
    </row>
    <row r="376">
      <c r="A376" s="6">
        <f>IFERROR(__xludf.DUMMYFUNCTION("""COMPUTED_VALUE"""),411.0)</f>
        <v>411</v>
      </c>
      <c r="B376" s="53" t="str">
        <f>IFERROR(__xludf.DUMMYFUNCTION("""COMPUTED_VALUE"""),"Minimum Unique Word Abbreviation")</f>
        <v>Minimum Unique Word Abbreviation</v>
      </c>
      <c r="C376" s="6" t="str">
        <f>IFERROR(__xludf.DUMMYFUNCTION("""COMPUTED_VALUE"""),"Hard")</f>
        <v>Hard</v>
      </c>
      <c r="D376" s="6" t="str">
        <f>IFERROR(__xludf.DUMMYFUNCTION("""COMPUTED_VALUE"""),"Bit Manipulation,Backtracking")</f>
        <v>Bit Manipulation,Backtracking</v>
      </c>
      <c r="E376" s="6" t="str">
        <f>IFERROR(__xludf.DUMMYFUNCTION("""COMPUTED_VALUE"""),"Google")</f>
        <v>Google</v>
      </c>
      <c r="F376" s="6"/>
      <c r="G376" s="6"/>
      <c r="H376" s="6" t="str">
        <f>IFERROR(__xludf.DUMMYFUNCTION("""COMPUTED_VALUE"""),"Google")</f>
        <v>Google</v>
      </c>
      <c r="I376" s="6">
        <f>IFERROR(__xludf.DUMMYFUNCTION("""COMPUTED_VALUE"""),37.34)</f>
        <v>37.34</v>
      </c>
      <c r="J376" s="6" t="str">
        <f>IFERROR(__xludf.DUMMYFUNCTION("""COMPUTED_VALUE"""),"算法")</f>
        <v>算法</v>
      </c>
    </row>
    <row r="377">
      <c r="A377" s="6">
        <f>IFERROR(__xludf.DUMMYFUNCTION("""COMPUTED_VALUE"""),412.0)</f>
        <v>412</v>
      </c>
      <c r="B377" s="53" t="str">
        <f>IFERROR(__xludf.DUMMYFUNCTION("""COMPUTED_VALUE"""),"Fizz Buzz")</f>
        <v>Fizz Buzz</v>
      </c>
      <c r="C377" s="6" t="str">
        <f>IFERROR(__xludf.DUMMYFUNCTION("""COMPUTED_VALUE"""),"Easy")</f>
        <v>Easy</v>
      </c>
      <c r="D377" s="6"/>
      <c r="E377" s="6" t="str">
        <f>IFERROR(__xludf.DUMMYFUNCTION("""COMPUTED_VALUE"""),"Docusign,VMware,Yahoo,SAP,Bloomberg,Facebook,Wayfair,Capital One,Salesforce,Oracle,Spotify,IBM,Cisco,Apple,Adobe,Amazon,LinkedIn,Microsoft,Google")</f>
        <v>Docusign,VMware,Yahoo,SAP,Bloomberg,Facebook,Wayfair,Capital One,Salesforce,Oracle,Spotify,IBM,Cisco,Apple,Adobe,Amazon,LinkedIn,Microsoft,Google</v>
      </c>
      <c r="F377" s="6" t="str">
        <f>IFERROR(__xludf.DUMMYFUNCTION("""COMPUTED_VALUE"""),"Microsoft,Bloomberg,Apple")</f>
        <v>Microsoft,Bloomberg,Apple</v>
      </c>
      <c r="G377" s="6" t="str">
        <f>IFERROR(__xludf.DUMMYFUNCTION("""COMPUTED_VALUE"""),"Amazon,Cisco,VMware,Docusign,Microsoft,Bloomberg,Apple")</f>
        <v>Amazon,Cisco,VMware,Docusign,Microsoft,Bloomberg,Apple</v>
      </c>
      <c r="H377" s="6" t="str">
        <f>IFERROR(__xludf.DUMMYFUNCTION("""COMPUTED_VALUE"""),"Capital One,LinkedIn,Salesforce,Facebook,Google,IBM,Yahoo,Oracle,SAP,Wayfair,Amazon,Cisco,VMware,Docusign,Microsoft,Bloomberg,Apple")</f>
        <v>Capital One,LinkedIn,Salesforce,Facebook,Google,IBM,Yahoo,Oracle,SAP,Wayfair,Amazon,Cisco,VMware,Docusign,Microsoft,Bloomberg,Apple</v>
      </c>
      <c r="I377" s="6">
        <f>IFERROR(__xludf.DUMMYFUNCTION("""COMPUTED_VALUE"""),63.56)</f>
        <v>63.56</v>
      </c>
      <c r="J377" s="6" t="str">
        <f>IFERROR(__xludf.DUMMYFUNCTION("""COMPUTED_VALUE"""),"算法")</f>
        <v>算法</v>
      </c>
    </row>
    <row r="378">
      <c r="A378" s="6">
        <f>IFERROR(__xludf.DUMMYFUNCTION("""COMPUTED_VALUE"""),414.0)</f>
        <v>414</v>
      </c>
      <c r="B378" s="53" t="str">
        <f>IFERROR(__xludf.DUMMYFUNCTION("""COMPUTED_VALUE"""),"Third Maximum Number")</f>
        <v>Third Maximum Number</v>
      </c>
      <c r="C378" s="6" t="str">
        <f>IFERROR(__xludf.DUMMYFUNCTION("""COMPUTED_VALUE"""),"Easy")</f>
        <v>Easy</v>
      </c>
      <c r="D378" s="6" t="str">
        <f>IFERROR(__xludf.DUMMYFUNCTION("""COMPUTED_VALUE"""),"Array")</f>
        <v>Array</v>
      </c>
      <c r="E378" s="6" t="str">
        <f>IFERROR(__xludf.DUMMYFUNCTION("""COMPUTED_VALUE"""),"Facebook,Amazon,Microsoft,Google")</f>
        <v>Facebook,Amazon,Microsoft,Google</v>
      </c>
      <c r="F378" s="6" t="str">
        <f>IFERROR(__xludf.DUMMYFUNCTION("""COMPUTED_VALUE"""),"Facebook")</f>
        <v>Facebook</v>
      </c>
      <c r="G378" s="6" t="str">
        <f>IFERROR(__xludf.DUMMYFUNCTION("""COMPUTED_VALUE"""),"Amazon,Facebook")</f>
        <v>Amazon,Facebook</v>
      </c>
      <c r="H378" s="6" t="str">
        <f>IFERROR(__xludf.DUMMYFUNCTION("""COMPUTED_VALUE"""),"Google,Amazon,Facebook")</f>
        <v>Google,Amazon,Facebook</v>
      </c>
      <c r="I378" s="6">
        <f>IFERROR(__xludf.DUMMYFUNCTION("""COMPUTED_VALUE"""),30.7)</f>
        <v>30.7</v>
      </c>
      <c r="J378" s="6" t="str">
        <f>IFERROR(__xludf.DUMMYFUNCTION("""COMPUTED_VALUE"""),"算法")</f>
        <v>算法</v>
      </c>
    </row>
    <row r="379">
      <c r="A379" s="6">
        <f>IFERROR(__xludf.DUMMYFUNCTION("""COMPUTED_VALUE"""),415.0)</f>
        <v>415</v>
      </c>
      <c r="B379" s="53" t="str">
        <f>IFERROR(__xludf.DUMMYFUNCTION("""COMPUTED_VALUE"""),"Add Strings")</f>
        <v>Add Strings</v>
      </c>
      <c r="C379" s="6" t="str">
        <f>IFERROR(__xludf.DUMMYFUNCTION("""COMPUTED_VALUE"""),"Easy")</f>
        <v>Easy</v>
      </c>
      <c r="D379" s="6" t="str">
        <f>IFERROR(__xludf.DUMMYFUNCTION("""COMPUTED_VALUE"""),"String")</f>
        <v>String</v>
      </c>
      <c r="E379" s="6" t="str">
        <f>IFERROR(__xludf.DUMMYFUNCTION("""COMPUTED_VALUE"""),"Wayfair,Uber,Square,ByteDance,Snapchat,Nvidia,Oracle,Apple,Airbnb,Bloomberg,Adobe,Facebook,Amazon,Microsoft,Alibaba,Google")</f>
        <v>Wayfair,Uber,Square,ByteDance,Snapchat,Nvidia,Oracle,Apple,Airbnb,Bloomberg,Adobe,Facebook,Amazon,Microsoft,Alibaba,Google</v>
      </c>
      <c r="F379" s="6" t="str">
        <f>IFERROR(__xludf.DUMMYFUNCTION("""COMPUTED_VALUE"""),"Facebook,Google,Adobe,Wayfair,Microsoft,Uber,Bloomberg,Amazon,Nvidia,Oracle")</f>
        <v>Facebook,Google,Adobe,Wayfair,Microsoft,Uber,Bloomberg,Amazon,Nvidia,Oracle</v>
      </c>
      <c r="G379" s="6" t="str">
        <f>IFERROR(__xludf.DUMMYFUNCTION("""COMPUTED_VALUE"""),"Apple,Square,ByteDance,Facebook,Google,Adobe,Wayfair,Microsoft,Uber,Bloomberg,Amazon,Nvidia,Oracle")</f>
        <v>Apple,Square,ByteDance,Facebook,Google,Adobe,Wayfair,Microsoft,Uber,Bloomberg,Amazon,Nvidia,Oracle</v>
      </c>
      <c r="H379" s="6" t="str">
        <f>IFERROR(__xludf.DUMMYFUNCTION("""COMPUTED_VALUE"""),"Snapchat,Airbnb,Apple,Square,ByteDance,Facebook,Google,Adobe,Wayfair,Microsoft,Uber,Bloomberg,Amazon,Nvidia,Oracle")</f>
        <v>Snapchat,Airbnb,Apple,Square,ByteDance,Facebook,Google,Adobe,Wayfair,Microsoft,Uber,Bloomberg,Amazon,Nvidia,Oracle</v>
      </c>
      <c r="I379" s="6">
        <f>IFERROR(__xludf.DUMMYFUNCTION("""COMPUTED_VALUE"""),48.24)</f>
        <v>48.24</v>
      </c>
      <c r="J379" s="6" t="str">
        <f>IFERROR(__xludf.DUMMYFUNCTION("""COMPUTED_VALUE"""),"算法")</f>
        <v>算法</v>
      </c>
    </row>
    <row r="380">
      <c r="A380" s="6">
        <f>IFERROR(__xludf.DUMMYFUNCTION("""COMPUTED_VALUE"""),416.0)</f>
        <v>416</v>
      </c>
      <c r="B380" s="53" t="str">
        <f>IFERROR(__xludf.DUMMYFUNCTION("""COMPUTED_VALUE"""),"Partition Equal Subset Sum")</f>
        <v>Partition Equal Subset Sum</v>
      </c>
      <c r="C380" s="6" t="str">
        <f>IFERROR(__xludf.DUMMYFUNCTION("""COMPUTED_VALUE"""),"Medium")</f>
        <v>Medium</v>
      </c>
      <c r="D380" s="6" t="str">
        <f>IFERROR(__xludf.DUMMYFUNCTION("""COMPUTED_VALUE"""),"Dynamic Programming")</f>
        <v>Dynamic Programming</v>
      </c>
      <c r="E380" s="6" t="str">
        <f>IFERROR(__xludf.DUMMYFUNCTION("""COMPUTED_VALUE"""),"ByteDance,Bloomberg,Goldman Sachs,VMware,Paypal,EBay,Apple,Uber,Yahoo,Facebook,Amazon,Microsoft,Google")</f>
        <v>ByteDance,Bloomberg,Goldman Sachs,VMware,Paypal,EBay,Apple,Uber,Yahoo,Facebook,Amazon,Microsoft,Google</v>
      </c>
      <c r="F380" s="6" t="str">
        <f>IFERROR(__xludf.DUMMYFUNCTION("""COMPUTED_VALUE"""),"Amazon,Facebook,Goldman Sachs")</f>
        <v>Amazon,Facebook,Goldman Sachs</v>
      </c>
      <c r="G380" s="6" t="str">
        <f>IFERROR(__xludf.DUMMYFUNCTION("""COMPUTED_VALUE"""),"Apple,Google,ByteDance,Amazon,Facebook,Goldman Sachs")</f>
        <v>Apple,Google,ByteDance,Amazon,Facebook,Goldman Sachs</v>
      </c>
      <c r="H380" s="6" t="str">
        <f>IFERROR(__xludf.DUMMYFUNCTION("""COMPUTED_VALUE"""),"Microsoft,Yahoo,VMware,Bloomberg,eBay,Apple,Google,ByteDance,Amazon,Facebook,Goldman Sachs")</f>
        <v>Microsoft,Yahoo,VMware,Bloomberg,eBay,Apple,Google,ByteDance,Amazon,Facebook,Goldman Sachs</v>
      </c>
      <c r="I380" s="6">
        <f>IFERROR(__xludf.DUMMYFUNCTION("""COMPUTED_VALUE"""),44.91)</f>
        <v>44.91</v>
      </c>
      <c r="J380" s="6" t="str">
        <f>IFERROR(__xludf.DUMMYFUNCTION("""COMPUTED_VALUE"""),"算法")</f>
        <v>算法</v>
      </c>
    </row>
    <row r="381">
      <c r="A381" s="6">
        <f>IFERROR(__xludf.DUMMYFUNCTION("""COMPUTED_VALUE"""),417.0)</f>
        <v>417</v>
      </c>
      <c r="B381" s="53" t="str">
        <f>IFERROR(__xludf.DUMMYFUNCTION("""COMPUTED_VALUE"""),"Pacific Atlantic Water Flow")</f>
        <v>Pacific Atlantic Water Flow</v>
      </c>
      <c r="C381" s="6" t="str">
        <f>IFERROR(__xludf.DUMMYFUNCTION("""COMPUTED_VALUE"""),"Medium")</f>
        <v>Medium</v>
      </c>
      <c r="D381" s="6" t="str">
        <f>IFERROR(__xludf.DUMMYFUNCTION("""COMPUTED_VALUE"""),"Breadth First Search,Depth First Search")</f>
        <v>Breadth First Search,Depth First Search</v>
      </c>
      <c r="E381" s="6" t="str">
        <f>IFERROR(__xludf.DUMMYFUNCTION("""COMPUTED_VALUE"""),"ByteDance,Oracle,Apple,Bloomberg,Facebook,Amazon,Microsoft,Google")</f>
        <v>ByteDance,Oracle,Apple,Bloomberg,Facebook,Amazon,Microsoft,Google</v>
      </c>
      <c r="F381" s="6" t="str">
        <f>IFERROR(__xludf.DUMMYFUNCTION("""COMPUTED_VALUE"""),"ByteDance,Google,Amazon")</f>
        <v>ByteDance,Google,Amazon</v>
      </c>
      <c r="G381" s="6" t="str">
        <f>IFERROR(__xludf.DUMMYFUNCTION("""COMPUTED_VALUE"""),"Microsoft,Apple,ByteDance,Google,Amazon")</f>
        <v>Microsoft,Apple,ByteDance,Google,Amazon</v>
      </c>
      <c r="H381" s="6" t="str">
        <f>IFERROR(__xludf.DUMMYFUNCTION("""COMPUTED_VALUE"""),"Facebook,Bloomberg,Oracle,Microsoft,Apple,ByteDance,Google,Amazon")</f>
        <v>Facebook,Bloomberg,Oracle,Microsoft,Apple,ByteDance,Google,Amazon</v>
      </c>
      <c r="I381" s="6">
        <f>IFERROR(__xludf.DUMMYFUNCTION("""COMPUTED_VALUE"""),42.69)</f>
        <v>42.69</v>
      </c>
      <c r="J381" s="6" t="str">
        <f>IFERROR(__xludf.DUMMYFUNCTION("""COMPUTED_VALUE"""),"算法")</f>
        <v>算法</v>
      </c>
    </row>
    <row r="382">
      <c r="A382" s="6">
        <f>IFERROR(__xludf.DUMMYFUNCTION("""COMPUTED_VALUE"""),418.0)</f>
        <v>418</v>
      </c>
      <c r="B382" s="53" t="str">
        <f>IFERROR(__xludf.DUMMYFUNCTION("""COMPUTED_VALUE"""),"Sentence Screen Fitting")</f>
        <v>Sentence Screen Fitting</v>
      </c>
      <c r="C382" s="6" t="str">
        <f>IFERROR(__xludf.DUMMYFUNCTION("""COMPUTED_VALUE"""),"Medium")</f>
        <v>Medium</v>
      </c>
      <c r="D382" s="6" t="str">
        <f>IFERROR(__xludf.DUMMYFUNCTION("""COMPUTED_VALUE"""),"Dynamic Programming")</f>
        <v>Dynamic Programming</v>
      </c>
      <c r="E382" s="6" t="str">
        <f>IFERROR(__xludf.DUMMYFUNCTION("""COMPUTED_VALUE"""),"Robinhood,Google")</f>
        <v>Robinhood,Google</v>
      </c>
      <c r="F382" s="6" t="str">
        <f>IFERROR(__xludf.DUMMYFUNCTION("""COMPUTED_VALUE"""),"Google")</f>
        <v>Google</v>
      </c>
      <c r="G382" s="6" t="str">
        <f>IFERROR(__xludf.DUMMYFUNCTION("""COMPUTED_VALUE"""),"Google")</f>
        <v>Google</v>
      </c>
      <c r="H382" s="6" t="str">
        <f>IFERROR(__xludf.DUMMYFUNCTION("""COMPUTED_VALUE"""),"Robinhood,Google")</f>
        <v>Robinhood,Google</v>
      </c>
      <c r="I382" s="6">
        <f>IFERROR(__xludf.DUMMYFUNCTION("""COMPUTED_VALUE"""),33.36)</f>
        <v>33.36</v>
      </c>
      <c r="J382" s="6" t="str">
        <f>IFERROR(__xludf.DUMMYFUNCTION("""COMPUTED_VALUE"""),"算法")</f>
        <v>算法</v>
      </c>
    </row>
    <row r="383">
      <c r="A383" s="6">
        <f>IFERROR(__xludf.DUMMYFUNCTION("""COMPUTED_VALUE"""),419.0)</f>
        <v>419</v>
      </c>
      <c r="B383" s="53" t="str">
        <f>IFERROR(__xludf.DUMMYFUNCTION("""COMPUTED_VALUE"""),"Battleships in a Board")</f>
        <v>Battleships in a Board</v>
      </c>
      <c r="C383" s="6" t="str">
        <f>IFERROR(__xludf.DUMMYFUNCTION("""COMPUTED_VALUE"""),"Medium")</f>
        <v>Medium</v>
      </c>
      <c r="D383" s="6"/>
      <c r="E383" s="6" t="str">
        <f>IFERROR(__xludf.DUMMYFUNCTION("""COMPUTED_VALUE"""),"Twitch,Apple,Facebook,Amazon,Microsoft,Google")</f>
        <v>Twitch,Apple,Facebook,Amazon,Microsoft,Google</v>
      </c>
      <c r="F383" s="6" t="str">
        <f>IFERROR(__xludf.DUMMYFUNCTION("""COMPUTED_VALUE"""),"Google,Facebook,Microsoft,Twitch")</f>
        <v>Google,Facebook,Microsoft,Twitch</v>
      </c>
      <c r="G383" s="6" t="str">
        <f>IFERROR(__xludf.DUMMYFUNCTION("""COMPUTED_VALUE"""),"Amazon,Google,Facebook,Microsoft,Twitch")</f>
        <v>Amazon,Google,Facebook,Microsoft,Twitch</v>
      </c>
      <c r="H383" s="6" t="str">
        <f>IFERROR(__xludf.DUMMYFUNCTION("""COMPUTED_VALUE"""),"Apple,Amazon,Google,Facebook,Microsoft,Twitch")</f>
        <v>Apple,Amazon,Google,Facebook,Microsoft,Twitch</v>
      </c>
      <c r="I383" s="6">
        <f>IFERROR(__xludf.DUMMYFUNCTION("""COMPUTED_VALUE"""),71.12)</f>
        <v>71.12</v>
      </c>
      <c r="J383" s="6" t="str">
        <f>IFERROR(__xludf.DUMMYFUNCTION("""COMPUTED_VALUE"""),"算法")</f>
        <v>算法</v>
      </c>
    </row>
    <row r="384">
      <c r="A384" s="6">
        <f>IFERROR(__xludf.DUMMYFUNCTION("""COMPUTED_VALUE"""),420.0)</f>
        <v>420</v>
      </c>
      <c r="B384" s="53" t="str">
        <f>IFERROR(__xludf.DUMMYFUNCTION("""COMPUTED_VALUE"""),"Strong Password Checker")</f>
        <v>Strong Password Checker</v>
      </c>
      <c r="C384" s="6" t="str">
        <f>IFERROR(__xludf.DUMMYFUNCTION("""COMPUTED_VALUE"""),"Hard")</f>
        <v>Hard</v>
      </c>
      <c r="D384" s="6"/>
      <c r="E384" s="6" t="str">
        <f>IFERROR(__xludf.DUMMYFUNCTION("""COMPUTED_VALUE"""),"Oracle,Apple,Yahoo,Facebook,Microsoft,Uber,Adobe,Amazon,Google")</f>
        <v>Oracle,Apple,Yahoo,Facebook,Microsoft,Uber,Adobe,Amazon,Google</v>
      </c>
      <c r="F384" s="6" t="str">
        <f>IFERROR(__xludf.DUMMYFUNCTION("""COMPUTED_VALUE"""),"Google,Oracle,Microsoft")</f>
        <v>Google,Oracle,Microsoft</v>
      </c>
      <c r="G384" s="6" t="str">
        <f>IFERROR(__xludf.DUMMYFUNCTION("""COMPUTED_VALUE"""),"Amazon,Adobe,Apple,Facebook,Yahoo,Google,Oracle,Microsoft")</f>
        <v>Amazon,Adobe,Apple,Facebook,Yahoo,Google,Oracle,Microsoft</v>
      </c>
      <c r="H384" s="6" t="str">
        <f>IFERROR(__xludf.DUMMYFUNCTION("""COMPUTED_VALUE"""),"Uber,Amazon,Adobe,Apple,Facebook,Yahoo,Google,Oracle,Microsoft")</f>
        <v>Uber,Amazon,Adobe,Apple,Facebook,Yahoo,Google,Oracle,Microsoft</v>
      </c>
      <c r="I384" s="6">
        <f>IFERROR(__xludf.DUMMYFUNCTION("""COMPUTED_VALUE"""),13.99)</f>
        <v>13.99</v>
      </c>
      <c r="J384" s="6" t="str">
        <f>IFERROR(__xludf.DUMMYFUNCTION("""COMPUTED_VALUE"""),"算法")</f>
        <v>算法</v>
      </c>
    </row>
    <row r="385">
      <c r="A385" s="6">
        <f>IFERROR(__xludf.DUMMYFUNCTION("""COMPUTED_VALUE"""),421.0)</f>
        <v>421</v>
      </c>
      <c r="B385" s="53" t="str">
        <f>IFERROR(__xludf.DUMMYFUNCTION("""COMPUTED_VALUE"""),"Maximum XOR of Two Numbers in an Array")</f>
        <v>Maximum XOR of Two Numbers in an Array</v>
      </c>
      <c r="C385" s="6" t="str">
        <f>IFERROR(__xludf.DUMMYFUNCTION("""COMPUTED_VALUE"""),"Medium")</f>
        <v>Medium</v>
      </c>
      <c r="D385" s="6" t="str">
        <f>IFERROR(__xludf.DUMMYFUNCTION("""COMPUTED_VALUE"""),"Trie,Bit Manipulation")</f>
        <v>Trie,Bit Manipulation</v>
      </c>
      <c r="E385" s="6" t="str">
        <f>IFERROR(__xludf.DUMMYFUNCTION("""COMPUTED_VALUE"""),"VMware,Uber,Amazon,Google")</f>
        <v>VMware,Uber,Amazon,Google</v>
      </c>
      <c r="F385" s="6" t="str">
        <f>IFERROR(__xludf.DUMMYFUNCTION("""COMPUTED_VALUE"""),"VMware")</f>
        <v>VMware</v>
      </c>
      <c r="G385" s="6" t="str">
        <f>IFERROR(__xludf.DUMMYFUNCTION("""COMPUTED_VALUE"""),"Amazon,VMware")</f>
        <v>Amazon,VMware</v>
      </c>
      <c r="H385" s="6" t="str">
        <f>IFERROR(__xludf.DUMMYFUNCTION("""COMPUTED_VALUE"""),"Google,Uber,Amazon,VMware")</f>
        <v>Google,Uber,Amazon,VMware</v>
      </c>
      <c r="I385" s="6">
        <f>IFERROR(__xludf.DUMMYFUNCTION("""COMPUTED_VALUE"""),54.17)</f>
        <v>54.17</v>
      </c>
      <c r="J385" s="6" t="str">
        <f>IFERROR(__xludf.DUMMYFUNCTION("""COMPUTED_VALUE"""),"算法")</f>
        <v>算法</v>
      </c>
    </row>
    <row r="386">
      <c r="A386" s="6">
        <f>IFERROR(__xludf.DUMMYFUNCTION("""COMPUTED_VALUE"""),422.0)</f>
        <v>422</v>
      </c>
      <c r="B386" s="53" t="str">
        <f>IFERROR(__xludf.DUMMYFUNCTION("""COMPUTED_VALUE"""),"Valid Word Square")</f>
        <v>Valid Word Square</v>
      </c>
      <c r="C386" s="6" t="str">
        <f>IFERROR(__xludf.DUMMYFUNCTION("""COMPUTED_VALUE"""),"Easy")</f>
        <v>Easy</v>
      </c>
      <c r="D386" s="6"/>
      <c r="E386" s="6" t="str">
        <f>IFERROR(__xludf.DUMMYFUNCTION("""COMPUTED_VALUE"""),"Bloomberg,Google")</f>
        <v>Bloomberg,Google</v>
      </c>
      <c r="F386" s="6"/>
      <c r="G386" s="6" t="str">
        <f>IFERROR(__xludf.DUMMYFUNCTION("""COMPUTED_VALUE"""),"Bloomberg")</f>
        <v>Bloomberg</v>
      </c>
      <c r="H386" s="6" t="str">
        <f>IFERROR(__xludf.DUMMYFUNCTION("""COMPUTED_VALUE"""),"Google,Bloomberg")</f>
        <v>Google,Bloomberg</v>
      </c>
      <c r="I386" s="6">
        <f>IFERROR(__xludf.DUMMYFUNCTION("""COMPUTED_VALUE"""),38.18)</f>
        <v>38.18</v>
      </c>
      <c r="J386" s="6" t="str">
        <f>IFERROR(__xludf.DUMMYFUNCTION("""COMPUTED_VALUE"""),"算法")</f>
        <v>算法</v>
      </c>
    </row>
    <row r="387">
      <c r="A387" s="6">
        <f>IFERROR(__xludf.DUMMYFUNCTION("""COMPUTED_VALUE"""),424.0)</f>
        <v>424</v>
      </c>
      <c r="B387" s="53" t="str">
        <f>IFERROR(__xludf.DUMMYFUNCTION("""COMPUTED_VALUE"""),"Longest Repeating Character Replacement")</f>
        <v>Longest Repeating Character Replacement</v>
      </c>
      <c r="C387" s="6" t="str">
        <f>IFERROR(__xludf.DUMMYFUNCTION("""COMPUTED_VALUE"""),"Medium")</f>
        <v>Medium</v>
      </c>
      <c r="D387" s="6" t="str">
        <f>IFERROR(__xludf.DUMMYFUNCTION("""COMPUTED_VALUE"""),"Sliding Window,Two Pointers")</f>
        <v>Sliding Window,Two Pointers</v>
      </c>
      <c r="E387" s="6" t="str">
        <f>IFERROR(__xludf.DUMMYFUNCTION("""COMPUTED_VALUE"""),"Wish,Bloomberg,Adobe,Facebook,Amazon,Pocket Gems,Google")</f>
        <v>Wish,Bloomberg,Adobe,Facebook,Amazon,Pocket Gems,Google</v>
      </c>
      <c r="F387" s="6" t="str">
        <f>IFERROR(__xludf.DUMMYFUNCTION("""COMPUTED_VALUE"""),"Google,Wish,Amazon")</f>
        <v>Google,Wish,Amazon</v>
      </c>
      <c r="G387" s="6" t="str">
        <f>IFERROR(__xludf.DUMMYFUNCTION("""COMPUTED_VALUE"""),"Bloomberg,Facebook,Adobe,Google,Wish,Amazon")</f>
        <v>Bloomberg,Facebook,Adobe,Google,Wish,Amazon</v>
      </c>
      <c r="H387" s="6" t="str">
        <f>IFERROR(__xludf.DUMMYFUNCTION("""COMPUTED_VALUE"""),"Pocket Gems,Bloomberg,Facebook,Adobe,Google,Wish,Amazon")</f>
        <v>Pocket Gems,Bloomberg,Facebook,Adobe,Google,Wish,Amazon</v>
      </c>
      <c r="I387" s="6">
        <f>IFERROR(__xludf.DUMMYFUNCTION("""COMPUTED_VALUE"""),48.25)</f>
        <v>48.25</v>
      </c>
      <c r="J387" s="6" t="str">
        <f>IFERROR(__xludf.DUMMYFUNCTION("""COMPUTED_VALUE"""),"算法")</f>
        <v>算法</v>
      </c>
    </row>
    <row r="388">
      <c r="A388" s="6">
        <f>IFERROR(__xludf.DUMMYFUNCTION("""COMPUTED_VALUE"""),425.0)</f>
        <v>425</v>
      </c>
      <c r="B388" s="53" t="str">
        <f>IFERROR(__xludf.DUMMYFUNCTION("""COMPUTED_VALUE"""),"Word Squares")</f>
        <v>Word Squares</v>
      </c>
      <c r="C388" s="6" t="str">
        <f>IFERROR(__xludf.DUMMYFUNCTION("""COMPUTED_VALUE"""),"Hard")</f>
        <v>Hard</v>
      </c>
      <c r="D388" s="6" t="str">
        <f>IFERROR(__xludf.DUMMYFUNCTION("""COMPUTED_VALUE"""),"Trie,Backtracking")</f>
        <v>Trie,Backtracking</v>
      </c>
      <c r="E388" s="6" t="str">
        <f>IFERROR(__xludf.DUMMYFUNCTION("""COMPUTED_VALUE"""),"Bloomberg,Oracle,Google")</f>
        <v>Bloomberg,Oracle,Google</v>
      </c>
      <c r="F388" s="6"/>
      <c r="G388" s="6" t="str">
        <f>IFERROR(__xludf.DUMMYFUNCTION("""COMPUTED_VALUE"""),"Bloomberg")</f>
        <v>Bloomberg</v>
      </c>
      <c r="H388" s="6" t="str">
        <f>IFERROR(__xludf.DUMMYFUNCTION("""COMPUTED_VALUE"""),"Oracle,Google,Bloomberg")</f>
        <v>Oracle,Google,Bloomberg</v>
      </c>
      <c r="I388" s="6">
        <f>IFERROR(__xludf.DUMMYFUNCTION("""COMPUTED_VALUE"""),50.17)</f>
        <v>50.17</v>
      </c>
      <c r="J388" s="6" t="str">
        <f>IFERROR(__xludf.DUMMYFUNCTION("""COMPUTED_VALUE"""),"算法")</f>
        <v>算法</v>
      </c>
    </row>
    <row r="389">
      <c r="A389" s="6">
        <f>IFERROR(__xludf.DUMMYFUNCTION("""COMPUTED_VALUE"""),426.0)</f>
        <v>426</v>
      </c>
      <c r="B389" s="53" t="str">
        <f>IFERROR(__xludf.DUMMYFUNCTION("""COMPUTED_VALUE"""),"Convert Binary Search Tree to Sorted Doubly Linked List")</f>
        <v>Convert Binary Search Tree to Sorted Doubly Linked List</v>
      </c>
      <c r="C389" s="6" t="str">
        <f>IFERROR(__xludf.DUMMYFUNCTION("""COMPUTED_VALUE"""),"Medium")</f>
        <v>Medium</v>
      </c>
      <c r="D389" s="6" t="str">
        <f>IFERROR(__xludf.DUMMYFUNCTION("""COMPUTED_VALUE"""),"Tree,Divide and Conquer,Linked List")</f>
        <v>Tree,Divide and Conquer,Linked List</v>
      </c>
      <c r="E389" s="6" t="str">
        <f>IFERROR(__xludf.DUMMYFUNCTION("""COMPUTED_VALUE"""),"Databricks,VMware,Oracle,Lyft,Uber,Bloomberg,Facebook,Amazon,Microsoft,Google")</f>
        <v>Databricks,VMware,Oracle,Lyft,Uber,Bloomberg,Facebook,Amazon,Microsoft,Google</v>
      </c>
      <c r="F389" s="6" t="str">
        <f>IFERROR(__xludf.DUMMYFUNCTION("""COMPUTED_VALUE"""),"Facebook,Microsoft,Amazon,Google,VMware")</f>
        <v>Facebook,Microsoft,Amazon,Google,VMware</v>
      </c>
      <c r="G389" s="6" t="str">
        <f>IFERROR(__xludf.DUMMYFUNCTION("""COMPUTED_VALUE"""),"Facebook,Microsoft,Amazon,Google,VMware")</f>
        <v>Facebook,Microsoft,Amazon,Google,VMware</v>
      </c>
      <c r="H389" s="6" t="str">
        <f>IFERROR(__xludf.DUMMYFUNCTION("""COMPUTED_VALUE"""),"Lyft,Databricks,Oracle,Uber,Facebook,Microsoft,Amazon,Google,VMware")</f>
        <v>Lyft,Databricks,Oracle,Uber,Facebook,Microsoft,Amazon,Google,VMware</v>
      </c>
      <c r="I389" s="6">
        <f>IFERROR(__xludf.DUMMYFUNCTION("""COMPUTED_VALUE"""),61.39)</f>
        <v>61.39</v>
      </c>
      <c r="J389" s="6" t="str">
        <f>IFERROR(__xludf.DUMMYFUNCTION("""COMPUTED_VALUE"""),"算法")</f>
        <v>算法</v>
      </c>
    </row>
    <row r="390">
      <c r="A390" s="6">
        <f>IFERROR(__xludf.DUMMYFUNCTION("""COMPUTED_VALUE"""),427.0)</f>
        <v>427</v>
      </c>
      <c r="B390" s="53" t="str">
        <f>IFERROR(__xludf.DUMMYFUNCTION("""COMPUTED_VALUE"""),"Construct Quad Tree")</f>
        <v>Construct Quad Tree</v>
      </c>
      <c r="C390" s="6" t="str">
        <f>IFERROR(__xludf.DUMMYFUNCTION("""COMPUTED_VALUE"""),"Medium")</f>
        <v>Medium</v>
      </c>
      <c r="D390" s="6"/>
      <c r="E390" s="6" t="str">
        <f>IFERROR(__xludf.DUMMYFUNCTION("""COMPUTED_VALUE"""),"Apple,Uber,Amazon,Microsoft,Google")</f>
        <v>Apple,Uber,Amazon,Microsoft,Google</v>
      </c>
      <c r="F390" s="6" t="str">
        <f>IFERROR(__xludf.DUMMYFUNCTION("""COMPUTED_VALUE"""),"Uber")</f>
        <v>Uber</v>
      </c>
      <c r="G390" s="6" t="str">
        <f>IFERROR(__xludf.DUMMYFUNCTION("""COMPUTED_VALUE"""),"Amazon,Uber")</f>
        <v>Amazon,Uber</v>
      </c>
      <c r="H390" s="6" t="str">
        <f>IFERROR(__xludf.DUMMYFUNCTION("""COMPUTED_VALUE"""),"Amazon,Uber")</f>
        <v>Amazon,Uber</v>
      </c>
      <c r="I390" s="6">
        <f>IFERROR(__xludf.DUMMYFUNCTION("""COMPUTED_VALUE"""),62.71)</f>
        <v>62.71</v>
      </c>
      <c r="J390" s="6" t="str">
        <f>IFERROR(__xludf.DUMMYFUNCTION("""COMPUTED_VALUE"""),"算法")</f>
        <v>算法</v>
      </c>
    </row>
    <row r="391">
      <c r="A391" s="6">
        <f>IFERROR(__xludf.DUMMYFUNCTION("""COMPUTED_VALUE"""),428.0)</f>
        <v>428</v>
      </c>
      <c r="B391" s="53" t="str">
        <f>IFERROR(__xludf.DUMMYFUNCTION("""COMPUTED_VALUE"""),"Serialize and Deserialize N-ary Tree")</f>
        <v>Serialize and Deserialize N-ary Tree</v>
      </c>
      <c r="C391" s="6" t="str">
        <f>IFERROR(__xludf.DUMMYFUNCTION("""COMPUTED_VALUE"""),"Hard")</f>
        <v>Hard</v>
      </c>
      <c r="D391" s="6" t="str">
        <f>IFERROR(__xludf.DUMMYFUNCTION("""COMPUTED_VALUE"""),"Tree")</f>
        <v>Tree</v>
      </c>
      <c r="E391" s="6" t="str">
        <f>IFERROR(__xludf.DUMMYFUNCTION("""COMPUTED_VALUE"""),"Zillow,Pinterest,EBay,Apple,Uber,Facebook,Amazon,LinkedIn,Microsoft,Google")</f>
        <v>Zillow,Pinterest,EBay,Apple,Uber,Facebook,Amazon,LinkedIn,Microsoft,Google</v>
      </c>
      <c r="F391" s="6" t="str">
        <f>IFERROR(__xludf.DUMMYFUNCTION("""COMPUTED_VALUE"""),"Microsoft,Google,Apple,Amazon")</f>
        <v>Microsoft,Google,Apple,Amazon</v>
      </c>
      <c r="G391" s="6" t="str">
        <f>IFERROR(__xludf.DUMMYFUNCTION("""COMPUTED_VALUE"""),"Facebook,Uber,Zillow,Microsoft,Google,Apple,Amazon")</f>
        <v>Facebook,Uber,Zillow,Microsoft,Google,Apple,Amazon</v>
      </c>
      <c r="H391" s="6" t="str">
        <f>IFERROR(__xludf.DUMMYFUNCTION("""COMPUTED_VALUE"""),"eBay,Facebook,Uber,Zillow,Microsoft,Google,Apple,Amazon")</f>
        <v>eBay,Facebook,Uber,Zillow,Microsoft,Google,Apple,Amazon</v>
      </c>
      <c r="I391" s="6">
        <f>IFERROR(__xludf.DUMMYFUNCTION("""COMPUTED_VALUE"""),61.66)</f>
        <v>61.66</v>
      </c>
      <c r="J391" s="6" t="str">
        <f>IFERROR(__xludf.DUMMYFUNCTION("""COMPUTED_VALUE"""),"算法")</f>
        <v>算法</v>
      </c>
    </row>
    <row r="392">
      <c r="A392" s="6">
        <f>IFERROR(__xludf.DUMMYFUNCTION("""COMPUTED_VALUE"""),429.0)</f>
        <v>429</v>
      </c>
      <c r="B392" s="53" t="str">
        <f>IFERROR(__xludf.DUMMYFUNCTION("""COMPUTED_VALUE"""),"N-ary Tree Level Order Traversal")</f>
        <v>N-ary Tree Level Order Traversal</v>
      </c>
      <c r="C392" s="6" t="str">
        <f>IFERROR(__xludf.DUMMYFUNCTION("""COMPUTED_VALUE"""),"Medium")</f>
        <v>Medium</v>
      </c>
      <c r="D392" s="6" t="str">
        <f>IFERROR(__xludf.DUMMYFUNCTION("""COMPUTED_VALUE"""),"Breadth First Search,Tree")</f>
        <v>Breadth First Search,Tree</v>
      </c>
      <c r="E392" s="6" t="str">
        <f>IFERROR(__xludf.DUMMYFUNCTION("""COMPUTED_VALUE"""),"Bloomberg,Microsoft,Amazon,Google")</f>
        <v>Bloomberg,Microsoft,Amazon,Google</v>
      </c>
      <c r="F392" s="6"/>
      <c r="G392" s="6" t="str">
        <f>IFERROR(__xludf.DUMMYFUNCTION("""COMPUTED_VALUE"""),"Amazon,Bloomberg")</f>
        <v>Amazon,Bloomberg</v>
      </c>
      <c r="H392" s="6" t="str">
        <f>IFERROR(__xludf.DUMMYFUNCTION("""COMPUTED_VALUE"""),"Microsoft,Amazon,Bloomberg")</f>
        <v>Microsoft,Amazon,Bloomberg</v>
      </c>
      <c r="I392" s="6">
        <f>IFERROR(__xludf.DUMMYFUNCTION("""COMPUTED_VALUE"""),66.79)</f>
        <v>66.79</v>
      </c>
      <c r="J392" s="6" t="str">
        <f>IFERROR(__xludf.DUMMYFUNCTION("""COMPUTED_VALUE"""),"算法")</f>
        <v>算法</v>
      </c>
    </row>
    <row r="393">
      <c r="A393" s="6">
        <f>IFERROR(__xludf.DUMMYFUNCTION("""COMPUTED_VALUE"""),430.0)</f>
        <v>430</v>
      </c>
      <c r="B393" s="53" t="str">
        <f>IFERROR(__xludf.DUMMYFUNCTION("""COMPUTED_VALUE"""),"Flatten a Multilevel Doubly Linked List")</f>
        <v>Flatten a Multilevel Doubly Linked List</v>
      </c>
      <c r="C393" s="6" t="str">
        <f>IFERROR(__xludf.DUMMYFUNCTION("""COMPUTED_VALUE"""),"Medium")</f>
        <v>Medium</v>
      </c>
      <c r="D393" s="6" t="str">
        <f>IFERROR(__xludf.DUMMYFUNCTION("""COMPUTED_VALUE"""),"Depth First Search,Linked List")</f>
        <v>Depth First Search,Linked List</v>
      </c>
      <c r="E393" s="6" t="str">
        <f>IFERROR(__xludf.DUMMYFUNCTION("""COMPUTED_VALUE"""),"Oracle,Apple,Uber,Bloomberg,Facebook,Amazon,Microsoft,Google")</f>
        <v>Oracle,Apple,Uber,Bloomberg,Facebook,Amazon,Microsoft,Google</v>
      </c>
      <c r="F393" s="6" t="str">
        <f>IFERROR(__xludf.DUMMYFUNCTION("""COMPUTED_VALUE"""),"Bloomberg,Facebook")</f>
        <v>Bloomberg,Facebook</v>
      </c>
      <c r="G393" s="6" t="str">
        <f>IFERROR(__xludf.DUMMYFUNCTION("""COMPUTED_VALUE"""),"Amazon,Google,Microsoft,Oracle,Bloomberg,Facebook")</f>
        <v>Amazon,Google,Microsoft,Oracle,Bloomberg,Facebook</v>
      </c>
      <c r="H393" s="6" t="str">
        <f>IFERROR(__xludf.DUMMYFUNCTION("""COMPUTED_VALUE"""),"Uber,Apple,Amazon,Google,Microsoft,Oracle,Bloomberg,Facebook")</f>
        <v>Uber,Apple,Amazon,Google,Microsoft,Oracle,Bloomberg,Facebook</v>
      </c>
      <c r="I393" s="6">
        <f>IFERROR(__xludf.DUMMYFUNCTION("""COMPUTED_VALUE"""),56.9)</f>
        <v>56.9</v>
      </c>
      <c r="J393" s="6" t="str">
        <f>IFERROR(__xludf.DUMMYFUNCTION("""COMPUTED_VALUE"""),"算法")</f>
        <v>算法</v>
      </c>
    </row>
    <row r="394">
      <c r="A394" s="6">
        <f>IFERROR(__xludf.DUMMYFUNCTION("""COMPUTED_VALUE"""),431.0)</f>
        <v>431</v>
      </c>
      <c r="B394" s="53" t="str">
        <f>IFERROR(__xludf.DUMMYFUNCTION("""COMPUTED_VALUE"""),"Encode N-ary Tree to Binary Tree")</f>
        <v>Encode N-ary Tree to Binary Tree</v>
      </c>
      <c r="C394" s="6" t="str">
        <f>IFERROR(__xludf.DUMMYFUNCTION("""COMPUTED_VALUE"""),"Hard")</f>
        <v>Hard</v>
      </c>
      <c r="D394" s="6" t="str">
        <f>IFERROR(__xludf.DUMMYFUNCTION("""COMPUTED_VALUE"""),"Tree")</f>
        <v>Tree</v>
      </c>
      <c r="E394" s="6" t="str">
        <f>IFERROR(__xludf.DUMMYFUNCTION("""COMPUTED_VALUE"""),"Flipkart,Google,Microsoft")</f>
        <v>Flipkart,Google,Microsoft</v>
      </c>
      <c r="F394" s="6"/>
      <c r="G394" s="6" t="str">
        <f>IFERROR(__xludf.DUMMYFUNCTION("""COMPUTED_VALUE"""),"Flipkart")</f>
        <v>Flipkart</v>
      </c>
      <c r="H394" s="6" t="str">
        <f>IFERROR(__xludf.DUMMYFUNCTION("""COMPUTED_VALUE"""),"Microsoft,Google,Flipkart")</f>
        <v>Microsoft,Google,Flipkart</v>
      </c>
      <c r="I394" s="6">
        <f>IFERROR(__xludf.DUMMYFUNCTION("""COMPUTED_VALUE"""),74.75)</f>
        <v>74.75</v>
      </c>
      <c r="J394" s="6" t="str">
        <f>IFERROR(__xludf.DUMMYFUNCTION("""COMPUTED_VALUE"""),"算法")</f>
        <v>算法</v>
      </c>
    </row>
    <row r="395">
      <c r="A395" s="6">
        <f>IFERROR(__xludf.DUMMYFUNCTION("""COMPUTED_VALUE"""),432.0)</f>
        <v>432</v>
      </c>
      <c r="B395" s="53" t="str">
        <f>IFERROR(__xludf.DUMMYFUNCTION("""COMPUTED_VALUE"""),"All O`one Data Structure")</f>
        <v>All O`one Data Structure</v>
      </c>
      <c r="C395" s="6" t="str">
        <f>IFERROR(__xludf.DUMMYFUNCTION("""COMPUTED_VALUE"""),"Hard")</f>
        <v>Hard</v>
      </c>
      <c r="D395" s="6" t="str">
        <f>IFERROR(__xludf.DUMMYFUNCTION("""COMPUTED_VALUE"""),"Design")</f>
        <v>Design</v>
      </c>
      <c r="E395" s="6" t="str">
        <f>IFERROR(__xludf.DUMMYFUNCTION("""COMPUTED_VALUE"""),"Media.net,Uber,Bloomberg,Facebook,Amazon,LinkedIn,Microsoft,Google")</f>
        <v>Media.net,Uber,Bloomberg,Facebook,Amazon,LinkedIn,Microsoft,Google</v>
      </c>
      <c r="F395" s="6" t="str">
        <f>IFERROR(__xludf.DUMMYFUNCTION("""COMPUTED_VALUE"""),"Amazon")</f>
        <v>Amazon</v>
      </c>
      <c r="G395" s="6" t="str">
        <f>IFERROR(__xludf.DUMMYFUNCTION("""COMPUTED_VALUE"""),"Facebook,Amazon")</f>
        <v>Facebook,Amazon</v>
      </c>
      <c r="H395" s="6" t="str">
        <f>IFERROR(__xludf.DUMMYFUNCTION("""COMPUTED_VALUE"""),"LinkedIn,Google,Microsoft,Media.net,Uber,Facebook,Amazon")</f>
        <v>LinkedIn,Google,Microsoft,Media.net,Uber,Facebook,Amazon</v>
      </c>
      <c r="I395" s="6">
        <f>IFERROR(__xludf.DUMMYFUNCTION("""COMPUTED_VALUE"""),33.18)</f>
        <v>33.18</v>
      </c>
      <c r="J395" s="6" t="str">
        <f>IFERROR(__xludf.DUMMYFUNCTION("""COMPUTED_VALUE"""),"算法")</f>
        <v>算法</v>
      </c>
    </row>
    <row r="396">
      <c r="A396" s="6">
        <f>IFERROR(__xludf.DUMMYFUNCTION("""COMPUTED_VALUE"""),433.0)</f>
        <v>433</v>
      </c>
      <c r="B396" s="53" t="str">
        <f>IFERROR(__xludf.DUMMYFUNCTION("""COMPUTED_VALUE"""),"Minimum Genetic Mutation")</f>
        <v>Minimum Genetic Mutation</v>
      </c>
      <c r="C396" s="6" t="str">
        <f>IFERROR(__xludf.DUMMYFUNCTION("""COMPUTED_VALUE"""),"Medium")</f>
        <v>Medium</v>
      </c>
      <c r="D396" s="6"/>
      <c r="E396" s="6" t="str">
        <f>IFERROR(__xludf.DUMMYFUNCTION("""COMPUTED_VALUE"""),"Amazon,Twitter,Google")</f>
        <v>Amazon,Twitter,Google</v>
      </c>
      <c r="F396" s="6"/>
      <c r="G396" s="6" t="str">
        <f>IFERROR(__xludf.DUMMYFUNCTION("""COMPUTED_VALUE"""),"Amazon")</f>
        <v>Amazon</v>
      </c>
      <c r="H396" s="6" t="str">
        <f>IFERROR(__xludf.DUMMYFUNCTION("""COMPUTED_VALUE"""),"Twitter,Amazon")</f>
        <v>Twitter,Amazon</v>
      </c>
      <c r="I396" s="6">
        <f>IFERROR(__xludf.DUMMYFUNCTION("""COMPUTED_VALUE"""),43.4)</f>
        <v>43.4</v>
      </c>
      <c r="J396" s="6" t="str">
        <f>IFERROR(__xludf.DUMMYFUNCTION("""COMPUTED_VALUE"""),"算法")</f>
        <v>算法</v>
      </c>
    </row>
    <row r="397">
      <c r="A397" s="6">
        <f>IFERROR(__xludf.DUMMYFUNCTION("""COMPUTED_VALUE"""),435.0)</f>
        <v>435</v>
      </c>
      <c r="B397" s="53" t="str">
        <f>IFERROR(__xludf.DUMMYFUNCTION("""COMPUTED_VALUE"""),"Non-overlapping Intervals")</f>
        <v>Non-overlapping Intervals</v>
      </c>
      <c r="C397" s="6" t="str">
        <f>IFERROR(__xludf.DUMMYFUNCTION("""COMPUTED_VALUE"""),"Medium")</f>
        <v>Medium</v>
      </c>
      <c r="D397" s="6" t="str">
        <f>IFERROR(__xludf.DUMMYFUNCTION("""COMPUTED_VALUE"""),"Greedy")</f>
        <v>Greedy</v>
      </c>
      <c r="E397" s="6" t="str">
        <f>IFERROR(__xludf.DUMMYFUNCTION("""COMPUTED_VALUE"""),"ByteDance,Google,Apple,Bloomberg,Facebook,Amazon,Microsoft")</f>
        <v>ByteDance,Google,Apple,Bloomberg,Facebook,Amazon,Microsoft</v>
      </c>
      <c r="F397" s="6" t="str">
        <f>IFERROR(__xludf.DUMMYFUNCTION("""COMPUTED_VALUE"""),"Facebook,ByteDance,Amazon")</f>
        <v>Facebook,ByteDance,Amazon</v>
      </c>
      <c r="G397" s="6" t="str">
        <f>IFERROR(__xludf.DUMMYFUNCTION("""COMPUTED_VALUE"""),"Google,Apple,Facebook,ByteDance,Amazon")</f>
        <v>Google,Apple,Facebook,ByteDance,Amazon</v>
      </c>
      <c r="H397" s="6" t="str">
        <f>IFERROR(__xludf.DUMMYFUNCTION("""COMPUTED_VALUE"""),"Microsoft,Google,Apple,Facebook,ByteDance,Amazon")</f>
        <v>Microsoft,Google,Apple,Facebook,ByteDance,Amazon</v>
      </c>
      <c r="I397" s="6">
        <f>IFERROR(__xludf.DUMMYFUNCTION("""COMPUTED_VALUE"""),43.88)</f>
        <v>43.88</v>
      </c>
      <c r="J397" s="6" t="str">
        <f>IFERROR(__xludf.DUMMYFUNCTION("""COMPUTED_VALUE"""),"算法")</f>
        <v>算法</v>
      </c>
    </row>
    <row r="398">
      <c r="A398" s="6">
        <f>IFERROR(__xludf.DUMMYFUNCTION("""COMPUTED_VALUE"""),438.0)</f>
        <v>438</v>
      </c>
      <c r="B398" s="53" t="str">
        <f>IFERROR(__xludf.DUMMYFUNCTION("""COMPUTED_VALUE"""),"Find All Anagrams in a String")</f>
        <v>Find All Anagrams in a String</v>
      </c>
      <c r="C398" s="6" t="str">
        <f>IFERROR(__xludf.DUMMYFUNCTION("""COMPUTED_VALUE"""),"Medium")</f>
        <v>Medium</v>
      </c>
      <c r="D398" s="6" t="str">
        <f>IFERROR(__xludf.DUMMYFUNCTION("""COMPUTED_VALUE"""),"Hash Table")</f>
        <v>Hash Table</v>
      </c>
      <c r="E398" s="6" t="str">
        <f>IFERROR(__xludf.DUMMYFUNCTION("""COMPUTED_VALUE"""),"Snapchat,ServiceNow,Apple,Robinhood,Oracle,Uber,Bloomberg,Facebook,Amazon,Microsoft,Goldman Sachs,Google")</f>
        <v>Snapchat,ServiceNow,Apple,Robinhood,Oracle,Uber,Bloomberg,Facebook,Amazon,Microsoft,Goldman Sachs,Google</v>
      </c>
      <c r="F398" s="6" t="str">
        <f>IFERROR(__xludf.DUMMYFUNCTION("""COMPUTED_VALUE"""),"Facebook,Amazon,Bloomberg,Microsoft,Snapchat,Apple")</f>
        <v>Facebook,Amazon,Bloomberg,Microsoft,Snapchat,Apple</v>
      </c>
      <c r="G398" s="6" t="str">
        <f>IFERROR(__xludf.DUMMYFUNCTION("""COMPUTED_VALUE"""),"Google,Uber,Oracle,ServiceNow,Facebook,Amazon,Bloomberg,Microsoft,Snapchat,Apple")</f>
        <v>Google,Uber,Oracle,ServiceNow,Facebook,Amazon,Bloomberg,Microsoft,Snapchat,Apple</v>
      </c>
      <c r="H398" s="6" t="str">
        <f>IFERROR(__xludf.DUMMYFUNCTION("""COMPUTED_VALUE"""),"Robinhood,Google,Uber,Oracle,ServiceNow,Facebook,Amazon,Bloomberg,Microsoft,Snapchat,Apple")</f>
        <v>Robinhood,Google,Uber,Oracle,ServiceNow,Facebook,Amazon,Bloomberg,Microsoft,Snapchat,Apple</v>
      </c>
      <c r="I398" s="6">
        <f>IFERROR(__xludf.DUMMYFUNCTION("""COMPUTED_VALUE"""),45.07)</f>
        <v>45.07</v>
      </c>
      <c r="J398" s="6" t="str">
        <f>IFERROR(__xludf.DUMMYFUNCTION("""COMPUTED_VALUE"""),"算法")</f>
        <v>算法</v>
      </c>
    </row>
    <row r="399">
      <c r="A399" s="6">
        <f>IFERROR(__xludf.DUMMYFUNCTION("""COMPUTED_VALUE"""),440.0)</f>
        <v>440</v>
      </c>
      <c r="B399" s="53" t="str">
        <f>IFERROR(__xludf.DUMMYFUNCTION("""COMPUTED_VALUE"""),"K-th Smallest in Lexicographical Order")</f>
        <v>K-th Smallest in Lexicographical Order</v>
      </c>
      <c r="C399" s="6" t="str">
        <f>IFERROR(__xludf.DUMMYFUNCTION("""COMPUTED_VALUE"""),"Hard")</f>
        <v>Hard</v>
      </c>
      <c r="D399" s="6"/>
      <c r="E399" s="6" t="str">
        <f>IFERROR(__xludf.DUMMYFUNCTION("""COMPUTED_VALUE"""),"Hulu,ByteDance,Google")</f>
        <v>Hulu,ByteDance,Google</v>
      </c>
      <c r="F399" s="6"/>
      <c r="G399" s="6"/>
      <c r="H399" s="6" t="str">
        <f>IFERROR(__xludf.DUMMYFUNCTION("""COMPUTED_VALUE"""),"ByteDance,Google,Hulu")</f>
        <v>ByteDance,Google,Hulu</v>
      </c>
      <c r="I399" s="6">
        <f>IFERROR(__xludf.DUMMYFUNCTION("""COMPUTED_VALUE"""),29.84)</f>
        <v>29.84</v>
      </c>
      <c r="J399" s="6" t="str">
        <f>IFERROR(__xludf.DUMMYFUNCTION("""COMPUTED_VALUE"""),"算法")</f>
        <v>算法</v>
      </c>
    </row>
    <row r="400">
      <c r="A400" s="6">
        <f>IFERROR(__xludf.DUMMYFUNCTION("""COMPUTED_VALUE"""),442.0)</f>
        <v>442</v>
      </c>
      <c r="B400" s="53" t="str">
        <f>IFERROR(__xludf.DUMMYFUNCTION("""COMPUTED_VALUE"""),"Find All Duplicates in an Array")</f>
        <v>Find All Duplicates in an Array</v>
      </c>
      <c r="C400" s="6" t="str">
        <f>IFERROR(__xludf.DUMMYFUNCTION("""COMPUTED_VALUE"""),"Medium")</f>
        <v>Medium</v>
      </c>
      <c r="D400" s="6" t="str">
        <f>IFERROR(__xludf.DUMMYFUNCTION("""COMPUTED_VALUE"""),"Array")</f>
        <v>Array</v>
      </c>
      <c r="E400" s="6" t="str">
        <f>IFERROR(__xludf.DUMMYFUNCTION("""COMPUTED_VALUE"""),"Pocket Gems,Lyft,Apple,Bloomberg,Facebook,Amazon,Microsoft,Google")</f>
        <v>Pocket Gems,Lyft,Apple,Bloomberg,Facebook,Amazon,Microsoft,Google</v>
      </c>
      <c r="F400" s="6" t="str">
        <f>IFERROR(__xludf.DUMMYFUNCTION("""COMPUTED_VALUE"""),"Amazon,Microsoft,Facebook")</f>
        <v>Amazon,Microsoft,Facebook</v>
      </c>
      <c r="G400" s="6" t="str">
        <f>IFERROR(__xludf.DUMMYFUNCTION("""COMPUTED_VALUE"""),"Bloomberg,Apple,Amazon,Microsoft,Facebook")</f>
        <v>Bloomberg,Apple,Amazon,Microsoft,Facebook</v>
      </c>
      <c r="H400" s="6" t="str">
        <f>IFERROR(__xludf.DUMMYFUNCTION("""COMPUTED_VALUE"""),"Google,Lyft,Pocket Gems,Bloomberg,Apple,Amazon,Microsoft,Facebook")</f>
        <v>Google,Lyft,Pocket Gems,Bloomberg,Apple,Amazon,Microsoft,Facebook</v>
      </c>
      <c r="I400" s="6">
        <f>IFERROR(__xludf.DUMMYFUNCTION("""COMPUTED_VALUE"""),69.01)</f>
        <v>69.01</v>
      </c>
      <c r="J400" s="6" t="str">
        <f>IFERROR(__xludf.DUMMYFUNCTION("""COMPUTED_VALUE"""),"算法")</f>
        <v>算法</v>
      </c>
    </row>
    <row r="401">
      <c r="A401" s="6">
        <f>IFERROR(__xludf.DUMMYFUNCTION("""COMPUTED_VALUE"""),443.0)</f>
        <v>443</v>
      </c>
      <c r="B401" s="53" t="str">
        <f>IFERROR(__xludf.DUMMYFUNCTION("""COMPUTED_VALUE"""),"String Compression")</f>
        <v>String Compression</v>
      </c>
      <c r="C401" s="6" t="str">
        <f>IFERROR(__xludf.DUMMYFUNCTION("""COMPUTED_VALUE"""),"Medium")</f>
        <v>Medium</v>
      </c>
      <c r="D401" s="6" t="str">
        <f>IFERROR(__xludf.DUMMYFUNCTION("""COMPUTED_VALUE"""),"String")</f>
        <v>String</v>
      </c>
      <c r="E401" s="6" t="str">
        <f>IFERROR(__xludf.DUMMYFUNCTION("""COMPUTED_VALUE"""),"VMware,Citrix,Spotify,IBM,Cisco,Akuna Capital,Wayfair,Redfin,Walmart Labs,GoDaddy,Snapchat,Zillow,Expedia,Yelp,Lyft,Yandex,EBay,Apple,Bloomberg,Facebook,Amazon,Microsoft,Goldman Sachs,Google")</f>
        <v>VMware,Citrix,Spotify,IBM,Cisco,Akuna Capital,Wayfair,Redfin,Walmart Labs,GoDaddy,Snapchat,Zillow,Expedia,Yelp,Lyft,Yandex,EBay,Apple,Bloomberg,Facebook,Amazon,Microsoft,Goldman Sachs,Google</v>
      </c>
      <c r="F401" s="6" t="str">
        <f>IFERROR(__xludf.DUMMYFUNCTION("""COMPUTED_VALUE"""),"Goldman Sachs,Yandex,Apple,Microsoft,Citrix,Facebook,Amazon,eBay,Expedia,Redfin,Google,IBM,VMware,Cisco")</f>
        <v>Goldman Sachs,Yandex,Apple,Microsoft,Citrix,Facebook,Amazon,eBay,Expedia,Redfin,Google,IBM,VMware,Cisco</v>
      </c>
      <c r="G401" s="6" t="str">
        <f>IFERROR(__xludf.DUMMYFUNCTION("""COMPUTED_VALUE"""),"Zillow,Walmart Labs,Goldman Sachs,Yandex,Apple,Microsoft,Citrix,Facebook,Amazon,eBay,Expedia,Redfin,Google,IBM,VMware,Cisco")</f>
        <v>Zillow,Walmart Labs,Goldman Sachs,Yandex,Apple,Microsoft,Citrix,Facebook,Amazon,eBay,Expedia,Redfin,Google,IBM,VMware,Cisco</v>
      </c>
      <c r="H401" s="6" t="str">
        <f>IFERROR(__xludf.DUMMYFUNCTION("""COMPUTED_VALUE"""),"Wayfair,Bloomberg,Spotify,GoDaddy,Snapchat,Yelp,Lyft,Zillow,Walmart Labs,Goldman Sachs,Yandex,Apple,Microsoft,Citrix,Facebook,Amazon,eBay,Expedia,Redfin,Google,IBM,VMware,Cisco")</f>
        <v>Wayfair,Bloomberg,Spotify,GoDaddy,Snapchat,Yelp,Lyft,Zillow,Walmart Labs,Goldman Sachs,Yandex,Apple,Microsoft,Citrix,Facebook,Amazon,eBay,Expedia,Redfin,Google,IBM,VMware,Cisco</v>
      </c>
      <c r="I401" s="6">
        <f>IFERROR(__xludf.DUMMYFUNCTION("""COMPUTED_VALUE"""),43.86)</f>
        <v>43.86</v>
      </c>
      <c r="J401" s="6" t="str">
        <f>IFERROR(__xludf.DUMMYFUNCTION("""COMPUTED_VALUE"""),"算法")</f>
        <v>算法</v>
      </c>
    </row>
    <row r="402">
      <c r="A402" s="6">
        <f>IFERROR(__xludf.DUMMYFUNCTION("""COMPUTED_VALUE"""),444.0)</f>
        <v>444</v>
      </c>
      <c r="B402" s="53" t="str">
        <f>IFERROR(__xludf.DUMMYFUNCTION("""COMPUTED_VALUE"""),"Sequence Reconstruction")</f>
        <v>Sequence Reconstruction</v>
      </c>
      <c r="C402" s="6" t="str">
        <f>IFERROR(__xludf.DUMMYFUNCTION("""COMPUTED_VALUE"""),"Medium")</f>
        <v>Medium</v>
      </c>
      <c r="D402" s="6" t="str">
        <f>IFERROR(__xludf.DUMMYFUNCTION("""COMPUTED_VALUE"""),"Topological Sort,Graph")</f>
        <v>Topological Sort,Graph</v>
      </c>
      <c r="E402" s="6" t="str">
        <f>IFERROR(__xludf.DUMMYFUNCTION("""COMPUTED_VALUE"""),"Google")</f>
        <v>Google</v>
      </c>
      <c r="F402" s="6"/>
      <c r="G402" s="6" t="str">
        <f>IFERROR(__xludf.DUMMYFUNCTION("""COMPUTED_VALUE"""),"Google")</f>
        <v>Google</v>
      </c>
      <c r="H402" s="6" t="str">
        <f>IFERROR(__xludf.DUMMYFUNCTION("""COMPUTED_VALUE"""),"Google")</f>
        <v>Google</v>
      </c>
      <c r="I402" s="6">
        <f>IFERROR(__xludf.DUMMYFUNCTION("""COMPUTED_VALUE"""),23.61)</f>
        <v>23.61</v>
      </c>
      <c r="J402" s="6" t="str">
        <f>IFERROR(__xludf.DUMMYFUNCTION("""COMPUTED_VALUE"""),"算法")</f>
        <v>算法</v>
      </c>
    </row>
    <row r="403">
      <c r="A403" s="6">
        <f>IFERROR(__xludf.DUMMYFUNCTION("""COMPUTED_VALUE"""),445.0)</f>
        <v>445</v>
      </c>
      <c r="B403" s="53" t="str">
        <f>IFERROR(__xludf.DUMMYFUNCTION("""COMPUTED_VALUE"""),"Add Two Numbers II")</f>
        <v>Add Two Numbers II</v>
      </c>
      <c r="C403" s="6" t="str">
        <f>IFERROR(__xludf.DUMMYFUNCTION("""COMPUTED_VALUE"""),"Medium")</f>
        <v>Medium</v>
      </c>
      <c r="D403" s="6" t="str">
        <f>IFERROR(__xludf.DUMMYFUNCTION("""COMPUTED_VALUE"""),"Linked List")</f>
        <v>Linked List</v>
      </c>
      <c r="E403" s="6" t="str">
        <f>IFERROR(__xludf.DUMMYFUNCTION("""COMPUTED_VALUE"""),"Grab,Salesforce,EBay,Yahoo,Adobe,ByteDance,Oracle,Cisco,Apple,Uber,Bloomberg,Facebook,Amazon,Microsoft,Goldman Sachs,Google")</f>
        <v>Grab,Salesforce,EBay,Yahoo,Adobe,ByteDance,Oracle,Cisco,Apple,Uber,Bloomberg,Facebook,Amazon,Microsoft,Goldman Sachs,Google</v>
      </c>
      <c r="F403" s="6" t="str">
        <f>IFERROR(__xludf.DUMMYFUNCTION("""COMPUTED_VALUE"""),"Bloomberg,Microsoft,Amazon,Facebook,Apple,Adobe,Uber,ByteDance")</f>
        <v>Bloomberg,Microsoft,Amazon,Facebook,Apple,Adobe,Uber,ByteDance</v>
      </c>
      <c r="G403" s="6" t="str">
        <f>IFERROR(__xludf.DUMMYFUNCTION("""COMPUTED_VALUE"""),"Google,eBay,Yahoo,Grab,Bloomberg,Microsoft,Amazon,Facebook,Apple,Adobe,Uber,ByteDance")</f>
        <v>Google,eBay,Yahoo,Grab,Bloomberg,Microsoft,Amazon,Facebook,Apple,Adobe,Uber,ByteDance</v>
      </c>
      <c r="H403" s="6" t="str">
        <f>IFERROR(__xludf.DUMMYFUNCTION("""COMPUTED_VALUE"""),"Oracle,Cisco,Salesforce,Google,eBay,Yahoo,Grab,Bloomberg,Microsoft,Amazon,Facebook,Apple,Adobe,Uber,ByteDance")</f>
        <v>Oracle,Cisco,Salesforce,Google,eBay,Yahoo,Grab,Bloomberg,Microsoft,Amazon,Facebook,Apple,Adobe,Uber,ByteDance</v>
      </c>
      <c r="I403" s="6">
        <f>IFERROR(__xludf.DUMMYFUNCTION("""COMPUTED_VALUE"""),56.39)</f>
        <v>56.39</v>
      </c>
      <c r="J403" s="6" t="str">
        <f>IFERROR(__xludf.DUMMYFUNCTION("""COMPUTED_VALUE"""),"算法")</f>
        <v>算法</v>
      </c>
    </row>
    <row r="404">
      <c r="A404" s="6">
        <f>IFERROR(__xludf.DUMMYFUNCTION("""COMPUTED_VALUE"""),446.0)</f>
        <v>446</v>
      </c>
      <c r="B404" s="53" t="str">
        <f>IFERROR(__xludf.DUMMYFUNCTION("""COMPUTED_VALUE"""),"Arithmetic Slices II - Subsequence")</f>
        <v>Arithmetic Slices II - Subsequence</v>
      </c>
      <c r="C404" s="6" t="str">
        <f>IFERROR(__xludf.DUMMYFUNCTION("""COMPUTED_VALUE"""),"Hard")</f>
        <v>Hard</v>
      </c>
      <c r="D404" s="6" t="str">
        <f>IFERROR(__xludf.DUMMYFUNCTION("""COMPUTED_VALUE"""),"Dynamic Programming")</f>
        <v>Dynamic Programming</v>
      </c>
      <c r="E404" s="6" t="str">
        <f>IFERROR(__xludf.DUMMYFUNCTION("""COMPUTED_VALUE"""),"Adobe,Google,Baidu,Facebook,Alibaba")</f>
        <v>Adobe,Google,Baidu,Facebook,Alibaba</v>
      </c>
      <c r="F404" s="6"/>
      <c r="G404" s="6" t="str">
        <f>IFERROR(__xludf.DUMMYFUNCTION("""COMPUTED_VALUE"""),"Google")</f>
        <v>Google</v>
      </c>
      <c r="H404" s="6" t="str">
        <f>IFERROR(__xludf.DUMMYFUNCTION("""COMPUTED_VALUE"""),"Adobe,Baidu,Google")</f>
        <v>Adobe,Baidu,Google</v>
      </c>
      <c r="I404" s="6">
        <f>IFERROR(__xludf.DUMMYFUNCTION("""COMPUTED_VALUE"""),33.53)</f>
        <v>33.53</v>
      </c>
      <c r="J404" s="6" t="str">
        <f>IFERROR(__xludf.DUMMYFUNCTION("""COMPUTED_VALUE"""),"算法")</f>
        <v>算法</v>
      </c>
    </row>
    <row r="405">
      <c r="A405" s="6">
        <f>IFERROR(__xludf.DUMMYFUNCTION("""COMPUTED_VALUE"""),447.0)</f>
        <v>447</v>
      </c>
      <c r="B405" s="53" t="str">
        <f>IFERROR(__xludf.DUMMYFUNCTION("""COMPUTED_VALUE"""),"Number of Boomerangs")</f>
        <v>Number of Boomerangs</v>
      </c>
      <c r="C405" s="6" t="str">
        <f>IFERROR(__xludf.DUMMYFUNCTION("""COMPUTED_VALUE"""),"Medium")</f>
        <v>Medium</v>
      </c>
      <c r="D405" s="6" t="str">
        <f>IFERROR(__xludf.DUMMYFUNCTION("""COMPUTED_VALUE"""),"Math,Hash Table")</f>
        <v>Math,Hash Table</v>
      </c>
      <c r="E405" s="6" t="str">
        <f>IFERROR(__xludf.DUMMYFUNCTION("""COMPUTED_VALUE"""),"Google")</f>
        <v>Google</v>
      </c>
      <c r="F405" s="6"/>
      <c r="G405" s="6"/>
      <c r="H405" s="6" t="str">
        <f>IFERROR(__xludf.DUMMYFUNCTION("""COMPUTED_VALUE"""),"Google")</f>
        <v>Google</v>
      </c>
      <c r="I405" s="6">
        <f>IFERROR(__xludf.DUMMYFUNCTION("""COMPUTED_VALUE"""),52.48)</f>
        <v>52.48</v>
      </c>
      <c r="J405" s="6" t="str">
        <f>IFERROR(__xludf.DUMMYFUNCTION("""COMPUTED_VALUE"""),"算法")</f>
        <v>算法</v>
      </c>
    </row>
    <row r="406">
      <c r="A406" s="6">
        <f>IFERROR(__xludf.DUMMYFUNCTION("""COMPUTED_VALUE"""),448.0)</f>
        <v>448</v>
      </c>
      <c r="B406" s="53" t="str">
        <f>IFERROR(__xludf.DUMMYFUNCTION("""COMPUTED_VALUE"""),"Find All Numbers Disappeared in an Array")</f>
        <v>Find All Numbers Disappeared in an Array</v>
      </c>
      <c r="C406" s="6" t="str">
        <f>IFERROR(__xludf.DUMMYFUNCTION("""COMPUTED_VALUE"""),"Easy")</f>
        <v>Easy</v>
      </c>
      <c r="D406" s="6" t="str">
        <f>IFERROR(__xludf.DUMMYFUNCTION("""COMPUTED_VALUE"""),"Array")</f>
        <v>Array</v>
      </c>
      <c r="E406" s="6" t="str">
        <f>IFERROR(__xludf.DUMMYFUNCTION("""COMPUTED_VALUE"""),"Yahoo,Bloomberg,Amazon,Apple,Adobe,Facebook,Microsoft,Google")</f>
        <v>Yahoo,Bloomberg,Amazon,Apple,Adobe,Facebook,Microsoft,Google</v>
      </c>
      <c r="F406" s="6" t="str">
        <f>IFERROR(__xludf.DUMMYFUNCTION("""COMPUTED_VALUE"""),"Amazon,Bloomberg")</f>
        <v>Amazon,Bloomberg</v>
      </c>
      <c r="G406" s="6" t="str">
        <f>IFERROR(__xludf.DUMMYFUNCTION("""COMPUTED_VALUE"""),"Microsoft,Yahoo,Amazon,Bloomberg")</f>
        <v>Microsoft,Yahoo,Amazon,Bloomberg</v>
      </c>
      <c r="H406" s="6" t="str">
        <f>IFERROR(__xludf.DUMMYFUNCTION("""COMPUTED_VALUE"""),"Apple,Google,Adobe,Microsoft,Yahoo,Amazon,Bloomberg")</f>
        <v>Apple,Google,Adobe,Microsoft,Yahoo,Amazon,Bloomberg</v>
      </c>
      <c r="I406" s="6">
        <f>IFERROR(__xludf.DUMMYFUNCTION("""COMPUTED_VALUE"""),56.09)</f>
        <v>56.09</v>
      </c>
      <c r="J406" s="6" t="str">
        <f>IFERROR(__xludf.DUMMYFUNCTION("""COMPUTED_VALUE"""),"算法")</f>
        <v>算法</v>
      </c>
    </row>
    <row r="407">
      <c r="A407" s="6">
        <f>IFERROR(__xludf.DUMMYFUNCTION("""COMPUTED_VALUE"""),449.0)</f>
        <v>449</v>
      </c>
      <c r="B407" s="53" t="str">
        <f>IFERROR(__xludf.DUMMYFUNCTION("""COMPUTED_VALUE"""),"Serialize and Deserialize BST")</f>
        <v>Serialize and Deserialize BST</v>
      </c>
      <c r="C407" s="6" t="str">
        <f>IFERROR(__xludf.DUMMYFUNCTION("""COMPUTED_VALUE"""),"Medium")</f>
        <v>Medium</v>
      </c>
      <c r="D407" s="6" t="str">
        <f>IFERROR(__xludf.DUMMYFUNCTION("""COMPUTED_VALUE"""),"Tree")</f>
        <v>Tree</v>
      </c>
      <c r="E407" s="6" t="str">
        <f>IFERROR(__xludf.DUMMYFUNCTION("""COMPUTED_VALUE"""),"ByteDance,Apple,Qualtrics,Zillow,Oracle,Yandex,EBay,Uber,Facebook,Amazon,LinkedIn,Microsoft,Google")</f>
        <v>ByteDance,Apple,Qualtrics,Zillow,Oracle,Yandex,EBay,Uber,Facebook,Amazon,LinkedIn,Microsoft,Google</v>
      </c>
      <c r="F407" s="6" t="str">
        <f>IFERROR(__xludf.DUMMYFUNCTION("""COMPUTED_VALUE"""),"Facebook,Amazon,Microsoft,ByteDance")</f>
        <v>Facebook,Amazon,Microsoft,ByteDance</v>
      </c>
      <c r="G407" s="6" t="str">
        <f>IFERROR(__xludf.DUMMYFUNCTION("""COMPUTED_VALUE"""),"Facebook,Amazon,Microsoft,ByteDance")</f>
        <v>Facebook,Amazon,Microsoft,ByteDance</v>
      </c>
      <c r="H407" s="6" t="str">
        <f>IFERROR(__xludf.DUMMYFUNCTION("""COMPUTED_VALUE"""),"LinkedIn,Oracle,Apple,Uber,Google,Yandex,Facebook,Amazon,Microsoft,ByteDance")</f>
        <v>LinkedIn,Oracle,Apple,Uber,Google,Yandex,Facebook,Amazon,Microsoft,ByteDance</v>
      </c>
      <c r="I407" s="6">
        <f>IFERROR(__xludf.DUMMYFUNCTION("""COMPUTED_VALUE"""),54.15)</f>
        <v>54.15</v>
      </c>
      <c r="J407" s="6" t="str">
        <f>IFERROR(__xludf.DUMMYFUNCTION("""COMPUTED_VALUE"""),"算法")</f>
        <v>算法</v>
      </c>
    </row>
    <row r="408">
      <c r="A408" s="6">
        <f>IFERROR(__xludf.DUMMYFUNCTION("""COMPUTED_VALUE"""),450.0)</f>
        <v>450</v>
      </c>
      <c r="B408" s="53" t="str">
        <f>IFERROR(__xludf.DUMMYFUNCTION("""COMPUTED_VALUE"""),"Delete Node in a BST")</f>
        <v>Delete Node in a BST</v>
      </c>
      <c r="C408" s="6" t="str">
        <f>IFERROR(__xludf.DUMMYFUNCTION("""COMPUTED_VALUE"""),"Medium")</f>
        <v>Medium</v>
      </c>
      <c r="D408" s="6" t="str">
        <f>IFERROR(__xludf.DUMMYFUNCTION("""COMPUTED_VALUE"""),"Tree")</f>
        <v>Tree</v>
      </c>
      <c r="E408" s="6" t="str">
        <f>IFERROR(__xludf.DUMMYFUNCTION("""COMPUTED_VALUE"""),"Oracle,Cisco,Apple,Uber,Yahoo,Bloomberg,Facebook,Amazon,LinkedIn,Microsoft,Google")</f>
        <v>Oracle,Cisco,Apple,Uber,Yahoo,Bloomberg,Facebook,Amazon,LinkedIn,Microsoft,Google</v>
      </c>
      <c r="F408" s="6" t="str">
        <f>IFERROR(__xludf.DUMMYFUNCTION("""COMPUTED_VALUE"""),"Oracle,Bloomberg,Google")</f>
        <v>Oracle,Bloomberg,Google</v>
      </c>
      <c r="G408" s="6" t="str">
        <f>IFERROR(__xludf.DUMMYFUNCTION("""COMPUTED_VALUE"""),"Microsoft,Amazon,Cisco,Oracle,Bloomberg,Google")</f>
        <v>Microsoft,Amazon,Cisco,Oracle,Bloomberg,Google</v>
      </c>
      <c r="H408" s="6" t="str">
        <f>IFERROR(__xludf.DUMMYFUNCTION("""COMPUTED_VALUE"""),"Facebook,Uber,Microsoft,Amazon,Cisco,Oracle,Bloomberg,Google")</f>
        <v>Facebook,Uber,Microsoft,Amazon,Cisco,Oracle,Bloomberg,Google</v>
      </c>
      <c r="I408" s="6">
        <f>IFERROR(__xludf.DUMMYFUNCTION("""COMPUTED_VALUE"""),45.4)</f>
        <v>45.4</v>
      </c>
      <c r="J408" s="6" t="str">
        <f>IFERROR(__xludf.DUMMYFUNCTION("""COMPUTED_VALUE"""),"算法")</f>
        <v>算法</v>
      </c>
    </row>
    <row r="409">
      <c r="A409" s="6">
        <f>IFERROR(__xludf.DUMMYFUNCTION("""COMPUTED_VALUE"""),451.0)</f>
        <v>451</v>
      </c>
      <c r="B409" s="53" t="str">
        <f>IFERROR(__xludf.DUMMYFUNCTION("""COMPUTED_VALUE"""),"Sort Characters By Frequency")</f>
        <v>Sort Characters By Frequency</v>
      </c>
      <c r="C409" s="6" t="str">
        <f>IFERROR(__xludf.DUMMYFUNCTION("""COMPUTED_VALUE"""),"Medium")</f>
        <v>Medium</v>
      </c>
      <c r="D409" s="6" t="str">
        <f>IFERROR(__xludf.DUMMYFUNCTION("""COMPUTED_VALUE"""),"Heap,Hash Table")</f>
        <v>Heap,Hash Table</v>
      </c>
      <c r="E409" s="6" t="str">
        <f>IFERROR(__xludf.DUMMYFUNCTION("""COMPUTED_VALUE"""),"Apple,Expedia,Uber,Yahoo,Bloomberg,Facebook,Amazon,LinkedIn,Google")</f>
        <v>Apple,Expedia,Uber,Yahoo,Bloomberg,Facebook,Amazon,LinkedIn,Google</v>
      </c>
      <c r="F409" s="6" t="str">
        <f>IFERROR(__xludf.DUMMYFUNCTION("""COMPUTED_VALUE"""),"Bloomberg")</f>
        <v>Bloomberg</v>
      </c>
      <c r="G409" s="6" t="str">
        <f>IFERROR(__xludf.DUMMYFUNCTION("""COMPUTED_VALUE"""),"Amazon,Bloomberg")</f>
        <v>Amazon,Bloomberg</v>
      </c>
      <c r="H409" s="6" t="str">
        <f>IFERROR(__xludf.DUMMYFUNCTION("""COMPUTED_VALUE"""),"Uber,Google,Facebook,Apple,Amazon,Bloomberg")</f>
        <v>Uber,Google,Facebook,Apple,Amazon,Bloomberg</v>
      </c>
      <c r="I409" s="6">
        <f>IFERROR(__xludf.DUMMYFUNCTION("""COMPUTED_VALUE"""),64.5)</f>
        <v>64.5</v>
      </c>
      <c r="J409" s="6" t="str">
        <f>IFERROR(__xludf.DUMMYFUNCTION("""COMPUTED_VALUE"""),"算法")</f>
        <v>算法</v>
      </c>
    </row>
    <row r="410">
      <c r="A410" s="6">
        <f>IFERROR(__xludf.DUMMYFUNCTION("""COMPUTED_VALUE"""),452.0)</f>
        <v>452</v>
      </c>
      <c r="B410" s="53" t="str">
        <f>IFERROR(__xludf.DUMMYFUNCTION("""COMPUTED_VALUE"""),"Minimum Number of Arrows to Burst Balloons")</f>
        <v>Minimum Number of Arrows to Burst Balloons</v>
      </c>
      <c r="C410" s="6" t="str">
        <f>IFERROR(__xludf.DUMMYFUNCTION("""COMPUTED_VALUE"""),"Medium")</f>
        <v>Medium</v>
      </c>
      <c r="D410" s="6" t="str">
        <f>IFERROR(__xludf.DUMMYFUNCTION("""COMPUTED_VALUE"""),"Sort,Greedy")</f>
        <v>Sort,Greedy</v>
      </c>
      <c r="E410" s="6" t="str">
        <f>IFERROR(__xludf.DUMMYFUNCTION("""COMPUTED_VALUE"""),"Uber,Bloomberg,Adobe,Google,Quora,Facebook,Amazon,Microsoft")</f>
        <v>Uber,Bloomberg,Adobe,Google,Quora,Facebook,Amazon,Microsoft</v>
      </c>
      <c r="F410" s="6" t="str">
        <f>IFERROR(__xludf.DUMMYFUNCTION("""COMPUTED_VALUE"""),"Facebook,Google")</f>
        <v>Facebook,Google</v>
      </c>
      <c r="G410" s="6" t="str">
        <f>IFERROR(__xludf.DUMMYFUNCTION("""COMPUTED_VALUE"""),"Amazon,Uber,Facebook,Google")</f>
        <v>Amazon,Uber,Facebook,Google</v>
      </c>
      <c r="H410" s="6" t="str">
        <f>IFERROR(__xludf.DUMMYFUNCTION("""COMPUTED_VALUE"""),"Quora,Bloomberg,Adobe,Microsoft,Amazon,Uber,Facebook,Google")</f>
        <v>Quora,Bloomberg,Adobe,Microsoft,Amazon,Uber,Facebook,Google</v>
      </c>
      <c r="I410" s="6">
        <f>IFERROR(__xludf.DUMMYFUNCTION("""COMPUTED_VALUE"""),49.76)</f>
        <v>49.76</v>
      </c>
      <c r="J410" s="6" t="str">
        <f>IFERROR(__xludf.DUMMYFUNCTION("""COMPUTED_VALUE"""),"算法")</f>
        <v>算法</v>
      </c>
    </row>
    <row r="411">
      <c r="A411" s="6">
        <f>IFERROR(__xludf.DUMMYFUNCTION("""COMPUTED_VALUE"""),454.0)</f>
        <v>454</v>
      </c>
      <c r="B411" s="53" t="str">
        <f>IFERROR(__xludf.DUMMYFUNCTION("""COMPUTED_VALUE"""),"4Sum II")</f>
        <v>4Sum II</v>
      </c>
      <c r="C411" s="6" t="str">
        <f>IFERROR(__xludf.DUMMYFUNCTION("""COMPUTED_VALUE"""),"Medium")</f>
        <v>Medium</v>
      </c>
      <c r="D411" s="6" t="str">
        <f>IFERROR(__xludf.DUMMYFUNCTION("""COMPUTED_VALUE"""),"Binary Search,Hash Table")</f>
        <v>Binary Search,Hash Table</v>
      </c>
      <c r="E411" s="6" t="str">
        <f>IFERROR(__xludf.DUMMYFUNCTION("""COMPUTED_VALUE"""),"ByteDance,Uber,Adobe,Google,Apple,Amazon")</f>
        <v>ByteDance,Uber,Adobe,Google,Apple,Amazon</v>
      </c>
      <c r="F411" s="6" t="str">
        <f>IFERROR(__xludf.DUMMYFUNCTION("""COMPUTED_VALUE"""),"Amazon")</f>
        <v>Amazon</v>
      </c>
      <c r="G411" s="6" t="str">
        <f>IFERROR(__xludf.DUMMYFUNCTION("""COMPUTED_VALUE"""),"Google,Uber,Amazon")</f>
        <v>Google,Uber,Amazon</v>
      </c>
      <c r="H411" s="6" t="str">
        <f>IFERROR(__xludf.DUMMYFUNCTION("""COMPUTED_VALUE"""),"Adobe,Apple,ByteDance,Google,Uber,Amazon")</f>
        <v>Adobe,Apple,ByteDance,Google,Uber,Amazon</v>
      </c>
      <c r="I411" s="6">
        <f>IFERROR(__xludf.DUMMYFUNCTION("""COMPUTED_VALUE"""),54.63)</f>
        <v>54.63</v>
      </c>
      <c r="J411" s="6" t="str">
        <f>IFERROR(__xludf.DUMMYFUNCTION("""COMPUTED_VALUE"""),"算法")</f>
        <v>算法</v>
      </c>
    </row>
    <row r="412">
      <c r="A412" s="6">
        <f>IFERROR(__xludf.DUMMYFUNCTION("""COMPUTED_VALUE"""),456.0)</f>
        <v>456</v>
      </c>
      <c r="B412" s="53" t="str">
        <f>IFERROR(__xludf.DUMMYFUNCTION("""COMPUTED_VALUE"""),"132 Pattern")</f>
        <v>132 Pattern</v>
      </c>
      <c r="C412" s="6" t="str">
        <f>IFERROR(__xludf.DUMMYFUNCTION("""COMPUTED_VALUE"""),"Medium")</f>
        <v>Medium</v>
      </c>
      <c r="D412" s="6" t="str">
        <f>IFERROR(__xludf.DUMMYFUNCTION("""COMPUTED_VALUE"""),"Stack")</f>
        <v>Stack</v>
      </c>
      <c r="E412" s="6" t="str">
        <f>IFERROR(__xludf.DUMMYFUNCTION("""COMPUTED_VALUE"""),"ByteDance,Google,Oracle,Amazon")</f>
        <v>ByteDance,Google,Oracle,Amazon</v>
      </c>
      <c r="F412" s="6" t="str">
        <f>IFERROR(__xludf.DUMMYFUNCTION("""COMPUTED_VALUE"""),"Amazon")</f>
        <v>Amazon</v>
      </c>
      <c r="G412" s="6" t="str">
        <f>IFERROR(__xludf.DUMMYFUNCTION("""COMPUTED_VALUE"""),"Google,ByteDance,Amazon")</f>
        <v>Google,ByteDance,Amazon</v>
      </c>
      <c r="H412" s="6" t="str">
        <f>IFERROR(__xludf.DUMMYFUNCTION("""COMPUTED_VALUE"""),"Oracle,Google,ByteDance,Amazon")</f>
        <v>Oracle,Google,ByteDance,Amazon</v>
      </c>
      <c r="I412" s="6">
        <f>IFERROR(__xludf.DUMMYFUNCTION("""COMPUTED_VALUE"""),30.66)</f>
        <v>30.66</v>
      </c>
      <c r="J412" s="6" t="str">
        <f>IFERROR(__xludf.DUMMYFUNCTION("""COMPUTED_VALUE"""),"算法")</f>
        <v>算法</v>
      </c>
    </row>
    <row r="413">
      <c r="A413" s="6">
        <f>IFERROR(__xludf.DUMMYFUNCTION("""COMPUTED_VALUE"""),457.0)</f>
        <v>457</v>
      </c>
      <c r="B413" s="53" t="str">
        <f>IFERROR(__xludf.DUMMYFUNCTION("""COMPUTED_VALUE"""),"Circular Array Loop")</f>
        <v>Circular Array Loop</v>
      </c>
      <c r="C413" s="6" t="str">
        <f>IFERROR(__xludf.DUMMYFUNCTION("""COMPUTED_VALUE"""),"Medium")</f>
        <v>Medium</v>
      </c>
      <c r="D413" s="6" t="str">
        <f>IFERROR(__xludf.DUMMYFUNCTION("""COMPUTED_VALUE"""),"Two Pointers,Array")</f>
        <v>Two Pointers,Array</v>
      </c>
      <c r="E413" s="6" t="str">
        <f>IFERROR(__xludf.DUMMYFUNCTION("""COMPUTED_VALUE"""),"Apple,Goldman Sachs,Nutanix,Microsoft,Google")</f>
        <v>Apple,Goldman Sachs,Nutanix,Microsoft,Google</v>
      </c>
      <c r="F413" s="6"/>
      <c r="G413" s="6" t="str">
        <f>IFERROR(__xludf.DUMMYFUNCTION("""COMPUTED_VALUE"""),"Apple")</f>
        <v>Apple</v>
      </c>
      <c r="H413" s="6" t="str">
        <f>IFERROR(__xludf.DUMMYFUNCTION("""COMPUTED_VALUE"""),"Microsoft,Goldman Sachs,Apple")</f>
        <v>Microsoft,Goldman Sachs,Apple</v>
      </c>
      <c r="I413" s="6">
        <f>IFERROR(__xludf.DUMMYFUNCTION("""COMPUTED_VALUE"""),30.25)</f>
        <v>30.25</v>
      </c>
      <c r="J413" s="6" t="str">
        <f>IFERROR(__xludf.DUMMYFUNCTION("""COMPUTED_VALUE"""),"算法")</f>
        <v>算法</v>
      </c>
    </row>
    <row r="414">
      <c r="A414" s="6">
        <f>IFERROR(__xludf.DUMMYFUNCTION("""COMPUTED_VALUE"""),459.0)</f>
        <v>459</v>
      </c>
      <c r="B414" s="53" t="str">
        <f>IFERROR(__xludf.DUMMYFUNCTION("""COMPUTED_VALUE"""),"Repeated Substring Pattern")</f>
        <v>Repeated Substring Pattern</v>
      </c>
      <c r="C414" s="6" t="str">
        <f>IFERROR(__xludf.DUMMYFUNCTION("""COMPUTED_VALUE"""),"Easy")</f>
        <v>Easy</v>
      </c>
      <c r="D414" s="6" t="str">
        <f>IFERROR(__xludf.DUMMYFUNCTION("""COMPUTED_VALUE"""),"String")</f>
        <v>String</v>
      </c>
      <c r="E414" s="6" t="str">
        <f>IFERROR(__xludf.DUMMYFUNCTION("""COMPUTED_VALUE"""),"Amazon,Microsoft,Google")</f>
        <v>Amazon,Microsoft,Google</v>
      </c>
      <c r="F414" s="6" t="str">
        <f>IFERROR(__xludf.DUMMYFUNCTION("""COMPUTED_VALUE"""),"Google")</f>
        <v>Google</v>
      </c>
      <c r="G414" s="6" t="str">
        <f>IFERROR(__xludf.DUMMYFUNCTION("""COMPUTED_VALUE"""),"Amazon,Google")</f>
        <v>Amazon,Google</v>
      </c>
      <c r="H414" s="6" t="str">
        <f>IFERROR(__xludf.DUMMYFUNCTION("""COMPUTED_VALUE"""),"Amazon,Google")</f>
        <v>Amazon,Google</v>
      </c>
      <c r="I414" s="6">
        <f>IFERROR(__xludf.DUMMYFUNCTION("""COMPUTED_VALUE"""),43.34)</f>
        <v>43.34</v>
      </c>
      <c r="J414" s="6" t="str">
        <f>IFERROR(__xludf.DUMMYFUNCTION("""COMPUTED_VALUE"""),"算法")</f>
        <v>算法</v>
      </c>
    </row>
    <row r="415">
      <c r="A415" s="6">
        <f>IFERROR(__xludf.DUMMYFUNCTION("""COMPUTED_VALUE"""),460.0)</f>
        <v>460</v>
      </c>
      <c r="B415" s="53" t="str">
        <f>IFERROR(__xludf.DUMMYFUNCTION("""COMPUTED_VALUE"""),"LFU Cache")</f>
        <v>LFU Cache</v>
      </c>
      <c r="C415" s="6" t="str">
        <f>IFERROR(__xludf.DUMMYFUNCTION("""COMPUTED_VALUE"""),"Hard")</f>
        <v>Hard</v>
      </c>
      <c r="D415" s="6" t="str">
        <f>IFERROR(__xludf.DUMMYFUNCTION("""COMPUTED_VALUE"""),"Design")</f>
        <v>Design</v>
      </c>
      <c r="E415" s="6" t="str">
        <f>IFERROR(__xludf.DUMMYFUNCTION("""COMPUTED_VALUE"""),"DiDi,Twitch,Nutanix,Citadel,Oracle,Facebook,Salesforce,VMware,Snapchat,Apple,Uber,Bloomberg,Adobe,Amazon,LinkedIn,Microsoft,Alibaba,Goldman Sachs,Google")</f>
        <v>DiDi,Twitch,Nutanix,Citadel,Oracle,Facebook,Salesforce,VMware,Snapchat,Apple,Uber,Bloomberg,Adobe,Amazon,LinkedIn,Microsoft,Alibaba,Goldman Sachs,Google</v>
      </c>
      <c r="F415" s="6" t="str">
        <f>IFERROR(__xludf.DUMMYFUNCTION("""COMPUTED_VALUE"""),"Amazon,Microsoft,Google,Citadel,Bloomberg,VMware,Goldman Sachs,Twitch")</f>
        <v>Amazon,Microsoft,Google,Citadel,Bloomberg,VMware,Goldman Sachs,Twitch</v>
      </c>
      <c r="G415" s="6" t="str">
        <f>IFERROR(__xludf.DUMMYFUNCTION("""COMPUTED_VALUE"""),"Oracle,DiDi,Amazon,Microsoft,Google,Citadel,Bloomberg,VMware,Goldman Sachs,Twitch")</f>
        <v>Oracle,DiDi,Amazon,Microsoft,Google,Citadel,Bloomberg,VMware,Goldman Sachs,Twitch</v>
      </c>
      <c r="H415" s="6" t="str">
        <f>IFERROR(__xludf.DUMMYFUNCTION("""COMPUTED_VALUE"""),"Salesforce,LinkedIn,Apple,Alibaba,Facebook,Nutanix,Oracle,DiDi,Amazon,Microsoft,Google,Citadel,Bloomberg,VMware,Goldman Sachs,Twitch")</f>
        <v>Salesforce,LinkedIn,Apple,Alibaba,Facebook,Nutanix,Oracle,DiDi,Amazon,Microsoft,Google,Citadel,Bloomberg,VMware,Goldman Sachs,Twitch</v>
      </c>
      <c r="I415" s="6">
        <f>IFERROR(__xludf.DUMMYFUNCTION("""COMPUTED_VALUE"""),36.23)</f>
        <v>36.23</v>
      </c>
      <c r="J415" s="6" t="str">
        <f>IFERROR(__xludf.DUMMYFUNCTION("""COMPUTED_VALUE"""),"算法")</f>
        <v>算法</v>
      </c>
    </row>
    <row r="416">
      <c r="A416" s="6">
        <f>IFERROR(__xludf.DUMMYFUNCTION("""COMPUTED_VALUE"""),463.0)</f>
        <v>463</v>
      </c>
      <c r="B416" s="53" t="str">
        <f>IFERROR(__xludf.DUMMYFUNCTION("""COMPUTED_VALUE"""),"Island Perimeter")</f>
        <v>Island Perimeter</v>
      </c>
      <c r="C416" s="6" t="str">
        <f>IFERROR(__xludf.DUMMYFUNCTION("""COMPUTED_VALUE"""),"Easy")</f>
        <v>Easy</v>
      </c>
      <c r="D416" s="6" t="str">
        <f>IFERROR(__xludf.DUMMYFUNCTION("""COMPUTED_VALUE"""),"Hash Table")</f>
        <v>Hash Table</v>
      </c>
      <c r="E416" s="6" t="str">
        <f>IFERROR(__xludf.DUMMYFUNCTION("""COMPUTED_VALUE"""),"Apple,Bloomberg,Facebook,Amazon,Microsoft,Google")</f>
        <v>Apple,Bloomberg,Facebook,Amazon,Microsoft,Google</v>
      </c>
      <c r="F416" s="6" t="str">
        <f>IFERROR(__xludf.DUMMYFUNCTION("""COMPUTED_VALUE"""),"Facebook,Bloomberg")</f>
        <v>Facebook,Bloomberg</v>
      </c>
      <c r="G416" s="6" t="str">
        <f>IFERROR(__xludf.DUMMYFUNCTION("""COMPUTED_VALUE"""),"Amazon,Google,Facebook,Bloomberg")</f>
        <v>Amazon,Google,Facebook,Bloomberg</v>
      </c>
      <c r="H416" s="6" t="str">
        <f>IFERROR(__xludf.DUMMYFUNCTION("""COMPUTED_VALUE"""),"Microsoft,Amazon,Google,Facebook,Bloomberg")</f>
        <v>Microsoft,Amazon,Google,Facebook,Bloomberg</v>
      </c>
      <c r="I416" s="6">
        <f>IFERROR(__xludf.DUMMYFUNCTION("""COMPUTED_VALUE"""),66.73)</f>
        <v>66.73</v>
      </c>
      <c r="J416" s="6" t="str">
        <f>IFERROR(__xludf.DUMMYFUNCTION("""COMPUTED_VALUE"""),"算法")</f>
        <v>算法</v>
      </c>
    </row>
    <row r="417">
      <c r="A417" s="6">
        <f>IFERROR(__xludf.DUMMYFUNCTION("""COMPUTED_VALUE"""),464.0)</f>
        <v>464</v>
      </c>
      <c r="B417" s="53" t="str">
        <f>IFERROR(__xludf.DUMMYFUNCTION("""COMPUTED_VALUE"""),"Can I Win")</f>
        <v>Can I Win</v>
      </c>
      <c r="C417" s="6" t="str">
        <f>IFERROR(__xludf.DUMMYFUNCTION("""COMPUTED_VALUE"""),"Medium")</f>
        <v>Medium</v>
      </c>
      <c r="D417" s="6" t="str">
        <f>IFERROR(__xludf.DUMMYFUNCTION("""COMPUTED_VALUE"""),"Minimax,Dynamic Programming")</f>
        <v>Minimax,Dynamic Programming</v>
      </c>
      <c r="E417" s="6" t="str">
        <f>IFERROR(__xludf.DUMMYFUNCTION("""COMPUTED_VALUE"""),"LinkedIn,Google")</f>
        <v>LinkedIn,Google</v>
      </c>
      <c r="F417" s="6"/>
      <c r="G417" s="6"/>
      <c r="H417" s="6" t="str">
        <f>IFERROR(__xludf.DUMMYFUNCTION("""COMPUTED_VALUE"""),"LinkedIn")</f>
        <v>LinkedIn</v>
      </c>
      <c r="I417" s="6">
        <f>IFERROR(__xludf.DUMMYFUNCTION("""COMPUTED_VALUE"""),29.66)</f>
        <v>29.66</v>
      </c>
      <c r="J417" s="6" t="str">
        <f>IFERROR(__xludf.DUMMYFUNCTION("""COMPUTED_VALUE"""),"算法")</f>
        <v>算法</v>
      </c>
    </row>
    <row r="418">
      <c r="A418" s="6">
        <f>IFERROR(__xludf.DUMMYFUNCTION("""COMPUTED_VALUE"""),465.0)</f>
        <v>465</v>
      </c>
      <c r="B418" s="53" t="str">
        <f>IFERROR(__xludf.DUMMYFUNCTION("""COMPUTED_VALUE"""),"Optimal Account Balancing")</f>
        <v>Optimal Account Balancing</v>
      </c>
      <c r="C418" s="6" t="str">
        <f>IFERROR(__xludf.DUMMYFUNCTION("""COMPUTED_VALUE"""),"Hard")</f>
        <v>Hard</v>
      </c>
      <c r="D418" s="6"/>
      <c r="E418" s="6" t="str">
        <f>IFERROR(__xludf.DUMMYFUNCTION("""COMPUTED_VALUE"""),"EBay,ByteDance,Uber,Amazon,Google")</f>
        <v>EBay,ByteDance,Uber,Amazon,Google</v>
      </c>
      <c r="F418" s="6" t="str">
        <f>IFERROR(__xludf.DUMMYFUNCTION("""COMPUTED_VALUE"""),"Google,Amazon")</f>
        <v>Google,Amazon</v>
      </c>
      <c r="G418" s="6" t="str">
        <f>IFERROR(__xludf.DUMMYFUNCTION("""COMPUTED_VALUE"""),"ByteDance,eBay,Google,Amazon")</f>
        <v>ByteDance,eBay,Google,Amazon</v>
      </c>
      <c r="H418" s="6" t="str">
        <f>IFERROR(__xludf.DUMMYFUNCTION("""COMPUTED_VALUE"""),"Uber,ByteDance,eBay,Google,Amazon")</f>
        <v>Uber,ByteDance,eBay,Google,Amazon</v>
      </c>
      <c r="I418" s="6">
        <f>IFERROR(__xludf.DUMMYFUNCTION("""COMPUTED_VALUE"""),48.33)</f>
        <v>48.33</v>
      </c>
      <c r="J418" s="6" t="str">
        <f>IFERROR(__xludf.DUMMYFUNCTION("""COMPUTED_VALUE"""),"算法")</f>
        <v>算法</v>
      </c>
    </row>
    <row r="419">
      <c r="A419" s="6">
        <f>IFERROR(__xludf.DUMMYFUNCTION("""COMPUTED_VALUE"""),467.0)</f>
        <v>467</v>
      </c>
      <c r="B419" s="53" t="str">
        <f>IFERROR(__xludf.DUMMYFUNCTION("""COMPUTED_VALUE"""),"Unique Substrings in Wraparound String")</f>
        <v>Unique Substrings in Wraparound String</v>
      </c>
      <c r="C419" s="6" t="str">
        <f>IFERROR(__xludf.DUMMYFUNCTION("""COMPUTED_VALUE"""),"Medium")</f>
        <v>Medium</v>
      </c>
      <c r="D419" s="6" t="str">
        <f>IFERROR(__xludf.DUMMYFUNCTION("""COMPUTED_VALUE"""),"Dynamic Programming")</f>
        <v>Dynamic Programming</v>
      </c>
      <c r="E419" s="6" t="str">
        <f>IFERROR(__xludf.DUMMYFUNCTION("""COMPUTED_VALUE"""),"MAQ Software,Google")</f>
        <v>MAQ Software,Google</v>
      </c>
      <c r="F419" s="6"/>
      <c r="G419" s="6"/>
      <c r="H419" s="6" t="str">
        <f>IFERROR(__xludf.DUMMYFUNCTION("""COMPUTED_VALUE"""),"Google,MAQ Software")</f>
        <v>Google,MAQ Software</v>
      </c>
      <c r="I419" s="6">
        <f>IFERROR(__xludf.DUMMYFUNCTION("""COMPUTED_VALUE"""),36.1)</f>
        <v>36.1</v>
      </c>
      <c r="J419" s="6" t="str">
        <f>IFERROR(__xludf.DUMMYFUNCTION("""COMPUTED_VALUE"""),"算法")</f>
        <v>算法</v>
      </c>
    </row>
    <row r="420">
      <c r="A420" s="6">
        <f>IFERROR(__xludf.DUMMYFUNCTION("""COMPUTED_VALUE"""),468.0)</f>
        <v>468</v>
      </c>
      <c r="B420" s="53" t="str">
        <f>IFERROR(__xludf.DUMMYFUNCTION("""COMPUTED_VALUE"""),"Validate IP Address")</f>
        <v>Validate IP Address</v>
      </c>
      <c r="C420" s="6" t="str">
        <f>IFERROR(__xludf.DUMMYFUNCTION("""COMPUTED_VALUE"""),"Medium")</f>
        <v>Medium</v>
      </c>
      <c r="D420" s="6" t="str">
        <f>IFERROR(__xludf.DUMMYFUNCTION("""COMPUTED_VALUE"""),"String")</f>
        <v>String</v>
      </c>
      <c r="E420" s="6" t="str">
        <f>IFERROR(__xludf.DUMMYFUNCTION("""COMPUTED_VALUE"""),"Oracle,Cisco,Visa,VMware,Twitter,Uber,Facebook,Amazon,Microsoft,Google")</f>
        <v>Oracle,Cisco,Visa,VMware,Twitter,Uber,Facebook,Amazon,Microsoft,Google</v>
      </c>
      <c r="F420" s="6" t="str">
        <f>IFERROR(__xludf.DUMMYFUNCTION("""COMPUTED_VALUE"""),"Facebook,Microsoft,Oracle")</f>
        <v>Facebook,Microsoft,Oracle</v>
      </c>
      <c r="G420" s="6" t="str">
        <f>IFERROR(__xludf.DUMMYFUNCTION("""COMPUTED_VALUE"""),"Cisco,Facebook,Microsoft,Oracle")</f>
        <v>Cisco,Facebook,Microsoft,Oracle</v>
      </c>
      <c r="H420" s="6" t="str">
        <f>IFERROR(__xludf.DUMMYFUNCTION("""COMPUTED_VALUE"""),"Amazon,Twitter,Cisco,Facebook,Microsoft,Oracle")</f>
        <v>Amazon,Twitter,Cisco,Facebook,Microsoft,Oracle</v>
      </c>
      <c r="I420" s="6">
        <f>IFERROR(__xludf.DUMMYFUNCTION("""COMPUTED_VALUE"""),25.04)</f>
        <v>25.04</v>
      </c>
      <c r="J420" s="6" t="str">
        <f>IFERROR(__xludf.DUMMYFUNCTION("""COMPUTED_VALUE"""),"算法")</f>
        <v>算法</v>
      </c>
    </row>
    <row r="421">
      <c r="A421" s="6">
        <f>IFERROR(__xludf.DUMMYFUNCTION("""COMPUTED_VALUE"""),469.0)</f>
        <v>469</v>
      </c>
      <c r="B421" s="53" t="str">
        <f>IFERROR(__xludf.DUMMYFUNCTION("""COMPUTED_VALUE"""),"Convex Polygon")</f>
        <v>Convex Polygon</v>
      </c>
      <c r="C421" s="6" t="str">
        <f>IFERROR(__xludf.DUMMYFUNCTION("""COMPUTED_VALUE"""),"Medium")</f>
        <v>Medium</v>
      </c>
      <c r="D421" s="6" t="str">
        <f>IFERROR(__xludf.DUMMYFUNCTION("""COMPUTED_VALUE"""),"Math")</f>
        <v>Math</v>
      </c>
      <c r="E421" s="6" t="str">
        <f>IFERROR(__xludf.DUMMYFUNCTION("""COMPUTED_VALUE"""),"Google")</f>
        <v>Google</v>
      </c>
      <c r="F421" s="6"/>
      <c r="G421" s="6"/>
      <c r="H421" s="6" t="str">
        <f>IFERROR(__xludf.DUMMYFUNCTION("""COMPUTED_VALUE"""),"Google")</f>
        <v>Google</v>
      </c>
      <c r="I421" s="6">
        <f>IFERROR(__xludf.DUMMYFUNCTION("""COMPUTED_VALUE"""),37.53)</f>
        <v>37.53</v>
      </c>
      <c r="J421" s="6" t="str">
        <f>IFERROR(__xludf.DUMMYFUNCTION("""COMPUTED_VALUE"""),"算法")</f>
        <v>算法</v>
      </c>
    </row>
    <row r="422">
      <c r="A422" s="6">
        <f>IFERROR(__xludf.DUMMYFUNCTION("""COMPUTED_VALUE"""),470.0)</f>
        <v>470</v>
      </c>
      <c r="B422" s="53" t="str">
        <f>IFERROR(__xludf.DUMMYFUNCTION("""COMPUTED_VALUE"""),"Implement Rand10() Using Rand7()")</f>
        <v>Implement Rand10() Using Rand7()</v>
      </c>
      <c r="C422" s="6" t="str">
        <f>IFERROR(__xludf.DUMMYFUNCTION("""COMPUTED_VALUE"""),"Medium")</f>
        <v>Medium</v>
      </c>
      <c r="D422" s="6" t="str">
        <f>IFERROR(__xludf.DUMMYFUNCTION("""COMPUTED_VALUE"""),"Rejection Sampling,Random")</f>
        <v>Rejection Sampling,Random</v>
      </c>
      <c r="E422" s="6" t="str">
        <f>IFERROR(__xludf.DUMMYFUNCTION("""COMPUTED_VALUE"""),"Yandex,ByteDance,Apple,Bloomberg,LinkedIn,Microsoft,Google")</f>
        <v>Yandex,ByteDance,Apple,Bloomberg,LinkedIn,Microsoft,Google</v>
      </c>
      <c r="F422" s="6"/>
      <c r="G422" s="6" t="str">
        <f>IFERROR(__xludf.DUMMYFUNCTION("""COMPUTED_VALUE"""),"Apple,Microsoft")</f>
        <v>Apple,Microsoft</v>
      </c>
      <c r="H422" s="6" t="str">
        <f>IFERROR(__xludf.DUMMYFUNCTION("""COMPUTED_VALUE"""),"LinkedIn,ByteDance,Yandex,Apple,Microsoft")</f>
        <v>LinkedIn,ByteDance,Yandex,Apple,Microsoft</v>
      </c>
      <c r="I422" s="6">
        <f>IFERROR(__xludf.DUMMYFUNCTION("""COMPUTED_VALUE"""),46.04)</f>
        <v>46.04</v>
      </c>
      <c r="J422" s="6" t="str">
        <f>IFERROR(__xludf.DUMMYFUNCTION("""COMPUTED_VALUE"""),"算法")</f>
        <v>算法</v>
      </c>
    </row>
    <row r="423">
      <c r="A423" s="6">
        <f>IFERROR(__xludf.DUMMYFUNCTION("""COMPUTED_VALUE"""),471.0)</f>
        <v>471</v>
      </c>
      <c r="B423" s="53" t="str">
        <f>IFERROR(__xludf.DUMMYFUNCTION("""COMPUTED_VALUE"""),"Encode String with Shortest Length")</f>
        <v>Encode String with Shortest Length</v>
      </c>
      <c r="C423" s="6" t="str">
        <f>IFERROR(__xludf.DUMMYFUNCTION("""COMPUTED_VALUE"""),"Hard")</f>
        <v>Hard</v>
      </c>
      <c r="D423" s="6" t="str">
        <f>IFERROR(__xludf.DUMMYFUNCTION("""COMPUTED_VALUE"""),"Dynamic Programming")</f>
        <v>Dynamic Programming</v>
      </c>
      <c r="E423" s="6" t="str">
        <f>IFERROR(__xludf.DUMMYFUNCTION("""COMPUTED_VALUE"""),"Amazon,Google")</f>
        <v>Amazon,Google</v>
      </c>
      <c r="F423" s="6" t="str">
        <f>IFERROR(__xludf.DUMMYFUNCTION("""COMPUTED_VALUE"""),"Google")</f>
        <v>Google</v>
      </c>
      <c r="G423" s="6" t="str">
        <f>IFERROR(__xludf.DUMMYFUNCTION("""COMPUTED_VALUE"""),"Amazon,Google")</f>
        <v>Amazon,Google</v>
      </c>
      <c r="H423" s="6" t="str">
        <f>IFERROR(__xludf.DUMMYFUNCTION("""COMPUTED_VALUE"""),"Amazon,Google")</f>
        <v>Amazon,Google</v>
      </c>
      <c r="I423" s="6">
        <f>IFERROR(__xludf.DUMMYFUNCTION("""COMPUTED_VALUE"""),49.36)</f>
        <v>49.36</v>
      </c>
      <c r="J423" s="6" t="str">
        <f>IFERROR(__xludf.DUMMYFUNCTION("""COMPUTED_VALUE"""),"算法")</f>
        <v>算法</v>
      </c>
    </row>
    <row r="424">
      <c r="A424" s="6">
        <f>IFERROR(__xludf.DUMMYFUNCTION("""COMPUTED_VALUE"""),472.0)</f>
        <v>472</v>
      </c>
      <c r="B424" s="53" t="str">
        <f>IFERROR(__xludf.DUMMYFUNCTION("""COMPUTED_VALUE"""),"Concatenated Words")</f>
        <v>Concatenated Words</v>
      </c>
      <c r="C424" s="6" t="str">
        <f>IFERROR(__xludf.DUMMYFUNCTION("""COMPUTED_VALUE"""),"Hard")</f>
        <v>Hard</v>
      </c>
      <c r="D424" s="6" t="str">
        <f>IFERROR(__xludf.DUMMYFUNCTION("""COMPUTED_VALUE"""),"Trie,Depth First Search,Dynamic Programming")</f>
        <v>Trie,Depth First Search,Dynamic Programming</v>
      </c>
      <c r="E424" s="6" t="str">
        <f>IFERROR(__xludf.DUMMYFUNCTION("""COMPUTED_VALUE"""),"Adobe,Google,Audible,Apple,Facebook,Amazon,Microsoft")</f>
        <v>Adobe,Google,Audible,Apple,Facebook,Amazon,Microsoft</v>
      </c>
      <c r="F424" s="6" t="str">
        <f>IFERROR(__xludf.DUMMYFUNCTION("""COMPUTED_VALUE"""),"Amazon")</f>
        <v>Amazon</v>
      </c>
      <c r="G424" s="6" t="str">
        <f>IFERROR(__xludf.DUMMYFUNCTION("""COMPUTED_VALUE"""),"Apple,Facebook,Amazon")</f>
        <v>Apple,Facebook,Amazon</v>
      </c>
      <c r="H424" s="6" t="str">
        <f>IFERROR(__xludf.DUMMYFUNCTION("""COMPUTED_VALUE"""),"Google,Microsoft,Adobe,Audible,Apple,Facebook,Amazon")</f>
        <v>Google,Microsoft,Adobe,Audible,Apple,Facebook,Amazon</v>
      </c>
      <c r="I424" s="6">
        <f>IFERROR(__xludf.DUMMYFUNCTION("""COMPUTED_VALUE"""),43.83)</f>
        <v>43.83</v>
      </c>
      <c r="J424" s="6" t="str">
        <f>IFERROR(__xludf.DUMMYFUNCTION("""COMPUTED_VALUE"""),"算法")</f>
        <v>算法</v>
      </c>
    </row>
    <row r="425">
      <c r="A425" s="6">
        <f>IFERROR(__xludf.DUMMYFUNCTION("""COMPUTED_VALUE"""),474.0)</f>
        <v>474</v>
      </c>
      <c r="B425" s="53" t="str">
        <f>IFERROR(__xludf.DUMMYFUNCTION("""COMPUTED_VALUE"""),"Ones and Zeroes")</f>
        <v>Ones and Zeroes</v>
      </c>
      <c r="C425" s="6" t="str">
        <f>IFERROR(__xludf.DUMMYFUNCTION("""COMPUTED_VALUE"""),"Medium")</f>
        <v>Medium</v>
      </c>
      <c r="D425" s="6" t="str">
        <f>IFERROR(__xludf.DUMMYFUNCTION("""COMPUTED_VALUE"""),"Dynamic Programming")</f>
        <v>Dynamic Programming</v>
      </c>
      <c r="E425" s="6" t="str">
        <f>IFERROR(__xludf.DUMMYFUNCTION("""COMPUTED_VALUE"""),"Google")</f>
        <v>Google</v>
      </c>
      <c r="F425" s="6"/>
      <c r="G425" s="6"/>
      <c r="H425" s="6" t="str">
        <f>IFERROR(__xludf.DUMMYFUNCTION("""COMPUTED_VALUE"""),"Google")</f>
        <v>Google</v>
      </c>
      <c r="I425" s="6">
        <f>IFERROR(__xludf.DUMMYFUNCTION("""COMPUTED_VALUE"""),43.77)</f>
        <v>43.77</v>
      </c>
      <c r="J425" s="6" t="str">
        <f>IFERROR(__xludf.DUMMYFUNCTION("""COMPUTED_VALUE"""),"算法")</f>
        <v>算法</v>
      </c>
    </row>
    <row r="426">
      <c r="A426" s="6">
        <f>IFERROR(__xludf.DUMMYFUNCTION("""COMPUTED_VALUE"""),475.0)</f>
        <v>475</v>
      </c>
      <c r="B426" s="53" t="str">
        <f>IFERROR(__xludf.DUMMYFUNCTION("""COMPUTED_VALUE"""),"Heaters")</f>
        <v>Heaters</v>
      </c>
      <c r="C426" s="6" t="str">
        <f>IFERROR(__xludf.DUMMYFUNCTION("""COMPUTED_VALUE"""),"Medium")</f>
        <v>Medium</v>
      </c>
      <c r="D426" s="6" t="str">
        <f>IFERROR(__xludf.DUMMYFUNCTION("""COMPUTED_VALUE"""),"Binary Search")</f>
        <v>Binary Search</v>
      </c>
      <c r="E426" s="6" t="str">
        <f>IFERROR(__xludf.DUMMYFUNCTION("""COMPUTED_VALUE"""),"Amazon,Google")</f>
        <v>Amazon,Google</v>
      </c>
      <c r="F426" s="6"/>
      <c r="G426" s="6"/>
      <c r="H426" s="6" t="str">
        <f>IFERROR(__xludf.DUMMYFUNCTION("""COMPUTED_VALUE"""),"Google")</f>
        <v>Google</v>
      </c>
      <c r="I426" s="6">
        <f>IFERROR(__xludf.DUMMYFUNCTION("""COMPUTED_VALUE"""),33.68)</f>
        <v>33.68</v>
      </c>
      <c r="J426" s="6" t="str">
        <f>IFERROR(__xludf.DUMMYFUNCTION("""COMPUTED_VALUE"""),"算法")</f>
        <v>算法</v>
      </c>
    </row>
    <row r="427">
      <c r="A427" s="6">
        <f>IFERROR(__xludf.DUMMYFUNCTION("""COMPUTED_VALUE"""),477.0)</f>
        <v>477</v>
      </c>
      <c r="B427" s="53" t="str">
        <f>IFERROR(__xludf.DUMMYFUNCTION("""COMPUTED_VALUE"""),"Total Hamming Distance")</f>
        <v>Total Hamming Distance</v>
      </c>
      <c r="C427" s="6" t="str">
        <f>IFERROR(__xludf.DUMMYFUNCTION("""COMPUTED_VALUE"""),"Medium")</f>
        <v>Medium</v>
      </c>
      <c r="D427" s="6" t="str">
        <f>IFERROR(__xludf.DUMMYFUNCTION("""COMPUTED_VALUE"""),"Bit Manipulation")</f>
        <v>Bit Manipulation</v>
      </c>
      <c r="E427" s="6" t="str">
        <f>IFERROR(__xludf.DUMMYFUNCTION("""COMPUTED_VALUE"""),"Facebook,Google")</f>
        <v>Facebook,Google</v>
      </c>
      <c r="F427" s="6"/>
      <c r="G427" s="6"/>
      <c r="H427" s="6" t="str">
        <f>IFERROR(__xludf.DUMMYFUNCTION("""COMPUTED_VALUE"""),"Facebook")</f>
        <v>Facebook</v>
      </c>
      <c r="I427" s="6">
        <f>IFERROR(__xludf.DUMMYFUNCTION("""COMPUTED_VALUE"""),50.63)</f>
        <v>50.63</v>
      </c>
      <c r="J427" s="6" t="str">
        <f>IFERROR(__xludf.DUMMYFUNCTION("""COMPUTED_VALUE"""),"算法")</f>
        <v>算法</v>
      </c>
    </row>
    <row r="428">
      <c r="A428" s="6">
        <f>IFERROR(__xludf.DUMMYFUNCTION("""COMPUTED_VALUE"""),480.0)</f>
        <v>480</v>
      </c>
      <c r="B428" s="53" t="str">
        <f>IFERROR(__xludf.DUMMYFUNCTION("""COMPUTED_VALUE"""),"Sliding Window Median")</f>
        <v>Sliding Window Median</v>
      </c>
      <c r="C428" s="6" t="str">
        <f>IFERROR(__xludf.DUMMYFUNCTION("""COMPUTED_VALUE"""),"Hard")</f>
        <v>Hard</v>
      </c>
      <c r="D428" s="6" t="str">
        <f>IFERROR(__xludf.DUMMYFUNCTION("""COMPUTED_VALUE"""),"Sliding Window")</f>
        <v>Sliding Window</v>
      </c>
      <c r="E428" s="6" t="str">
        <f>IFERROR(__xludf.DUMMYFUNCTION("""COMPUTED_VALUE"""),"Indeed,Flipkart,JPMorgan,Adobe,Microsoft,Snapchat,Oracle,Spotify,Apple,Facebook,Amazon,Google")</f>
        <v>Indeed,Flipkart,JPMorgan,Adobe,Microsoft,Snapchat,Oracle,Spotify,Apple,Facebook,Amazon,Google</v>
      </c>
      <c r="F428" s="6" t="str">
        <f>IFERROR(__xludf.DUMMYFUNCTION("""COMPUTED_VALUE"""),"Facebook,JPMorgan,Google,Amazon,Spotify,Flipkart,Adobe")</f>
        <v>Facebook,JPMorgan,Google,Amazon,Spotify,Flipkart,Adobe</v>
      </c>
      <c r="G428" s="6" t="str">
        <f>IFERROR(__xludf.DUMMYFUNCTION("""COMPUTED_VALUE"""),"Microsoft,Apple,Facebook,JPMorgan,Google,Amazon,Spotify,Flipkart,Adobe")</f>
        <v>Microsoft,Apple,Facebook,JPMorgan,Google,Amazon,Spotify,Flipkart,Adobe</v>
      </c>
      <c r="H428" s="6" t="str">
        <f>IFERROR(__xludf.DUMMYFUNCTION("""COMPUTED_VALUE"""),"Indeed,Microsoft,Apple,Facebook,JPMorgan,Google,Amazon,Spotify,Flipkart,Adobe")</f>
        <v>Indeed,Microsoft,Apple,Facebook,JPMorgan,Google,Amazon,Spotify,Flipkart,Adobe</v>
      </c>
      <c r="I428" s="6">
        <f>IFERROR(__xludf.DUMMYFUNCTION("""COMPUTED_VALUE"""),38.8)</f>
        <v>38.8</v>
      </c>
      <c r="J428" s="6" t="str">
        <f>IFERROR(__xludf.DUMMYFUNCTION("""COMPUTED_VALUE"""),"算法")</f>
        <v>算法</v>
      </c>
    </row>
    <row r="429">
      <c r="A429" s="6">
        <f>IFERROR(__xludf.DUMMYFUNCTION("""COMPUTED_VALUE"""),481.0)</f>
        <v>481</v>
      </c>
      <c r="B429" s="53" t="str">
        <f>IFERROR(__xludf.DUMMYFUNCTION("""COMPUTED_VALUE"""),"Magical String")</f>
        <v>Magical String</v>
      </c>
      <c r="C429" s="6" t="str">
        <f>IFERROR(__xludf.DUMMYFUNCTION("""COMPUTED_VALUE"""),"Medium")</f>
        <v>Medium</v>
      </c>
      <c r="D429" s="6"/>
      <c r="E429" s="6" t="str">
        <f>IFERROR(__xludf.DUMMYFUNCTION("""COMPUTED_VALUE"""),"Google")</f>
        <v>Google</v>
      </c>
      <c r="F429" s="6"/>
      <c r="G429" s="6"/>
      <c r="H429" s="6" t="str">
        <f>IFERROR(__xludf.DUMMYFUNCTION("""COMPUTED_VALUE"""),"Google")</f>
        <v>Google</v>
      </c>
      <c r="I429" s="6">
        <f>IFERROR(__xludf.DUMMYFUNCTION("""COMPUTED_VALUE"""),48.1)</f>
        <v>48.1</v>
      </c>
      <c r="J429" s="6" t="str">
        <f>IFERROR(__xludf.DUMMYFUNCTION("""COMPUTED_VALUE"""),"算法")</f>
        <v>算法</v>
      </c>
    </row>
    <row r="430">
      <c r="A430" s="6">
        <f>IFERROR(__xludf.DUMMYFUNCTION("""COMPUTED_VALUE"""),482.0)</f>
        <v>482</v>
      </c>
      <c r="B430" s="53" t="str">
        <f>IFERROR(__xludf.DUMMYFUNCTION("""COMPUTED_VALUE"""),"License Key Formatting")</f>
        <v>License Key Formatting</v>
      </c>
      <c r="C430" s="6" t="str">
        <f>IFERROR(__xludf.DUMMYFUNCTION("""COMPUTED_VALUE"""),"Easy")</f>
        <v>Easy</v>
      </c>
      <c r="D430" s="6"/>
      <c r="E430" s="6" t="str">
        <f>IFERROR(__xludf.DUMMYFUNCTION("""COMPUTED_VALUE"""),"Capital One,Twitter,Amazon,Google")</f>
        <v>Capital One,Twitter,Amazon,Google</v>
      </c>
      <c r="F430" s="6" t="str">
        <f>IFERROR(__xludf.DUMMYFUNCTION("""COMPUTED_VALUE"""),"Capital One")</f>
        <v>Capital One</v>
      </c>
      <c r="G430" s="6" t="str">
        <f>IFERROR(__xludf.DUMMYFUNCTION("""COMPUTED_VALUE"""),"Capital One")</f>
        <v>Capital One</v>
      </c>
      <c r="H430" s="6" t="str">
        <f>IFERROR(__xludf.DUMMYFUNCTION("""COMPUTED_VALUE"""),"Google,Capital One")</f>
        <v>Google,Capital One</v>
      </c>
      <c r="I430" s="6">
        <f>IFERROR(__xludf.DUMMYFUNCTION("""COMPUTED_VALUE"""),43.08)</f>
        <v>43.08</v>
      </c>
      <c r="J430" s="6" t="str">
        <f>IFERROR(__xludf.DUMMYFUNCTION("""COMPUTED_VALUE"""),"算法")</f>
        <v>算法</v>
      </c>
    </row>
    <row r="431">
      <c r="A431" s="6">
        <f>IFERROR(__xludf.DUMMYFUNCTION("""COMPUTED_VALUE"""),483.0)</f>
        <v>483</v>
      </c>
      <c r="B431" s="53" t="str">
        <f>IFERROR(__xludf.DUMMYFUNCTION("""COMPUTED_VALUE"""),"Smallest Good Base")</f>
        <v>Smallest Good Base</v>
      </c>
      <c r="C431" s="6" t="str">
        <f>IFERROR(__xludf.DUMMYFUNCTION("""COMPUTED_VALUE"""),"Hard")</f>
        <v>Hard</v>
      </c>
      <c r="D431" s="6" t="str">
        <f>IFERROR(__xludf.DUMMYFUNCTION("""COMPUTED_VALUE"""),"Binary Search,Math")</f>
        <v>Binary Search,Math</v>
      </c>
      <c r="E431" s="6" t="str">
        <f>IFERROR(__xludf.DUMMYFUNCTION("""COMPUTED_VALUE"""),"Google")</f>
        <v>Google</v>
      </c>
      <c r="F431" s="6"/>
      <c r="G431" s="6"/>
      <c r="H431" s="6" t="str">
        <f>IFERROR(__xludf.DUMMYFUNCTION("""COMPUTED_VALUE"""),"Google")</f>
        <v>Google</v>
      </c>
      <c r="I431" s="6">
        <f>IFERROR(__xludf.DUMMYFUNCTION("""COMPUTED_VALUE"""),36.26)</f>
        <v>36.26</v>
      </c>
      <c r="J431" s="6" t="str">
        <f>IFERROR(__xludf.DUMMYFUNCTION("""COMPUTED_VALUE"""),"算法")</f>
        <v>算法</v>
      </c>
    </row>
    <row r="432">
      <c r="A432" s="6">
        <f>IFERROR(__xludf.DUMMYFUNCTION("""COMPUTED_VALUE"""),484.0)</f>
        <v>484</v>
      </c>
      <c r="B432" s="53" t="str">
        <f>IFERROR(__xludf.DUMMYFUNCTION("""COMPUTED_VALUE"""),"Find Permutation")</f>
        <v>Find Permutation</v>
      </c>
      <c r="C432" s="6" t="str">
        <f>IFERROR(__xludf.DUMMYFUNCTION("""COMPUTED_VALUE"""),"Medium")</f>
        <v>Medium</v>
      </c>
      <c r="D432" s="6" t="str">
        <f>IFERROR(__xludf.DUMMYFUNCTION("""COMPUTED_VALUE"""),"Greedy")</f>
        <v>Greedy</v>
      </c>
      <c r="E432" s="6" t="str">
        <f>IFERROR(__xludf.DUMMYFUNCTION("""COMPUTED_VALUE"""),"Google")</f>
        <v>Google</v>
      </c>
      <c r="F432" s="6"/>
      <c r="G432" s="6"/>
      <c r="H432" s="6" t="str">
        <f>IFERROR(__xludf.DUMMYFUNCTION("""COMPUTED_VALUE"""),"Google")</f>
        <v>Google</v>
      </c>
      <c r="I432" s="6">
        <f>IFERROR(__xludf.DUMMYFUNCTION("""COMPUTED_VALUE"""),64.25)</f>
        <v>64.25</v>
      </c>
      <c r="J432" s="6" t="str">
        <f>IFERROR(__xludf.DUMMYFUNCTION("""COMPUTED_VALUE"""),"算法")</f>
        <v>算法</v>
      </c>
    </row>
    <row r="433">
      <c r="A433" s="6">
        <f>IFERROR(__xludf.DUMMYFUNCTION("""COMPUTED_VALUE"""),485.0)</f>
        <v>485</v>
      </c>
      <c r="B433" s="53" t="str">
        <f>IFERROR(__xludf.DUMMYFUNCTION("""COMPUTED_VALUE"""),"Max Consecutive Ones")</f>
        <v>Max Consecutive Ones</v>
      </c>
      <c r="C433" s="6" t="str">
        <f>IFERROR(__xludf.DUMMYFUNCTION("""COMPUTED_VALUE"""),"Easy")</f>
        <v>Easy</v>
      </c>
      <c r="D433" s="6" t="str">
        <f>IFERROR(__xludf.DUMMYFUNCTION("""COMPUTED_VALUE"""),"Array")</f>
        <v>Array</v>
      </c>
      <c r="E433" s="6" t="str">
        <f>IFERROR(__xludf.DUMMYFUNCTION("""COMPUTED_VALUE"""),"Microsoft,Amazon,Google")</f>
        <v>Microsoft,Amazon,Google</v>
      </c>
      <c r="F433" s="6" t="str">
        <f>IFERROR(__xludf.DUMMYFUNCTION("""COMPUTED_VALUE"""),"Amazon,Google")</f>
        <v>Amazon,Google</v>
      </c>
      <c r="G433" s="6" t="str">
        <f>IFERROR(__xludf.DUMMYFUNCTION("""COMPUTED_VALUE"""),"Microsoft,Amazon,Google")</f>
        <v>Microsoft,Amazon,Google</v>
      </c>
      <c r="H433" s="6" t="str">
        <f>IFERROR(__xludf.DUMMYFUNCTION("""COMPUTED_VALUE"""),"Microsoft,Amazon,Google")</f>
        <v>Microsoft,Amazon,Google</v>
      </c>
      <c r="I433" s="6">
        <f>IFERROR(__xludf.DUMMYFUNCTION("""COMPUTED_VALUE"""),52.77)</f>
        <v>52.77</v>
      </c>
      <c r="J433" s="6" t="str">
        <f>IFERROR(__xludf.DUMMYFUNCTION("""COMPUTED_VALUE"""),"算法")</f>
        <v>算法</v>
      </c>
    </row>
    <row r="434">
      <c r="A434" s="6">
        <f>IFERROR(__xludf.DUMMYFUNCTION("""COMPUTED_VALUE"""),486.0)</f>
        <v>486</v>
      </c>
      <c r="B434" s="53" t="str">
        <f>IFERROR(__xludf.DUMMYFUNCTION("""COMPUTED_VALUE"""),"Predict the Winner")</f>
        <v>Predict the Winner</v>
      </c>
      <c r="C434" s="6" t="str">
        <f>IFERROR(__xludf.DUMMYFUNCTION("""COMPUTED_VALUE"""),"Medium")</f>
        <v>Medium</v>
      </c>
      <c r="D434" s="6" t="str">
        <f>IFERROR(__xludf.DUMMYFUNCTION("""COMPUTED_VALUE"""),"Minimax,Dynamic Programming")</f>
        <v>Minimax,Dynamic Programming</v>
      </c>
      <c r="E434" s="6" t="str">
        <f>IFERROR(__xludf.DUMMYFUNCTION("""COMPUTED_VALUE"""),"Bloomberg,Apple,Uber,Amazon,Google")</f>
        <v>Bloomberg,Apple,Uber,Amazon,Google</v>
      </c>
      <c r="F434" s="6"/>
      <c r="G434" s="6"/>
      <c r="H434" s="6" t="str">
        <f>IFERROR(__xludf.DUMMYFUNCTION("""COMPUTED_VALUE"""),"Google,Uber,Amazon,Bloomberg")</f>
        <v>Google,Uber,Amazon,Bloomberg</v>
      </c>
      <c r="I434" s="6">
        <f>IFERROR(__xludf.DUMMYFUNCTION("""COMPUTED_VALUE"""),48.94)</f>
        <v>48.94</v>
      </c>
      <c r="J434" s="6" t="str">
        <f>IFERROR(__xludf.DUMMYFUNCTION("""COMPUTED_VALUE"""),"算法")</f>
        <v>算法</v>
      </c>
    </row>
    <row r="435">
      <c r="A435" s="6">
        <f>IFERROR(__xludf.DUMMYFUNCTION("""COMPUTED_VALUE"""),487.0)</f>
        <v>487</v>
      </c>
      <c r="B435" s="53" t="str">
        <f>IFERROR(__xludf.DUMMYFUNCTION("""COMPUTED_VALUE"""),"Max Consecutive Ones II")</f>
        <v>Max Consecutive Ones II</v>
      </c>
      <c r="C435" s="6" t="str">
        <f>IFERROR(__xludf.DUMMYFUNCTION("""COMPUTED_VALUE"""),"Medium")</f>
        <v>Medium</v>
      </c>
      <c r="D435" s="6" t="str">
        <f>IFERROR(__xludf.DUMMYFUNCTION("""COMPUTED_VALUE"""),"Two Pointers")</f>
        <v>Two Pointers</v>
      </c>
      <c r="E435" s="6" t="str">
        <f>IFERROR(__xludf.DUMMYFUNCTION("""COMPUTED_VALUE"""),"Zillow,Yandex,Google")</f>
        <v>Zillow,Yandex,Google</v>
      </c>
      <c r="F435" s="6" t="str">
        <f>IFERROR(__xludf.DUMMYFUNCTION("""COMPUTED_VALUE"""),"Yandex,Zillow")</f>
        <v>Yandex,Zillow</v>
      </c>
      <c r="G435" s="6" t="str">
        <f>IFERROR(__xludf.DUMMYFUNCTION("""COMPUTED_VALUE"""),"Yandex,Zillow")</f>
        <v>Yandex,Zillow</v>
      </c>
      <c r="H435" s="6" t="str">
        <f>IFERROR(__xludf.DUMMYFUNCTION("""COMPUTED_VALUE"""),"Google,Yandex,Zillow")</f>
        <v>Google,Yandex,Zillow</v>
      </c>
      <c r="I435" s="6">
        <f>IFERROR(__xludf.DUMMYFUNCTION("""COMPUTED_VALUE"""),47.97)</f>
        <v>47.97</v>
      </c>
      <c r="J435" s="6" t="str">
        <f>IFERROR(__xludf.DUMMYFUNCTION("""COMPUTED_VALUE"""),"算法")</f>
        <v>算法</v>
      </c>
    </row>
    <row r="436">
      <c r="A436" s="6">
        <f>IFERROR(__xludf.DUMMYFUNCTION("""COMPUTED_VALUE"""),489.0)</f>
        <v>489</v>
      </c>
      <c r="B436" s="53" t="str">
        <f>IFERROR(__xludf.DUMMYFUNCTION("""COMPUTED_VALUE"""),"Robot Room Cleaner")</f>
        <v>Robot Room Cleaner</v>
      </c>
      <c r="C436" s="6" t="str">
        <f>IFERROR(__xludf.DUMMYFUNCTION("""COMPUTED_VALUE"""),"Hard")</f>
        <v>Hard</v>
      </c>
      <c r="D436" s="6" t="str">
        <f>IFERROR(__xludf.DUMMYFUNCTION("""COMPUTED_VALUE"""),"Depth First Search")</f>
        <v>Depth First Search</v>
      </c>
      <c r="E436" s="6" t="str">
        <f>IFERROR(__xludf.DUMMYFUNCTION("""COMPUTED_VALUE"""),"ByteDance,Citadel,Facebook,Amazon,Microsoft,Google")</f>
        <v>ByteDance,Citadel,Facebook,Amazon,Microsoft,Google</v>
      </c>
      <c r="F436" s="6" t="str">
        <f>IFERROR(__xludf.DUMMYFUNCTION("""COMPUTED_VALUE"""),"Facebook,Google,Amazon")</f>
        <v>Facebook,Google,Amazon</v>
      </c>
      <c r="G436" s="6" t="str">
        <f>IFERROR(__xludf.DUMMYFUNCTION("""COMPUTED_VALUE"""),"Citadel,Facebook,Google,Amazon")</f>
        <v>Citadel,Facebook,Google,Amazon</v>
      </c>
      <c r="H436" s="6" t="str">
        <f>IFERROR(__xludf.DUMMYFUNCTION("""COMPUTED_VALUE"""),"ByteDance,Citadel,Facebook,Google,Amazon")</f>
        <v>ByteDance,Citadel,Facebook,Google,Amazon</v>
      </c>
      <c r="I436" s="6">
        <f>IFERROR(__xludf.DUMMYFUNCTION("""COMPUTED_VALUE"""),72.7)</f>
        <v>72.7</v>
      </c>
      <c r="J436" s="6" t="str">
        <f>IFERROR(__xludf.DUMMYFUNCTION("""COMPUTED_VALUE"""),"算法")</f>
        <v>算法</v>
      </c>
    </row>
    <row r="437">
      <c r="A437" s="6">
        <f>IFERROR(__xludf.DUMMYFUNCTION("""COMPUTED_VALUE"""),490.0)</f>
        <v>490</v>
      </c>
      <c r="B437" s="53" t="str">
        <f>IFERROR(__xludf.DUMMYFUNCTION("""COMPUTED_VALUE"""),"The Maze")</f>
        <v>The Maze</v>
      </c>
      <c r="C437" s="6" t="str">
        <f>IFERROR(__xludf.DUMMYFUNCTION("""COMPUTED_VALUE"""),"Medium")</f>
        <v>Medium</v>
      </c>
      <c r="D437" s="6" t="str">
        <f>IFERROR(__xludf.DUMMYFUNCTION("""COMPUTED_VALUE"""),"Breadth First Search,Depth First Search")</f>
        <v>Breadth First Search,Depth First Search</v>
      </c>
      <c r="E437" s="6" t="str">
        <f>IFERROR(__xludf.DUMMYFUNCTION("""COMPUTED_VALUE"""),"Bloomberg,Twitter,Apple,Uber,Facebook,Amazon,Microsoft,Google")</f>
        <v>Bloomberg,Twitter,Apple,Uber,Facebook,Amazon,Microsoft,Google</v>
      </c>
      <c r="F437" s="6" t="str">
        <f>IFERROR(__xludf.DUMMYFUNCTION("""COMPUTED_VALUE"""),"Amazon,Microsoft,Bloomberg")</f>
        <v>Amazon,Microsoft,Bloomberg</v>
      </c>
      <c r="G437" s="6" t="str">
        <f>IFERROR(__xludf.DUMMYFUNCTION("""COMPUTED_VALUE"""),"Facebook,Amazon,Microsoft,Bloomberg")</f>
        <v>Facebook,Amazon,Microsoft,Bloomberg</v>
      </c>
      <c r="H437" s="6" t="str">
        <f>IFERROR(__xludf.DUMMYFUNCTION("""COMPUTED_VALUE"""),"Google,Uber,Twitter,Apple,Facebook,Amazon,Microsoft,Bloomberg")</f>
        <v>Google,Uber,Twitter,Apple,Facebook,Amazon,Microsoft,Bloomberg</v>
      </c>
      <c r="I437" s="6">
        <f>IFERROR(__xludf.DUMMYFUNCTION("""COMPUTED_VALUE"""),52.82)</f>
        <v>52.82</v>
      </c>
      <c r="J437" s="6" t="str">
        <f>IFERROR(__xludf.DUMMYFUNCTION("""COMPUTED_VALUE"""),"算法")</f>
        <v>算法</v>
      </c>
    </row>
    <row r="438">
      <c r="A438" s="6">
        <f>IFERROR(__xludf.DUMMYFUNCTION("""COMPUTED_VALUE"""),491.0)</f>
        <v>491</v>
      </c>
      <c r="B438" s="53" t="str">
        <f>IFERROR(__xludf.DUMMYFUNCTION("""COMPUTED_VALUE"""),"Increasing Subsequences")</f>
        <v>Increasing Subsequences</v>
      </c>
      <c r="C438" s="6" t="str">
        <f>IFERROR(__xludf.DUMMYFUNCTION("""COMPUTED_VALUE"""),"Medium")</f>
        <v>Medium</v>
      </c>
      <c r="D438" s="6" t="str">
        <f>IFERROR(__xludf.DUMMYFUNCTION("""COMPUTED_VALUE"""),"Depth First Search")</f>
        <v>Depth First Search</v>
      </c>
      <c r="E438" s="6" t="str">
        <f>IFERROR(__xludf.DUMMYFUNCTION("""COMPUTED_VALUE"""),"Google,Yahoo,Facebook")</f>
        <v>Google,Yahoo,Facebook</v>
      </c>
      <c r="F438" s="6"/>
      <c r="G438" s="6" t="str">
        <f>IFERROR(__xludf.DUMMYFUNCTION("""COMPUTED_VALUE"""),"Google")</f>
        <v>Google</v>
      </c>
      <c r="H438" s="6" t="str">
        <f>IFERROR(__xludf.DUMMYFUNCTION("""COMPUTED_VALUE"""),"Facebook,Yahoo,Google")</f>
        <v>Facebook,Yahoo,Google</v>
      </c>
      <c r="I438" s="6">
        <f>IFERROR(__xludf.DUMMYFUNCTION("""COMPUTED_VALUE"""),47.59)</f>
        <v>47.59</v>
      </c>
      <c r="J438" s="6" t="str">
        <f>IFERROR(__xludf.DUMMYFUNCTION("""COMPUTED_VALUE"""),"算法")</f>
        <v>算法</v>
      </c>
    </row>
    <row r="439">
      <c r="A439" s="6">
        <f>IFERROR(__xludf.DUMMYFUNCTION("""COMPUTED_VALUE"""),493.0)</f>
        <v>493</v>
      </c>
      <c r="B439" s="53" t="str">
        <f>IFERROR(__xludf.DUMMYFUNCTION("""COMPUTED_VALUE"""),"Reverse Pairs")</f>
        <v>Reverse Pairs</v>
      </c>
      <c r="C439" s="6" t="str">
        <f>IFERROR(__xludf.DUMMYFUNCTION("""COMPUTED_VALUE"""),"Hard")</f>
        <v>Hard</v>
      </c>
      <c r="D439" s="6" t="str">
        <f>IFERROR(__xludf.DUMMYFUNCTION("""COMPUTED_VALUE"""),"Segment Tree,Binary Indexed Tree,Sort,Divide and Conquer,Binary Search")</f>
        <v>Segment Tree,Binary Indexed Tree,Sort,Divide and Conquer,Binary Search</v>
      </c>
      <c r="E439" s="6" t="str">
        <f>IFERROR(__xludf.DUMMYFUNCTION("""COMPUTED_VALUE"""),"ByteDance,Bloomberg,Uber,Facebook,Amazon,Microsoft,Google")</f>
        <v>ByteDance,Bloomberg,Uber,Facebook,Amazon,Microsoft,Google</v>
      </c>
      <c r="F439" s="6" t="str">
        <f>IFERROR(__xludf.DUMMYFUNCTION("""COMPUTED_VALUE"""),"ByteDance,Amazon,Google")</f>
        <v>ByteDance,Amazon,Google</v>
      </c>
      <c r="G439" s="6" t="str">
        <f>IFERROR(__xludf.DUMMYFUNCTION("""COMPUTED_VALUE"""),"ByteDance,Amazon,Google")</f>
        <v>ByteDance,Amazon,Google</v>
      </c>
      <c r="H439" s="6" t="str">
        <f>IFERROR(__xludf.DUMMYFUNCTION("""COMPUTED_VALUE"""),"Uber,Microsoft,Bloomberg,ByteDance,Amazon,Google")</f>
        <v>Uber,Microsoft,Bloomberg,ByteDance,Amazon,Google</v>
      </c>
      <c r="I439" s="6">
        <f>IFERROR(__xludf.DUMMYFUNCTION("""COMPUTED_VALUE"""),26.98)</f>
        <v>26.98</v>
      </c>
      <c r="J439" s="6" t="str">
        <f>IFERROR(__xludf.DUMMYFUNCTION("""COMPUTED_VALUE"""),"算法")</f>
        <v>算法</v>
      </c>
    </row>
    <row r="440">
      <c r="A440" s="6">
        <f>IFERROR(__xludf.DUMMYFUNCTION("""COMPUTED_VALUE"""),494.0)</f>
        <v>494</v>
      </c>
      <c r="B440" s="53" t="str">
        <f>IFERROR(__xludf.DUMMYFUNCTION("""COMPUTED_VALUE"""),"Target Sum")</f>
        <v>Target Sum</v>
      </c>
      <c r="C440" s="6" t="str">
        <f>IFERROR(__xludf.DUMMYFUNCTION("""COMPUTED_VALUE"""),"Medium")</f>
        <v>Medium</v>
      </c>
      <c r="D440" s="6" t="str">
        <f>IFERROR(__xludf.DUMMYFUNCTION("""COMPUTED_VALUE"""),"Depth First Search,Dynamic Programming")</f>
        <v>Depth First Search,Dynamic Programming</v>
      </c>
      <c r="E440" s="6" t="str">
        <f>IFERROR(__xludf.DUMMYFUNCTION("""COMPUTED_VALUE"""),"Bloomberg,Adobe,Amazon,Facebook,Microsoft,Google")</f>
        <v>Bloomberg,Adobe,Amazon,Facebook,Microsoft,Google</v>
      </c>
      <c r="F440" s="6" t="str">
        <f>IFERROR(__xludf.DUMMYFUNCTION("""COMPUTED_VALUE"""),"Facebook,Amazon,Adobe")</f>
        <v>Facebook,Amazon,Adobe</v>
      </c>
      <c r="G440" s="6" t="str">
        <f>IFERROR(__xludf.DUMMYFUNCTION("""COMPUTED_VALUE"""),"Bloomberg,Facebook,Amazon,Adobe")</f>
        <v>Bloomberg,Facebook,Amazon,Adobe</v>
      </c>
      <c r="H440" s="6" t="str">
        <f>IFERROR(__xludf.DUMMYFUNCTION("""COMPUTED_VALUE"""),"Microsoft,Google,Bloomberg,Facebook,Amazon,Adobe")</f>
        <v>Microsoft,Google,Bloomberg,Facebook,Amazon,Adobe</v>
      </c>
      <c r="I440" s="6">
        <f>IFERROR(__xludf.DUMMYFUNCTION("""COMPUTED_VALUE"""),45.67)</f>
        <v>45.67</v>
      </c>
      <c r="J440" s="6" t="str">
        <f>IFERROR(__xludf.DUMMYFUNCTION("""COMPUTED_VALUE"""),"算法")</f>
        <v>算法</v>
      </c>
    </row>
    <row r="441">
      <c r="A441" s="6">
        <f>IFERROR(__xludf.DUMMYFUNCTION("""COMPUTED_VALUE"""),496.0)</f>
        <v>496</v>
      </c>
      <c r="B441" s="53" t="str">
        <f>IFERROR(__xludf.DUMMYFUNCTION("""COMPUTED_VALUE"""),"Next Greater Element I")</f>
        <v>Next Greater Element I</v>
      </c>
      <c r="C441" s="6" t="str">
        <f>IFERROR(__xludf.DUMMYFUNCTION("""COMPUTED_VALUE"""),"Easy")</f>
        <v>Easy</v>
      </c>
      <c r="D441" s="6" t="str">
        <f>IFERROR(__xludf.DUMMYFUNCTION("""COMPUTED_VALUE"""),"Stack")</f>
        <v>Stack</v>
      </c>
      <c r="E441" s="6" t="str">
        <f>IFERROR(__xludf.DUMMYFUNCTION("""COMPUTED_VALUE"""),"Apple,Twitter,Oracle,Bloomberg,Facebook,Amazon,Microsoft,Google")</f>
        <v>Apple,Twitter,Oracle,Bloomberg,Facebook,Amazon,Microsoft,Google</v>
      </c>
      <c r="F441" s="6" t="str">
        <f>IFERROR(__xludf.DUMMYFUNCTION("""COMPUTED_VALUE"""),"Amazon,Microsoft")</f>
        <v>Amazon,Microsoft</v>
      </c>
      <c r="G441" s="6" t="str">
        <f>IFERROR(__xludf.DUMMYFUNCTION("""COMPUTED_VALUE"""),"Bloomberg,Apple,Amazon,Microsoft")</f>
        <v>Bloomberg,Apple,Amazon,Microsoft</v>
      </c>
      <c r="H441" s="6" t="str">
        <f>IFERROR(__xludf.DUMMYFUNCTION("""COMPUTED_VALUE"""),"Facebook,Google,Twitter,Oracle,Bloomberg,Apple,Amazon,Microsoft")</f>
        <v>Facebook,Google,Twitter,Oracle,Bloomberg,Apple,Amazon,Microsoft</v>
      </c>
      <c r="I441" s="6">
        <f>IFERROR(__xludf.DUMMYFUNCTION("""COMPUTED_VALUE"""),65.76)</f>
        <v>65.76</v>
      </c>
      <c r="J441" s="6" t="str">
        <f>IFERROR(__xludf.DUMMYFUNCTION("""COMPUTED_VALUE"""),"算法")</f>
        <v>算法</v>
      </c>
    </row>
    <row r="442">
      <c r="A442" s="6">
        <f>IFERROR(__xludf.DUMMYFUNCTION("""COMPUTED_VALUE"""),497.0)</f>
        <v>497</v>
      </c>
      <c r="B442" s="53" t="str">
        <f>IFERROR(__xludf.DUMMYFUNCTION("""COMPUTED_VALUE"""),"Random Point in Non-overlapping Rectangles")</f>
        <v>Random Point in Non-overlapping Rectangles</v>
      </c>
      <c r="C442" s="6" t="str">
        <f>IFERROR(__xludf.DUMMYFUNCTION("""COMPUTED_VALUE"""),"Medium")</f>
        <v>Medium</v>
      </c>
      <c r="D442" s="6" t="str">
        <f>IFERROR(__xludf.DUMMYFUNCTION("""COMPUTED_VALUE"""),"Random,Binary Search")</f>
        <v>Random,Binary Search</v>
      </c>
      <c r="E442" s="6" t="str">
        <f>IFERROR(__xludf.DUMMYFUNCTION("""COMPUTED_VALUE"""),"Google")</f>
        <v>Google</v>
      </c>
      <c r="F442" s="6"/>
      <c r="G442" s="6"/>
      <c r="H442" s="6" t="str">
        <f>IFERROR(__xludf.DUMMYFUNCTION("""COMPUTED_VALUE"""),"Google")</f>
        <v>Google</v>
      </c>
      <c r="I442" s="6">
        <f>IFERROR(__xludf.DUMMYFUNCTION("""COMPUTED_VALUE"""),39.11)</f>
        <v>39.11</v>
      </c>
      <c r="J442" s="6" t="str">
        <f>IFERROR(__xludf.DUMMYFUNCTION("""COMPUTED_VALUE"""),"算法")</f>
        <v>算法</v>
      </c>
    </row>
    <row r="443">
      <c r="A443" s="6">
        <f>IFERROR(__xludf.DUMMYFUNCTION("""COMPUTED_VALUE"""),498.0)</f>
        <v>498</v>
      </c>
      <c r="B443" s="53" t="str">
        <f>IFERROR(__xludf.DUMMYFUNCTION("""COMPUTED_VALUE"""),"Diagonal Traverse")</f>
        <v>Diagonal Traverse</v>
      </c>
      <c r="C443" s="6" t="str">
        <f>IFERROR(__xludf.DUMMYFUNCTION("""COMPUTED_VALUE"""),"Medium")</f>
        <v>Medium</v>
      </c>
      <c r="D443" s="6"/>
      <c r="E443" s="6" t="str">
        <f>IFERROR(__xludf.DUMMYFUNCTION("""COMPUTED_VALUE"""),"Robinhood,Visa,Splunk,Quora,Walmart Labs,EBay,Apple,Facebook,Amazon,Microsoft,Google")</f>
        <v>Robinhood,Visa,Splunk,Quora,Walmart Labs,EBay,Apple,Facebook,Amazon,Microsoft,Google</v>
      </c>
      <c r="F443" s="6" t="str">
        <f>IFERROR(__xludf.DUMMYFUNCTION("""COMPUTED_VALUE"""),"Facebook,Robinhood")</f>
        <v>Facebook,Robinhood</v>
      </c>
      <c r="G443" s="6" t="str">
        <f>IFERROR(__xludf.DUMMYFUNCTION("""COMPUTED_VALUE"""),"Visa,Amazon,Facebook,Robinhood")</f>
        <v>Visa,Amazon,Facebook,Robinhood</v>
      </c>
      <c r="H443" s="6" t="str">
        <f>IFERROR(__xludf.DUMMYFUNCTION("""COMPUTED_VALUE"""),"Quora,Google,eBay,Splunk,Walmart Labs,Apple,Microsoft,Visa,Amazon,Facebook,Robinhood")</f>
        <v>Quora,Google,eBay,Splunk,Walmart Labs,Apple,Microsoft,Visa,Amazon,Facebook,Robinhood</v>
      </c>
      <c r="I443" s="6">
        <f>IFERROR(__xludf.DUMMYFUNCTION("""COMPUTED_VALUE"""),50.37)</f>
        <v>50.37</v>
      </c>
      <c r="J443" s="6" t="str">
        <f>IFERROR(__xludf.DUMMYFUNCTION("""COMPUTED_VALUE"""),"算法")</f>
        <v>算法</v>
      </c>
    </row>
    <row r="444">
      <c r="A444" s="6">
        <f>IFERROR(__xludf.DUMMYFUNCTION("""COMPUTED_VALUE"""),499.0)</f>
        <v>499</v>
      </c>
      <c r="B444" s="53" t="str">
        <f>IFERROR(__xludf.DUMMYFUNCTION("""COMPUTED_VALUE"""),"The Maze III")</f>
        <v>The Maze III</v>
      </c>
      <c r="C444" s="6" t="str">
        <f>IFERROR(__xludf.DUMMYFUNCTION("""COMPUTED_VALUE"""),"Hard")</f>
        <v>Hard</v>
      </c>
      <c r="D444" s="6" t="str">
        <f>IFERROR(__xludf.DUMMYFUNCTION("""COMPUTED_VALUE"""),"Breadth First Search,Depth First Search")</f>
        <v>Breadth First Search,Depth First Search</v>
      </c>
      <c r="E444" s="6" t="str">
        <f>IFERROR(__xludf.DUMMYFUNCTION("""COMPUTED_VALUE"""),"Google")</f>
        <v>Google</v>
      </c>
      <c r="F444" s="6"/>
      <c r="G444" s="6"/>
      <c r="H444" s="6" t="str">
        <f>IFERROR(__xludf.DUMMYFUNCTION("""COMPUTED_VALUE"""),"Google")</f>
        <v>Google</v>
      </c>
      <c r="I444" s="6">
        <f>IFERROR(__xludf.DUMMYFUNCTION("""COMPUTED_VALUE"""),42.51)</f>
        <v>42.51</v>
      </c>
      <c r="J444" s="6" t="str">
        <f>IFERROR(__xludf.DUMMYFUNCTION("""COMPUTED_VALUE"""),"算法")</f>
        <v>算法</v>
      </c>
    </row>
    <row r="445">
      <c r="A445" s="6">
        <f>IFERROR(__xludf.DUMMYFUNCTION("""COMPUTED_VALUE"""),501.0)</f>
        <v>501</v>
      </c>
      <c r="B445" s="53" t="str">
        <f>IFERROR(__xludf.DUMMYFUNCTION("""COMPUTED_VALUE"""),"Find Mode in Binary Search Tree")</f>
        <v>Find Mode in Binary Search Tree</v>
      </c>
      <c r="C445" s="6" t="str">
        <f>IFERROR(__xludf.DUMMYFUNCTION("""COMPUTED_VALUE"""),"Easy")</f>
        <v>Easy</v>
      </c>
      <c r="D445" s="6" t="str">
        <f>IFERROR(__xludf.DUMMYFUNCTION("""COMPUTED_VALUE"""),"Tree")</f>
        <v>Tree</v>
      </c>
      <c r="E445" s="6" t="str">
        <f>IFERROR(__xludf.DUMMYFUNCTION("""COMPUTED_VALUE"""),"Amazon,Google")</f>
        <v>Amazon,Google</v>
      </c>
      <c r="F445" s="6" t="str">
        <f>IFERROR(__xludf.DUMMYFUNCTION("""COMPUTED_VALUE"""),"Google")</f>
        <v>Google</v>
      </c>
      <c r="G445" s="6" t="str">
        <f>IFERROR(__xludf.DUMMYFUNCTION("""COMPUTED_VALUE"""),"Amazon,Google")</f>
        <v>Amazon,Google</v>
      </c>
      <c r="H445" s="6" t="str">
        <f>IFERROR(__xludf.DUMMYFUNCTION("""COMPUTED_VALUE"""),"Amazon,Google")</f>
        <v>Amazon,Google</v>
      </c>
      <c r="I445" s="6">
        <f>IFERROR(__xludf.DUMMYFUNCTION("""COMPUTED_VALUE"""),43.59)</f>
        <v>43.59</v>
      </c>
      <c r="J445" s="6" t="str">
        <f>IFERROR(__xludf.DUMMYFUNCTION("""COMPUTED_VALUE"""),"算法")</f>
        <v>算法</v>
      </c>
    </row>
    <row r="446">
      <c r="A446" s="6">
        <f>IFERROR(__xludf.DUMMYFUNCTION("""COMPUTED_VALUE"""),503.0)</f>
        <v>503</v>
      </c>
      <c r="B446" s="53" t="str">
        <f>IFERROR(__xludf.DUMMYFUNCTION("""COMPUTED_VALUE"""),"Next Greater Element II")</f>
        <v>Next Greater Element II</v>
      </c>
      <c r="C446" s="6" t="str">
        <f>IFERROR(__xludf.DUMMYFUNCTION("""COMPUTED_VALUE"""),"Medium")</f>
        <v>Medium</v>
      </c>
      <c r="D446" s="6" t="str">
        <f>IFERROR(__xludf.DUMMYFUNCTION("""COMPUTED_VALUE"""),"Stack")</f>
        <v>Stack</v>
      </c>
      <c r="E446" s="6" t="str">
        <f>IFERROR(__xludf.DUMMYFUNCTION("""COMPUTED_VALUE"""),"Apple,Oracle,Yahoo,Bloomberg,Facebook,Amazon,Microsoft,Google")</f>
        <v>Apple,Oracle,Yahoo,Bloomberg,Facebook,Amazon,Microsoft,Google</v>
      </c>
      <c r="F446" s="6" t="str">
        <f>IFERROR(__xludf.DUMMYFUNCTION("""COMPUTED_VALUE"""),"Amazon,Bloomberg,Facebook")</f>
        <v>Amazon,Bloomberg,Facebook</v>
      </c>
      <c r="G446" s="6" t="str">
        <f>IFERROR(__xludf.DUMMYFUNCTION("""COMPUTED_VALUE"""),"Apple,Oracle,Amazon,Bloomberg,Facebook")</f>
        <v>Apple,Oracle,Amazon,Bloomberg,Facebook</v>
      </c>
      <c r="H446" s="6" t="str">
        <f>IFERROR(__xludf.DUMMYFUNCTION("""COMPUTED_VALUE"""),"Microsoft,Google,Apple,Oracle,Amazon,Bloomberg,Facebook")</f>
        <v>Microsoft,Google,Apple,Oracle,Amazon,Bloomberg,Facebook</v>
      </c>
      <c r="I446" s="6">
        <f>IFERROR(__xludf.DUMMYFUNCTION("""COMPUTED_VALUE"""),58.58)</f>
        <v>58.58</v>
      </c>
      <c r="J446" s="6" t="str">
        <f>IFERROR(__xludf.DUMMYFUNCTION("""COMPUTED_VALUE"""),"算法")</f>
        <v>算法</v>
      </c>
    </row>
    <row r="447">
      <c r="A447" s="6">
        <f>IFERROR(__xludf.DUMMYFUNCTION("""COMPUTED_VALUE"""),504.0)</f>
        <v>504</v>
      </c>
      <c r="B447" s="53" t="str">
        <f>IFERROR(__xludf.DUMMYFUNCTION("""COMPUTED_VALUE"""),"Base 7")</f>
        <v>Base 7</v>
      </c>
      <c r="C447" s="6" t="str">
        <f>IFERROR(__xludf.DUMMYFUNCTION("""COMPUTED_VALUE"""),"Easy")</f>
        <v>Easy</v>
      </c>
      <c r="D447" s="6"/>
      <c r="E447" s="6" t="str">
        <f>IFERROR(__xludf.DUMMYFUNCTION("""COMPUTED_VALUE"""),"Garena,Bloomberg,Google")</f>
        <v>Garena,Bloomberg,Google</v>
      </c>
      <c r="F447" s="6" t="str">
        <f>IFERROR(__xludf.DUMMYFUNCTION("""COMPUTED_VALUE"""),"Garena")</f>
        <v>Garena</v>
      </c>
      <c r="G447" s="6" t="str">
        <f>IFERROR(__xludf.DUMMYFUNCTION("""COMPUTED_VALUE"""),"Garena")</f>
        <v>Garena</v>
      </c>
      <c r="H447" s="6" t="str">
        <f>IFERROR(__xludf.DUMMYFUNCTION("""COMPUTED_VALUE"""),"Google,Bloomberg,Garena")</f>
        <v>Google,Bloomberg,Garena</v>
      </c>
      <c r="I447" s="6">
        <f>IFERROR(__xludf.DUMMYFUNCTION("""COMPUTED_VALUE"""),46.42)</f>
        <v>46.42</v>
      </c>
      <c r="J447" s="6" t="str">
        <f>IFERROR(__xludf.DUMMYFUNCTION("""COMPUTED_VALUE"""),"算法")</f>
        <v>算法</v>
      </c>
    </row>
    <row r="448">
      <c r="A448" s="6">
        <f>IFERROR(__xludf.DUMMYFUNCTION("""COMPUTED_VALUE"""),505.0)</f>
        <v>505</v>
      </c>
      <c r="B448" s="53" t="str">
        <f>IFERROR(__xludf.DUMMYFUNCTION("""COMPUTED_VALUE"""),"The Maze II")</f>
        <v>The Maze II</v>
      </c>
      <c r="C448" s="6" t="str">
        <f>IFERROR(__xludf.DUMMYFUNCTION("""COMPUTED_VALUE"""),"Medium")</f>
        <v>Medium</v>
      </c>
      <c r="D448" s="6" t="str">
        <f>IFERROR(__xludf.DUMMYFUNCTION("""COMPUTED_VALUE"""),"Breadth First Search,Depth First Search")</f>
        <v>Breadth First Search,Depth First Search</v>
      </c>
      <c r="E448" s="6" t="str">
        <f>IFERROR(__xludf.DUMMYFUNCTION("""COMPUTED_VALUE"""),"Snapchat,Oracle,Facebook,Amazon,Google")</f>
        <v>Snapchat,Oracle,Facebook,Amazon,Google</v>
      </c>
      <c r="F448" s="6"/>
      <c r="G448" s="6"/>
      <c r="H448" s="6" t="str">
        <f>IFERROR(__xludf.DUMMYFUNCTION("""COMPUTED_VALUE"""),"Amazon,Facebook,Google,Snapchat,Oracle")</f>
        <v>Amazon,Facebook,Google,Snapchat,Oracle</v>
      </c>
      <c r="I448" s="6">
        <f>IFERROR(__xludf.DUMMYFUNCTION("""COMPUTED_VALUE"""),48.62)</f>
        <v>48.62</v>
      </c>
      <c r="J448" s="6" t="str">
        <f>IFERROR(__xludf.DUMMYFUNCTION("""COMPUTED_VALUE"""),"算法")</f>
        <v>算法</v>
      </c>
    </row>
    <row r="449">
      <c r="A449" s="6">
        <f>IFERROR(__xludf.DUMMYFUNCTION("""COMPUTED_VALUE"""),506.0)</f>
        <v>506</v>
      </c>
      <c r="B449" s="53" t="str">
        <f>IFERROR(__xludf.DUMMYFUNCTION("""COMPUTED_VALUE"""),"Relative Ranks")</f>
        <v>Relative Ranks</v>
      </c>
      <c r="C449" s="6" t="str">
        <f>IFERROR(__xludf.DUMMYFUNCTION("""COMPUTED_VALUE"""),"Easy")</f>
        <v>Easy</v>
      </c>
      <c r="D449" s="6"/>
      <c r="E449" s="6" t="str">
        <f>IFERROR(__xludf.DUMMYFUNCTION("""COMPUTED_VALUE"""),"Google")</f>
        <v>Google</v>
      </c>
      <c r="F449" s="6"/>
      <c r="G449" s="6"/>
      <c r="H449" s="6" t="str">
        <f>IFERROR(__xludf.DUMMYFUNCTION("""COMPUTED_VALUE"""),"Google")</f>
        <v>Google</v>
      </c>
      <c r="I449" s="6">
        <f>IFERROR(__xludf.DUMMYFUNCTION("""COMPUTED_VALUE"""),51.38)</f>
        <v>51.38</v>
      </c>
      <c r="J449" s="6" t="str">
        <f>IFERROR(__xludf.DUMMYFUNCTION("""COMPUTED_VALUE"""),"算法")</f>
        <v>算法</v>
      </c>
    </row>
    <row r="450">
      <c r="A450" s="6">
        <f>IFERROR(__xludf.DUMMYFUNCTION("""COMPUTED_VALUE"""),509.0)</f>
        <v>509</v>
      </c>
      <c r="B450" s="53" t="str">
        <f>IFERROR(__xludf.DUMMYFUNCTION("""COMPUTED_VALUE"""),"Fibonacci Number")</f>
        <v>Fibonacci Number</v>
      </c>
      <c r="C450" s="6" t="str">
        <f>IFERROR(__xludf.DUMMYFUNCTION("""COMPUTED_VALUE"""),"Easy")</f>
        <v>Easy</v>
      </c>
      <c r="D450" s="6" t="str">
        <f>IFERROR(__xludf.DUMMYFUNCTION("""COMPUTED_VALUE"""),"Array")</f>
        <v>Array</v>
      </c>
      <c r="E450" s="6" t="str">
        <f>IFERROR(__xludf.DUMMYFUNCTION("""COMPUTED_VALUE"""),"JPMorgan,Oracle,Uber,Bloomberg,Google,Barclays,Mathworks,Apple,Yahoo,SAP,Facebook,Amazon,Microsoft")</f>
        <v>JPMorgan,Oracle,Uber,Bloomberg,Google,Barclays,Mathworks,Apple,Yahoo,SAP,Facebook,Amazon,Microsoft</v>
      </c>
      <c r="F450" s="6" t="str">
        <f>IFERROR(__xludf.DUMMYFUNCTION("""COMPUTED_VALUE"""),"JPMorgan,Amazon,Google,Apple,Facebook,Microsoft")</f>
        <v>JPMorgan,Amazon,Google,Apple,Facebook,Microsoft</v>
      </c>
      <c r="G450" s="6" t="str">
        <f>IFERROR(__xludf.DUMMYFUNCTION("""COMPUTED_VALUE"""),"SAP,JPMorgan,Amazon,Google,Apple,Facebook,Microsoft")</f>
        <v>SAP,JPMorgan,Amazon,Google,Apple,Facebook,Microsoft</v>
      </c>
      <c r="H450" s="6" t="str">
        <f>IFERROR(__xludf.DUMMYFUNCTION("""COMPUTED_VALUE"""),"Barclays,Mathworks,Bloomberg,Uber,Oracle,SAP,JPMorgan,Amazon,Google,Apple,Facebook,Microsoft")</f>
        <v>Barclays,Mathworks,Bloomberg,Uber,Oracle,SAP,JPMorgan,Amazon,Google,Apple,Facebook,Microsoft</v>
      </c>
      <c r="I450" s="6">
        <f>IFERROR(__xludf.DUMMYFUNCTION("""COMPUTED_VALUE"""),67.47)</f>
        <v>67.47</v>
      </c>
      <c r="J450" s="6" t="str">
        <f>IFERROR(__xludf.DUMMYFUNCTION("""COMPUTED_VALUE"""),"算法")</f>
        <v>算法</v>
      </c>
    </row>
    <row r="451">
      <c r="A451" s="6">
        <f>IFERROR(__xludf.DUMMYFUNCTION("""COMPUTED_VALUE"""),510.0)</f>
        <v>510</v>
      </c>
      <c r="B451" s="53" t="str">
        <f>IFERROR(__xludf.DUMMYFUNCTION("""COMPUTED_VALUE"""),"Inorder Successor in BST II")</f>
        <v>Inorder Successor in BST II</v>
      </c>
      <c r="C451" s="6" t="str">
        <f>IFERROR(__xludf.DUMMYFUNCTION("""COMPUTED_VALUE"""),"Medium")</f>
        <v>Medium</v>
      </c>
      <c r="D451" s="6" t="str">
        <f>IFERROR(__xludf.DUMMYFUNCTION("""COMPUTED_VALUE"""),"Tree")</f>
        <v>Tree</v>
      </c>
      <c r="E451" s="6" t="str">
        <f>IFERROR(__xludf.DUMMYFUNCTION("""COMPUTED_VALUE"""),"Oracle,Quip (Salesforce),Bloomberg,Microsoft,Google")</f>
        <v>Oracle,Quip (Salesforce),Bloomberg,Microsoft,Google</v>
      </c>
      <c r="F451" s="6" t="str">
        <f>IFERROR(__xludf.DUMMYFUNCTION("""COMPUTED_VALUE"""),"Microsoft")</f>
        <v>Microsoft</v>
      </c>
      <c r="G451" s="6" t="str">
        <f>IFERROR(__xludf.DUMMYFUNCTION("""COMPUTED_VALUE"""),"Microsoft")</f>
        <v>Microsoft</v>
      </c>
      <c r="H451" s="6" t="str">
        <f>IFERROR(__xludf.DUMMYFUNCTION("""COMPUTED_VALUE"""),"Quip (Salesforce),Google,Oracle,Microsoft")</f>
        <v>Quip (Salesforce),Google,Oracle,Microsoft</v>
      </c>
      <c r="I451" s="6">
        <f>IFERROR(__xludf.DUMMYFUNCTION("""COMPUTED_VALUE"""),60.18)</f>
        <v>60.18</v>
      </c>
      <c r="J451" s="6" t="str">
        <f>IFERROR(__xludf.DUMMYFUNCTION("""COMPUTED_VALUE"""),"算法")</f>
        <v>算法</v>
      </c>
    </row>
    <row r="452">
      <c r="A452" s="6">
        <f>IFERROR(__xludf.DUMMYFUNCTION("""COMPUTED_VALUE"""),514.0)</f>
        <v>514</v>
      </c>
      <c r="B452" s="53" t="str">
        <f>IFERROR(__xludf.DUMMYFUNCTION("""COMPUTED_VALUE"""),"Freedom Trail")</f>
        <v>Freedom Trail</v>
      </c>
      <c r="C452" s="6" t="str">
        <f>IFERROR(__xludf.DUMMYFUNCTION("""COMPUTED_VALUE"""),"Hard")</f>
        <v>Hard</v>
      </c>
      <c r="D452" s="6" t="str">
        <f>IFERROR(__xludf.DUMMYFUNCTION("""COMPUTED_VALUE"""),"Depth First Search,Dynamic Programming,Divide and Conquer")</f>
        <v>Depth First Search,Dynamic Programming,Divide and Conquer</v>
      </c>
      <c r="E452" s="6" t="str">
        <f>IFERROR(__xludf.DUMMYFUNCTION("""COMPUTED_VALUE"""),"DE Shaw,Google")</f>
        <v>DE Shaw,Google</v>
      </c>
      <c r="F452" s="6"/>
      <c r="G452" s="6" t="str">
        <f>IFERROR(__xludf.DUMMYFUNCTION("""COMPUTED_VALUE"""),"DE Shaw")</f>
        <v>DE Shaw</v>
      </c>
      <c r="H452" s="6" t="str">
        <f>IFERROR(__xludf.DUMMYFUNCTION("""COMPUTED_VALUE"""),"Google,DE Shaw")</f>
        <v>Google,DE Shaw</v>
      </c>
      <c r="I452" s="6">
        <f>IFERROR(__xludf.DUMMYFUNCTION("""COMPUTED_VALUE"""),44.95)</f>
        <v>44.95</v>
      </c>
      <c r="J452" s="6" t="str">
        <f>IFERROR(__xludf.DUMMYFUNCTION("""COMPUTED_VALUE"""),"算法")</f>
        <v>算法</v>
      </c>
    </row>
    <row r="453">
      <c r="A453" s="6">
        <f>IFERROR(__xludf.DUMMYFUNCTION("""COMPUTED_VALUE"""),518.0)</f>
        <v>518</v>
      </c>
      <c r="B453" s="53" t="str">
        <f>IFERROR(__xludf.DUMMYFUNCTION("""COMPUTED_VALUE"""),"Coin Change 2")</f>
        <v>Coin Change 2</v>
      </c>
      <c r="C453" s="6" t="str">
        <f>IFERROR(__xludf.DUMMYFUNCTION("""COMPUTED_VALUE"""),"Medium")</f>
        <v>Medium</v>
      </c>
      <c r="D453" s="6"/>
      <c r="E453" s="6" t="str">
        <f>IFERROR(__xludf.DUMMYFUNCTION("""COMPUTED_VALUE"""),"Qualtrics,Alation,ByteDance,Cisco,Adobe,IXL,Walmart Labs,Oracle,Apple,Uber,Yahoo,Bloomberg,Facebook,Amazon,Microsoft,Google")</f>
        <v>Qualtrics,Alation,ByteDance,Cisco,Adobe,IXL,Walmart Labs,Oracle,Apple,Uber,Yahoo,Bloomberg,Facebook,Amazon,Microsoft,Google</v>
      </c>
      <c r="F453" s="6" t="str">
        <f>IFERROR(__xludf.DUMMYFUNCTION("""COMPUTED_VALUE"""),"Amazon,Microsoft,Bloomberg,Adobe,Apple,Uber,Qualtrics")</f>
        <v>Amazon,Microsoft,Bloomberg,Adobe,Apple,Uber,Qualtrics</v>
      </c>
      <c r="G453" s="6" t="str">
        <f>IFERROR(__xludf.DUMMYFUNCTION("""COMPUTED_VALUE"""),"Google,Amazon,Microsoft,Bloomberg,Adobe,Apple,Uber,Qualtrics")</f>
        <v>Google,Amazon,Microsoft,Bloomberg,Adobe,Apple,Uber,Qualtrics</v>
      </c>
      <c r="H453" s="6" t="str">
        <f>IFERROR(__xludf.DUMMYFUNCTION("""COMPUTED_VALUE"""),"Oracle,Cisco,Yahoo,Alation,Walmart Labs,ByteDance,Google,Amazon,Microsoft,Bloomberg,Adobe,Apple,Uber,Qualtrics")</f>
        <v>Oracle,Cisco,Yahoo,Alation,Walmart Labs,ByteDance,Google,Amazon,Microsoft,Bloomberg,Adobe,Apple,Uber,Qualtrics</v>
      </c>
      <c r="I453" s="6">
        <f>IFERROR(__xludf.DUMMYFUNCTION("""COMPUTED_VALUE"""),51.91)</f>
        <v>51.91</v>
      </c>
      <c r="J453" s="6" t="str">
        <f>IFERROR(__xludf.DUMMYFUNCTION("""COMPUTED_VALUE"""),"算法")</f>
        <v>算法</v>
      </c>
    </row>
    <row r="454">
      <c r="A454" s="6">
        <f>IFERROR(__xludf.DUMMYFUNCTION("""COMPUTED_VALUE"""),519.0)</f>
        <v>519</v>
      </c>
      <c r="B454" s="53" t="str">
        <f>IFERROR(__xludf.DUMMYFUNCTION("""COMPUTED_VALUE"""),"Random Flip Matrix")</f>
        <v>Random Flip Matrix</v>
      </c>
      <c r="C454" s="6" t="str">
        <f>IFERROR(__xludf.DUMMYFUNCTION("""COMPUTED_VALUE"""),"Medium")</f>
        <v>Medium</v>
      </c>
      <c r="D454" s="6" t="str">
        <f>IFERROR(__xludf.DUMMYFUNCTION("""COMPUTED_VALUE"""),"Random")</f>
        <v>Random</v>
      </c>
      <c r="E454" s="6" t="str">
        <f>IFERROR(__xludf.DUMMYFUNCTION("""COMPUTED_VALUE"""),"Google")</f>
        <v>Google</v>
      </c>
      <c r="F454" s="6"/>
      <c r="G454" s="6"/>
      <c r="H454" s="6" t="str">
        <f>IFERROR(__xludf.DUMMYFUNCTION("""COMPUTED_VALUE"""),"Google")</f>
        <v>Google</v>
      </c>
      <c r="I454" s="6">
        <f>IFERROR(__xludf.DUMMYFUNCTION("""COMPUTED_VALUE"""),37.8)</f>
        <v>37.8</v>
      </c>
      <c r="J454" s="6" t="str">
        <f>IFERROR(__xludf.DUMMYFUNCTION("""COMPUTED_VALUE"""),"算法")</f>
        <v>算法</v>
      </c>
    </row>
    <row r="455">
      <c r="A455" s="6">
        <f>IFERROR(__xludf.DUMMYFUNCTION("""COMPUTED_VALUE"""),520.0)</f>
        <v>520</v>
      </c>
      <c r="B455" s="53" t="str">
        <f>IFERROR(__xludf.DUMMYFUNCTION("""COMPUTED_VALUE"""),"Detect Capital")</f>
        <v>Detect Capital</v>
      </c>
      <c r="C455" s="6" t="str">
        <f>IFERROR(__xludf.DUMMYFUNCTION("""COMPUTED_VALUE"""),"Easy")</f>
        <v>Easy</v>
      </c>
      <c r="D455" s="6" t="str">
        <f>IFERROR(__xludf.DUMMYFUNCTION("""COMPUTED_VALUE"""),"String")</f>
        <v>String</v>
      </c>
      <c r="E455" s="6" t="str">
        <f>IFERROR(__xludf.DUMMYFUNCTION("""COMPUTED_VALUE"""),"Google")</f>
        <v>Google</v>
      </c>
      <c r="F455" s="6"/>
      <c r="G455" s="6"/>
      <c r="H455" s="6" t="str">
        <f>IFERROR(__xludf.DUMMYFUNCTION("""COMPUTED_VALUE"""),"Google")</f>
        <v>Google</v>
      </c>
      <c r="I455" s="6">
        <f>IFERROR(__xludf.DUMMYFUNCTION("""COMPUTED_VALUE"""),53.99)</f>
        <v>53.99</v>
      </c>
      <c r="J455" s="6" t="str">
        <f>IFERROR(__xludf.DUMMYFUNCTION("""COMPUTED_VALUE"""),"算法")</f>
        <v>算法</v>
      </c>
    </row>
    <row r="456">
      <c r="A456" s="6">
        <f>IFERROR(__xludf.DUMMYFUNCTION("""COMPUTED_VALUE"""),521.0)</f>
        <v>521</v>
      </c>
      <c r="B456" s="53" t="str">
        <f>IFERROR(__xludf.DUMMYFUNCTION("""COMPUTED_VALUE"""),"Longest Uncommon Subsequence I")</f>
        <v>Longest Uncommon Subsequence I</v>
      </c>
      <c r="C456" s="6" t="str">
        <f>IFERROR(__xludf.DUMMYFUNCTION("""COMPUTED_VALUE"""),"Easy")</f>
        <v>Easy</v>
      </c>
      <c r="D456" s="6" t="str">
        <f>IFERROR(__xludf.DUMMYFUNCTION("""COMPUTED_VALUE"""),"Brainteaser,String")</f>
        <v>Brainteaser,String</v>
      </c>
      <c r="E456" s="6" t="str">
        <f>IFERROR(__xludf.DUMMYFUNCTION("""COMPUTED_VALUE"""),"Google")</f>
        <v>Google</v>
      </c>
      <c r="F456" s="6"/>
      <c r="G456" s="6"/>
      <c r="H456" s="6" t="str">
        <f>IFERROR(__xludf.DUMMYFUNCTION("""COMPUTED_VALUE"""),"Google")</f>
        <v>Google</v>
      </c>
      <c r="I456" s="6">
        <f>IFERROR(__xludf.DUMMYFUNCTION("""COMPUTED_VALUE"""),58.88)</f>
        <v>58.88</v>
      </c>
      <c r="J456" s="6" t="str">
        <f>IFERROR(__xludf.DUMMYFUNCTION("""COMPUTED_VALUE"""),"算法")</f>
        <v>算法</v>
      </c>
    </row>
    <row r="457">
      <c r="A457" s="6">
        <f>IFERROR(__xludf.DUMMYFUNCTION("""COMPUTED_VALUE"""),522.0)</f>
        <v>522</v>
      </c>
      <c r="B457" s="53" t="str">
        <f>IFERROR(__xludf.DUMMYFUNCTION("""COMPUTED_VALUE"""),"Longest Uncommon Subsequence II")</f>
        <v>Longest Uncommon Subsequence II</v>
      </c>
      <c r="C457" s="6" t="str">
        <f>IFERROR(__xludf.DUMMYFUNCTION("""COMPUTED_VALUE"""),"Medium")</f>
        <v>Medium</v>
      </c>
      <c r="D457" s="6" t="str">
        <f>IFERROR(__xludf.DUMMYFUNCTION("""COMPUTED_VALUE"""),"String")</f>
        <v>String</v>
      </c>
      <c r="E457" s="6" t="str">
        <f>IFERROR(__xludf.DUMMYFUNCTION("""COMPUTED_VALUE"""),"Google")</f>
        <v>Google</v>
      </c>
      <c r="F457" s="6"/>
      <c r="G457" s="6"/>
      <c r="H457" s="6" t="str">
        <f>IFERROR(__xludf.DUMMYFUNCTION("""COMPUTED_VALUE"""),"Google")</f>
        <v>Google</v>
      </c>
      <c r="I457" s="6">
        <f>IFERROR(__xludf.DUMMYFUNCTION("""COMPUTED_VALUE"""),34.23)</f>
        <v>34.23</v>
      </c>
      <c r="J457" s="6" t="str">
        <f>IFERROR(__xludf.DUMMYFUNCTION("""COMPUTED_VALUE"""),"算法")</f>
        <v>算法</v>
      </c>
    </row>
    <row r="458">
      <c r="A458" s="6">
        <f>IFERROR(__xludf.DUMMYFUNCTION("""COMPUTED_VALUE"""),523.0)</f>
        <v>523</v>
      </c>
      <c r="B458" s="53" t="str">
        <f>IFERROR(__xludf.DUMMYFUNCTION("""COMPUTED_VALUE"""),"Continuous Subarray Sum")</f>
        <v>Continuous Subarray Sum</v>
      </c>
      <c r="C458" s="6" t="str">
        <f>IFERROR(__xludf.DUMMYFUNCTION("""COMPUTED_VALUE"""),"Medium")</f>
        <v>Medium</v>
      </c>
      <c r="D458" s="6" t="str">
        <f>IFERROR(__xludf.DUMMYFUNCTION("""COMPUTED_VALUE"""),"Dynamic Programming,Math")</f>
        <v>Dynamic Programming,Math</v>
      </c>
      <c r="E458" s="6" t="str">
        <f>IFERROR(__xludf.DUMMYFUNCTION("""COMPUTED_VALUE"""),"ByteDance,Samsung,Facebook,Amazon,Microsoft,Google")</f>
        <v>ByteDance,Samsung,Facebook,Amazon,Microsoft,Google</v>
      </c>
      <c r="F458" s="6" t="str">
        <f>IFERROR(__xludf.DUMMYFUNCTION("""COMPUTED_VALUE"""),"Facebook,Amazon")</f>
        <v>Facebook,Amazon</v>
      </c>
      <c r="G458" s="6" t="str">
        <f>IFERROR(__xludf.DUMMYFUNCTION("""COMPUTED_VALUE"""),"Facebook,Amazon")</f>
        <v>Facebook,Amazon</v>
      </c>
      <c r="H458" s="6" t="str">
        <f>IFERROR(__xludf.DUMMYFUNCTION("""COMPUTED_VALUE"""),"Microsoft,Google,ByteDance,Facebook,Amazon")</f>
        <v>Microsoft,Google,ByteDance,Facebook,Amazon</v>
      </c>
      <c r="I458" s="6">
        <f>IFERROR(__xludf.DUMMYFUNCTION("""COMPUTED_VALUE"""),24.72)</f>
        <v>24.72</v>
      </c>
      <c r="J458" s="6" t="str">
        <f>IFERROR(__xludf.DUMMYFUNCTION("""COMPUTED_VALUE"""),"算法")</f>
        <v>算法</v>
      </c>
    </row>
    <row r="459">
      <c r="A459" s="6">
        <f>IFERROR(__xludf.DUMMYFUNCTION("""COMPUTED_VALUE"""),524.0)</f>
        <v>524</v>
      </c>
      <c r="B459" s="53" t="str">
        <f>IFERROR(__xludf.DUMMYFUNCTION("""COMPUTED_VALUE"""),"Longest Word in Dictionary through Deleting")</f>
        <v>Longest Word in Dictionary through Deleting</v>
      </c>
      <c r="C459" s="6" t="str">
        <f>IFERROR(__xludf.DUMMYFUNCTION("""COMPUTED_VALUE"""),"Medium")</f>
        <v>Medium</v>
      </c>
      <c r="D459" s="6" t="str">
        <f>IFERROR(__xludf.DUMMYFUNCTION("""COMPUTED_VALUE"""),"Sort,Two Pointers")</f>
        <v>Sort,Two Pointers</v>
      </c>
      <c r="E459" s="6" t="str">
        <f>IFERROR(__xludf.DUMMYFUNCTION("""COMPUTED_VALUE"""),"Goldman Sachs,Google")</f>
        <v>Goldman Sachs,Google</v>
      </c>
      <c r="F459" s="6" t="str">
        <f>IFERROR(__xludf.DUMMYFUNCTION("""COMPUTED_VALUE"""),"Goldman Sachs")</f>
        <v>Goldman Sachs</v>
      </c>
      <c r="G459" s="6" t="str">
        <f>IFERROR(__xludf.DUMMYFUNCTION("""COMPUTED_VALUE"""),"Google,Goldman Sachs")</f>
        <v>Google,Goldman Sachs</v>
      </c>
      <c r="H459" s="6" t="str">
        <f>IFERROR(__xludf.DUMMYFUNCTION("""COMPUTED_VALUE"""),"Google,Goldman Sachs")</f>
        <v>Google,Goldman Sachs</v>
      </c>
      <c r="I459" s="6">
        <f>IFERROR(__xludf.DUMMYFUNCTION("""COMPUTED_VALUE"""),50.06)</f>
        <v>50.06</v>
      </c>
      <c r="J459" s="6" t="str">
        <f>IFERROR(__xludf.DUMMYFUNCTION("""COMPUTED_VALUE"""),"算法")</f>
        <v>算法</v>
      </c>
    </row>
    <row r="460">
      <c r="A460" s="6">
        <f>IFERROR(__xludf.DUMMYFUNCTION("""COMPUTED_VALUE"""),525.0)</f>
        <v>525</v>
      </c>
      <c r="B460" s="53" t="str">
        <f>IFERROR(__xludf.DUMMYFUNCTION("""COMPUTED_VALUE"""),"Contiguous Array")</f>
        <v>Contiguous Array</v>
      </c>
      <c r="C460" s="6" t="str">
        <f>IFERROR(__xludf.DUMMYFUNCTION("""COMPUTED_VALUE"""),"Medium")</f>
        <v>Medium</v>
      </c>
      <c r="D460" s="6" t="str">
        <f>IFERROR(__xludf.DUMMYFUNCTION("""COMPUTED_VALUE"""),"Hash Table")</f>
        <v>Hash Table</v>
      </c>
      <c r="E460" s="6" t="str">
        <f>IFERROR(__xludf.DUMMYFUNCTION("""COMPUTED_VALUE"""),"Robinhood,VMware,Quora,Apple,Adobe,Facebook,Amazon,Microsoft,Google")</f>
        <v>Robinhood,VMware,Quora,Apple,Adobe,Facebook,Amazon,Microsoft,Google</v>
      </c>
      <c r="F460" s="6" t="str">
        <f>IFERROR(__xludf.DUMMYFUNCTION("""COMPUTED_VALUE"""),"Facebook,Amazon")</f>
        <v>Facebook,Amazon</v>
      </c>
      <c r="G460" s="6" t="str">
        <f>IFERROR(__xludf.DUMMYFUNCTION("""COMPUTED_VALUE"""),"Google,Adobe,Apple,Facebook,Amazon")</f>
        <v>Google,Adobe,Apple,Facebook,Amazon</v>
      </c>
      <c r="H460" s="6" t="str">
        <f>IFERROR(__xludf.DUMMYFUNCTION("""COMPUTED_VALUE"""),"Quora,Robinhood,Google,Adobe,Apple,Facebook,Amazon")</f>
        <v>Quora,Robinhood,Google,Adobe,Apple,Facebook,Amazon</v>
      </c>
      <c r="I460" s="6">
        <f>IFERROR(__xludf.DUMMYFUNCTION("""COMPUTED_VALUE"""),43.53)</f>
        <v>43.53</v>
      </c>
      <c r="J460" s="6" t="str">
        <f>IFERROR(__xludf.DUMMYFUNCTION("""COMPUTED_VALUE"""),"算法")</f>
        <v>算法</v>
      </c>
    </row>
    <row r="461">
      <c r="A461" s="6">
        <f>IFERROR(__xludf.DUMMYFUNCTION("""COMPUTED_VALUE"""),526.0)</f>
        <v>526</v>
      </c>
      <c r="B461" s="53" t="str">
        <f>IFERROR(__xludf.DUMMYFUNCTION("""COMPUTED_VALUE"""),"Beautiful Arrangement")</f>
        <v>Beautiful Arrangement</v>
      </c>
      <c r="C461" s="6" t="str">
        <f>IFERROR(__xludf.DUMMYFUNCTION("""COMPUTED_VALUE"""),"Medium")</f>
        <v>Medium</v>
      </c>
      <c r="D461" s="6" t="str">
        <f>IFERROR(__xludf.DUMMYFUNCTION("""COMPUTED_VALUE"""),"Depth First Search,Backtracking")</f>
        <v>Depth First Search,Backtracking</v>
      </c>
      <c r="E461" s="6" t="str">
        <f>IFERROR(__xludf.DUMMYFUNCTION("""COMPUTED_VALUE"""),"C3 IoT,Cisco,Apple,Adobe,Mathworks,Google")</f>
        <v>C3 IoT,Cisco,Apple,Adobe,Mathworks,Google</v>
      </c>
      <c r="F461" s="6" t="str">
        <f>IFERROR(__xludf.DUMMYFUNCTION("""COMPUTED_VALUE"""),"Mathworks,C3 IoT,Cisco")</f>
        <v>Mathworks,C3 IoT,Cisco</v>
      </c>
      <c r="G461" s="6" t="str">
        <f>IFERROR(__xludf.DUMMYFUNCTION("""COMPUTED_VALUE"""),"Mathworks,C3 IoT,Cisco")</f>
        <v>Mathworks,C3 IoT,Cisco</v>
      </c>
      <c r="H461" s="6" t="str">
        <f>IFERROR(__xludf.DUMMYFUNCTION("""COMPUTED_VALUE"""),"Adobe,Apple,Google,Mathworks,C3 IoT,Cisco")</f>
        <v>Adobe,Apple,Google,Mathworks,C3 IoT,Cisco</v>
      </c>
      <c r="I461" s="6">
        <f>IFERROR(__xludf.DUMMYFUNCTION("""COMPUTED_VALUE"""),61.96)</f>
        <v>61.96</v>
      </c>
      <c r="J461" s="6" t="str">
        <f>IFERROR(__xludf.DUMMYFUNCTION("""COMPUTED_VALUE"""),"算法")</f>
        <v>算法</v>
      </c>
    </row>
    <row r="462">
      <c r="A462" s="6">
        <f>IFERROR(__xludf.DUMMYFUNCTION("""COMPUTED_VALUE"""),527.0)</f>
        <v>527</v>
      </c>
      <c r="B462" s="53" t="str">
        <f>IFERROR(__xludf.DUMMYFUNCTION("""COMPUTED_VALUE"""),"Word Abbreviation")</f>
        <v>Word Abbreviation</v>
      </c>
      <c r="C462" s="6" t="str">
        <f>IFERROR(__xludf.DUMMYFUNCTION("""COMPUTED_VALUE"""),"Hard")</f>
        <v>Hard</v>
      </c>
      <c r="D462" s="6" t="str">
        <f>IFERROR(__xludf.DUMMYFUNCTION("""COMPUTED_VALUE"""),"Sort,String")</f>
        <v>Sort,String</v>
      </c>
      <c r="E462" s="6" t="str">
        <f>IFERROR(__xludf.DUMMYFUNCTION("""COMPUTED_VALUE"""),"Grab,Snapchat,Uber,Google")</f>
        <v>Grab,Snapchat,Uber,Google</v>
      </c>
      <c r="F462" s="6"/>
      <c r="G462" s="6" t="str">
        <f>IFERROR(__xludf.DUMMYFUNCTION("""COMPUTED_VALUE"""),"Google")</f>
        <v>Google</v>
      </c>
      <c r="H462" s="6" t="str">
        <f>IFERROR(__xludf.DUMMYFUNCTION("""COMPUTED_VALUE"""),"Snapchat,Grab,Uber,Google")</f>
        <v>Snapchat,Grab,Uber,Google</v>
      </c>
      <c r="I462" s="6">
        <f>IFERROR(__xludf.DUMMYFUNCTION("""COMPUTED_VALUE"""),56.28)</f>
        <v>56.28</v>
      </c>
      <c r="J462" s="6" t="str">
        <f>IFERROR(__xludf.DUMMYFUNCTION("""COMPUTED_VALUE"""),"算法")</f>
        <v>算法</v>
      </c>
    </row>
    <row r="463">
      <c r="A463" s="6">
        <f>IFERROR(__xludf.DUMMYFUNCTION("""COMPUTED_VALUE"""),528.0)</f>
        <v>528</v>
      </c>
      <c r="B463" s="53" t="str">
        <f>IFERROR(__xludf.DUMMYFUNCTION("""COMPUTED_VALUE"""),"Random Pick with Weight")</f>
        <v>Random Pick with Weight</v>
      </c>
      <c r="C463" s="6" t="str">
        <f>IFERROR(__xludf.DUMMYFUNCTION("""COMPUTED_VALUE"""),"Medium")</f>
        <v>Medium</v>
      </c>
      <c r="D463" s="6" t="str">
        <f>IFERROR(__xludf.DUMMYFUNCTION("""COMPUTED_VALUE"""),"Random,Binary Search")</f>
        <v>Random,Binary Search</v>
      </c>
      <c r="E463" s="6" t="str">
        <f>IFERROR(__xludf.DUMMYFUNCTION("""COMPUTED_VALUE"""),"Snapchat,Atlassian,Roblox,ByteDance,Zillow,Expedia,Bloomberg,TripAdvisor,DoorDash,Rubrik,Two Sigma,Twitter,Wish,Yelp,Apple,Uber,Facebook,Amazon,LinkedIn,Microsoft,Google")</f>
        <v>Snapchat,Atlassian,Roblox,ByteDance,Zillow,Expedia,Bloomberg,TripAdvisor,DoorDash,Rubrik,Two Sigma,Twitter,Wish,Yelp,Apple,Uber,Facebook,Amazon,LinkedIn,Microsoft,Google</v>
      </c>
      <c r="F463" s="6" t="str">
        <f>IFERROR(__xludf.DUMMYFUNCTION("""COMPUTED_VALUE"""),"Facebook,Google,ByteDance,Apple,Roblox,Bloomberg,LinkedIn,Amazon,Expedia,Yelp,Snapchat")</f>
        <v>Facebook,Google,ByteDance,Apple,Roblox,Bloomberg,LinkedIn,Amazon,Expedia,Yelp,Snapchat</v>
      </c>
      <c r="G463" s="6" t="str">
        <f>IFERROR(__xludf.DUMMYFUNCTION("""COMPUTED_VALUE"""),"Microsoft,Zillow,Wish,Facebook,Google,ByteDance,Apple,Roblox,Bloomberg,LinkedIn,Amazon,Expedia,Yelp,Snapchat")</f>
        <v>Microsoft,Zillow,Wish,Facebook,Google,ByteDance,Apple,Roblox,Bloomberg,LinkedIn,Amazon,Expedia,Yelp,Snapchat</v>
      </c>
      <c r="H463" s="6" t="str">
        <f>IFERROR(__xludf.DUMMYFUNCTION("""COMPUTED_VALUE"""),"Uber,Two Sigma,Twitter,Atlassian,Rubrik,Microsoft,Zillow,Wish,Facebook,Google,ByteDance,Apple,Roblox,Bloomberg,LinkedIn,Amazon,Expedia,Yelp,Snapchat")</f>
        <v>Uber,Two Sigma,Twitter,Atlassian,Rubrik,Microsoft,Zillow,Wish,Facebook,Google,ByteDance,Apple,Roblox,Bloomberg,LinkedIn,Amazon,Expedia,Yelp,Snapchat</v>
      </c>
      <c r="I463" s="6">
        <f>IFERROR(__xludf.DUMMYFUNCTION("""COMPUTED_VALUE"""),44.67)</f>
        <v>44.67</v>
      </c>
      <c r="J463" s="6" t="str">
        <f>IFERROR(__xludf.DUMMYFUNCTION("""COMPUTED_VALUE"""),"算法")</f>
        <v>算法</v>
      </c>
    </row>
    <row r="464">
      <c r="A464" s="6">
        <f>IFERROR(__xludf.DUMMYFUNCTION("""COMPUTED_VALUE"""),529.0)</f>
        <v>529</v>
      </c>
      <c r="B464" s="53" t="str">
        <f>IFERROR(__xludf.DUMMYFUNCTION("""COMPUTED_VALUE"""),"Minesweeper")</f>
        <v>Minesweeper</v>
      </c>
      <c r="C464" s="6" t="str">
        <f>IFERROR(__xludf.DUMMYFUNCTION("""COMPUTED_VALUE"""),"Medium")</f>
        <v>Medium</v>
      </c>
      <c r="D464" s="6" t="str">
        <f>IFERROR(__xludf.DUMMYFUNCTION("""COMPUTED_VALUE"""),"Breadth First Search,Depth First Search")</f>
        <v>Breadth First Search,Depth First Search</v>
      </c>
      <c r="E464" s="6" t="str">
        <f>IFERROR(__xludf.DUMMYFUNCTION("""COMPUTED_VALUE"""),"Zillow,LiveRamp,Cruise Automation,Oracle,Uber,Bloomberg,Facebook,Amazon,Microsoft,Google")</f>
        <v>Zillow,LiveRamp,Cruise Automation,Oracle,Uber,Bloomberg,Facebook,Amazon,Microsoft,Google</v>
      </c>
      <c r="F464" s="6" t="str">
        <f>IFERROR(__xludf.DUMMYFUNCTION("""COMPUTED_VALUE"""),"Uber,Amazon,Zillow,Google,Facebook")</f>
        <v>Uber,Amazon,Zillow,Google,Facebook</v>
      </c>
      <c r="G464" s="6" t="str">
        <f>IFERROR(__xludf.DUMMYFUNCTION("""COMPUTED_VALUE"""),"Microsoft,Bloomberg,Uber,Amazon,Zillow,Google,Facebook")</f>
        <v>Microsoft,Bloomberg,Uber,Amazon,Zillow,Google,Facebook</v>
      </c>
      <c r="H464" s="6" t="str">
        <f>IFERROR(__xludf.DUMMYFUNCTION("""COMPUTED_VALUE"""),"LiveRamp,Cruise Automation,Microsoft,Bloomberg,Uber,Amazon,Zillow,Google,Facebook")</f>
        <v>LiveRamp,Cruise Automation,Microsoft,Bloomberg,Uber,Amazon,Zillow,Google,Facebook</v>
      </c>
      <c r="I464" s="6">
        <f>IFERROR(__xludf.DUMMYFUNCTION("""COMPUTED_VALUE"""),61.3)</f>
        <v>61.3</v>
      </c>
      <c r="J464" s="6" t="str">
        <f>IFERROR(__xludf.DUMMYFUNCTION("""COMPUTED_VALUE"""),"算法")</f>
        <v>算法</v>
      </c>
    </row>
    <row r="465">
      <c r="A465" s="6">
        <f>IFERROR(__xludf.DUMMYFUNCTION("""COMPUTED_VALUE"""),530.0)</f>
        <v>530</v>
      </c>
      <c r="B465" s="53" t="str">
        <f>IFERROR(__xludf.DUMMYFUNCTION("""COMPUTED_VALUE"""),"Minimum Absolute Difference in BST")</f>
        <v>Minimum Absolute Difference in BST</v>
      </c>
      <c r="C465" s="6" t="str">
        <f>IFERROR(__xludf.DUMMYFUNCTION("""COMPUTED_VALUE"""),"Easy")</f>
        <v>Easy</v>
      </c>
      <c r="D465" s="6" t="str">
        <f>IFERROR(__xludf.DUMMYFUNCTION("""COMPUTED_VALUE"""),"Tree")</f>
        <v>Tree</v>
      </c>
      <c r="E465" s="6" t="str">
        <f>IFERROR(__xludf.DUMMYFUNCTION("""COMPUTED_VALUE"""),"Apple,Google")</f>
        <v>Apple,Google</v>
      </c>
      <c r="F465" s="6"/>
      <c r="G465" s="6"/>
      <c r="H465" s="6" t="str">
        <f>IFERROR(__xludf.DUMMYFUNCTION("""COMPUTED_VALUE"""),"Google")</f>
        <v>Google</v>
      </c>
      <c r="I465" s="6">
        <f>IFERROR(__xludf.DUMMYFUNCTION("""COMPUTED_VALUE"""),54.95)</f>
        <v>54.95</v>
      </c>
      <c r="J465" s="6" t="str">
        <f>IFERROR(__xludf.DUMMYFUNCTION("""COMPUTED_VALUE"""),"算法")</f>
        <v>算法</v>
      </c>
    </row>
    <row r="466">
      <c r="A466" s="6">
        <f>IFERROR(__xludf.DUMMYFUNCTION("""COMPUTED_VALUE"""),531.0)</f>
        <v>531</v>
      </c>
      <c r="B466" s="53" t="str">
        <f>IFERROR(__xludf.DUMMYFUNCTION("""COMPUTED_VALUE"""),"Lonely Pixel I")</f>
        <v>Lonely Pixel I</v>
      </c>
      <c r="C466" s="6" t="str">
        <f>IFERROR(__xludf.DUMMYFUNCTION("""COMPUTED_VALUE"""),"Medium")</f>
        <v>Medium</v>
      </c>
      <c r="D466" s="6" t="str">
        <f>IFERROR(__xludf.DUMMYFUNCTION("""COMPUTED_VALUE"""),"Depth First Search,Array")</f>
        <v>Depth First Search,Array</v>
      </c>
      <c r="E466" s="6" t="str">
        <f>IFERROR(__xludf.DUMMYFUNCTION("""COMPUTED_VALUE"""),"Google")</f>
        <v>Google</v>
      </c>
      <c r="F466" s="6"/>
      <c r="G466" s="6"/>
      <c r="H466" s="6" t="str">
        <f>IFERROR(__xludf.DUMMYFUNCTION("""COMPUTED_VALUE"""),"Google")</f>
        <v>Google</v>
      </c>
      <c r="I466" s="6">
        <f>IFERROR(__xludf.DUMMYFUNCTION("""COMPUTED_VALUE"""),59.59)</f>
        <v>59.59</v>
      </c>
      <c r="J466" s="6" t="str">
        <f>IFERROR(__xludf.DUMMYFUNCTION("""COMPUTED_VALUE"""),"算法")</f>
        <v>算法</v>
      </c>
    </row>
    <row r="467">
      <c r="A467" s="6">
        <f>IFERROR(__xludf.DUMMYFUNCTION("""COMPUTED_VALUE"""),533.0)</f>
        <v>533</v>
      </c>
      <c r="B467" s="53" t="str">
        <f>IFERROR(__xludf.DUMMYFUNCTION("""COMPUTED_VALUE"""),"Lonely Pixel II")</f>
        <v>Lonely Pixel II</v>
      </c>
      <c r="C467" s="6" t="str">
        <f>IFERROR(__xludf.DUMMYFUNCTION("""COMPUTED_VALUE"""),"Medium")</f>
        <v>Medium</v>
      </c>
      <c r="D467" s="6" t="str">
        <f>IFERROR(__xludf.DUMMYFUNCTION("""COMPUTED_VALUE"""),"Depth First Search,Array")</f>
        <v>Depth First Search,Array</v>
      </c>
      <c r="E467" s="6" t="str">
        <f>IFERROR(__xludf.DUMMYFUNCTION("""COMPUTED_VALUE"""),"Google")</f>
        <v>Google</v>
      </c>
      <c r="F467" s="6"/>
      <c r="G467" s="6"/>
      <c r="H467" s="6" t="str">
        <f>IFERROR(__xludf.DUMMYFUNCTION("""COMPUTED_VALUE"""),"Google")</f>
        <v>Google</v>
      </c>
      <c r="I467" s="6">
        <f>IFERROR(__xludf.DUMMYFUNCTION("""COMPUTED_VALUE"""),48.18)</f>
        <v>48.18</v>
      </c>
      <c r="J467" s="6" t="str">
        <f>IFERROR(__xludf.DUMMYFUNCTION("""COMPUTED_VALUE"""),"算法")</f>
        <v>算法</v>
      </c>
    </row>
    <row r="468">
      <c r="A468" s="6">
        <f>IFERROR(__xludf.DUMMYFUNCTION("""COMPUTED_VALUE"""),535.0)</f>
        <v>535</v>
      </c>
      <c r="B468" s="53" t="str">
        <f>IFERROR(__xludf.DUMMYFUNCTION("""COMPUTED_VALUE"""),"Encode and Decode TinyURL")</f>
        <v>Encode and Decode TinyURL</v>
      </c>
      <c r="C468" s="6" t="str">
        <f>IFERROR(__xludf.DUMMYFUNCTION("""COMPUTED_VALUE"""),"Medium")</f>
        <v>Medium</v>
      </c>
      <c r="D468" s="6" t="str">
        <f>IFERROR(__xludf.DUMMYFUNCTION("""COMPUTED_VALUE"""),"Math,Hash Table")</f>
        <v>Math,Hash Table</v>
      </c>
      <c r="E468" s="6" t="str">
        <f>IFERROR(__xludf.DUMMYFUNCTION("""COMPUTED_VALUE"""),"Oracle,Uber,Bloomberg,Adobe,Facebook,Amazon,Microsoft,Google")</f>
        <v>Oracle,Uber,Bloomberg,Adobe,Facebook,Amazon,Microsoft,Google</v>
      </c>
      <c r="F468" s="6" t="str">
        <f>IFERROR(__xludf.DUMMYFUNCTION("""COMPUTED_VALUE"""),"Microsoft,Amazon,Google")</f>
        <v>Microsoft,Amazon,Google</v>
      </c>
      <c r="G468" s="6" t="str">
        <f>IFERROR(__xludf.DUMMYFUNCTION("""COMPUTED_VALUE"""),"Bloomberg,Microsoft,Amazon,Google")</f>
        <v>Bloomberg,Microsoft,Amazon,Google</v>
      </c>
      <c r="H468" s="6" t="str">
        <f>IFERROR(__xludf.DUMMYFUNCTION("""COMPUTED_VALUE"""),"Oracle,Facebook,Uber,Bloomberg,Microsoft,Amazon,Google")</f>
        <v>Oracle,Facebook,Uber,Bloomberg,Microsoft,Amazon,Google</v>
      </c>
      <c r="I468" s="6">
        <f>IFERROR(__xludf.DUMMYFUNCTION("""COMPUTED_VALUE"""),82.26)</f>
        <v>82.26</v>
      </c>
      <c r="J468" s="6" t="str">
        <f>IFERROR(__xludf.DUMMYFUNCTION("""COMPUTED_VALUE"""),"算法")</f>
        <v>算法</v>
      </c>
    </row>
    <row r="469">
      <c r="A469" s="6">
        <f>IFERROR(__xludf.DUMMYFUNCTION("""COMPUTED_VALUE"""),540.0)</f>
        <v>540</v>
      </c>
      <c r="B469" s="53" t="str">
        <f>IFERROR(__xludf.DUMMYFUNCTION("""COMPUTED_VALUE"""),"Single Element in a Sorted Array")</f>
        <v>Single Element in a Sorted Array</v>
      </c>
      <c r="C469" s="6" t="str">
        <f>IFERROR(__xludf.DUMMYFUNCTION("""COMPUTED_VALUE"""),"Medium")</f>
        <v>Medium</v>
      </c>
      <c r="D469" s="6" t="str">
        <f>IFERROR(__xludf.DUMMYFUNCTION("""COMPUTED_VALUE"""),"Binary Search")</f>
        <v>Binary Search</v>
      </c>
      <c r="E469" s="6" t="str">
        <f>IFERROR(__xludf.DUMMYFUNCTION("""COMPUTED_VALUE"""),"Twitter,Oracle,Bloomberg,Atlassian,Apple,Facebook,Amazon,Microsoft,Google")</f>
        <v>Twitter,Oracle,Bloomberg,Atlassian,Apple,Facebook,Amazon,Microsoft,Google</v>
      </c>
      <c r="F469" s="6" t="str">
        <f>IFERROR(__xludf.DUMMYFUNCTION("""COMPUTED_VALUE"""),"Amazon,Facebook,Twitter,Apple")</f>
        <v>Amazon,Facebook,Twitter,Apple</v>
      </c>
      <c r="G469" s="6" t="str">
        <f>IFERROR(__xludf.DUMMYFUNCTION("""COMPUTED_VALUE"""),"Microsoft,Google,Bloomberg,Atlassian,Oracle,Amazon,Facebook,Twitter,Apple")</f>
        <v>Microsoft,Google,Bloomberg,Atlassian,Oracle,Amazon,Facebook,Twitter,Apple</v>
      </c>
      <c r="H469" s="6" t="str">
        <f>IFERROR(__xludf.DUMMYFUNCTION("""COMPUTED_VALUE"""),"Microsoft,Google,Bloomberg,Atlassian,Oracle,Amazon,Facebook,Twitter,Apple")</f>
        <v>Microsoft,Google,Bloomberg,Atlassian,Oracle,Amazon,Facebook,Twitter,Apple</v>
      </c>
      <c r="I469" s="6">
        <f>IFERROR(__xludf.DUMMYFUNCTION("""COMPUTED_VALUE"""),57.93)</f>
        <v>57.93</v>
      </c>
      <c r="J469" s="6" t="str">
        <f>IFERROR(__xludf.DUMMYFUNCTION("""COMPUTED_VALUE"""),"算法")</f>
        <v>算法</v>
      </c>
    </row>
    <row r="470">
      <c r="A470" s="6">
        <f>IFERROR(__xludf.DUMMYFUNCTION("""COMPUTED_VALUE"""),541.0)</f>
        <v>541</v>
      </c>
      <c r="B470" s="53" t="str">
        <f>IFERROR(__xludf.DUMMYFUNCTION("""COMPUTED_VALUE"""),"Reverse String II")</f>
        <v>Reverse String II</v>
      </c>
      <c r="C470" s="6" t="str">
        <f>IFERROR(__xludf.DUMMYFUNCTION("""COMPUTED_VALUE"""),"Easy")</f>
        <v>Easy</v>
      </c>
      <c r="D470" s="6" t="str">
        <f>IFERROR(__xludf.DUMMYFUNCTION("""COMPUTED_VALUE"""),"String")</f>
        <v>String</v>
      </c>
      <c r="E470" s="6" t="str">
        <f>IFERROR(__xludf.DUMMYFUNCTION("""COMPUTED_VALUE"""),"Apple,Facebook,Amazon,Microsoft,Google")</f>
        <v>Apple,Facebook,Amazon,Microsoft,Google</v>
      </c>
      <c r="F470" s="6" t="str">
        <f>IFERROR(__xludf.DUMMYFUNCTION("""COMPUTED_VALUE"""),"Apple,Amazon")</f>
        <v>Apple,Amazon</v>
      </c>
      <c r="G470" s="6" t="str">
        <f>IFERROR(__xludf.DUMMYFUNCTION("""COMPUTED_VALUE"""),"Apple,Amazon")</f>
        <v>Apple,Amazon</v>
      </c>
      <c r="H470" s="6" t="str">
        <f>IFERROR(__xludf.DUMMYFUNCTION("""COMPUTED_VALUE"""),"Facebook,Google,Apple,Amazon")</f>
        <v>Facebook,Google,Apple,Amazon</v>
      </c>
      <c r="I470" s="6">
        <f>IFERROR(__xludf.DUMMYFUNCTION("""COMPUTED_VALUE"""),49.28)</f>
        <v>49.28</v>
      </c>
      <c r="J470" s="6" t="str">
        <f>IFERROR(__xludf.DUMMYFUNCTION("""COMPUTED_VALUE"""),"算法")</f>
        <v>算法</v>
      </c>
    </row>
    <row r="471">
      <c r="A471" s="6">
        <f>IFERROR(__xludf.DUMMYFUNCTION("""COMPUTED_VALUE"""),542.0)</f>
        <v>542</v>
      </c>
      <c r="B471" s="53" t="str">
        <f>IFERROR(__xludf.DUMMYFUNCTION("""COMPUTED_VALUE"""),"01 Matrix")</f>
        <v>01 Matrix</v>
      </c>
      <c r="C471" s="6" t="str">
        <f>IFERROR(__xludf.DUMMYFUNCTION("""COMPUTED_VALUE"""),"Medium")</f>
        <v>Medium</v>
      </c>
      <c r="D471" s="6" t="str">
        <f>IFERROR(__xludf.DUMMYFUNCTION("""COMPUTED_VALUE"""),"Breadth First Search,Depth First Search")</f>
        <v>Breadth First Search,Depth First Search</v>
      </c>
      <c r="E471" s="6" t="str">
        <f>IFERROR(__xludf.DUMMYFUNCTION("""COMPUTED_VALUE"""),"ByteDance,Oracle,Facebook,Apple,Uber,Amazon,Google")</f>
        <v>ByteDance,Oracle,Facebook,Apple,Uber,Amazon,Google</v>
      </c>
      <c r="F471" s="6" t="str">
        <f>IFERROR(__xludf.DUMMYFUNCTION("""COMPUTED_VALUE"""),"Amazon")</f>
        <v>Amazon</v>
      </c>
      <c r="G471" s="6" t="str">
        <f>IFERROR(__xludf.DUMMYFUNCTION("""COMPUTED_VALUE"""),"Apple,Facebook,ByteDance,Amazon")</f>
        <v>Apple,Facebook,ByteDance,Amazon</v>
      </c>
      <c r="H471" s="6" t="str">
        <f>IFERROR(__xludf.DUMMYFUNCTION("""COMPUTED_VALUE"""),"Uber,Google,Oracle,Apple,Facebook,ByteDance,Amazon")</f>
        <v>Uber,Google,Oracle,Apple,Facebook,ByteDance,Amazon</v>
      </c>
      <c r="I471" s="6">
        <f>IFERROR(__xludf.DUMMYFUNCTION("""COMPUTED_VALUE"""),41.0)</f>
        <v>41</v>
      </c>
      <c r="J471" s="6" t="str">
        <f>IFERROR(__xludf.DUMMYFUNCTION("""COMPUTED_VALUE"""),"算法")</f>
        <v>算法</v>
      </c>
    </row>
    <row r="472">
      <c r="A472" s="6">
        <f>IFERROR(__xludf.DUMMYFUNCTION("""COMPUTED_VALUE"""),543.0)</f>
        <v>543</v>
      </c>
      <c r="B472" s="53" t="str">
        <f>IFERROR(__xludf.DUMMYFUNCTION("""COMPUTED_VALUE"""),"Diameter of Binary Tree")</f>
        <v>Diameter of Binary Tree</v>
      </c>
      <c r="C472" s="6" t="str">
        <f>IFERROR(__xludf.DUMMYFUNCTION("""COMPUTED_VALUE"""),"Easy")</f>
        <v>Easy</v>
      </c>
      <c r="D472" s="6" t="str">
        <f>IFERROR(__xludf.DUMMYFUNCTION("""COMPUTED_VALUE"""),"Tree")</f>
        <v>Tree</v>
      </c>
      <c r="E472" s="6" t="str">
        <f>IFERROR(__xludf.DUMMYFUNCTION("""COMPUTED_VALUE"""),"Deutsche Bank,Yahoo,Qualtrics,Atlassian,ByteDance,Intel,Oracle,Baidu,Apple,Tencent,Bloomberg,Adobe,Facebook,Amazon,Microsoft,Google")</f>
        <v>Deutsche Bank,Yahoo,Qualtrics,Atlassian,ByteDance,Intel,Oracle,Baidu,Apple,Tencent,Bloomberg,Adobe,Facebook,Amazon,Microsoft,Google</v>
      </c>
      <c r="F472" s="6" t="str">
        <f>IFERROR(__xludf.DUMMYFUNCTION("""COMPUTED_VALUE"""),"Facebook,Microsoft,Amazon,ByteDance,Google,Bloomberg,Oracle")</f>
        <v>Facebook,Microsoft,Amazon,ByteDance,Google,Bloomberg,Oracle</v>
      </c>
      <c r="G472" s="6" t="str">
        <f>IFERROR(__xludf.DUMMYFUNCTION("""COMPUTED_VALUE"""),"Yahoo,Adobe,Tencent,Deutsche Bank,Facebook,Microsoft,Amazon,ByteDance,Google,Bloomberg,Oracle")</f>
        <v>Yahoo,Adobe,Tencent,Deutsche Bank,Facebook,Microsoft,Amazon,ByteDance,Google,Bloomberg,Oracle</v>
      </c>
      <c r="H472" s="6" t="str">
        <f>IFERROR(__xludf.DUMMYFUNCTION("""COMPUTED_VALUE"""),"Apple,Qualtrics,Atlassian,Yahoo,Adobe,Tencent,Deutsche Bank,Facebook,Microsoft,Amazon,ByteDance,Google,Bloomberg,Oracle")</f>
        <v>Apple,Qualtrics,Atlassian,Yahoo,Adobe,Tencent,Deutsche Bank,Facebook,Microsoft,Amazon,ByteDance,Google,Bloomberg,Oracle</v>
      </c>
      <c r="I472" s="6">
        <f>IFERROR(__xludf.DUMMYFUNCTION("""COMPUTED_VALUE"""),49.27)</f>
        <v>49.27</v>
      </c>
      <c r="J472" s="6" t="str">
        <f>IFERROR(__xludf.DUMMYFUNCTION("""COMPUTED_VALUE"""),"算法")</f>
        <v>算法</v>
      </c>
    </row>
    <row r="473">
      <c r="A473" s="6">
        <f>IFERROR(__xludf.DUMMYFUNCTION("""COMPUTED_VALUE"""),544.0)</f>
        <v>544</v>
      </c>
      <c r="B473" s="53" t="str">
        <f>IFERROR(__xludf.DUMMYFUNCTION("""COMPUTED_VALUE"""),"Output Contest Matches")</f>
        <v>Output Contest Matches</v>
      </c>
      <c r="C473" s="6" t="str">
        <f>IFERROR(__xludf.DUMMYFUNCTION("""COMPUTED_VALUE"""),"Medium")</f>
        <v>Medium</v>
      </c>
      <c r="D473" s="6" t="str">
        <f>IFERROR(__xludf.DUMMYFUNCTION("""COMPUTED_VALUE"""),"Recursion,String")</f>
        <v>Recursion,String</v>
      </c>
      <c r="E473" s="6" t="str">
        <f>IFERROR(__xludf.DUMMYFUNCTION("""COMPUTED_VALUE"""),"Google")</f>
        <v>Google</v>
      </c>
      <c r="F473" s="6"/>
      <c r="G473" s="6"/>
      <c r="H473" s="6" t="str">
        <f>IFERROR(__xludf.DUMMYFUNCTION("""COMPUTED_VALUE"""),"Google")</f>
        <v>Google</v>
      </c>
      <c r="I473" s="6">
        <f>IFERROR(__xludf.DUMMYFUNCTION("""COMPUTED_VALUE"""),75.86)</f>
        <v>75.86</v>
      </c>
      <c r="J473" s="6" t="str">
        <f>IFERROR(__xludf.DUMMYFUNCTION("""COMPUTED_VALUE"""),"算法")</f>
        <v>算法</v>
      </c>
    </row>
    <row r="474">
      <c r="A474" s="6">
        <f>IFERROR(__xludf.DUMMYFUNCTION("""COMPUTED_VALUE"""),545.0)</f>
        <v>545</v>
      </c>
      <c r="B474" s="53" t="str">
        <f>IFERROR(__xludf.DUMMYFUNCTION("""COMPUTED_VALUE"""),"Boundary of Binary Tree")</f>
        <v>Boundary of Binary Tree</v>
      </c>
      <c r="C474" s="6" t="str">
        <f>IFERROR(__xludf.DUMMYFUNCTION("""COMPUTED_VALUE"""),"Medium")</f>
        <v>Medium</v>
      </c>
      <c r="D474" s="6" t="str">
        <f>IFERROR(__xludf.DUMMYFUNCTION("""COMPUTED_VALUE"""),"Tree")</f>
        <v>Tree</v>
      </c>
      <c r="E474" s="6" t="str">
        <f>IFERROR(__xludf.DUMMYFUNCTION("""COMPUTED_VALUE"""),"Facebook,Atlassian,Audible,Oracle,EBay,Apple,Adobe,Amazon,Microsoft,Google")</f>
        <v>Facebook,Atlassian,Audible,Oracle,EBay,Apple,Adobe,Amazon,Microsoft,Google</v>
      </c>
      <c r="F474" s="6" t="str">
        <f>IFERROR(__xludf.DUMMYFUNCTION("""COMPUTED_VALUE"""),"Microsoft,Amazon,eBay,Facebook,Oracle,Audible")</f>
        <v>Microsoft,Amazon,eBay,Facebook,Oracle,Audible</v>
      </c>
      <c r="G474" s="6" t="str">
        <f>IFERROR(__xludf.DUMMYFUNCTION("""COMPUTED_VALUE"""),"Microsoft,Amazon,eBay,Facebook,Oracle,Audible")</f>
        <v>Microsoft,Amazon,eBay,Facebook,Oracle,Audible</v>
      </c>
      <c r="H474" s="6" t="str">
        <f>IFERROR(__xludf.DUMMYFUNCTION("""COMPUTED_VALUE"""),"Apple,Google,Microsoft,Amazon,eBay,Facebook,Oracle,Audible")</f>
        <v>Apple,Google,Microsoft,Amazon,eBay,Facebook,Oracle,Audible</v>
      </c>
      <c r="I474" s="6">
        <f>IFERROR(__xludf.DUMMYFUNCTION("""COMPUTED_VALUE"""),40.05)</f>
        <v>40.05</v>
      </c>
      <c r="J474" s="6" t="str">
        <f>IFERROR(__xludf.DUMMYFUNCTION("""COMPUTED_VALUE"""),"算法")</f>
        <v>算法</v>
      </c>
    </row>
    <row r="475">
      <c r="A475" s="6">
        <f>IFERROR(__xludf.DUMMYFUNCTION("""COMPUTED_VALUE"""),547.0)</f>
        <v>547</v>
      </c>
      <c r="B475" s="53" t="str">
        <f>IFERROR(__xludf.DUMMYFUNCTION("""COMPUTED_VALUE"""),"Number of Provinces")</f>
        <v>Number of Provinces</v>
      </c>
      <c r="C475" s="6" t="str">
        <f>IFERROR(__xludf.DUMMYFUNCTION("""COMPUTED_VALUE"""),"Medium")</f>
        <v>Medium</v>
      </c>
      <c r="D475" s="6" t="str">
        <f>IFERROR(__xludf.DUMMYFUNCTION("""COMPUTED_VALUE"""),"Union Find,Depth First Search")</f>
        <v>Union Find,Depth First Search</v>
      </c>
      <c r="E475" s="6" t="str">
        <f>IFERROR(__xludf.DUMMYFUNCTION("""COMPUTED_VALUE"""),"Sapient,Snapchat,Audible,Dropbox,Paypal,EBay,Goldman Sachs,Pocket Gems,Two Sigma,Atlassian,Deutsche Bank,Salesforce,Drawbridge,Twitter,Uber,Bloomberg,Adobe,Facebook,Amazon,LinkedIn,Microsoft,Google")</f>
        <v>Sapient,Snapchat,Audible,Dropbox,Paypal,EBay,Goldman Sachs,Pocket Gems,Two Sigma,Atlassian,Deutsche Bank,Salesforce,Drawbridge,Twitter,Uber,Bloomberg,Adobe,Facebook,Amazon,LinkedIn,Microsoft,Google</v>
      </c>
      <c r="F475" s="6" t="str">
        <f>IFERROR(__xludf.DUMMYFUNCTION("""COMPUTED_VALUE"""),"Amazon,Two Sigma,Dropbox,Goldman Sachs,Facebook,Adobe,Audible")</f>
        <v>Amazon,Two Sigma,Dropbox,Goldman Sachs,Facebook,Adobe,Audible</v>
      </c>
      <c r="G475" s="6" t="str">
        <f>IFERROR(__xludf.DUMMYFUNCTION("""COMPUTED_VALUE"""),"Microsoft,Twitter,eBay,Snapchat,Paypal,Amazon,Two Sigma,Dropbox,Goldman Sachs,Facebook,Adobe,Audible")</f>
        <v>Microsoft,Twitter,eBay,Snapchat,Paypal,Amazon,Two Sigma,Dropbox,Goldman Sachs,Facebook,Adobe,Audible</v>
      </c>
      <c r="H475" s="6" t="str">
        <f>IFERROR(__xludf.DUMMYFUNCTION("""COMPUTED_VALUE"""),"Pocket Gems,Sapient,Atlassian,Google,Uber,Salesforce,Bloomberg,Microsoft,Twitter,eBay,Snapchat,Paypal,Amazon,Two Sigma,Dropbox,Goldman Sachs,Facebook,Adobe,Audible")</f>
        <v>Pocket Gems,Sapient,Atlassian,Google,Uber,Salesforce,Bloomberg,Microsoft,Twitter,eBay,Snapchat,Paypal,Amazon,Two Sigma,Dropbox,Goldman Sachs,Facebook,Adobe,Audible</v>
      </c>
      <c r="I475" s="6">
        <f>IFERROR(__xludf.DUMMYFUNCTION("""COMPUTED_VALUE"""),60.58)</f>
        <v>60.58</v>
      </c>
      <c r="J475" s="6" t="str">
        <f>IFERROR(__xludf.DUMMYFUNCTION("""COMPUTED_VALUE"""),"算法")</f>
        <v>算法</v>
      </c>
    </row>
    <row r="476">
      <c r="A476" s="6">
        <f>IFERROR(__xludf.DUMMYFUNCTION("""COMPUTED_VALUE"""),549.0)</f>
        <v>549</v>
      </c>
      <c r="B476" s="53" t="str">
        <f>IFERROR(__xludf.DUMMYFUNCTION("""COMPUTED_VALUE"""),"Binary Tree Longest Consecutive Sequence II")</f>
        <v>Binary Tree Longest Consecutive Sequence II</v>
      </c>
      <c r="C476" s="6" t="str">
        <f>IFERROR(__xludf.DUMMYFUNCTION("""COMPUTED_VALUE"""),"Medium")</f>
        <v>Medium</v>
      </c>
      <c r="D476" s="6" t="str">
        <f>IFERROR(__xludf.DUMMYFUNCTION("""COMPUTED_VALUE"""),"Tree")</f>
        <v>Tree</v>
      </c>
      <c r="E476" s="6" t="str">
        <f>IFERROR(__xludf.DUMMYFUNCTION("""COMPUTED_VALUE"""),"Apple,Facebook,Amazon,Google")</f>
        <v>Apple,Facebook,Amazon,Google</v>
      </c>
      <c r="F476" s="6"/>
      <c r="G476" s="6"/>
      <c r="H476" s="6" t="str">
        <f>IFERROR(__xludf.DUMMYFUNCTION("""COMPUTED_VALUE"""),"Facebook,Google")</f>
        <v>Facebook,Google</v>
      </c>
      <c r="I476" s="6">
        <f>IFERROR(__xludf.DUMMYFUNCTION("""COMPUTED_VALUE"""),47.24)</f>
        <v>47.24</v>
      </c>
      <c r="J476" s="6" t="str">
        <f>IFERROR(__xludf.DUMMYFUNCTION("""COMPUTED_VALUE"""),"算法")</f>
        <v>算法</v>
      </c>
    </row>
    <row r="477">
      <c r="A477" s="6">
        <f>IFERROR(__xludf.DUMMYFUNCTION("""COMPUTED_VALUE"""),551.0)</f>
        <v>551</v>
      </c>
      <c r="B477" s="53" t="str">
        <f>IFERROR(__xludf.DUMMYFUNCTION("""COMPUTED_VALUE"""),"Student Attendance Record I")</f>
        <v>Student Attendance Record I</v>
      </c>
      <c r="C477" s="6" t="str">
        <f>IFERROR(__xludf.DUMMYFUNCTION("""COMPUTED_VALUE"""),"Easy")</f>
        <v>Easy</v>
      </c>
      <c r="D477" s="6" t="str">
        <f>IFERROR(__xludf.DUMMYFUNCTION("""COMPUTED_VALUE"""),"String")</f>
        <v>String</v>
      </c>
      <c r="E477" s="6" t="str">
        <f>IFERROR(__xludf.DUMMYFUNCTION("""COMPUTED_VALUE"""),"Google")</f>
        <v>Google</v>
      </c>
      <c r="F477" s="6"/>
      <c r="G477" s="6" t="str">
        <f>IFERROR(__xludf.DUMMYFUNCTION("""COMPUTED_VALUE"""),"Google")</f>
        <v>Google</v>
      </c>
      <c r="H477" s="6" t="str">
        <f>IFERROR(__xludf.DUMMYFUNCTION("""COMPUTED_VALUE"""),"Google")</f>
        <v>Google</v>
      </c>
      <c r="I477" s="6">
        <f>IFERROR(__xludf.DUMMYFUNCTION("""COMPUTED_VALUE"""),46.01)</f>
        <v>46.01</v>
      </c>
      <c r="J477" s="6" t="str">
        <f>IFERROR(__xludf.DUMMYFUNCTION("""COMPUTED_VALUE"""),"算法")</f>
        <v>算法</v>
      </c>
    </row>
    <row r="478">
      <c r="A478" s="6">
        <f>IFERROR(__xludf.DUMMYFUNCTION("""COMPUTED_VALUE"""),552.0)</f>
        <v>552</v>
      </c>
      <c r="B478" s="53" t="str">
        <f>IFERROR(__xludf.DUMMYFUNCTION("""COMPUTED_VALUE"""),"Student Attendance Record II")</f>
        <v>Student Attendance Record II</v>
      </c>
      <c r="C478" s="6" t="str">
        <f>IFERROR(__xludf.DUMMYFUNCTION("""COMPUTED_VALUE"""),"Hard")</f>
        <v>Hard</v>
      </c>
      <c r="D478" s="6" t="str">
        <f>IFERROR(__xludf.DUMMYFUNCTION("""COMPUTED_VALUE"""),"Dynamic Programming")</f>
        <v>Dynamic Programming</v>
      </c>
      <c r="E478" s="6" t="str">
        <f>IFERROR(__xludf.DUMMYFUNCTION("""COMPUTED_VALUE"""),"Uber,Google")</f>
        <v>Uber,Google</v>
      </c>
      <c r="F478" s="6" t="str">
        <f>IFERROR(__xludf.DUMMYFUNCTION("""COMPUTED_VALUE"""),"Google")</f>
        <v>Google</v>
      </c>
      <c r="G478" s="6" t="str">
        <f>IFERROR(__xludf.DUMMYFUNCTION("""COMPUTED_VALUE"""),"Google")</f>
        <v>Google</v>
      </c>
      <c r="H478" s="6" t="str">
        <f>IFERROR(__xludf.DUMMYFUNCTION("""COMPUTED_VALUE"""),"Uber,Google")</f>
        <v>Uber,Google</v>
      </c>
      <c r="I478" s="6">
        <f>IFERROR(__xludf.DUMMYFUNCTION("""COMPUTED_VALUE"""),37.56)</f>
        <v>37.56</v>
      </c>
      <c r="J478" s="6" t="str">
        <f>IFERROR(__xludf.DUMMYFUNCTION("""COMPUTED_VALUE"""),"算法")</f>
        <v>算法</v>
      </c>
    </row>
    <row r="479">
      <c r="A479" s="6">
        <f>IFERROR(__xludf.DUMMYFUNCTION("""COMPUTED_VALUE"""),554.0)</f>
        <v>554</v>
      </c>
      <c r="B479" s="53" t="str">
        <f>IFERROR(__xludf.DUMMYFUNCTION("""COMPUTED_VALUE"""),"Brick Wall")</f>
        <v>Brick Wall</v>
      </c>
      <c r="C479" s="6" t="str">
        <f>IFERROR(__xludf.DUMMYFUNCTION("""COMPUTED_VALUE"""),"Medium")</f>
        <v>Medium</v>
      </c>
      <c r="D479" s="6" t="str">
        <f>IFERROR(__xludf.DUMMYFUNCTION("""COMPUTED_VALUE"""),"Hash Table")</f>
        <v>Hash Table</v>
      </c>
      <c r="E479" s="6" t="str">
        <f>IFERROR(__xludf.DUMMYFUNCTION("""COMPUTED_VALUE"""),"Oracle,Bloomberg,Facebook,Google")</f>
        <v>Oracle,Bloomberg,Facebook,Google</v>
      </c>
      <c r="F479" s="6" t="str">
        <f>IFERROR(__xludf.DUMMYFUNCTION("""COMPUTED_VALUE"""),"Oracle")</f>
        <v>Oracle</v>
      </c>
      <c r="G479" s="6" t="str">
        <f>IFERROR(__xludf.DUMMYFUNCTION("""COMPUTED_VALUE"""),"Oracle")</f>
        <v>Oracle</v>
      </c>
      <c r="H479" s="6" t="str">
        <f>IFERROR(__xludf.DUMMYFUNCTION("""COMPUTED_VALUE"""),"Google,Facebook,Oracle")</f>
        <v>Google,Facebook,Oracle</v>
      </c>
      <c r="I479" s="6">
        <f>IFERROR(__xludf.DUMMYFUNCTION("""COMPUTED_VALUE"""),50.74)</f>
        <v>50.74</v>
      </c>
      <c r="J479" s="6" t="str">
        <f>IFERROR(__xludf.DUMMYFUNCTION("""COMPUTED_VALUE"""),"算法")</f>
        <v>算法</v>
      </c>
    </row>
    <row r="480">
      <c r="A480" s="6">
        <f>IFERROR(__xludf.DUMMYFUNCTION("""COMPUTED_VALUE"""),558.0)</f>
        <v>558</v>
      </c>
      <c r="B480" s="53" t="str">
        <f>IFERROR(__xludf.DUMMYFUNCTION("""COMPUTED_VALUE"""),"Logical OR of Two Binary Grids Represented as Quad-Trees")</f>
        <v>Logical OR of Two Binary Grids Represented as Quad-Trees</v>
      </c>
      <c r="C480" s="6" t="str">
        <f>IFERROR(__xludf.DUMMYFUNCTION("""COMPUTED_VALUE"""),"Medium")</f>
        <v>Medium</v>
      </c>
      <c r="D480" s="6"/>
      <c r="E480" s="6" t="str">
        <f>IFERROR(__xludf.DUMMYFUNCTION("""COMPUTED_VALUE"""),"Sumologic,Amazon,Google")</f>
        <v>Sumologic,Amazon,Google</v>
      </c>
      <c r="F480" s="6"/>
      <c r="G480" s="6"/>
      <c r="H480" s="6" t="str">
        <f>IFERROR(__xludf.DUMMYFUNCTION("""COMPUTED_VALUE"""),"Sumologic")</f>
        <v>Sumologic</v>
      </c>
      <c r="I480" s="6">
        <f>IFERROR(__xludf.DUMMYFUNCTION("""COMPUTED_VALUE"""),45.62)</f>
        <v>45.62</v>
      </c>
      <c r="J480" s="6" t="str">
        <f>IFERROR(__xludf.DUMMYFUNCTION("""COMPUTED_VALUE"""),"算法")</f>
        <v>算法</v>
      </c>
    </row>
    <row r="481">
      <c r="A481" s="6">
        <f>IFERROR(__xludf.DUMMYFUNCTION("""COMPUTED_VALUE"""),559.0)</f>
        <v>559</v>
      </c>
      <c r="B481" s="53" t="str">
        <f>IFERROR(__xludf.DUMMYFUNCTION("""COMPUTED_VALUE"""),"Maximum Depth of N-ary Tree")</f>
        <v>Maximum Depth of N-ary Tree</v>
      </c>
      <c r="C481" s="6" t="str">
        <f>IFERROR(__xludf.DUMMYFUNCTION("""COMPUTED_VALUE"""),"Easy")</f>
        <v>Easy</v>
      </c>
      <c r="D481" s="6" t="str">
        <f>IFERROR(__xludf.DUMMYFUNCTION("""COMPUTED_VALUE"""),"Breadth First Search,Depth First Search,Tree")</f>
        <v>Breadth First Search,Depth First Search,Tree</v>
      </c>
      <c r="E481" s="6" t="str">
        <f>IFERROR(__xludf.DUMMYFUNCTION("""COMPUTED_VALUE"""),"Microsoft,SAP,Bloomberg,Amazon,Google")</f>
        <v>Microsoft,SAP,Bloomberg,Amazon,Google</v>
      </c>
      <c r="F481" s="6"/>
      <c r="G481" s="6" t="str">
        <f>IFERROR(__xludf.DUMMYFUNCTION("""COMPUTED_VALUE"""),"Google,Amazon")</f>
        <v>Google,Amazon</v>
      </c>
      <c r="H481" s="6" t="str">
        <f>IFERROR(__xludf.DUMMYFUNCTION("""COMPUTED_VALUE"""),"Microsoft,Google,Amazon")</f>
        <v>Microsoft,Google,Amazon</v>
      </c>
      <c r="I481" s="6">
        <f>IFERROR(__xludf.DUMMYFUNCTION("""COMPUTED_VALUE"""),69.58)</f>
        <v>69.58</v>
      </c>
      <c r="J481" s="6" t="str">
        <f>IFERROR(__xludf.DUMMYFUNCTION("""COMPUTED_VALUE"""),"算法")</f>
        <v>算法</v>
      </c>
    </row>
    <row r="482">
      <c r="A482" s="6">
        <f>IFERROR(__xludf.DUMMYFUNCTION("""COMPUTED_VALUE"""),560.0)</f>
        <v>560</v>
      </c>
      <c r="B482" s="53" t="str">
        <f>IFERROR(__xludf.DUMMYFUNCTION("""COMPUTED_VALUE"""),"Subarray Sum Equals K")</f>
        <v>Subarray Sum Equals K</v>
      </c>
      <c r="C482" s="6" t="str">
        <f>IFERROR(__xludf.DUMMYFUNCTION("""COMPUTED_VALUE"""),"Medium")</f>
        <v>Medium</v>
      </c>
      <c r="D482" s="6" t="str">
        <f>IFERROR(__xludf.DUMMYFUNCTION("""COMPUTED_VALUE"""),"Hash Table,Array")</f>
        <v>Hash Table,Array</v>
      </c>
      <c r="E482" s="6" t="str">
        <f>IFERROR(__xludf.DUMMYFUNCTION("""COMPUTED_VALUE"""),"American Express,Coupang,ByteDance,Twilio,Quora,Snapchat,Indeed,Expedia,Wish,Oracle,Yandex,EBay,Apple,Uber,Yahoo,Bloomberg,Adobe,Facebook,Amazon,LinkedIn,Microsoft,Goldman Sachs,Google")</f>
        <v>American Express,Coupang,ByteDance,Twilio,Quora,Snapchat,Indeed,Expedia,Wish,Oracle,Yandex,EBay,Apple,Uber,Yahoo,Bloomberg,Adobe,Facebook,Amazon,LinkedIn,Microsoft,Goldman Sachs,Google</v>
      </c>
      <c r="F482" s="6" t="str">
        <f>IFERROR(__xludf.DUMMYFUNCTION("""COMPUTED_VALUE"""),"Facebook,Amazon,Bloomberg,Microsoft,Yandex,ByteDance,Adobe,Oracle")</f>
        <v>Facebook,Amazon,Bloomberg,Microsoft,Yandex,ByteDance,Adobe,Oracle</v>
      </c>
      <c r="G482" s="6" t="str">
        <f>IFERROR(__xludf.DUMMYFUNCTION("""COMPUTED_VALUE"""),"Google,Goldman Sachs,Twilio,eBay,Yahoo,Apple,American Express,Facebook,Amazon,Bloomberg,Microsoft,Yandex,ByteDance,Adobe,Oracle")</f>
        <v>Google,Goldman Sachs,Twilio,eBay,Yahoo,Apple,American Express,Facebook,Amazon,Bloomberg,Microsoft,Yandex,ByteDance,Adobe,Oracle</v>
      </c>
      <c r="H482" s="6" t="str">
        <f>IFERROR(__xludf.DUMMYFUNCTION("""COMPUTED_VALUE"""),"Uber,Wish,Quora,LinkedIn,Coupang,Google,Goldman Sachs,Twilio,eBay,Yahoo,Apple,American Express,Facebook,Amazon,Bloomberg,Microsoft,Yandex,ByteDance,Adobe,Oracle")</f>
        <v>Uber,Wish,Quora,LinkedIn,Coupang,Google,Goldman Sachs,Twilio,eBay,Yahoo,Apple,American Express,Facebook,Amazon,Bloomberg,Microsoft,Yandex,ByteDance,Adobe,Oracle</v>
      </c>
      <c r="I482" s="6">
        <f>IFERROR(__xludf.DUMMYFUNCTION("""COMPUTED_VALUE"""),43.7)</f>
        <v>43.7</v>
      </c>
      <c r="J482" s="6" t="str">
        <f>IFERROR(__xludf.DUMMYFUNCTION("""COMPUTED_VALUE"""),"算法")</f>
        <v>算法</v>
      </c>
    </row>
    <row r="483">
      <c r="A483" s="6">
        <f>IFERROR(__xludf.DUMMYFUNCTION("""COMPUTED_VALUE"""),562.0)</f>
        <v>562</v>
      </c>
      <c r="B483" s="53" t="str">
        <f>IFERROR(__xludf.DUMMYFUNCTION("""COMPUTED_VALUE"""),"Longest Line of Consecutive One in Matrix")</f>
        <v>Longest Line of Consecutive One in Matrix</v>
      </c>
      <c r="C483" s="6" t="str">
        <f>IFERROR(__xludf.DUMMYFUNCTION("""COMPUTED_VALUE"""),"Medium")</f>
        <v>Medium</v>
      </c>
      <c r="D483" s="6" t="str">
        <f>IFERROR(__xludf.DUMMYFUNCTION("""COMPUTED_VALUE"""),"Array")</f>
        <v>Array</v>
      </c>
      <c r="E483" s="6" t="str">
        <f>IFERROR(__xludf.DUMMYFUNCTION("""COMPUTED_VALUE"""),"Facebook,Google")</f>
        <v>Facebook,Google</v>
      </c>
      <c r="F483" s="6" t="str">
        <f>IFERROR(__xludf.DUMMYFUNCTION("""COMPUTED_VALUE"""),"Google")</f>
        <v>Google</v>
      </c>
      <c r="G483" s="6" t="str">
        <f>IFERROR(__xludf.DUMMYFUNCTION("""COMPUTED_VALUE"""),"Google")</f>
        <v>Google</v>
      </c>
      <c r="H483" s="6" t="str">
        <f>IFERROR(__xludf.DUMMYFUNCTION("""COMPUTED_VALUE"""),"Facebook,Google")</f>
        <v>Facebook,Google</v>
      </c>
      <c r="I483" s="6">
        <f>IFERROR(__xludf.DUMMYFUNCTION("""COMPUTED_VALUE"""),46.2)</f>
        <v>46.2</v>
      </c>
      <c r="J483" s="6" t="str">
        <f>IFERROR(__xludf.DUMMYFUNCTION("""COMPUTED_VALUE"""),"算法")</f>
        <v>算法</v>
      </c>
    </row>
    <row r="484">
      <c r="A484" s="6">
        <f>IFERROR(__xludf.DUMMYFUNCTION("""COMPUTED_VALUE"""),564.0)</f>
        <v>564</v>
      </c>
      <c r="B484" s="53" t="str">
        <f>IFERROR(__xludf.DUMMYFUNCTION("""COMPUTED_VALUE"""),"Find the Closest Palindrome")</f>
        <v>Find the Closest Palindrome</v>
      </c>
      <c r="C484" s="6" t="str">
        <f>IFERROR(__xludf.DUMMYFUNCTION("""COMPUTED_VALUE"""),"Hard")</f>
        <v>Hard</v>
      </c>
      <c r="D484" s="6" t="str">
        <f>IFERROR(__xludf.DUMMYFUNCTION("""COMPUTED_VALUE"""),"String")</f>
        <v>String</v>
      </c>
      <c r="E484" s="6" t="str">
        <f>IFERROR(__xludf.DUMMYFUNCTION("""COMPUTED_VALUE"""),"Apple,Nutanix,Pinterest,Yelp,Uber,Facebook,Amazon,Microsoft,Google")</f>
        <v>Apple,Nutanix,Pinterest,Yelp,Uber,Facebook,Amazon,Microsoft,Google</v>
      </c>
      <c r="F484" s="6" t="str">
        <f>IFERROR(__xludf.DUMMYFUNCTION("""COMPUTED_VALUE"""),"Amazon")</f>
        <v>Amazon</v>
      </c>
      <c r="G484" s="6" t="str">
        <f>IFERROR(__xludf.DUMMYFUNCTION("""COMPUTED_VALUE"""),"Apple,Amazon")</f>
        <v>Apple,Amazon</v>
      </c>
      <c r="H484" s="6" t="str">
        <f>IFERROR(__xludf.DUMMYFUNCTION("""COMPUTED_VALUE"""),"Microsoft,Nutanix,Uber,Yelp,Apple,Amazon")</f>
        <v>Microsoft,Nutanix,Uber,Yelp,Apple,Amazon</v>
      </c>
      <c r="I484" s="6">
        <f>IFERROR(__xludf.DUMMYFUNCTION("""COMPUTED_VALUE"""),20.3)</f>
        <v>20.3</v>
      </c>
      <c r="J484" s="6" t="str">
        <f>IFERROR(__xludf.DUMMYFUNCTION("""COMPUTED_VALUE"""),"算法")</f>
        <v>算法</v>
      </c>
    </row>
    <row r="485">
      <c r="A485" s="6">
        <f>IFERROR(__xludf.DUMMYFUNCTION("""COMPUTED_VALUE"""),567.0)</f>
        <v>567</v>
      </c>
      <c r="B485" s="53" t="str">
        <f>IFERROR(__xludf.DUMMYFUNCTION("""COMPUTED_VALUE"""),"Permutation in String")</f>
        <v>Permutation in String</v>
      </c>
      <c r="C485" s="6" t="str">
        <f>IFERROR(__xludf.DUMMYFUNCTION("""COMPUTED_VALUE"""),"Medium")</f>
        <v>Medium</v>
      </c>
      <c r="D485" s="6" t="str">
        <f>IFERROR(__xludf.DUMMYFUNCTION("""COMPUTED_VALUE"""),"Sliding Window,Two Pointers")</f>
        <v>Sliding Window,Two Pointers</v>
      </c>
      <c r="E485" s="6" t="str">
        <f>IFERROR(__xludf.DUMMYFUNCTION("""COMPUTED_VALUE"""),"ByteDance,Lyft,Yandex,Uber,Yahoo,Bloomberg,Facebook,Amazon,Microsoft,Google")</f>
        <v>ByteDance,Lyft,Yandex,Uber,Yahoo,Bloomberg,Facebook,Amazon,Microsoft,Google</v>
      </c>
      <c r="F485" s="6" t="str">
        <f>IFERROR(__xludf.DUMMYFUNCTION("""COMPUTED_VALUE"""),"Facebook,Microsoft,Amazon,Yandex")</f>
        <v>Facebook,Microsoft,Amazon,Yandex</v>
      </c>
      <c r="G485" s="6" t="str">
        <f>IFERROR(__xludf.DUMMYFUNCTION("""COMPUTED_VALUE"""),"Lyft,ByteDance,Facebook,Microsoft,Amazon,Yandex")</f>
        <v>Lyft,ByteDance,Facebook,Microsoft,Amazon,Yandex</v>
      </c>
      <c r="H485" s="6" t="str">
        <f>IFERROR(__xludf.DUMMYFUNCTION("""COMPUTED_VALUE"""),"Uber,Google,Lyft,ByteDance,Facebook,Microsoft,Amazon,Yandex")</f>
        <v>Uber,Google,Lyft,ByteDance,Facebook,Microsoft,Amazon,Yandex</v>
      </c>
      <c r="I485" s="6">
        <f>IFERROR(__xludf.DUMMYFUNCTION("""COMPUTED_VALUE"""),44.55)</f>
        <v>44.55</v>
      </c>
      <c r="J485" s="6" t="str">
        <f>IFERROR(__xludf.DUMMYFUNCTION("""COMPUTED_VALUE"""),"算法")</f>
        <v>算法</v>
      </c>
    </row>
    <row r="486">
      <c r="A486" s="6">
        <f>IFERROR(__xludf.DUMMYFUNCTION("""COMPUTED_VALUE"""),568.0)</f>
        <v>568</v>
      </c>
      <c r="B486" s="53" t="str">
        <f>IFERROR(__xludf.DUMMYFUNCTION("""COMPUTED_VALUE"""),"Maximum Vacation Days")</f>
        <v>Maximum Vacation Days</v>
      </c>
      <c r="C486" s="6" t="str">
        <f>IFERROR(__xludf.DUMMYFUNCTION("""COMPUTED_VALUE"""),"Hard")</f>
        <v>Hard</v>
      </c>
      <c r="D486" s="6" t="str">
        <f>IFERROR(__xludf.DUMMYFUNCTION("""COMPUTED_VALUE"""),"Dynamic Programming")</f>
        <v>Dynamic Programming</v>
      </c>
      <c r="E486" s="6" t="str">
        <f>IFERROR(__xludf.DUMMYFUNCTION("""COMPUTED_VALUE"""),"Uber,Facebook,Microsoft,Google")</f>
        <v>Uber,Facebook,Microsoft,Google</v>
      </c>
      <c r="F486" s="6"/>
      <c r="G486" s="6"/>
      <c r="H486" s="6" t="str">
        <f>IFERROR(__xludf.DUMMYFUNCTION("""COMPUTED_VALUE"""),"Google,Facebook")</f>
        <v>Google,Facebook</v>
      </c>
      <c r="I486" s="6">
        <f>IFERROR(__xludf.DUMMYFUNCTION("""COMPUTED_VALUE"""),41.64)</f>
        <v>41.64</v>
      </c>
      <c r="J486" s="6" t="str">
        <f>IFERROR(__xludf.DUMMYFUNCTION("""COMPUTED_VALUE"""),"算法")</f>
        <v>算法</v>
      </c>
    </row>
    <row r="487">
      <c r="A487" s="6">
        <f>IFERROR(__xludf.DUMMYFUNCTION("""COMPUTED_VALUE"""),569.0)</f>
        <v>569</v>
      </c>
      <c r="B487" s="53" t="str">
        <f>IFERROR(__xludf.DUMMYFUNCTION("""COMPUTED_VALUE"""),"Median Employee Salary")</f>
        <v>Median Employee Salary</v>
      </c>
      <c r="C487" s="6" t="str">
        <f>IFERROR(__xludf.DUMMYFUNCTION("""COMPUTED_VALUE"""),"Hard")</f>
        <v>Hard</v>
      </c>
      <c r="D487" s="6"/>
      <c r="E487" s="6" t="str">
        <f>IFERROR(__xludf.DUMMYFUNCTION("""COMPUTED_VALUE"""),"Google")</f>
        <v>Google</v>
      </c>
      <c r="F487" s="6"/>
      <c r="G487" s="6"/>
      <c r="H487" s="6" t="str">
        <f>IFERROR(__xludf.DUMMYFUNCTION("""COMPUTED_VALUE"""),"Google")</f>
        <v>Google</v>
      </c>
      <c r="I487" s="6">
        <f>IFERROR(__xludf.DUMMYFUNCTION("""COMPUTED_VALUE"""),61.95)</f>
        <v>61.95</v>
      </c>
      <c r="J487" s="6" t="str">
        <f>IFERROR(__xludf.DUMMYFUNCTION("""COMPUTED_VALUE"""),"数据库")</f>
        <v>数据库</v>
      </c>
    </row>
    <row r="488">
      <c r="A488" s="6">
        <f>IFERROR(__xludf.DUMMYFUNCTION("""COMPUTED_VALUE"""),572.0)</f>
        <v>572</v>
      </c>
      <c r="B488" s="53" t="str">
        <f>IFERROR(__xludf.DUMMYFUNCTION("""COMPUTED_VALUE"""),"Subtree of Another Tree")</f>
        <v>Subtree of Another Tree</v>
      </c>
      <c r="C488" s="6" t="str">
        <f>IFERROR(__xludf.DUMMYFUNCTION("""COMPUTED_VALUE"""),"Easy")</f>
        <v>Easy</v>
      </c>
      <c r="D488" s="6" t="str">
        <f>IFERROR(__xludf.DUMMYFUNCTION("""COMPUTED_VALUE"""),"Tree")</f>
        <v>Tree</v>
      </c>
      <c r="E488" s="6" t="str">
        <f>IFERROR(__xludf.DUMMYFUNCTION("""COMPUTED_VALUE"""),"JPMorgan,EBay,Samsung,Bloomberg,Facebook,Amazon,Microsoft,Google")</f>
        <v>JPMorgan,EBay,Samsung,Bloomberg,Facebook,Amazon,Microsoft,Google</v>
      </c>
      <c r="F488" s="6" t="str">
        <f>IFERROR(__xludf.DUMMYFUNCTION("""COMPUTED_VALUE"""),"Amazon,Microsoft,Facebook")</f>
        <v>Amazon,Microsoft,Facebook</v>
      </c>
      <c r="G488" s="6" t="str">
        <f>IFERROR(__xludf.DUMMYFUNCTION("""COMPUTED_VALUE"""),"JPMorgan,Amazon,Microsoft,Facebook")</f>
        <v>JPMorgan,Amazon,Microsoft,Facebook</v>
      </c>
      <c r="H488" s="6" t="str">
        <f>IFERROR(__xludf.DUMMYFUNCTION("""COMPUTED_VALUE"""),"Google,Bloomberg,eBay,JPMorgan,Amazon,Microsoft,Facebook")</f>
        <v>Google,Bloomberg,eBay,JPMorgan,Amazon,Microsoft,Facebook</v>
      </c>
      <c r="I488" s="6">
        <f>IFERROR(__xludf.DUMMYFUNCTION("""COMPUTED_VALUE"""),44.54)</f>
        <v>44.54</v>
      </c>
      <c r="J488" s="6" t="str">
        <f>IFERROR(__xludf.DUMMYFUNCTION("""COMPUTED_VALUE"""),"算法")</f>
        <v>算法</v>
      </c>
    </row>
    <row r="489">
      <c r="A489" s="6">
        <f>IFERROR(__xludf.DUMMYFUNCTION("""COMPUTED_VALUE"""),581.0)</f>
        <v>581</v>
      </c>
      <c r="B489" s="53" t="str">
        <f>IFERROR(__xludf.DUMMYFUNCTION("""COMPUTED_VALUE"""),"Shortest Unsorted Continuous Subarray")</f>
        <v>Shortest Unsorted Continuous Subarray</v>
      </c>
      <c r="C489" s="6" t="str">
        <f>IFERROR(__xludf.DUMMYFUNCTION("""COMPUTED_VALUE"""),"Medium")</f>
        <v>Medium</v>
      </c>
      <c r="D489" s="6" t="str">
        <f>IFERROR(__xludf.DUMMYFUNCTION("""COMPUTED_VALUE"""),"Array")</f>
        <v>Array</v>
      </c>
      <c r="E489" s="6" t="str">
        <f>IFERROR(__xludf.DUMMYFUNCTION("""COMPUTED_VALUE"""),"Microsoft,LiveRamp,Redfin,Uber,Bloomberg,Amazon,Google")</f>
        <v>Microsoft,LiveRamp,Redfin,Uber,Bloomberg,Amazon,Google</v>
      </c>
      <c r="F489" s="6" t="str">
        <f>IFERROR(__xludf.DUMMYFUNCTION("""COMPUTED_VALUE"""),"Amazon,Microsoft")</f>
        <v>Amazon,Microsoft</v>
      </c>
      <c r="G489" s="6" t="str">
        <f>IFERROR(__xludf.DUMMYFUNCTION("""COMPUTED_VALUE"""),"Amazon,Microsoft")</f>
        <v>Amazon,Microsoft</v>
      </c>
      <c r="H489" s="6" t="str">
        <f>IFERROR(__xludf.DUMMYFUNCTION("""COMPUTED_VALUE"""),"Google,Uber,LiveRamp,Amazon,Microsoft")</f>
        <v>Google,Uber,LiveRamp,Amazon,Microsoft</v>
      </c>
      <c r="I489" s="6">
        <f>IFERROR(__xludf.DUMMYFUNCTION("""COMPUTED_VALUE"""),32.85)</f>
        <v>32.85</v>
      </c>
      <c r="J489" s="6" t="str">
        <f>IFERROR(__xludf.DUMMYFUNCTION("""COMPUTED_VALUE"""),"算法")</f>
        <v>算法</v>
      </c>
    </row>
    <row r="490">
      <c r="A490" s="6">
        <f>IFERROR(__xludf.DUMMYFUNCTION("""COMPUTED_VALUE"""),582.0)</f>
        <v>582</v>
      </c>
      <c r="B490" s="53" t="str">
        <f>IFERROR(__xludf.DUMMYFUNCTION("""COMPUTED_VALUE"""),"Kill Process")</f>
        <v>Kill Process</v>
      </c>
      <c r="C490" s="6" t="str">
        <f>IFERROR(__xludf.DUMMYFUNCTION("""COMPUTED_VALUE"""),"Medium")</f>
        <v>Medium</v>
      </c>
      <c r="D490" s="6" t="str">
        <f>IFERROR(__xludf.DUMMYFUNCTION("""COMPUTED_VALUE"""),"Queue,Tree")</f>
        <v>Queue,Tree</v>
      </c>
      <c r="E490" s="6" t="str">
        <f>IFERROR(__xludf.DUMMYFUNCTION("""COMPUTED_VALUE"""),"Apple,Bloomberg,Amazon,Google")</f>
        <v>Apple,Bloomberg,Amazon,Google</v>
      </c>
      <c r="F490" s="6" t="str">
        <f>IFERROR(__xludf.DUMMYFUNCTION("""COMPUTED_VALUE"""),"Bloomberg")</f>
        <v>Bloomberg</v>
      </c>
      <c r="G490" s="6" t="str">
        <f>IFERROR(__xludf.DUMMYFUNCTION("""COMPUTED_VALUE"""),"Bloomberg")</f>
        <v>Bloomberg</v>
      </c>
      <c r="H490" s="6" t="str">
        <f>IFERROR(__xludf.DUMMYFUNCTION("""COMPUTED_VALUE"""),"Amazon,Google,Bloomberg")</f>
        <v>Amazon,Google,Bloomberg</v>
      </c>
      <c r="I490" s="6">
        <f>IFERROR(__xludf.DUMMYFUNCTION("""COMPUTED_VALUE"""),63.74)</f>
        <v>63.74</v>
      </c>
      <c r="J490" s="6" t="str">
        <f>IFERROR(__xludf.DUMMYFUNCTION("""COMPUTED_VALUE"""),"算法")</f>
        <v>算法</v>
      </c>
    </row>
    <row r="491">
      <c r="A491" s="6">
        <f>IFERROR(__xludf.DUMMYFUNCTION("""COMPUTED_VALUE"""),583.0)</f>
        <v>583</v>
      </c>
      <c r="B491" s="53" t="str">
        <f>IFERROR(__xludf.DUMMYFUNCTION("""COMPUTED_VALUE"""),"Delete Operation for Two Strings")</f>
        <v>Delete Operation for Two Strings</v>
      </c>
      <c r="C491" s="6" t="str">
        <f>IFERROR(__xludf.DUMMYFUNCTION("""COMPUTED_VALUE"""),"Medium")</f>
        <v>Medium</v>
      </c>
      <c r="D491" s="6" t="str">
        <f>IFERROR(__xludf.DUMMYFUNCTION("""COMPUTED_VALUE"""),"String")</f>
        <v>String</v>
      </c>
      <c r="E491" s="6" t="str">
        <f>IFERROR(__xludf.DUMMYFUNCTION("""COMPUTED_VALUE"""),"Google")</f>
        <v>Google</v>
      </c>
      <c r="F491" s="6"/>
      <c r="G491" s="6"/>
      <c r="H491" s="6" t="str">
        <f>IFERROR(__xludf.DUMMYFUNCTION("""COMPUTED_VALUE"""),"Google")</f>
        <v>Google</v>
      </c>
      <c r="I491" s="6">
        <f>IFERROR(__xludf.DUMMYFUNCTION("""COMPUTED_VALUE"""),50.19)</f>
        <v>50.19</v>
      </c>
      <c r="J491" s="6" t="str">
        <f>IFERROR(__xludf.DUMMYFUNCTION("""COMPUTED_VALUE"""),"算法")</f>
        <v>算法</v>
      </c>
    </row>
    <row r="492">
      <c r="A492" s="6">
        <f>IFERROR(__xludf.DUMMYFUNCTION("""COMPUTED_VALUE"""),587.0)</f>
        <v>587</v>
      </c>
      <c r="B492" s="53" t="str">
        <f>IFERROR(__xludf.DUMMYFUNCTION("""COMPUTED_VALUE"""),"Erect the Fence")</f>
        <v>Erect the Fence</v>
      </c>
      <c r="C492" s="6" t="str">
        <f>IFERROR(__xludf.DUMMYFUNCTION("""COMPUTED_VALUE"""),"Hard")</f>
        <v>Hard</v>
      </c>
      <c r="D492" s="6" t="str">
        <f>IFERROR(__xludf.DUMMYFUNCTION("""COMPUTED_VALUE"""),"Geometry")</f>
        <v>Geometry</v>
      </c>
      <c r="E492" s="6" t="str">
        <f>IFERROR(__xludf.DUMMYFUNCTION("""COMPUTED_VALUE"""),"Google")</f>
        <v>Google</v>
      </c>
      <c r="F492" s="6"/>
      <c r="G492" s="6"/>
      <c r="H492" s="6" t="str">
        <f>IFERROR(__xludf.DUMMYFUNCTION("""COMPUTED_VALUE"""),"Google")</f>
        <v>Google</v>
      </c>
      <c r="I492" s="6">
        <f>IFERROR(__xludf.DUMMYFUNCTION("""COMPUTED_VALUE"""),36.49)</f>
        <v>36.49</v>
      </c>
      <c r="J492" s="6" t="str">
        <f>IFERROR(__xludf.DUMMYFUNCTION("""COMPUTED_VALUE"""),"算法")</f>
        <v>算法</v>
      </c>
    </row>
    <row r="493">
      <c r="A493" s="6">
        <f>IFERROR(__xludf.DUMMYFUNCTION("""COMPUTED_VALUE"""),588.0)</f>
        <v>588</v>
      </c>
      <c r="B493" s="53" t="str">
        <f>IFERROR(__xludf.DUMMYFUNCTION("""COMPUTED_VALUE"""),"Design In-Memory File System")</f>
        <v>Design In-Memory File System</v>
      </c>
      <c r="C493" s="6" t="str">
        <f>IFERROR(__xludf.DUMMYFUNCTION("""COMPUTED_VALUE"""),"Hard")</f>
        <v>Hard</v>
      </c>
      <c r="D493" s="6" t="str">
        <f>IFERROR(__xludf.DUMMYFUNCTION("""COMPUTED_VALUE"""),"Design")</f>
        <v>Design</v>
      </c>
      <c r="E493" s="6" t="str">
        <f>IFERROR(__xludf.DUMMYFUNCTION("""COMPUTED_VALUE"""),"Citadel,Facebook,Microsoft,Google,Baidu,Airbnb,Amazon,Goldman Sachs")</f>
        <v>Citadel,Facebook,Microsoft,Google,Baidu,Airbnb,Amazon,Goldman Sachs</v>
      </c>
      <c r="F493" s="6" t="str">
        <f>IFERROR(__xludf.DUMMYFUNCTION("""COMPUTED_VALUE"""),"Amazon,Microsoft,Citadel,Google")</f>
        <v>Amazon,Microsoft,Citadel,Google</v>
      </c>
      <c r="G493" s="6" t="str">
        <f>IFERROR(__xludf.DUMMYFUNCTION("""COMPUTED_VALUE"""),"Amazon,Microsoft,Citadel,Google")</f>
        <v>Amazon,Microsoft,Citadel,Google</v>
      </c>
      <c r="H493" s="6" t="str">
        <f>IFERROR(__xludf.DUMMYFUNCTION("""COMPUTED_VALUE"""),"Airbnb,Facebook,Goldman Sachs,Baidu,Amazon,Microsoft,Citadel,Google")</f>
        <v>Airbnb,Facebook,Goldman Sachs,Baidu,Amazon,Microsoft,Citadel,Google</v>
      </c>
      <c r="I493" s="6">
        <f>IFERROR(__xludf.DUMMYFUNCTION("""COMPUTED_VALUE"""),46.66)</f>
        <v>46.66</v>
      </c>
      <c r="J493" s="6" t="str">
        <f>IFERROR(__xludf.DUMMYFUNCTION("""COMPUTED_VALUE"""),"算法")</f>
        <v>算法</v>
      </c>
    </row>
    <row r="494">
      <c r="A494" s="6">
        <f>IFERROR(__xludf.DUMMYFUNCTION("""COMPUTED_VALUE"""),590.0)</f>
        <v>590</v>
      </c>
      <c r="B494" s="53" t="str">
        <f>IFERROR(__xludf.DUMMYFUNCTION("""COMPUTED_VALUE"""),"N-ary Tree Postorder Traversal")</f>
        <v>N-ary Tree Postorder Traversal</v>
      </c>
      <c r="C494" s="6" t="str">
        <f>IFERROR(__xludf.DUMMYFUNCTION("""COMPUTED_VALUE"""),"Easy")</f>
        <v>Easy</v>
      </c>
      <c r="D494" s="6" t="str">
        <f>IFERROR(__xludf.DUMMYFUNCTION("""COMPUTED_VALUE"""),"Tree")</f>
        <v>Tree</v>
      </c>
      <c r="E494" s="6" t="str">
        <f>IFERROR(__xludf.DUMMYFUNCTION("""COMPUTED_VALUE"""),"Google,Amazon")</f>
        <v>Google,Amazon</v>
      </c>
      <c r="F494" s="6"/>
      <c r="G494" s="6" t="str">
        <f>IFERROR(__xludf.DUMMYFUNCTION("""COMPUTED_VALUE"""),"Amazon")</f>
        <v>Amazon</v>
      </c>
      <c r="H494" s="6" t="str">
        <f>IFERROR(__xludf.DUMMYFUNCTION("""COMPUTED_VALUE"""),"Google,Amazon")</f>
        <v>Google,Amazon</v>
      </c>
      <c r="I494" s="6">
        <f>IFERROR(__xludf.DUMMYFUNCTION("""COMPUTED_VALUE"""),73.47)</f>
        <v>73.47</v>
      </c>
      <c r="J494" s="6" t="str">
        <f>IFERROR(__xludf.DUMMYFUNCTION("""COMPUTED_VALUE"""),"算法")</f>
        <v>算法</v>
      </c>
    </row>
    <row r="495">
      <c r="A495" s="6">
        <f>IFERROR(__xludf.DUMMYFUNCTION("""COMPUTED_VALUE"""),591.0)</f>
        <v>591</v>
      </c>
      <c r="B495" s="53" t="str">
        <f>IFERROR(__xludf.DUMMYFUNCTION("""COMPUTED_VALUE"""),"Tag Validator")</f>
        <v>Tag Validator</v>
      </c>
      <c r="C495" s="6" t="str">
        <f>IFERROR(__xludf.DUMMYFUNCTION("""COMPUTED_VALUE"""),"Hard")</f>
        <v>Hard</v>
      </c>
      <c r="D495" s="6" t="str">
        <f>IFERROR(__xludf.DUMMYFUNCTION("""COMPUTED_VALUE"""),"Stack,String")</f>
        <v>Stack,String</v>
      </c>
      <c r="E495" s="6" t="str">
        <f>IFERROR(__xludf.DUMMYFUNCTION("""COMPUTED_VALUE"""),"Airbnb,Uber,Microsoft,Google")</f>
        <v>Airbnb,Uber,Microsoft,Google</v>
      </c>
      <c r="F495" s="6"/>
      <c r="G495" s="6"/>
      <c r="H495" s="6" t="str">
        <f>IFERROR(__xludf.DUMMYFUNCTION("""COMPUTED_VALUE"""),"Google,Uber,Microsoft,Airbnb")</f>
        <v>Google,Uber,Microsoft,Airbnb</v>
      </c>
      <c r="I495" s="6">
        <f>IFERROR(__xludf.DUMMYFUNCTION("""COMPUTED_VALUE"""),34.73)</f>
        <v>34.73</v>
      </c>
      <c r="J495" s="6" t="str">
        <f>IFERROR(__xludf.DUMMYFUNCTION("""COMPUTED_VALUE"""),"算法")</f>
        <v>算法</v>
      </c>
    </row>
    <row r="496">
      <c r="A496" s="6">
        <f>IFERROR(__xludf.DUMMYFUNCTION("""COMPUTED_VALUE"""),593.0)</f>
        <v>593</v>
      </c>
      <c r="B496" s="53" t="str">
        <f>IFERROR(__xludf.DUMMYFUNCTION("""COMPUTED_VALUE"""),"Valid Square")</f>
        <v>Valid Square</v>
      </c>
      <c r="C496" s="6" t="str">
        <f>IFERROR(__xludf.DUMMYFUNCTION("""COMPUTED_VALUE"""),"Medium")</f>
        <v>Medium</v>
      </c>
      <c r="D496" s="6" t="str">
        <f>IFERROR(__xludf.DUMMYFUNCTION("""COMPUTED_VALUE"""),"Math")</f>
        <v>Math</v>
      </c>
      <c r="E496" s="6" t="str">
        <f>IFERROR(__xludf.DUMMYFUNCTION("""COMPUTED_VALUE"""),"Pure Storage,Facebook,Google")</f>
        <v>Pure Storage,Facebook,Google</v>
      </c>
      <c r="F496" s="6" t="str">
        <f>IFERROR(__xludf.DUMMYFUNCTION("""COMPUTED_VALUE"""),"Pure Storage,Google")</f>
        <v>Pure Storage,Google</v>
      </c>
      <c r="G496" s="6" t="str">
        <f>IFERROR(__xludf.DUMMYFUNCTION("""COMPUTED_VALUE"""),"Pure Storage,Google")</f>
        <v>Pure Storage,Google</v>
      </c>
      <c r="H496" s="6" t="str">
        <f>IFERROR(__xludf.DUMMYFUNCTION("""COMPUTED_VALUE"""),"Facebook,Pure Storage,Google")</f>
        <v>Facebook,Pure Storage,Google</v>
      </c>
      <c r="I496" s="6">
        <f>IFERROR(__xludf.DUMMYFUNCTION("""COMPUTED_VALUE"""),43.29)</f>
        <v>43.29</v>
      </c>
      <c r="J496" s="6" t="str">
        <f>IFERROR(__xludf.DUMMYFUNCTION("""COMPUTED_VALUE"""),"算法")</f>
        <v>算法</v>
      </c>
    </row>
    <row r="497">
      <c r="A497" s="6">
        <f>IFERROR(__xludf.DUMMYFUNCTION("""COMPUTED_VALUE"""),604.0)</f>
        <v>604</v>
      </c>
      <c r="B497" s="53" t="str">
        <f>IFERROR(__xludf.DUMMYFUNCTION("""COMPUTED_VALUE"""),"Design Compressed String Iterator")</f>
        <v>Design Compressed String Iterator</v>
      </c>
      <c r="C497" s="6" t="str">
        <f>IFERROR(__xludf.DUMMYFUNCTION("""COMPUTED_VALUE"""),"Easy")</f>
        <v>Easy</v>
      </c>
      <c r="D497" s="6" t="str">
        <f>IFERROR(__xludf.DUMMYFUNCTION("""COMPUTED_VALUE"""),"Design")</f>
        <v>Design</v>
      </c>
      <c r="E497" s="6" t="str">
        <f>IFERROR(__xludf.DUMMYFUNCTION("""COMPUTED_VALUE"""),"Amazon,Google")</f>
        <v>Amazon,Google</v>
      </c>
      <c r="F497" s="6"/>
      <c r="G497" s="6"/>
      <c r="H497" s="6" t="str">
        <f>IFERROR(__xludf.DUMMYFUNCTION("""COMPUTED_VALUE"""),"Google,Amazon")</f>
        <v>Google,Amazon</v>
      </c>
      <c r="I497" s="6">
        <f>IFERROR(__xludf.DUMMYFUNCTION("""COMPUTED_VALUE"""),38.2)</f>
        <v>38.2</v>
      </c>
      <c r="J497" s="6" t="str">
        <f>IFERROR(__xludf.DUMMYFUNCTION("""COMPUTED_VALUE"""),"算法")</f>
        <v>算法</v>
      </c>
    </row>
    <row r="498">
      <c r="A498" s="6">
        <f>IFERROR(__xludf.DUMMYFUNCTION("""COMPUTED_VALUE"""),609.0)</f>
        <v>609</v>
      </c>
      <c r="B498" s="53" t="str">
        <f>IFERROR(__xludf.DUMMYFUNCTION("""COMPUTED_VALUE"""),"Find Duplicate File in System")</f>
        <v>Find Duplicate File in System</v>
      </c>
      <c r="C498" s="6" t="str">
        <f>IFERROR(__xludf.DUMMYFUNCTION("""COMPUTED_VALUE"""),"Medium")</f>
        <v>Medium</v>
      </c>
      <c r="D498" s="6" t="str">
        <f>IFERROR(__xludf.DUMMYFUNCTION("""COMPUTED_VALUE"""),"String,Hash Table")</f>
        <v>String,Hash Table</v>
      </c>
      <c r="E498" s="6" t="str">
        <f>IFERROR(__xludf.DUMMYFUNCTION("""COMPUTED_VALUE"""),"VMware,Dropbox,Oracle,Apple,Facebook,Amazon,Microsoft,Google")</f>
        <v>VMware,Dropbox,Oracle,Apple,Facebook,Amazon,Microsoft,Google</v>
      </c>
      <c r="F498" s="6" t="str">
        <f>IFERROR(__xludf.DUMMYFUNCTION("""COMPUTED_VALUE"""),"Dropbox,Amazon")</f>
        <v>Dropbox,Amazon</v>
      </c>
      <c r="G498" s="6" t="str">
        <f>IFERROR(__xludf.DUMMYFUNCTION("""COMPUTED_VALUE"""),"Google,Facebook,Apple,Dropbox,Amazon")</f>
        <v>Google,Facebook,Apple,Dropbox,Amazon</v>
      </c>
      <c r="H498" s="6" t="str">
        <f>IFERROR(__xludf.DUMMYFUNCTION("""COMPUTED_VALUE"""),"VMware,Microsoft,Oracle,Google,Facebook,Apple,Dropbox,Amazon")</f>
        <v>VMware,Microsoft,Oracle,Google,Facebook,Apple,Dropbox,Amazon</v>
      </c>
      <c r="I498" s="6">
        <f>IFERROR(__xludf.DUMMYFUNCTION("""COMPUTED_VALUE"""),61.12)</f>
        <v>61.12</v>
      </c>
      <c r="J498" s="6" t="str">
        <f>IFERROR(__xludf.DUMMYFUNCTION("""COMPUTED_VALUE"""),"算法")</f>
        <v>算法</v>
      </c>
    </row>
    <row r="499">
      <c r="A499" s="6">
        <f>IFERROR(__xludf.DUMMYFUNCTION("""COMPUTED_VALUE"""),616.0)</f>
        <v>616</v>
      </c>
      <c r="B499" s="53" t="str">
        <f>IFERROR(__xludf.DUMMYFUNCTION("""COMPUTED_VALUE"""),"Add Bold Tag in String")</f>
        <v>Add Bold Tag in String</v>
      </c>
      <c r="C499" s="6" t="str">
        <f>IFERROR(__xludf.DUMMYFUNCTION("""COMPUTED_VALUE"""),"Medium")</f>
        <v>Medium</v>
      </c>
      <c r="D499" s="6" t="str">
        <f>IFERROR(__xludf.DUMMYFUNCTION("""COMPUTED_VALUE"""),"String")</f>
        <v>String</v>
      </c>
      <c r="E499" s="6" t="str">
        <f>IFERROR(__xludf.DUMMYFUNCTION("""COMPUTED_VALUE"""),"Wish,Facebook,Google")</f>
        <v>Wish,Facebook,Google</v>
      </c>
      <c r="F499" s="6" t="str">
        <f>IFERROR(__xludf.DUMMYFUNCTION("""COMPUTED_VALUE"""),"Facebook")</f>
        <v>Facebook</v>
      </c>
      <c r="G499" s="6" t="str">
        <f>IFERROR(__xludf.DUMMYFUNCTION("""COMPUTED_VALUE"""),"Wish,Facebook")</f>
        <v>Wish,Facebook</v>
      </c>
      <c r="H499" s="6" t="str">
        <f>IFERROR(__xludf.DUMMYFUNCTION("""COMPUTED_VALUE"""),"Google,Wish,Facebook")</f>
        <v>Google,Wish,Facebook</v>
      </c>
      <c r="I499" s="6">
        <f>IFERROR(__xludf.DUMMYFUNCTION("""COMPUTED_VALUE"""),44.8)</f>
        <v>44.8</v>
      </c>
      <c r="J499" s="6" t="str">
        <f>IFERROR(__xludf.DUMMYFUNCTION("""COMPUTED_VALUE"""),"算法")</f>
        <v>算法</v>
      </c>
    </row>
    <row r="500">
      <c r="A500" s="6">
        <f>IFERROR(__xludf.DUMMYFUNCTION("""COMPUTED_VALUE"""),617.0)</f>
        <v>617</v>
      </c>
      <c r="B500" s="53" t="str">
        <f>IFERROR(__xludf.DUMMYFUNCTION("""COMPUTED_VALUE"""),"Merge Two Binary Trees")</f>
        <v>Merge Two Binary Trees</v>
      </c>
      <c r="C500" s="6" t="str">
        <f>IFERROR(__xludf.DUMMYFUNCTION("""COMPUTED_VALUE"""),"Easy")</f>
        <v>Easy</v>
      </c>
      <c r="D500" s="6" t="str">
        <f>IFERROR(__xludf.DUMMYFUNCTION("""COMPUTED_VALUE"""),"Tree")</f>
        <v>Tree</v>
      </c>
      <c r="E500" s="6" t="str">
        <f>IFERROR(__xludf.DUMMYFUNCTION("""COMPUTED_VALUE"""),"Yahoo,Bloomberg,Facebook,Microsoft,Google,Oracle,Huawei,Apple,Adobe,Amazon")</f>
        <v>Yahoo,Bloomberg,Facebook,Microsoft,Google,Oracle,Huawei,Apple,Adobe,Amazon</v>
      </c>
      <c r="F500" s="6" t="str">
        <f>IFERROR(__xludf.DUMMYFUNCTION("""COMPUTED_VALUE"""),"Amazon,Google,Facebook,Apple")</f>
        <v>Amazon,Google,Facebook,Apple</v>
      </c>
      <c r="G500" s="6" t="str">
        <f>IFERROR(__xludf.DUMMYFUNCTION("""COMPUTED_VALUE"""),"Adobe,Yahoo,Amazon,Google,Facebook,Apple")</f>
        <v>Adobe,Yahoo,Amazon,Google,Facebook,Apple</v>
      </c>
      <c r="H500" s="6" t="str">
        <f>IFERROR(__xludf.DUMMYFUNCTION("""COMPUTED_VALUE"""),"Huawei,Microsoft,Oracle,Bloomberg,Adobe,Yahoo,Amazon,Google,Facebook,Apple")</f>
        <v>Huawei,Microsoft,Oracle,Bloomberg,Adobe,Yahoo,Amazon,Google,Facebook,Apple</v>
      </c>
      <c r="I500" s="6">
        <f>IFERROR(__xludf.DUMMYFUNCTION("""COMPUTED_VALUE"""),75.44)</f>
        <v>75.44</v>
      </c>
      <c r="J500" s="6" t="str">
        <f>IFERROR(__xludf.DUMMYFUNCTION("""COMPUTED_VALUE"""),"算法")</f>
        <v>算法</v>
      </c>
    </row>
    <row r="501">
      <c r="A501" s="6">
        <f>IFERROR(__xludf.DUMMYFUNCTION("""COMPUTED_VALUE"""),621.0)</f>
        <v>621</v>
      </c>
      <c r="B501" s="53" t="str">
        <f>IFERROR(__xludf.DUMMYFUNCTION("""COMPUTED_VALUE"""),"Task Scheduler")</f>
        <v>Task Scheduler</v>
      </c>
      <c r="C501" s="6" t="str">
        <f>IFERROR(__xludf.DUMMYFUNCTION("""COMPUTED_VALUE"""),"Medium")</f>
        <v>Medium</v>
      </c>
      <c r="D501" s="6" t="str">
        <f>IFERROR(__xludf.DUMMYFUNCTION("""COMPUTED_VALUE"""),"Queue,Greedy,Array")</f>
        <v>Queue,Greedy,Array</v>
      </c>
      <c r="E501" s="6" t="str">
        <f>IFERROR(__xludf.DUMMYFUNCTION("""COMPUTED_VALUE"""),"Airtel,Rubrik,Snapchat,EBay,Nutanix,Pinterest,VMware,Oracle,Apple,Uber,Bloomberg,Facebook,Amazon,Microsoft,Google")</f>
        <v>Airtel,Rubrik,Snapchat,EBay,Nutanix,Pinterest,VMware,Oracle,Apple,Uber,Bloomberg,Facebook,Amazon,Microsoft,Google</v>
      </c>
      <c r="F501" s="6" t="str">
        <f>IFERROR(__xludf.DUMMYFUNCTION("""COMPUTED_VALUE"""),"Facebook,Amazon,Google,Rubrik,Pinterest,Microsoft,Bloomberg,Airtel")</f>
        <v>Facebook,Amazon,Google,Rubrik,Pinterest,Microsoft,Bloomberg,Airtel</v>
      </c>
      <c r="G501" s="6" t="str">
        <f>IFERROR(__xludf.DUMMYFUNCTION("""COMPUTED_VALUE"""),"Uber,eBay,Facebook,Amazon,Google,Rubrik,Pinterest,Microsoft,Bloomberg,Airtel")</f>
        <v>Uber,eBay,Facebook,Amazon,Google,Rubrik,Pinterest,Microsoft,Bloomberg,Airtel</v>
      </c>
      <c r="H501" s="6" t="str">
        <f>IFERROR(__xludf.DUMMYFUNCTION("""COMPUTED_VALUE"""),"Apple,Snapchat,Oracle,Uber,eBay,Facebook,Amazon,Google,Rubrik,Pinterest,Microsoft,Bloomberg,Airtel")</f>
        <v>Apple,Snapchat,Oracle,Uber,eBay,Facebook,Amazon,Google,Rubrik,Pinterest,Microsoft,Bloomberg,Airtel</v>
      </c>
      <c r="I501" s="6">
        <f>IFERROR(__xludf.DUMMYFUNCTION("""COMPUTED_VALUE"""),52.06)</f>
        <v>52.06</v>
      </c>
      <c r="J501" s="6" t="str">
        <f>IFERROR(__xludf.DUMMYFUNCTION("""COMPUTED_VALUE"""),"算法")</f>
        <v>算法</v>
      </c>
    </row>
    <row r="502">
      <c r="A502" s="6">
        <f>IFERROR(__xludf.DUMMYFUNCTION("""COMPUTED_VALUE"""),622.0)</f>
        <v>622</v>
      </c>
      <c r="B502" s="53" t="str">
        <f>IFERROR(__xludf.DUMMYFUNCTION("""COMPUTED_VALUE"""),"Design Circular Queue")</f>
        <v>Design Circular Queue</v>
      </c>
      <c r="C502" s="6" t="str">
        <f>IFERROR(__xludf.DUMMYFUNCTION("""COMPUTED_VALUE"""),"Medium")</f>
        <v>Medium</v>
      </c>
      <c r="D502" s="6" t="str">
        <f>IFERROR(__xludf.DUMMYFUNCTION("""COMPUTED_VALUE"""),"Queue,Design")</f>
        <v>Queue,Design</v>
      </c>
      <c r="E502" s="6" t="str">
        <f>IFERROR(__xludf.DUMMYFUNCTION("""COMPUTED_VALUE"""),"Cloudera,Splunk,Citadel,Oracle,Apple,Airbnb,Facebook,Amazon,Microsoft,Google")</f>
        <v>Cloudera,Splunk,Citadel,Oracle,Apple,Airbnb,Facebook,Amazon,Microsoft,Google</v>
      </c>
      <c r="F502" s="6" t="str">
        <f>IFERROR(__xludf.DUMMYFUNCTION("""COMPUTED_VALUE"""),"Facebook,Amazon,Microsoft,Oracle")</f>
        <v>Facebook,Amazon,Microsoft,Oracle</v>
      </c>
      <c r="G502" s="6" t="str">
        <f>IFERROR(__xludf.DUMMYFUNCTION("""COMPUTED_VALUE"""),"Apple,Google,Facebook,Amazon,Microsoft,Oracle")</f>
        <v>Apple,Google,Facebook,Amazon,Microsoft,Oracle</v>
      </c>
      <c r="H502" s="6" t="str">
        <f>IFERROR(__xludf.DUMMYFUNCTION("""COMPUTED_VALUE"""),"Cloudera,Citadel,Splunk,Airbnb,Apple,Google,Facebook,Amazon,Microsoft,Oracle")</f>
        <v>Cloudera,Citadel,Splunk,Airbnb,Apple,Google,Facebook,Amazon,Microsoft,Oracle</v>
      </c>
      <c r="I502" s="6">
        <f>IFERROR(__xludf.DUMMYFUNCTION("""COMPUTED_VALUE"""),45.9)</f>
        <v>45.9</v>
      </c>
      <c r="J502" s="6" t="str">
        <f>IFERROR(__xludf.DUMMYFUNCTION("""COMPUTED_VALUE"""),"算法")</f>
        <v>算法</v>
      </c>
    </row>
    <row r="503">
      <c r="A503" s="6">
        <f>IFERROR(__xludf.DUMMYFUNCTION("""COMPUTED_VALUE"""),630.0)</f>
        <v>630</v>
      </c>
      <c r="B503" s="53" t="str">
        <f>IFERROR(__xludf.DUMMYFUNCTION("""COMPUTED_VALUE"""),"Course Schedule III")</f>
        <v>Course Schedule III</v>
      </c>
      <c r="C503" s="6" t="str">
        <f>IFERROR(__xludf.DUMMYFUNCTION("""COMPUTED_VALUE"""),"Hard")</f>
        <v>Hard</v>
      </c>
      <c r="D503" s="6" t="str">
        <f>IFERROR(__xludf.DUMMYFUNCTION("""COMPUTED_VALUE"""),"Greedy")</f>
        <v>Greedy</v>
      </c>
      <c r="E503" s="6" t="str">
        <f>IFERROR(__xludf.DUMMYFUNCTION("""COMPUTED_VALUE"""),"Works Applications,Microsoft,Google")</f>
        <v>Works Applications,Microsoft,Google</v>
      </c>
      <c r="F503" s="6"/>
      <c r="G503" s="6" t="str">
        <f>IFERROR(__xludf.DUMMYFUNCTION("""COMPUTED_VALUE"""),"Google,Microsoft")</f>
        <v>Google,Microsoft</v>
      </c>
      <c r="H503" s="6" t="str">
        <f>IFERROR(__xludf.DUMMYFUNCTION("""COMPUTED_VALUE"""),"Works Applications,Google,Microsoft")</f>
        <v>Works Applications,Google,Microsoft</v>
      </c>
      <c r="I503" s="6">
        <f>IFERROR(__xludf.DUMMYFUNCTION("""COMPUTED_VALUE"""),33.81)</f>
        <v>33.81</v>
      </c>
      <c r="J503" s="6" t="str">
        <f>IFERROR(__xludf.DUMMYFUNCTION("""COMPUTED_VALUE"""),"算法")</f>
        <v>算法</v>
      </c>
    </row>
    <row r="504">
      <c r="A504" s="6">
        <f>IFERROR(__xludf.DUMMYFUNCTION("""COMPUTED_VALUE"""),632.0)</f>
        <v>632</v>
      </c>
      <c r="B504" s="53" t="str">
        <f>IFERROR(__xludf.DUMMYFUNCTION("""COMPUTED_VALUE"""),"Smallest Range Covering Elements from K Lists")</f>
        <v>Smallest Range Covering Elements from K Lists</v>
      </c>
      <c r="C504" s="6" t="str">
        <f>IFERROR(__xludf.DUMMYFUNCTION("""COMPUTED_VALUE"""),"Hard")</f>
        <v>Hard</v>
      </c>
      <c r="D504" s="6" t="str">
        <f>IFERROR(__xludf.DUMMYFUNCTION("""COMPUTED_VALUE"""),"String,Two Pointers,Hash Table")</f>
        <v>String,Two Pointers,Hash Table</v>
      </c>
      <c r="E504" s="6" t="str">
        <f>IFERROR(__xludf.DUMMYFUNCTION("""COMPUTED_VALUE"""),"Apple,Pinterest,Snapchat,Lyft,Facebook,Amazon,Microsoft,Google")</f>
        <v>Apple,Pinterest,Snapchat,Lyft,Facebook,Amazon,Microsoft,Google</v>
      </c>
      <c r="F504" s="6"/>
      <c r="G504" s="6" t="str">
        <f>IFERROR(__xludf.DUMMYFUNCTION("""COMPUTED_VALUE"""),"Amazon")</f>
        <v>Amazon</v>
      </c>
      <c r="H504" s="6" t="str">
        <f>IFERROR(__xludf.DUMMYFUNCTION("""COMPUTED_VALUE"""),"Google,Facebook,Apple,Snapchat,Lyft,Amazon")</f>
        <v>Google,Facebook,Apple,Snapchat,Lyft,Amazon</v>
      </c>
      <c r="I504" s="6">
        <f>IFERROR(__xludf.DUMMYFUNCTION("""COMPUTED_VALUE"""),54.35)</f>
        <v>54.35</v>
      </c>
      <c r="J504" s="6" t="str">
        <f>IFERROR(__xludf.DUMMYFUNCTION("""COMPUTED_VALUE"""),"算法")</f>
        <v>算法</v>
      </c>
    </row>
    <row r="505">
      <c r="A505" s="6">
        <f>IFERROR(__xludf.DUMMYFUNCTION("""COMPUTED_VALUE"""),635.0)</f>
        <v>635</v>
      </c>
      <c r="B505" s="53" t="str">
        <f>IFERROR(__xludf.DUMMYFUNCTION("""COMPUTED_VALUE"""),"Design Log Storage System")</f>
        <v>Design Log Storage System</v>
      </c>
      <c r="C505" s="6" t="str">
        <f>IFERROR(__xludf.DUMMYFUNCTION("""COMPUTED_VALUE"""),"Medium")</f>
        <v>Medium</v>
      </c>
      <c r="D505" s="6" t="str">
        <f>IFERROR(__xludf.DUMMYFUNCTION("""COMPUTED_VALUE"""),"Design,String")</f>
        <v>Design,String</v>
      </c>
      <c r="E505" s="6" t="str">
        <f>IFERROR(__xludf.DUMMYFUNCTION("""COMPUTED_VALUE"""),"Snapchat,Twitter,Amazon,Google")</f>
        <v>Snapchat,Twitter,Amazon,Google</v>
      </c>
      <c r="F505" s="6" t="str">
        <f>IFERROR(__xludf.DUMMYFUNCTION("""COMPUTED_VALUE"""),"Twitter,Amazon")</f>
        <v>Twitter,Amazon</v>
      </c>
      <c r="G505" s="6" t="str">
        <f>IFERROR(__xludf.DUMMYFUNCTION("""COMPUTED_VALUE"""),"Twitter,Amazon")</f>
        <v>Twitter,Amazon</v>
      </c>
      <c r="H505" s="6" t="str">
        <f>IFERROR(__xludf.DUMMYFUNCTION("""COMPUTED_VALUE"""),"Google,Snapchat,Twitter,Amazon")</f>
        <v>Google,Snapchat,Twitter,Amazon</v>
      </c>
      <c r="I505" s="6">
        <f>IFERROR(__xludf.DUMMYFUNCTION("""COMPUTED_VALUE"""),59.99)</f>
        <v>59.99</v>
      </c>
      <c r="J505" s="6" t="str">
        <f>IFERROR(__xludf.DUMMYFUNCTION("""COMPUTED_VALUE"""),"算法")</f>
        <v>算法</v>
      </c>
    </row>
    <row r="506">
      <c r="A506" s="6">
        <f>IFERROR(__xludf.DUMMYFUNCTION("""COMPUTED_VALUE"""),636.0)</f>
        <v>636</v>
      </c>
      <c r="B506" s="53" t="str">
        <f>IFERROR(__xludf.DUMMYFUNCTION("""COMPUTED_VALUE"""),"Exclusive Time of Functions")</f>
        <v>Exclusive Time of Functions</v>
      </c>
      <c r="C506" s="6" t="str">
        <f>IFERROR(__xludf.DUMMYFUNCTION("""COMPUTED_VALUE"""),"Medium")</f>
        <v>Medium</v>
      </c>
      <c r="D506" s="6" t="str">
        <f>IFERROR(__xludf.DUMMYFUNCTION("""COMPUTED_VALUE"""),"Stack")</f>
        <v>Stack</v>
      </c>
      <c r="E506" s="6" t="str">
        <f>IFERROR(__xludf.DUMMYFUNCTION("""COMPUTED_VALUE"""),"Qualtrics,Oracle,Apple,Uber,Facebook,Amazon,LinkedIn,Microsoft,Google")</f>
        <v>Qualtrics,Oracle,Apple,Uber,Facebook,Amazon,LinkedIn,Microsoft,Google</v>
      </c>
      <c r="F506" s="6" t="str">
        <f>IFERROR(__xludf.DUMMYFUNCTION("""COMPUTED_VALUE"""),"Facebook,Amazon,LinkedIn,Microsoft,Qualtrics")</f>
        <v>Facebook,Amazon,LinkedIn,Microsoft,Qualtrics</v>
      </c>
      <c r="G506" s="6" t="str">
        <f>IFERROR(__xludf.DUMMYFUNCTION("""COMPUTED_VALUE"""),"Apple,Google,Facebook,Amazon,LinkedIn,Microsoft,Qualtrics")</f>
        <v>Apple,Google,Facebook,Amazon,LinkedIn,Microsoft,Qualtrics</v>
      </c>
      <c r="H506" s="6" t="str">
        <f>IFERROR(__xludf.DUMMYFUNCTION("""COMPUTED_VALUE"""),"Oracle,Uber,Apple,Google,Facebook,Amazon,LinkedIn,Microsoft,Qualtrics")</f>
        <v>Oracle,Uber,Apple,Google,Facebook,Amazon,LinkedIn,Microsoft,Qualtrics</v>
      </c>
      <c r="I506" s="6">
        <f>IFERROR(__xludf.DUMMYFUNCTION("""COMPUTED_VALUE"""),54.73)</f>
        <v>54.73</v>
      </c>
      <c r="J506" s="6" t="str">
        <f>IFERROR(__xludf.DUMMYFUNCTION("""COMPUTED_VALUE"""),"算法")</f>
        <v>算法</v>
      </c>
    </row>
    <row r="507">
      <c r="A507" s="6">
        <f>IFERROR(__xludf.DUMMYFUNCTION("""COMPUTED_VALUE"""),638.0)</f>
        <v>638</v>
      </c>
      <c r="B507" s="53" t="str">
        <f>IFERROR(__xludf.DUMMYFUNCTION("""COMPUTED_VALUE"""),"Shopping Offers")</f>
        <v>Shopping Offers</v>
      </c>
      <c r="C507" s="6" t="str">
        <f>IFERROR(__xludf.DUMMYFUNCTION("""COMPUTED_VALUE"""),"Medium")</f>
        <v>Medium</v>
      </c>
      <c r="D507" s="6" t="str">
        <f>IFERROR(__xludf.DUMMYFUNCTION("""COMPUTED_VALUE"""),"Depth First Search,Dynamic Programming")</f>
        <v>Depth First Search,Dynamic Programming</v>
      </c>
      <c r="E507" s="6" t="str">
        <f>IFERROR(__xludf.DUMMYFUNCTION("""COMPUTED_VALUE"""),"Apple,Google")</f>
        <v>Apple,Google</v>
      </c>
      <c r="F507" s="6" t="str">
        <f>IFERROR(__xludf.DUMMYFUNCTION("""COMPUTED_VALUE"""),"Google")</f>
        <v>Google</v>
      </c>
      <c r="G507" s="6" t="str">
        <f>IFERROR(__xludf.DUMMYFUNCTION("""COMPUTED_VALUE"""),"Google")</f>
        <v>Google</v>
      </c>
      <c r="H507" s="6" t="str">
        <f>IFERROR(__xludf.DUMMYFUNCTION("""COMPUTED_VALUE"""),"Apple,Google")</f>
        <v>Apple,Google</v>
      </c>
      <c r="I507" s="6">
        <f>IFERROR(__xludf.DUMMYFUNCTION("""COMPUTED_VALUE"""),53.02)</f>
        <v>53.02</v>
      </c>
      <c r="J507" s="6" t="str">
        <f>IFERROR(__xludf.DUMMYFUNCTION("""COMPUTED_VALUE"""),"算法")</f>
        <v>算法</v>
      </c>
    </row>
    <row r="508">
      <c r="A508" s="6">
        <f>IFERROR(__xludf.DUMMYFUNCTION("""COMPUTED_VALUE"""),639.0)</f>
        <v>639</v>
      </c>
      <c r="B508" s="53" t="str">
        <f>IFERROR(__xludf.DUMMYFUNCTION("""COMPUTED_VALUE"""),"Decode Ways II")</f>
        <v>Decode Ways II</v>
      </c>
      <c r="C508" s="6" t="str">
        <f>IFERROR(__xludf.DUMMYFUNCTION("""COMPUTED_VALUE"""),"Hard")</f>
        <v>Hard</v>
      </c>
      <c r="D508" s="6" t="str">
        <f>IFERROR(__xludf.DUMMYFUNCTION("""COMPUTED_VALUE"""),"Dynamic Programming")</f>
        <v>Dynamic Programming</v>
      </c>
      <c r="E508" s="6" t="str">
        <f>IFERROR(__xludf.DUMMYFUNCTION("""COMPUTED_VALUE"""),"Facebook,Google")</f>
        <v>Facebook,Google</v>
      </c>
      <c r="F508" s="6"/>
      <c r="G508" s="6" t="str">
        <f>IFERROR(__xludf.DUMMYFUNCTION("""COMPUTED_VALUE"""),"Google")</f>
        <v>Google</v>
      </c>
      <c r="H508" s="6" t="str">
        <f>IFERROR(__xludf.DUMMYFUNCTION("""COMPUTED_VALUE"""),"Facebook,Google")</f>
        <v>Facebook,Google</v>
      </c>
      <c r="I508" s="6">
        <f>IFERROR(__xludf.DUMMYFUNCTION("""COMPUTED_VALUE"""),27.63)</f>
        <v>27.63</v>
      </c>
      <c r="J508" s="6" t="str">
        <f>IFERROR(__xludf.DUMMYFUNCTION("""COMPUTED_VALUE"""),"算法")</f>
        <v>算法</v>
      </c>
    </row>
    <row r="509">
      <c r="A509" s="6">
        <f>IFERROR(__xludf.DUMMYFUNCTION("""COMPUTED_VALUE"""),640.0)</f>
        <v>640</v>
      </c>
      <c r="B509" s="53" t="str">
        <f>IFERROR(__xludf.DUMMYFUNCTION("""COMPUTED_VALUE"""),"Solve the Equation")</f>
        <v>Solve the Equation</v>
      </c>
      <c r="C509" s="6" t="str">
        <f>IFERROR(__xludf.DUMMYFUNCTION("""COMPUTED_VALUE"""),"Medium")</f>
        <v>Medium</v>
      </c>
      <c r="D509" s="6" t="str">
        <f>IFERROR(__xludf.DUMMYFUNCTION("""COMPUTED_VALUE"""),"Math")</f>
        <v>Math</v>
      </c>
      <c r="E509" s="6" t="str">
        <f>IFERROR(__xludf.DUMMYFUNCTION("""COMPUTED_VALUE"""),"Uber,Amazon,Google")</f>
        <v>Uber,Amazon,Google</v>
      </c>
      <c r="F509" s="6"/>
      <c r="G509" s="6" t="str">
        <f>IFERROR(__xludf.DUMMYFUNCTION("""COMPUTED_VALUE"""),"Amazon")</f>
        <v>Amazon</v>
      </c>
      <c r="H509" s="6" t="str">
        <f>IFERROR(__xludf.DUMMYFUNCTION("""COMPUTED_VALUE"""),"Google,Amazon")</f>
        <v>Google,Amazon</v>
      </c>
      <c r="I509" s="6">
        <f>IFERROR(__xludf.DUMMYFUNCTION("""COMPUTED_VALUE"""),42.76)</f>
        <v>42.76</v>
      </c>
      <c r="J509" s="6" t="str">
        <f>IFERROR(__xludf.DUMMYFUNCTION("""COMPUTED_VALUE"""),"算法")</f>
        <v>算法</v>
      </c>
    </row>
    <row r="510">
      <c r="A510" s="6">
        <f>IFERROR(__xludf.DUMMYFUNCTION("""COMPUTED_VALUE"""),642.0)</f>
        <v>642</v>
      </c>
      <c r="B510" s="53" t="str">
        <f>IFERROR(__xludf.DUMMYFUNCTION("""COMPUTED_VALUE"""),"Design Search Autocomplete System")</f>
        <v>Design Search Autocomplete System</v>
      </c>
      <c r="C510" s="6" t="str">
        <f>IFERROR(__xludf.DUMMYFUNCTION("""COMPUTED_VALUE"""),"Hard")</f>
        <v>Hard</v>
      </c>
      <c r="D510" s="6" t="str">
        <f>IFERROR(__xludf.DUMMYFUNCTION("""COMPUTED_VALUE"""),"Trie,Design")</f>
        <v>Trie,Design</v>
      </c>
      <c r="E510" s="6" t="str">
        <f>IFERROR(__xludf.DUMMYFUNCTION("""COMPUTED_VALUE"""),"EBay,Salesforce,Dropbox,Snapchat,Lyft,Apple,Uber,Bloomberg,Facebook,Amazon,Microsoft,Google")</f>
        <v>EBay,Salesforce,Dropbox,Snapchat,Lyft,Apple,Uber,Bloomberg,Facebook,Amazon,Microsoft,Google</v>
      </c>
      <c r="F510" s="6" t="str">
        <f>IFERROR(__xludf.DUMMYFUNCTION("""COMPUTED_VALUE"""),"Lyft,Amazon,Google,Microsoft,Bloomberg")</f>
        <v>Lyft,Amazon,Google,Microsoft,Bloomberg</v>
      </c>
      <c r="G510" s="6" t="str">
        <f>IFERROR(__xludf.DUMMYFUNCTION("""COMPUTED_VALUE"""),"Apple,eBay,Lyft,Amazon,Google,Microsoft,Bloomberg")</f>
        <v>Apple,eBay,Lyft,Amazon,Google,Microsoft,Bloomberg</v>
      </c>
      <c r="H510" s="6" t="str">
        <f>IFERROR(__xludf.DUMMYFUNCTION("""COMPUTED_VALUE"""),"Dropbox,Uber,Facebook,Snapchat,Apple,eBay,Lyft,Amazon,Google,Microsoft,Bloomberg")</f>
        <v>Dropbox,Uber,Facebook,Snapchat,Apple,eBay,Lyft,Amazon,Google,Microsoft,Bloomberg</v>
      </c>
      <c r="I510" s="6">
        <f>IFERROR(__xludf.DUMMYFUNCTION("""COMPUTED_VALUE"""),46.34)</f>
        <v>46.34</v>
      </c>
      <c r="J510" s="6" t="str">
        <f>IFERROR(__xludf.DUMMYFUNCTION("""COMPUTED_VALUE"""),"算法")</f>
        <v>算法</v>
      </c>
    </row>
    <row r="511">
      <c r="A511" s="6">
        <f>IFERROR(__xludf.DUMMYFUNCTION("""COMPUTED_VALUE"""),643.0)</f>
        <v>643</v>
      </c>
      <c r="B511" s="53" t="str">
        <f>IFERROR(__xludf.DUMMYFUNCTION("""COMPUTED_VALUE"""),"Maximum Average Subarray I")</f>
        <v>Maximum Average Subarray I</v>
      </c>
      <c r="C511" s="6" t="str">
        <f>IFERROR(__xludf.DUMMYFUNCTION("""COMPUTED_VALUE"""),"Easy")</f>
        <v>Easy</v>
      </c>
      <c r="D511" s="6" t="str">
        <f>IFERROR(__xludf.DUMMYFUNCTION("""COMPUTED_VALUE"""),"Array")</f>
        <v>Array</v>
      </c>
      <c r="E511" s="6" t="str">
        <f>IFERROR(__xludf.DUMMYFUNCTION("""COMPUTED_VALUE"""),"Amazon,Microsoft,Google")</f>
        <v>Amazon,Microsoft,Google</v>
      </c>
      <c r="F511" s="6"/>
      <c r="G511" s="6" t="str">
        <f>IFERROR(__xludf.DUMMYFUNCTION("""COMPUTED_VALUE"""),"Amazon")</f>
        <v>Amazon</v>
      </c>
      <c r="H511" s="6" t="str">
        <f>IFERROR(__xludf.DUMMYFUNCTION("""COMPUTED_VALUE"""),"Google,Amazon")</f>
        <v>Google,Amazon</v>
      </c>
      <c r="I511" s="6">
        <f>IFERROR(__xludf.DUMMYFUNCTION("""COMPUTED_VALUE"""),41.98)</f>
        <v>41.98</v>
      </c>
      <c r="J511" s="6" t="str">
        <f>IFERROR(__xludf.DUMMYFUNCTION("""COMPUTED_VALUE"""),"算法")</f>
        <v>算法</v>
      </c>
    </row>
    <row r="512">
      <c r="A512" s="6">
        <f>IFERROR(__xludf.DUMMYFUNCTION("""COMPUTED_VALUE"""),644.0)</f>
        <v>644</v>
      </c>
      <c r="B512" s="53" t="str">
        <f>IFERROR(__xludf.DUMMYFUNCTION("""COMPUTED_VALUE"""),"Maximum Average Subarray II")</f>
        <v>Maximum Average Subarray II</v>
      </c>
      <c r="C512" s="6" t="str">
        <f>IFERROR(__xludf.DUMMYFUNCTION("""COMPUTED_VALUE"""),"Hard")</f>
        <v>Hard</v>
      </c>
      <c r="D512" s="6" t="str">
        <f>IFERROR(__xludf.DUMMYFUNCTION("""COMPUTED_VALUE"""),"Binary Search,Array")</f>
        <v>Binary Search,Array</v>
      </c>
      <c r="E512" s="6" t="str">
        <f>IFERROR(__xludf.DUMMYFUNCTION("""COMPUTED_VALUE"""),"Google")</f>
        <v>Google</v>
      </c>
      <c r="F512" s="6"/>
      <c r="G512" s="6"/>
      <c r="H512" s="6" t="str">
        <f>IFERROR(__xludf.DUMMYFUNCTION("""COMPUTED_VALUE"""),"Google")</f>
        <v>Google</v>
      </c>
      <c r="I512" s="6">
        <f>IFERROR(__xludf.DUMMYFUNCTION("""COMPUTED_VALUE"""),34.12)</f>
        <v>34.12</v>
      </c>
      <c r="J512" s="6" t="str">
        <f>IFERROR(__xludf.DUMMYFUNCTION("""COMPUTED_VALUE"""),"算法")</f>
        <v>算法</v>
      </c>
    </row>
    <row r="513">
      <c r="A513" s="6">
        <f>IFERROR(__xludf.DUMMYFUNCTION("""COMPUTED_VALUE"""),647.0)</f>
        <v>647</v>
      </c>
      <c r="B513" s="53" t="str">
        <f>IFERROR(__xludf.DUMMYFUNCTION("""COMPUTED_VALUE"""),"Palindromic Substrings")</f>
        <v>Palindromic Substrings</v>
      </c>
      <c r="C513" s="6" t="str">
        <f>IFERROR(__xludf.DUMMYFUNCTION("""COMPUTED_VALUE"""),"Medium")</f>
        <v>Medium</v>
      </c>
      <c r="D513" s="6" t="str">
        <f>IFERROR(__xludf.DUMMYFUNCTION("""COMPUTED_VALUE"""),"Dynamic Programming,String")</f>
        <v>Dynamic Programming,String</v>
      </c>
      <c r="E513" s="6" t="str">
        <f>IFERROR(__xludf.DUMMYFUNCTION("""COMPUTED_VALUE"""),"Walmart Labs,Expedia,Citrix,Bloomberg,Goldman Sachs,Coursera,Pure Storage,Atlassian,Roblox,VMware,Citadel,Twitter,Mathworks,Apple,Uber,SAP,Adobe,Facebook,Amazon,LinkedIn,Microsoft,Google")</f>
        <v>Walmart Labs,Expedia,Citrix,Bloomberg,Goldman Sachs,Coursera,Pure Storage,Atlassian,Roblox,VMware,Citadel,Twitter,Mathworks,Apple,Uber,SAP,Adobe,Facebook,Amazon,LinkedIn,Microsoft,Google</v>
      </c>
      <c r="F513" s="6" t="str">
        <f>IFERROR(__xludf.DUMMYFUNCTION("""COMPUTED_VALUE"""),"Facebook,Goldman Sachs,Expedia,Google,Twitter,Bloomberg,Walmart Labs")</f>
        <v>Facebook,Goldman Sachs,Expedia,Google,Twitter,Bloomberg,Walmart Labs</v>
      </c>
      <c r="G513" s="6" t="str">
        <f>IFERROR(__xludf.DUMMYFUNCTION("""COMPUTED_VALUE"""),"Microsoft,Apple,Amazon,Citadel,Facebook,Goldman Sachs,Expedia,Google,Twitter,Bloomberg,Walmart Labs")</f>
        <v>Microsoft,Apple,Amazon,Citadel,Facebook,Goldman Sachs,Expedia,Google,Twitter,Bloomberg,Walmart Labs</v>
      </c>
      <c r="H513" s="6" t="str">
        <f>IFERROR(__xludf.DUMMYFUNCTION("""COMPUTED_VALUE"""),"Mathworks,Pure Storage,Uber,VMware,Atlassian,Citrix,Roblox,LinkedIn,Microsoft,Apple,Amazon,Citadel,Facebook,Goldman Sachs,Expedia,Google,Twitter,Bloomberg,Walmart Labs")</f>
        <v>Mathworks,Pure Storage,Uber,VMware,Atlassian,Citrix,Roblox,LinkedIn,Microsoft,Apple,Amazon,Citadel,Facebook,Goldman Sachs,Expedia,Google,Twitter,Bloomberg,Walmart Labs</v>
      </c>
      <c r="I513" s="6">
        <f>IFERROR(__xludf.DUMMYFUNCTION("""COMPUTED_VALUE"""),61.95)</f>
        <v>61.95</v>
      </c>
      <c r="J513" s="6" t="str">
        <f>IFERROR(__xludf.DUMMYFUNCTION("""COMPUTED_VALUE"""),"算法")</f>
        <v>算法</v>
      </c>
    </row>
    <row r="514">
      <c r="A514" s="6">
        <f>IFERROR(__xludf.DUMMYFUNCTION("""COMPUTED_VALUE"""),651.0)</f>
        <v>651</v>
      </c>
      <c r="B514" s="53" t="str">
        <f>IFERROR(__xludf.DUMMYFUNCTION("""COMPUTED_VALUE"""),"4 Keys Keyboard")</f>
        <v>4 Keys Keyboard</v>
      </c>
      <c r="C514" s="6" t="str">
        <f>IFERROR(__xludf.DUMMYFUNCTION("""COMPUTED_VALUE"""),"Medium")</f>
        <v>Medium</v>
      </c>
      <c r="D514" s="6" t="str">
        <f>IFERROR(__xludf.DUMMYFUNCTION("""COMPUTED_VALUE"""),"Greedy,Dynamic Programming,Math")</f>
        <v>Greedy,Dynamic Programming,Math</v>
      </c>
      <c r="E514" s="6" t="str">
        <f>IFERROR(__xludf.DUMMYFUNCTION("""COMPUTED_VALUE"""),"Microsoft,Google")</f>
        <v>Microsoft,Google</v>
      </c>
      <c r="F514" s="6"/>
      <c r="G514" s="6"/>
      <c r="H514" s="6" t="str">
        <f>IFERROR(__xludf.DUMMYFUNCTION("""COMPUTED_VALUE"""),"Google,Microsoft")</f>
        <v>Google,Microsoft</v>
      </c>
      <c r="I514" s="6">
        <f>IFERROR(__xludf.DUMMYFUNCTION("""COMPUTED_VALUE"""),53.19)</f>
        <v>53.19</v>
      </c>
      <c r="J514" s="6" t="str">
        <f>IFERROR(__xludf.DUMMYFUNCTION("""COMPUTED_VALUE"""),"算法")</f>
        <v>算法</v>
      </c>
    </row>
    <row r="515">
      <c r="A515" s="6">
        <f>IFERROR(__xludf.DUMMYFUNCTION("""COMPUTED_VALUE"""),652.0)</f>
        <v>652</v>
      </c>
      <c r="B515" s="53" t="str">
        <f>IFERROR(__xludf.DUMMYFUNCTION("""COMPUTED_VALUE"""),"Find Duplicate Subtrees")</f>
        <v>Find Duplicate Subtrees</v>
      </c>
      <c r="C515" s="6" t="str">
        <f>IFERROR(__xludf.DUMMYFUNCTION("""COMPUTED_VALUE"""),"Medium")</f>
        <v>Medium</v>
      </c>
      <c r="D515" s="6" t="str">
        <f>IFERROR(__xludf.DUMMYFUNCTION("""COMPUTED_VALUE"""),"Tree")</f>
        <v>Tree</v>
      </c>
      <c r="E515" s="6" t="str">
        <f>IFERROR(__xludf.DUMMYFUNCTION("""COMPUTED_VALUE"""),"Rubrik,Oracle,Lyft,Uber,Bloomberg,Facebook,Amazon,Microsoft,Google")</f>
        <v>Rubrik,Oracle,Lyft,Uber,Bloomberg,Facebook,Amazon,Microsoft,Google</v>
      </c>
      <c r="F515" s="6" t="str">
        <f>IFERROR(__xludf.DUMMYFUNCTION("""COMPUTED_VALUE"""),"Google,Amazon")</f>
        <v>Google,Amazon</v>
      </c>
      <c r="G515" s="6" t="str">
        <f>IFERROR(__xludf.DUMMYFUNCTION("""COMPUTED_VALUE"""),"Microsoft,Google,Amazon")</f>
        <v>Microsoft,Google,Amazon</v>
      </c>
      <c r="H515" s="6" t="str">
        <f>IFERROR(__xludf.DUMMYFUNCTION("""COMPUTED_VALUE"""),"Bloomberg,Facebook,Oracle,Rubrik,Microsoft,Google,Amazon")</f>
        <v>Bloomberg,Facebook,Oracle,Rubrik,Microsoft,Google,Amazon</v>
      </c>
      <c r="I515" s="6">
        <f>IFERROR(__xludf.DUMMYFUNCTION("""COMPUTED_VALUE"""),52.7)</f>
        <v>52.7</v>
      </c>
      <c r="J515" s="6" t="str">
        <f>IFERROR(__xludf.DUMMYFUNCTION("""COMPUTED_VALUE"""),"算法")</f>
        <v>算法</v>
      </c>
    </row>
    <row r="516">
      <c r="A516" s="6">
        <f>IFERROR(__xludf.DUMMYFUNCTION("""COMPUTED_VALUE"""),653.0)</f>
        <v>653</v>
      </c>
      <c r="B516" s="53" t="str">
        <f>IFERROR(__xludf.DUMMYFUNCTION("""COMPUTED_VALUE"""),"Two Sum IV - Input is a BST")</f>
        <v>Two Sum IV - Input is a BST</v>
      </c>
      <c r="C516" s="6" t="str">
        <f>IFERROR(__xludf.DUMMYFUNCTION("""COMPUTED_VALUE"""),"Easy")</f>
        <v>Easy</v>
      </c>
      <c r="D516" s="6" t="str">
        <f>IFERROR(__xludf.DUMMYFUNCTION("""COMPUTED_VALUE"""),"Tree")</f>
        <v>Tree</v>
      </c>
      <c r="E516" s="6" t="str">
        <f>IFERROR(__xludf.DUMMYFUNCTION("""COMPUTED_VALUE"""),"Bloomberg,Snapchat,ServiceNow,Samsung,Facebook,Amazon,Microsoft,Google")</f>
        <v>Bloomberg,Snapchat,ServiceNow,Samsung,Facebook,Amazon,Microsoft,Google</v>
      </c>
      <c r="F516" s="6" t="str">
        <f>IFERROR(__xludf.DUMMYFUNCTION("""COMPUTED_VALUE"""),"Microsoft")</f>
        <v>Microsoft</v>
      </c>
      <c r="G516" s="6" t="str">
        <f>IFERROR(__xludf.DUMMYFUNCTION("""COMPUTED_VALUE"""),"Amazon,Facebook,ServiceNow,Microsoft")</f>
        <v>Amazon,Facebook,ServiceNow,Microsoft</v>
      </c>
      <c r="H516" s="6" t="str">
        <f>IFERROR(__xludf.DUMMYFUNCTION("""COMPUTED_VALUE"""),"Bloomberg,Samsung,Amazon,Facebook,ServiceNow,Microsoft")</f>
        <v>Bloomberg,Samsung,Amazon,Facebook,ServiceNow,Microsoft</v>
      </c>
      <c r="I516" s="6">
        <f>IFERROR(__xludf.DUMMYFUNCTION("""COMPUTED_VALUE"""),56.31)</f>
        <v>56.31</v>
      </c>
      <c r="J516" s="6" t="str">
        <f>IFERROR(__xludf.DUMMYFUNCTION("""COMPUTED_VALUE"""),"算法")</f>
        <v>算法</v>
      </c>
    </row>
    <row r="517">
      <c r="A517" s="6">
        <f>IFERROR(__xludf.DUMMYFUNCTION("""COMPUTED_VALUE"""),654.0)</f>
        <v>654</v>
      </c>
      <c r="B517" s="53" t="str">
        <f>IFERROR(__xludf.DUMMYFUNCTION("""COMPUTED_VALUE"""),"Maximum Binary Tree")</f>
        <v>Maximum Binary Tree</v>
      </c>
      <c r="C517" s="6" t="str">
        <f>IFERROR(__xludf.DUMMYFUNCTION("""COMPUTED_VALUE"""),"Medium")</f>
        <v>Medium</v>
      </c>
      <c r="D517" s="6" t="str">
        <f>IFERROR(__xludf.DUMMYFUNCTION("""COMPUTED_VALUE"""),"Tree")</f>
        <v>Tree</v>
      </c>
      <c r="E517" s="6" t="str">
        <f>IFERROR(__xludf.DUMMYFUNCTION("""COMPUTED_VALUE"""),"Facebook,Amazon,Microsoft,Google")</f>
        <v>Facebook,Amazon,Microsoft,Google</v>
      </c>
      <c r="F517" s="6"/>
      <c r="G517" s="6" t="str">
        <f>IFERROR(__xludf.DUMMYFUNCTION("""COMPUTED_VALUE"""),"Google")</f>
        <v>Google</v>
      </c>
      <c r="H517" s="6" t="str">
        <f>IFERROR(__xludf.DUMMYFUNCTION("""COMPUTED_VALUE"""),"Amazon,Microsoft,Google")</f>
        <v>Amazon,Microsoft,Google</v>
      </c>
      <c r="I517" s="6">
        <f>IFERROR(__xludf.DUMMYFUNCTION("""COMPUTED_VALUE"""),81.25)</f>
        <v>81.25</v>
      </c>
      <c r="J517" s="6" t="str">
        <f>IFERROR(__xludf.DUMMYFUNCTION("""COMPUTED_VALUE"""),"算法")</f>
        <v>算法</v>
      </c>
    </row>
    <row r="518">
      <c r="A518" s="6">
        <f>IFERROR(__xludf.DUMMYFUNCTION("""COMPUTED_VALUE"""),656.0)</f>
        <v>656</v>
      </c>
      <c r="B518" s="53" t="str">
        <f>IFERROR(__xludf.DUMMYFUNCTION("""COMPUTED_VALUE"""),"Coin Path")</f>
        <v>Coin Path</v>
      </c>
      <c r="C518" s="6" t="str">
        <f>IFERROR(__xludf.DUMMYFUNCTION("""COMPUTED_VALUE"""),"Hard")</f>
        <v>Hard</v>
      </c>
      <c r="D518" s="6" t="str">
        <f>IFERROR(__xludf.DUMMYFUNCTION("""COMPUTED_VALUE"""),"Dynamic Programming")</f>
        <v>Dynamic Programming</v>
      </c>
      <c r="E518" s="6" t="str">
        <f>IFERROR(__xludf.DUMMYFUNCTION("""COMPUTED_VALUE"""),"Google")</f>
        <v>Google</v>
      </c>
      <c r="F518" s="6"/>
      <c r="G518" s="6"/>
      <c r="H518" s="6" t="str">
        <f>IFERROR(__xludf.DUMMYFUNCTION("""COMPUTED_VALUE"""),"Google")</f>
        <v>Google</v>
      </c>
      <c r="I518" s="6">
        <f>IFERROR(__xludf.DUMMYFUNCTION("""COMPUTED_VALUE"""),29.68)</f>
        <v>29.68</v>
      </c>
      <c r="J518" s="6" t="str">
        <f>IFERROR(__xludf.DUMMYFUNCTION("""COMPUTED_VALUE"""),"算法")</f>
        <v>算法</v>
      </c>
    </row>
    <row r="519">
      <c r="A519" s="6">
        <f>IFERROR(__xludf.DUMMYFUNCTION("""COMPUTED_VALUE"""),657.0)</f>
        <v>657</v>
      </c>
      <c r="B519" s="53" t="str">
        <f>IFERROR(__xludf.DUMMYFUNCTION("""COMPUTED_VALUE"""),"Robot Return to Origin")</f>
        <v>Robot Return to Origin</v>
      </c>
      <c r="C519" s="6" t="str">
        <f>IFERROR(__xludf.DUMMYFUNCTION("""COMPUTED_VALUE"""),"Easy")</f>
        <v>Easy</v>
      </c>
      <c r="D519" s="6" t="str">
        <f>IFERROR(__xludf.DUMMYFUNCTION("""COMPUTED_VALUE"""),"String")</f>
        <v>String</v>
      </c>
      <c r="E519" s="6" t="str">
        <f>IFERROR(__xludf.DUMMYFUNCTION("""COMPUTED_VALUE"""),"Amazon,Goldman Sachs,Google")</f>
        <v>Amazon,Goldman Sachs,Google</v>
      </c>
      <c r="F519" s="6" t="str">
        <f>IFERROR(__xludf.DUMMYFUNCTION("""COMPUTED_VALUE"""),"Goldman Sachs,Amazon")</f>
        <v>Goldman Sachs,Amazon</v>
      </c>
      <c r="G519" s="6" t="str">
        <f>IFERROR(__xludf.DUMMYFUNCTION("""COMPUTED_VALUE"""),"Goldman Sachs,Amazon")</f>
        <v>Goldman Sachs,Amazon</v>
      </c>
      <c r="H519" s="6" t="str">
        <f>IFERROR(__xludf.DUMMYFUNCTION("""COMPUTED_VALUE"""),"Google,Goldman Sachs,Amazon")</f>
        <v>Google,Goldman Sachs,Amazon</v>
      </c>
      <c r="I519" s="6">
        <f>IFERROR(__xludf.DUMMYFUNCTION("""COMPUTED_VALUE"""),73.93)</f>
        <v>73.93</v>
      </c>
      <c r="J519" s="6" t="str">
        <f>IFERROR(__xludf.DUMMYFUNCTION("""COMPUTED_VALUE"""),"算法")</f>
        <v>算法</v>
      </c>
    </row>
    <row r="520">
      <c r="A520" s="6">
        <f>IFERROR(__xludf.DUMMYFUNCTION("""COMPUTED_VALUE"""),658.0)</f>
        <v>658</v>
      </c>
      <c r="B520" s="53" t="str">
        <f>IFERROR(__xludf.DUMMYFUNCTION("""COMPUTED_VALUE"""),"Find K Closest Elements")</f>
        <v>Find K Closest Elements</v>
      </c>
      <c r="C520" s="6" t="str">
        <f>IFERROR(__xludf.DUMMYFUNCTION("""COMPUTED_VALUE"""),"Medium")</f>
        <v>Medium</v>
      </c>
      <c r="D520" s="6" t="str">
        <f>IFERROR(__xludf.DUMMYFUNCTION("""COMPUTED_VALUE"""),"Binary Search")</f>
        <v>Binary Search</v>
      </c>
      <c r="E520" s="6" t="str">
        <f>IFERROR(__xludf.DUMMYFUNCTION("""COMPUTED_VALUE"""),"Paypal,Yandex,Snapchat,EBay,Apple,Uber,Bloomberg,Facebook,Amazon,Microsoft,Google")</f>
        <v>Paypal,Yandex,Snapchat,EBay,Apple,Uber,Bloomberg,Facebook,Amazon,Microsoft,Google</v>
      </c>
      <c r="F520" s="6" t="str">
        <f>IFERROR(__xludf.DUMMYFUNCTION("""COMPUTED_VALUE"""),"Facebook,Microsoft,Google,Paypal")</f>
        <v>Facebook,Microsoft,Google,Paypal</v>
      </c>
      <c r="G520" s="6" t="str">
        <f>IFERROR(__xludf.DUMMYFUNCTION("""COMPUTED_VALUE"""),"Apple,Amazon,Bloomberg,eBay,Facebook,Microsoft,Google,Paypal")</f>
        <v>Apple,Amazon,Bloomberg,eBay,Facebook,Microsoft,Google,Paypal</v>
      </c>
      <c r="H520" s="6" t="str">
        <f>IFERROR(__xludf.DUMMYFUNCTION("""COMPUTED_VALUE"""),"Uber,Snapchat,Yandex,Apple,Amazon,Bloomberg,eBay,Facebook,Microsoft,Google,Paypal")</f>
        <v>Uber,Snapchat,Yandex,Apple,Amazon,Bloomberg,eBay,Facebook,Microsoft,Google,Paypal</v>
      </c>
      <c r="I520" s="6">
        <f>IFERROR(__xludf.DUMMYFUNCTION("""COMPUTED_VALUE"""),42.1)</f>
        <v>42.1</v>
      </c>
      <c r="J520" s="6" t="str">
        <f>IFERROR(__xludf.DUMMYFUNCTION("""COMPUTED_VALUE"""),"算法")</f>
        <v>算法</v>
      </c>
    </row>
    <row r="521">
      <c r="A521" s="6">
        <f>IFERROR(__xludf.DUMMYFUNCTION("""COMPUTED_VALUE"""),659.0)</f>
        <v>659</v>
      </c>
      <c r="B521" s="53" t="str">
        <f>IFERROR(__xludf.DUMMYFUNCTION("""COMPUTED_VALUE"""),"Split Array into Consecutive Subsequences")</f>
        <v>Split Array into Consecutive Subsequences</v>
      </c>
      <c r="C521" s="6" t="str">
        <f>IFERROR(__xludf.DUMMYFUNCTION("""COMPUTED_VALUE"""),"Medium")</f>
        <v>Medium</v>
      </c>
      <c r="D521" s="6" t="str">
        <f>IFERROR(__xludf.DUMMYFUNCTION("""COMPUTED_VALUE"""),"Greedy,Heap")</f>
        <v>Greedy,Heap</v>
      </c>
      <c r="E521" s="6" t="str">
        <f>IFERROR(__xludf.DUMMYFUNCTION("""COMPUTED_VALUE"""),"Uber,Google")</f>
        <v>Uber,Google</v>
      </c>
      <c r="F521" s="6" t="str">
        <f>IFERROR(__xludf.DUMMYFUNCTION("""COMPUTED_VALUE"""),"Uber")</f>
        <v>Uber</v>
      </c>
      <c r="G521" s="6" t="str">
        <f>IFERROR(__xludf.DUMMYFUNCTION("""COMPUTED_VALUE"""),"Google,Uber")</f>
        <v>Google,Uber</v>
      </c>
      <c r="H521" s="6" t="str">
        <f>IFERROR(__xludf.DUMMYFUNCTION("""COMPUTED_VALUE"""),"Google,Uber")</f>
        <v>Google,Uber</v>
      </c>
      <c r="I521" s="6">
        <f>IFERROR(__xludf.DUMMYFUNCTION("""COMPUTED_VALUE"""),44.42)</f>
        <v>44.42</v>
      </c>
      <c r="J521" s="6" t="str">
        <f>IFERROR(__xludf.DUMMYFUNCTION("""COMPUTED_VALUE"""),"算法")</f>
        <v>算法</v>
      </c>
    </row>
    <row r="522">
      <c r="A522" s="6">
        <f>IFERROR(__xludf.DUMMYFUNCTION("""COMPUTED_VALUE"""),660.0)</f>
        <v>660</v>
      </c>
      <c r="B522" s="53" t="str">
        <f>IFERROR(__xludf.DUMMYFUNCTION("""COMPUTED_VALUE"""),"Remove 9")</f>
        <v>Remove 9</v>
      </c>
      <c r="C522" s="6" t="str">
        <f>IFERROR(__xludf.DUMMYFUNCTION("""COMPUTED_VALUE"""),"Hard")</f>
        <v>Hard</v>
      </c>
      <c r="D522" s="6" t="str">
        <f>IFERROR(__xludf.DUMMYFUNCTION("""COMPUTED_VALUE"""),"Math")</f>
        <v>Math</v>
      </c>
      <c r="E522" s="6" t="str">
        <f>IFERROR(__xludf.DUMMYFUNCTION("""COMPUTED_VALUE"""),"Houzz,Google")</f>
        <v>Houzz,Google</v>
      </c>
      <c r="F522" s="6"/>
      <c r="G522" s="6"/>
      <c r="H522" s="6" t="str">
        <f>IFERROR(__xludf.DUMMYFUNCTION("""COMPUTED_VALUE"""),"Google,Houzz")</f>
        <v>Google,Houzz</v>
      </c>
      <c r="I522" s="6">
        <f>IFERROR(__xludf.DUMMYFUNCTION("""COMPUTED_VALUE"""),54.26)</f>
        <v>54.26</v>
      </c>
      <c r="J522" s="6" t="str">
        <f>IFERROR(__xludf.DUMMYFUNCTION("""COMPUTED_VALUE"""),"算法")</f>
        <v>算法</v>
      </c>
    </row>
    <row r="523">
      <c r="A523" s="6">
        <f>IFERROR(__xludf.DUMMYFUNCTION("""COMPUTED_VALUE"""),662.0)</f>
        <v>662</v>
      </c>
      <c r="B523" s="53" t="str">
        <f>IFERROR(__xludf.DUMMYFUNCTION("""COMPUTED_VALUE"""),"Maximum Width of Binary Tree")</f>
        <v>Maximum Width of Binary Tree</v>
      </c>
      <c r="C523" s="6" t="str">
        <f>IFERROR(__xludf.DUMMYFUNCTION("""COMPUTED_VALUE"""),"Medium")</f>
        <v>Medium</v>
      </c>
      <c r="D523" s="6" t="str">
        <f>IFERROR(__xludf.DUMMYFUNCTION("""COMPUTED_VALUE"""),"Tree")</f>
        <v>Tree</v>
      </c>
      <c r="E523" s="6" t="str">
        <f>IFERROR(__xludf.DUMMYFUNCTION("""COMPUTED_VALUE"""),"Oracle,EBay,Uber,Bloomberg,Facebook,Amazon,Microsoft,Google")</f>
        <v>Oracle,EBay,Uber,Bloomberg,Facebook,Amazon,Microsoft,Google</v>
      </c>
      <c r="F523" s="6" t="str">
        <f>IFERROR(__xludf.DUMMYFUNCTION("""COMPUTED_VALUE"""),"Microsoft")</f>
        <v>Microsoft</v>
      </c>
      <c r="G523" s="6" t="str">
        <f>IFERROR(__xludf.DUMMYFUNCTION("""COMPUTED_VALUE"""),"Amazon,eBay,Bloomberg,Facebook,Microsoft")</f>
        <v>Amazon,eBay,Bloomberg,Facebook,Microsoft</v>
      </c>
      <c r="H523" s="6" t="str">
        <f>IFERROR(__xludf.DUMMYFUNCTION("""COMPUTED_VALUE"""),"Google,Uber,Oracle,Amazon,eBay,Bloomberg,Facebook,Microsoft")</f>
        <v>Google,Uber,Oracle,Amazon,eBay,Bloomberg,Facebook,Microsoft</v>
      </c>
      <c r="I523" s="6">
        <f>IFERROR(__xludf.DUMMYFUNCTION("""COMPUTED_VALUE"""),39.8)</f>
        <v>39.8</v>
      </c>
      <c r="J523" s="6" t="str">
        <f>IFERROR(__xludf.DUMMYFUNCTION("""COMPUTED_VALUE"""),"算法")</f>
        <v>算法</v>
      </c>
    </row>
    <row r="524">
      <c r="A524" s="6">
        <f>IFERROR(__xludf.DUMMYFUNCTION("""COMPUTED_VALUE"""),665.0)</f>
        <v>665</v>
      </c>
      <c r="B524" s="53" t="str">
        <f>IFERROR(__xludf.DUMMYFUNCTION("""COMPUTED_VALUE"""),"Non-decreasing Array")</f>
        <v>Non-decreasing Array</v>
      </c>
      <c r="C524" s="6" t="str">
        <f>IFERROR(__xludf.DUMMYFUNCTION("""COMPUTED_VALUE"""),"Medium")</f>
        <v>Medium</v>
      </c>
      <c r="D524" s="6" t="str">
        <f>IFERROR(__xludf.DUMMYFUNCTION("""COMPUTED_VALUE"""),"Array")</f>
        <v>Array</v>
      </c>
      <c r="E524" s="6" t="str">
        <f>IFERROR(__xludf.DUMMYFUNCTION("""COMPUTED_VALUE"""),"EBay,Apple,Bloomberg,Adobe,Facebook,Microsoft,Amazon,Google")</f>
        <v>EBay,Apple,Bloomberg,Adobe,Facebook,Microsoft,Amazon,Google</v>
      </c>
      <c r="F524" s="6" t="str">
        <f>IFERROR(__xludf.DUMMYFUNCTION("""COMPUTED_VALUE"""),"Facebook,Microsoft")</f>
        <v>Facebook,Microsoft</v>
      </c>
      <c r="G524" s="6" t="str">
        <f>IFERROR(__xludf.DUMMYFUNCTION("""COMPUTED_VALUE"""),"Amazon,eBay,Bloomberg,Facebook,Microsoft")</f>
        <v>Amazon,eBay,Bloomberg,Facebook,Microsoft</v>
      </c>
      <c r="H524" s="6" t="str">
        <f>IFERROR(__xludf.DUMMYFUNCTION("""COMPUTED_VALUE"""),"Google,Adobe,Apple,Amazon,eBay,Bloomberg,Facebook,Microsoft")</f>
        <v>Google,Adobe,Apple,Amazon,eBay,Bloomberg,Facebook,Microsoft</v>
      </c>
      <c r="I524" s="6">
        <f>IFERROR(__xludf.DUMMYFUNCTION("""COMPUTED_VALUE"""),19.81)</f>
        <v>19.81</v>
      </c>
      <c r="J524" s="6" t="str">
        <f>IFERROR(__xludf.DUMMYFUNCTION("""COMPUTED_VALUE"""),"算法")</f>
        <v>算法</v>
      </c>
    </row>
    <row r="525">
      <c r="A525" s="6">
        <f>IFERROR(__xludf.DUMMYFUNCTION("""COMPUTED_VALUE"""),667.0)</f>
        <v>667</v>
      </c>
      <c r="B525" s="53" t="str">
        <f>IFERROR(__xludf.DUMMYFUNCTION("""COMPUTED_VALUE"""),"Beautiful Arrangement II")</f>
        <v>Beautiful Arrangement II</v>
      </c>
      <c r="C525" s="6" t="str">
        <f>IFERROR(__xludf.DUMMYFUNCTION("""COMPUTED_VALUE"""),"Medium")</f>
        <v>Medium</v>
      </c>
      <c r="D525" s="6" t="str">
        <f>IFERROR(__xludf.DUMMYFUNCTION("""COMPUTED_VALUE"""),"Array")</f>
        <v>Array</v>
      </c>
      <c r="E525" s="6" t="str">
        <f>IFERROR(__xludf.DUMMYFUNCTION("""COMPUTED_VALUE"""),"Google")</f>
        <v>Google</v>
      </c>
      <c r="F525" s="6"/>
      <c r="G525" s="6"/>
      <c r="H525" s="6" t="str">
        <f>IFERROR(__xludf.DUMMYFUNCTION("""COMPUTED_VALUE"""),"Google")</f>
        <v>Google</v>
      </c>
      <c r="I525" s="6">
        <f>IFERROR(__xludf.DUMMYFUNCTION("""COMPUTED_VALUE"""),55.19)</f>
        <v>55.19</v>
      </c>
      <c r="J525" s="6" t="str">
        <f>IFERROR(__xludf.DUMMYFUNCTION("""COMPUTED_VALUE"""),"算法")</f>
        <v>算法</v>
      </c>
    </row>
    <row r="526">
      <c r="A526" s="6">
        <f>IFERROR(__xludf.DUMMYFUNCTION("""COMPUTED_VALUE"""),668.0)</f>
        <v>668</v>
      </c>
      <c r="B526" s="53" t="str">
        <f>IFERROR(__xludf.DUMMYFUNCTION("""COMPUTED_VALUE"""),"Kth Smallest Number in Multiplication Table")</f>
        <v>Kth Smallest Number in Multiplication Table</v>
      </c>
      <c r="C526" s="6" t="str">
        <f>IFERROR(__xludf.DUMMYFUNCTION("""COMPUTED_VALUE"""),"Hard")</f>
        <v>Hard</v>
      </c>
      <c r="D526" s="6" t="str">
        <f>IFERROR(__xludf.DUMMYFUNCTION("""COMPUTED_VALUE"""),"Binary Search")</f>
        <v>Binary Search</v>
      </c>
      <c r="E526" s="6" t="str">
        <f>IFERROR(__xludf.DUMMYFUNCTION("""COMPUTED_VALUE"""),"Uber,Google")</f>
        <v>Uber,Google</v>
      </c>
      <c r="F526" s="6"/>
      <c r="G526" s="6"/>
      <c r="H526" s="6" t="str">
        <f>IFERROR(__xludf.DUMMYFUNCTION("""COMPUTED_VALUE"""),"Uber,Google")</f>
        <v>Uber,Google</v>
      </c>
      <c r="I526" s="6">
        <f>IFERROR(__xludf.DUMMYFUNCTION("""COMPUTED_VALUE"""),47.81)</f>
        <v>47.81</v>
      </c>
      <c r="J526" s="6" t="str">
        <f>IFERROR(__xludf.DUMMYFUNCTION("""COMPUTED_VALUE"""),"算法")</f>
        <v>算法</v>
      </c>
    </row>
    <row r="527">
      <c r="A527" s="6">
        <f>IFERROR(__xludf.DUMMYFUNCTION("""COMPUTED_VALUE"""),669.0)</f>
        <v>669</v>
      </c>
      <c r="B527" s="53" t="str">
        <f>IFERROR(__xludf.DUMMYFUNCTION("""COMPUTED_VALUE"""),"Trim a Binary Search Tree")</f>
        <v>Trim a Binary Search Tree</v>
      </c>
      <c r="C527" s="6" t="str">
        <f>IFERROR(__xludf.DUMMYFUNCTION("""COMPUTED_VALUE"""),"Medium")</f>
        <v>Medium</v>
      </c>
      <c r="D527" s="6" t="str">
        <f>IFERROR(__xludf.DUMMYFUNCTION("""COMPUTED_VALUE"""),"Recursion,Tree")</f>
        <v>Recursion,Tree</v>
      </c>
      <c r="E527" s="6" t="str">
        <f>IFERROR(__xludf.DUMMYFUNCTION("""COMPUTED_VALUE"""),"Samsung,Apple,Yahoo,Bloomberg,Adobe,Facebook,Microsoft,Google")</f>
        <v>Samsung,Apple,Yahoo,Bloomberg,Adobe,Facebook,Microsoft,Google</v>
      </c>
      <c r="F527" s="6"/>
      <c r="G527" s="6" t="str">
        <f>IFERROR(__xludf.DUMMYFUNCTION("""COMPUTED_VALUE"""),"Yahoo,Google,Facebook,Apple,Samsung")</f>
        <v>Yahoo,Google,Facebook,Apple,Samsung</v>
      </c>
      <c r="H527" s="6" t="str">
        <f>IFERROR(__xludf.DUMMYFUNCTION("""COMPUTED_VALUE"""),"Microsoft,Adobe,Bloomberg,Yahoo,Google,Facebook,Apple,Samsung")</f>
        <v>Microsoft,Adobe,Bloomberg,Yahoo,Google,Facebook,Apple,Samsung</v>
      </c>
      <c r="I527" s="6">
        <f>IFERROR(__xludf.DUMMYFUNCTION("""COMPUTED_VALUE"""),64.36)</f>
        <v>64.36</v>
      </c>
      <c r="J527" s="6" t="str">
        <f>IFERROR(__xludf.DUMMYFUNCTION("""COMPUTED_VALUE"""),"算法")</f>
        <v>算法</v>
      </c>
    </row>
    <row r="528">
      <c r="A528" s="6">
        <f>IFERROR(__xludf.DUMMYFUNCTION("""COMPUTED_VALUE"""),671.0)</f>
        <v>671</v>
      </c>
      <c r="B528" s="53" t="str">
        <f>IFERROR(__xludf.DUMMYFUNCTION("""COMPUTED_VALUE"""),"Second Minimum Node In a Binary Tree")</f>
        <v>Second Minimum Node In a Binary Tree</v>
      </c>
      <c r="C528" s="6" t="str">
        <f>IFERROR(__xludf.DUMMYFUNCTION("""COMPUTED_VALUE"""),"Easy")</f>
        <v>Easy</v>
      </c>
      <c r="D528" s="6" t="str">
        <f>IFERROR(__xludf.DUMMYFUNCTION("""COMPUTED_VALUE"""),"Tree")</f>
        <v>Tree</v>
      </c>
      <c r="E528" s="6" t="str">
        <f>IFERROR(__xludf.DUMMYFUNCTION("""COMPUTED_VALUE"""),"Adobe,Google,Uber,Amazon,LinkedIn,Microsoft")</f>
        <v>Adobe,Google,Uber,Amazon,LinkedIn,Microsoft</v>
      </c>
      <c r="F528" s="6" t="str">
        <f>IFERROR(__xludf.DUMMYFUNCTION("""COMPUTED_VALUE"""),"LinkedIn,Microsoft,Adobe")</f>
        <v>LinkedIn,Microsoft,Adobe</v>
      </c>
      <c r="G528" s="6" t="str">
        <f>IFERROR(__xludf.DUMMYFUNCTION("""COMPUTED_VALUE"""),"Google,LinkedIn,Microsoft,Adobe")</f>
        <v>Google,LinkedIn,Microsoft,Adobe</v>
      </c>
      <c r="H528" s="6" t="str">
        <f>IFERROR(__xludf.DUMMYFUNCTION("""COMPUTED_VALUE"""),"Amazon,Uber,Google,LinkedIn,Microsoft,Adobe")</f>
        <v>Amazon,Uber,Google,LinkedIn,Microsoft,Adobe</v>
      </c>
      <c r="I528" s="6">
        <f>IFERROR(__xludf.DUMMYFUNCTION("""COMPUTED_VALUE"""),42.8)</f>
        <v>42.8</v>
      </c>
      <c r="J528" s="6" t="str">
        <f>IFERROR(__xludf.DUMMYFUNCTION("""COMPUTED_VALUE"""),"算法")</f>
        <v>算法</v>
      </c>
    </row>
    <row r="529">
      <c r="A529" s="6">
        <f>IFERROR(__xludf.DUMMYFUNCTION("""COMPUTED_VALUE"""),674.0)</f>
        <v>674</v>
      </c>
      <c r="B529" s="53" t="str">
        <f>IFERROR(__xludf.DUMMYFUNCTION("""COMPUTED_VALUE"""),"Longest Continuous Increasing Subsequence")</f>
        <v>Longest Continuous Increasing Subsequence</v>
      </c>
      <c r="C529" s="6" t="str">
        <f>IFERROR(__xludf.DUMMYFUNCTION("""COMPUTED_VALUE"""),"Easy")</f>
        <v>Easy</v>
      </c>
      <c r="D529" s="6" t="str">
        <f>IFERROR(__xludf.DUMMYFUNCTION("""COMPUTED_VALUE"""),"Array")</f>
        <v>Array</v>
      </c>
      <c r="E529" s="6" t="str">
        <f>IFERROR(__xludf.DUMMYFUNCTION("""COMPUTED_VALUE"""),"Apple,Facebook,Amazon,Google")</f>
        <v>Apple,Facebook,Amazon,Google</v>
      </c>
      <c r="F529" s="6" t="str">
        <f>IFERROR(__xludf.DUMMYFUNCTION("""COMPUTED_VALUE"""),"Amazon")</f>
        <v>Amazon</v>
      </c>
      <c r="G529" s="6" t="str">
        <f>IFERROR(__xludf.DUMMYFUNCTION("""COMPUTED_VALUE"""),"Facebook,Amazon")</f>
        <v>Facebook,Amazon</v>
      </c>
      <c r="H529" s="6" t="str">
        <f>IFERROR(__xludf.DUMMYFUNCTION("""COMPUTED_VALUE"""),"Google,Apple,Facebook,Amazon")</f>
        <v>Google,Apple,Facebook,Amazon</v>
      </c>
      <c r="I529" s="6">
        <f>IFERROR(__xludf.DUMMYFUNCTION("""COMPUTED_VALUE"""),45.99)</f>
        <v>45.99</v>
      </c>
      <c r="J529" s="6" t="str">
        <f>IFERROR(__xludf.DUMMYFUNCTION("""COMPUTED_VALUE"""),"算法")</f>
        <v>算法</v>
      </c>
    </row>
    <row r="530">
      <c r="A530" s="6">
        <f>IFERROR(__xludf.DUMMYFUNCTION("""COMPUTED_VALUE"""),676.0)</f>
        <v>676</v>
      </c>
      <c r="B530" s="53" t="str">
        <f>IFERROR(__xludf.DUMMYFUNCTION("""COMPUTED_VALUE"""),"Implement Magic Dictionary")</f>
        <v>Implement Magic Dictionary</v>
      </c>
      <c r="C530" s="6" t="str">
        <f>IFERROR(__xludf.DUMMYFUNCTION("""COMPUTED_VALUE"""),"Medium")</f>
        <v>Medium</v>
      </c>
      <c r="D530" s="6" t="str">
        <f>IFERROR(__xludf.DUMMYFUNCTION("""COMPUTED_VALUE"""),"Trie,Hash Table")</f>
        <v>Trie,Hash Table</v>
      </c>
      <c r="E530" s="6" t="str">
        <f>IFERROR(__xludf.DUMMYFUNCTION("""COMPUTED_VALUE"""),"ByteDance,Amazon,Facebook,Microsoft,Google")</f>
        <v>ByteDance,Amazon,Facebook,Microsoft,Google</v>
      </c>
      <c r="F530" s="6"/>
      <c r="G530" s="6" t="str">
        <f>IFERROR(__xludf.DUMMYFUNCTION("""COMPUTED_VALUE"""),"ByteDance")</f>
        <v>ByteDance</v>
      </c>
      <c r="H530" s="6" t="str">
        <f>IFERROR(__xludf.DUMMYFUNCTION("""COMPUTED_VALUE"""),"Facebook,Google,Amazon,ByteDance")</f>
        <v>Facebook,Google,Amazon,ByteDance</v>
      </c>
      <c r="I530" s="6">
        <f>IFERROR(__xludf.DUMMYFUNCTION("""COMPUTED_VALUE"""),55.31)</f>
        <v>55.31</v>
      </c>
      <c r="J530" s="6" t="str">
        <f>IFERROR(__xludf.DUMMYFUNCTION("""COMPUTED_VALUE"""),"算法")</f>
        <v>算法</v>
      </c>
    </row>
    <row r="531">
      <c r="A531" s="6">
        <f>IFERROR(__xludf.DUMMYFUNCTION("""COMPUTED_VALUE"""),678.0)</f>
        <v>678</v>
      </c>
      <c r="B531" s="53" t="str">
        <f>IFERROR(__xludf.DUMMYFUNCTION("""COMPUTED_VALUE"""),"Valid Parenthesis String")</f>
        <v>Valid Parenthesis String</v>
      </c>
      <c r="C531" s="6" t="str">
        <f>IFERROR(__xludf.DUMMYFUNCTION("""COMPUTED_VALUE"""),"Medium")</f>
        <v>Medium</v>
      </c>
      <c r="D531" s="6" t="str">
        <f>IFERROR(__xludf.DUMMYFUNCTION("""COMPUTED_VALUE"""),"String")</f>
        <v>String</v>
      </c>
      <c r="E531" s="6" t="str">
        <f>IFERROR(__xludf.DUMMYFUNCTION("""COMPUTED_VALUE"""),"ByteDance,Salesforce,Oracle,Uber,Adobe,Bloomberg,Facebook,Amazon,Alibaba,Google")</f>
        <v>ByteDance,Salesforce,Oracle,Uber,Adobe,Bloomberg,Facebook,Amazon,Alibaba,Google</v>
      </c>
      <c r="F531" s="6" t="str">
        <f>IFERROR(__xludf.DUMMYFUNCTION("""COMPUTED_VALUE"""),"Facebook,Salesforce,Amazon,Uber,Oracle")</f>
        <v>Facebook,Salesforce,Amazon,Uber,Oracle</v>
      </c>
      <c r="G531" s="6" t="str">
        <f>IFERROR(__xludf.DUMMYFUNCTION("""COMPUTED_VALUE"""),"Google,ByteDance,Facebook,Salesforce,Amazon,Uber,Oracle")</f>
        <v>Google,ByteDance,Facebook,Salesforce,Amazon,Uber,Oracle</v>
      </c>
      <c r="H531" s="6" t="str">
        <f>IFERROR(__xludf.DUMMYFUNCTION("""COMPUTED_VALUE"""),"Adobe,Alibaba,Google,ByteDance,Facebook,Salesforce,Amazon,Uber,Oracle")</f>
        <v>Adobe,Alibaba,Google,ByteDance,Facebook,Salesforce,Amazon,Uber,Oracle</v>
      </c>
      <c r="I531" s="6">
        <f>IFERROR(__xludf.DUMMYFUNCTION("""COMPUTED_VALUE"""),31.71)</f>
        <v>31.71</v>
      </c>
      <c r="J531" s="6" t="str">
        <f>IFERROR(__xludf.DUMMYFUNCTION("""COMPUTED_VALUE"""),"算法")</f>
        <v>算法</v>
      </c>
    </row>
    <row r="532">
      <c r="A532" s="6">
        <f>IFERROR(__xludf.DUMMYFUNCTION("""COMPUTED_VALUE"""),679.0)</f>
        <v>679</v>
      </c>
      <c r="B532" s="53" t="str">
        <f>IFERROR(__xludf.DUMMYFUNCTION("""COMPUTED_VALUE"""),"24 Game")</f>
        <v>24 Game</v>
      </c>
      <c r="C532" s="6" t="str">
        <f>IFERROR(__xludf.DUMMYFUNCTION("""COMPUTED_VALUE"""),"Hard")</f>
        <v>Hard</v>
      </c>
      <c r="D532" s="6" t="str">
        <f>IFERROR(__xludf.DUMMYFUNCTION("""COMPUTED_VALUE"""),"Depth First Search")</f>
        <v>Depth First Search</v>
      </c>
      <c r="E532" s="6" t="str">
        <f>IFERROR(__xludf.DUMMYFUNCTION("""COMPUTED_VALUE"""),"Snapchat,ByteDance,Twitter,Uber,Facebook,Amazon,Microsoft,Google")</f>
        <v>Snapchat,ByteDance,Twitter,Uber,Facebook,Amazon,Microsoft,Google</v>
      </c>
      <c r="F532" s="6" t="str">
        <f>IFERROR(__xludf.DUMMYFUNCTION("""COMPUTED_VALUE"""),"Amazon")</f>
        <v>Amazon</v>
      </c>
      <c r="G532" s="6" t="str">
        <f>IFERROR(__xludf.DUMMYFUNCTION("""COMPUTED_VALUE"""),"Google,Microsoft,Snapchat,Amazon")</f>
        <v>Google,Microsoft,Snapchat,Amazon</v>
      </c>
      <c r="H532" s="6" t="str">
        <f>IFERROR(__xludf.DUMMYFUNCTION("""COMPUTED_VALUE"""),"Uber,Twitter,ByteDance,Facebook,Google,Microsoft,Snapchat,Amazon")</f>
        <v>Uber,Twitter,ByteDance,Facebook,Google,Microsoft,Snapchat,Amazon</v>
      </c>
      <c r="I532" s="6">
        <f>IFERROR(__xludf.DUMMYFUNCTION("""COMPUTED_VALUE"""),47.25)</f>
        <v>47.25</v>
      </c>
      <c r="J532" s="6" t="str">
        <f>IFERROR(__xludf.DUMMYFUNCTION("""COMPUTED_VALUE"""),"算法")</f>
        <v>算法</v>
      </c>
    </row>
    <row r="533">
      <c r="A533" s="6">
        <f>IFERROR(__xludf.DUMMYFUNCTION("""COMPUTED_VALUE"""),680.0)</f>
        <v>680</v>
      </c>
      <c r="B533" s="53" t="str">
        <f>IFERROR(__xludf.DUMMYFUNCTION("""COMPUTED_VALUE"""),"Valid Palindrome II")</f>
        <v>Valid Palindrome II</v>
      </c>
      <c r="C533" s="6" t="str">
        <f>IFERROR(__xludf.DUMMYFUNCTION("""COMPUTED_VALUE"""),"Easy")</f>
        <v>Easy</v>
      </c>
      <c r="D533" s="6" t="str">
        <f>IFERROR(__xludf.DUMMYFUNCTION("""COMPUTED_VALUE"""),"String")</f>
        <v>String</v>
      </c>
      <c r="E533" s="6" t="str">
        <f>IFERROR(__xludf.DUMMYFUNCTION("""COMPUTED_VALUE"""),"Wish,Oracle,Amazon,Atlassian,Yahoo,Facebook,Microsoft,Google")</f>
        <v>Wish,Oracle,Amazon,Atlassian,Yahoo,Facebook,Microsoft,Google</v>
      </c>
      <c r="F533" s="6" t="str">
        <f>IFERROR(__xludf.DUMMYFUNCTION("""COMPUTED_VALUE"""),"Facebook,Oracle,Microsoft,Wish")</f>
        <v>Facebook,Oracle,Microsoft,Wish</v>
      </c>
      <c r="G533" s="6" t="str">
        <f>IFERROR(__xludf.DUMMYFUNCTION("""COMPUTED_VALUE"""),"Amazon,Facebook,Oracle,Microsoft,Wish")</f>
        <v>Amazon,Facebook,Oracle,Microsoft,Wish</v>
      </c>
      <c r="H533" s="6" t="str">
        <f>IFERROR(__xludf.DUMMYFUNCTION("""COMPUTED_VALUE"""),"Atlassian,Amazon,Facebook,Oracle,Microsoft,Wish")</f>
        <v>Atlassian,Amazon,Facebook,Oracle,Microsoft,Wish</v>
      </c>
      <c r="I533" s="6">
        <f>IFERROR(__xludf.DUMMYFUNCTION("""COMPUTED_VALUE"""),37.09)</f>
        <v>37.09</v>
      </c>
      <c r="J533" s="6" t="str">
        <f>IFERROR(__xludf.DUMMYFUNCTION("""COMPUTED_VALUE"""),"算法")</f>
        <v>算法</v>
      </c>
    </row>
    <row r="534">
      <c r="A534" s="6">
        <f>IFERROR(__xludf.DUMMYFUNCTION("""COMPUTED_VALUE"""),681.0)</f>
        <v>681</v>
      </c>
      <c r="B534" s="53" t="str">
        <f>IFERROR(__xludf.DUMMYFUNCTION("""COMPUTED_VALUE"""),"Next Closest Time")</f>
        <v>Next Closest Time</v>
      </c>
      <c r="C534" s="6" t="str">
        <f>IFERROR(__xludf.DUMMYFUNCTION("""COMPUTED_VALUE"""),"Medium")</f>
        <v>Medium</v>
      </c>
      <c r="D534" s="6" t="str">
        <f>IFERROR(__xludf.DUMMYFUNCTION("""COMPUTED_VALUE"""),"String")</f>
        <v>String</v>
      </c>
      <c r="E534" s="6" t="str">
        <f>IFERROR(__xludf.DUMMYFUNCTION("""COMPUTED_VALUE"""),"Palantir Technologies,ByteDance,Amazon,Uber,Adobe,Facebook,Microsoft,Google")</f>
        <v>Palantir Technologies,ByteDance,Amazon,Uber,Adobe,Facebook,Microsoft,Google</v>
      </c>
      <c r="F534" s="6" t="str">
        <f>IFERROR(__xludf.DUMMYFUNCTION("""COMPUTED_VALUE"""),"Amazon")</f>
        <v>Amazon</v>
      </c>
      <c r="G534" s="6" t="str">
        <f>IFERROR(__xludf.DUMMYFUNCTION("""COMPUTED_VALUE"""),"Microsoft,ByteDance,Amazon")</f>
        <v>Microsoft,ByteDance,Amazon</v>
      </c>
      <c r="H534" s="6" t="str">
        <f>IFERROR(__xludf.DUMMYFUNCTION("""COMPUTED_VALUE"""),"Google,Facebook,Uber,Palantir Technologies,Microsoft,ByteDance,Amazon")</f>
        <v>Google,Facebook,Uber,Palantir Technologies,Microsoft,ByteDance,Amazon</v>
      </c>
      <c r="I534" s="6">
        <f>IFERROR(__xludf.DUMMYFUNCTION("""COMPUTED_VALUE"""),45.96)</f>
        <v>45.96</v>
      </c>
      <c r="J534" s="6" t="str">
        <f>IFERROR(__xludf.DUMMYFUNCTION("""COMPUTED_VALUE"""),"算法")</f>
        <v>算法</v>
      </c>
    </row>
    <row r="535">
      <c r="A535" s="6">
        <f>IFERROR(__xludf.DUMMYFUNCTION("""COMPUTED_VALUE"""),682.0)</f>
        <v>682</v>
      </c>
      <c r="B535" s="53" t="str">
        <f>IFERROR(__xludf.DUMMYFUNCTION("""COMPUTED_VALUE"""),"Baseball Game")</f>
        <v>Baseball Game</v>
      </c>
      <c r="C535" s="6" t="str">
        <f>IFERROR(__xludf.DUMMYFUNCTION("""COMPUTED_VALUE"""),"Easy")</f>
        <v>Easy</v>
      </c>
      <c r="D535" s="6" t="str">
        <f>IFERROR(__xludf.DUMMYFUNCTION("""COMPUTED_VALUE"""),"Stack")</f>
        <v>Stack</v>
      </c>
      <c r="E535" s="6" t="str">
        <f>IFERROR(__xludf.DUMMYFUNCTION("""COMPUTED_VALUE"""),"Google,Amazon")</f>
        <v>Google,Amazon</v>
      </c>
      <c r="F535" s="6" t="str">
        <f>IFERROR(__xludf.DUMMYFUNCTION("""COMPUTED_VALUE"""),"Amazon")</f>
        <v>Amazon</v>
      </c>
      <c r="G535" s="6" t="str">
        <f>IFERROR(__xludf.DUMMYFUNCTION("""COMPUTED_VALUE"""),"Google,Amazon")</f>
        <v>Google,Amazon</v>
      </c>
      <c r="H535" s="6" t="str">
        <f>IFERROR(__xludf.DUMMYFUNCTION("""COMPUTED_VALUE"""),"Google,Amazon")</f>
        <v>Google,Amazon</v>
      </c>
      <c r="I535" s="6">
        <f>IFERROR(__xludf.DUMMYFUNCTION("""COMPUTED_VALUE"""),67.2)</f>
        <v>67.2</v>
      </c>
      <c r="J535" s="6" t="str">
        <f>IFERROR(__xludf.DUMMYFUNCTION("""COMPUTED_VALUE"""),"算法")</f>
        <v>算法</v>
      </c>
    </row>
    <row r="536">
      <c r="A536" s="6">
        <f>IFERROR(__xludf.DUMMYFUNCTION("""COMPUTED_VALUE"""),683.0)</f>
        <v>683</v>
      </c>
      <c r="B536" s="53" t="str">
        <f>IFERROR(__xludf.DUMMYFUNCTION("""COMPUTED_VALUE"""),"K Empty Slots")</f>
        <v>K Empty Slots</v>
      </c>
      <c r="C536" s="6" t="str">
        <f>IFERROR(__xludf.DUMMYFUNCTION("""COMPUTED_VALUE"""),"Hard")</f>
        <v>Hard</v>
      </c>
      <c r="D536" s="6" t="str">
        <f>IFERROR(__xludf.DUMMYFUNCTION("""COMPUTED_VALUE"""),"Ordered Map")</f>
        <v>Ordered Map</v>
      </c>
      <c r="E536" s="6" t="str">
        <f>IFERROR(__xludf.DUMMYFUNCTION("""COMPUTED_VALUE"""),"Amazon,Google")</f>
        <v>Amazon,Google</v>
      </c>
      <c r="F536" s="6"/>
      <c r="G536" s="6"/>
      <c r="H536" s="6" t="str">
        <f>IFERROR(__xludf.DUMMYFUNCTION("""COMPUTED_VALUE"""),"Google")</f>
        <v>Google</v>
      </c>
      <c r="I536" s="6">
        <f>IFERROR(__xludf.DUMMYFUNCTION("""COMPUTED_VALUE"""),36.07)</f>
        <v>36.07</v>
      </c>
      <c r="J536" s="6" t="str">
        <f>IFERROR(__xludf.DUMMYFUNCTION("""COMPUTED_VALUE"""),"算法")</f>
        <v>算法</v>
      </c>
    </row>
    <row r="537">
      <c r="A537" s="6">
        <f>IFERROR(__xludf.DUMMYFUNCTION("""COMPUTED_VALUE"""),684.0)</f>
        <v>684</v>
      </c>
      <c r="B537" s="53" t="str">
        <f>IFERROR(__xludf.DUMMYFUNCTION("""COMPUTED_VALUE"""),"Redundant Connection")</f>
        <v>Redundant Connection</v>
      </c>
      <c r="C537" s="6" t="str">
        <f>IFERROR(__xludf.DUMMYFUNCTION("""COMPUTED_VALUE"""),"Medium")</f>
        <v>Medium</v>
      </c>
      <c r="D537" s="6" t="str">
        <f>IFERROR(__xludf.DUMMYFUNCTION("""COMPUTED_VALUE"""),"Graph,Union Find,Tree")</f>
        <v>Graph,Union Find,Tree</v>
      </c>
      <c r="E537" s="6" t="str">
        <f>IFERROR(__xludf.DUMMYFUNCTION("""COMPUTED_VALUE"""),"Amazon,Google")</f>
        <v>Amazon,Google</v>
      </c>
      <c r="F537" s="6" t="str">
        <f>IFERROR(__xludf.DUMMYFUNCTION("""COMPUTED_VALUE"""),"Amazon")</f>
        <v>Amazon</v>
      </c>
      <c r="G537" s="6" t="str">
        <f>IFERROR(__xludf.DUMMYFUNCTION("""COMPUTED_VALUE"""),"Amazon")</f>
        <v>Amazon</v>
      </c>
      <c r="H537" s="6" t="str">
        <f>IFERROR(__xludf.DUMMYFUNCTION("""COMPUTED_VALUE"""),"Google,Amazon")</f>
        <v>Google,Amazon</v>
      </c>
      <c r="I537" s="6">
        <f>IFERROR(__xludf.DUMMYFUNCTION("""COMPUTED_VALUE"""),59.05)</f>
        <v>59.05</v>
      </c>
      <c r="J537" s="6" t="str">
        <f>IFERROR(__xludf.DUMMYFUNCTION("""COMPUTED_VALUE"""),"算法")</f>
        <v>算法</v>
      </c>
    </row>
    <row r="538">
      <c r="A538" s="6">
        <f>IFERROR(__xludf.DUMMYFUNCTION("""COMPUTED_VALUE"""),685.0)</f>
        <v>685</v>
      </c>
      <c r="B538" s="53" t="str">
        <f>IFERROR(__xludf.DUMMYFUNCTION("""COMPUTED_VALUE"""),"Redundant Connection II")</f>
        <v>Redundant Connection II</v>
      </c>
      <c r="C538" s="6" t="str">
        <f>IFERROR(__xludf.DUMMYFUNCTION("""COMPUTED_VALUE"""),"Hard")</f>
        <v>Hard</v>
      </c>
      <c r="D538" s="6" t="str">
        <f>IFERROR(__xludf.DUMMYFUNCTION("""COMPUTED_VALUE"""),"Graph,Union Find,Depth First Search,Tree")</f>
        <v>Graph,Union Find,Depth First Search,Tree</v>
      </c>
      <c r="E538" s="6" t="str">
        <f>IFERROR(__xludf.DUMMYFUNCTION("""COMPUTED_VALUE"""),"Apple,Amazon,Google")</f>
        <v>Apple,Amazon,Google</v>
      </c>
      <c r="F538" s="6" t="str">
        <f>IFERROR(__xludf.DUMMYFUNCTION("""COMPUTED_VALUE"""),"Amazon")</f>
        <v>Amazon</v>
      </c>
      <c r="G538" s="6" t="str">
        <f>IFERROR(__xludf.DUMMYFUNCTION("""COMPUTED_VALUE"""),"Amazon")</f>
        <v>Amazon</v>
      </c>
      <c r="H538" s="6" t="str">
        <f>IFERROR(__xludf.DUMMYFUNCTION("""COMPUTED_VALUE"""),"Google,Apple,Amazon")</f>
        <v>Google,Apple,Amazon</v>
      </c>
      <c r="I538" s="6">
        <f>IFERROR(__xludf.DUMMYFUNCTION("""COMPUTED_VALUE"""),33.03)</f>
        <v>33.03</v>
      </c>
      <c r="J538" s="6" t="str">
        <f>IFERROR(__xludf.DUMMYFUNCTION("""COMPUTED_VALUE"""),"算法")</f>
        <v>算法</v>
      </c>
    </row>
    <row r="539">
      <c r="A539" s="6">
        <f>IFERROR(__xludf.DUMMYFUNCTION("""COMPUTED_VALUE"""),686.0)</f>
        <v>686</v>
      </c>
      <c r="B539" s="53" t="str">
        <f>IFERROR(__xludf.DUMMYFUNCTION("""COMPUTED_VALUE"""),"Repeated String Match")</f>
        <v>Repeated String Match</v>
      </c>
      <c r="C539" s="6" t="str">
        <f>IFERROR(__xludf.DUMMYFUNCTION("""COMPUTED_VALUE"""),"Medium")</f>
        <v>Medium</v>
      </c>
      <c r="D539" s="6" t="str">
        <f>IFERROR(__xludf.DUMMYFUNCTION("""COMPUTED_VALUE"""),"String")</f>
        <v>String</v>
      </c>
      <c r="E539" s="6" t="str">
        <f>IFERROR(__xludf.DUMMYFUNCTION("""COMPUTED_VALUE"""),"Facebook,Adobe,Amazon,Google")</f>
        <v>Facebook,Adobe,Amazon,Google</v>
      </c>
      <c r="F539" s="6"/>
      <c r="G539" s="6" t="str">
        <f>IFERROR(__xludf.DUMMYFUNCTION("""COMPUTED_VALUE"""),"Facebook,Google,Amazon")</f>
        <v>Facebook,Google,Amazon</v>
      </c>
      <c r="H539" s="6" t="str">
        <f>IFERROR(__xludf.DUMMYFUNCTION("""COMPUTED_VALUE"""),"Facebook,Google,Amazon")</f>
        <v>Facebook,Google,Amazon</v>
      </c>
      <c r="I539" s="6">
        <f>IFERROR(__xludf.DUMMYFUNCTION("""COMPUTED_VALUE"""),32.85)</f>
        <v>32.85</v>
      </c>
      <c r="J539" s="6" t="str">
        <f>IFERROR(__xludf.DUMMYFUNCTION("""COMPUTED_VALUE"""),"算法")</f>
        <v>算法</v>
      </c>
    </row>
    <row r="540">
      <c r="A540" s="6">
        <f>IFERROR(__xludf.DUMMYFUNCTION("""COMPUTED_VALUE"""),687.0)</f>
        <v>687</v>
      </c>
      <c r="B540" s="53" t="str">
        <f>IFERROR(__xludf.DUMMYFUNCTION("""COMPUTED_VALUE"""),"Longest Univalue Path")</f>
        <v>Longest Univalue Path</v>
      </c>
      <c r="C540" s="6" t="str">
        <f>IFERROR(__xludf.DUMMYFUNCTION("""COMPUTED_VALUE"""),"Medium")</f>
        <v>Medium</v>
      </c>
      <c r="D540" s="6" t="str">
        <f>IFERROR(__xludf.DUMMYFUNCTION("""COMPUTED_VALUE"""),"Recursion,Tree")</f>
        <v>Recursion,Tree</v>
      </c>
      <c r="E540" s="6" t="str">
        <f>IFERROR(__xludf.DUMMYFUNCTION("""COMPUTED_VALUE"""),"Bloomberg,Apple,Amazon,Google")</f>
        <v>Bloomberg,Apple,Amazon,Google</v>
      </c>
      <c r="F540" s="6" t="str">
        <f>IFERROR(__xludf.DUMMYFUNCTION("""COMPUTED_VALUE"""),"Bloomberg,Amazon")</f>
        <v>Bloomberg,Amazon</v>
      </c>
      <c r="G540" s="6" t="str">
        <f>IFERROR(__xludf.DUMMYFUNCTION("""COMPUTED_VALUE"""),"Bloomberg,Amazon")</f>
        <v>Bloomberg,Amazon</v>
      </c>
      <c r="H540" s="6" t="str">
        <f>IFERROR(__xludf.DUMMYFUNCTION("""COMPUTED_VALUE"""),"Apple,Google,Bloomberg,Amazon")</f>
        <v>Apple,Google,Bloomberg,Amazon</v>
      </c>
      <c r="I540" s="6">
        <f>IFERROR(__xludf.DUMMYFUNCTION("""COMPUTED_VALUE"""),37.36)</f>
        <v>37.36</v>
      </c>
      <c r="J540" s="6" t="str">
        <f>IFERROR(__xludf.DUMMYFUNCTION("""COMPUTED_VALUE"""),"算法")</f>
        <v>算法</v>
      </c>
    </row>
    <row r="541">
      <c r="A541" s="6">
        <f>IFERROR(__xludf.DUMMYFUNCTION("""COMPUTED_VALUE"""),688.0)</f>
        <v>688</v>
      </c>
      <c r="B541" s="53" t="str">
        <f>IFERROR(__xludf.DUMMYFUNCTION("""COMPUTED_VALUE"""),"Knight Probability in Chessboard")</f>
        <v>Knight Probability in Chessboard</v>
      </c>
      <c r="C541" s="6" t="str">
        <f>IFERROR(__xludf.DUMMYFUNCTION("""COMPUTED_VALUE"""),"Medium")</f>
        <v>Medium</v>
      </c>
      <c r="D541" s="6" t="str">
        <f>IFERROR(__xludf.DUMMYFUNCTION("""COMPUTED_VALUE"""),"Dynamic Programming")</f>
        <v>Dynamic Programming</v>
      </c>
      <c r="E541" s="6" t="str">
        <f>IFERROR(__xludf.DUMMYFUNCTION("""COMPUTED_VALUE"""),"Apple,Facebook,Amazon,Microsoft,Goldman Sachs,Google")</f>
        <v>Apple,Facebook,Amazon,Microsoft,Goldman Sachs,Google</v>
      </c>
      <c r="F541" s="6" t="str">
        <f>IFERROR(__xludf.DUMMYFUNCTION("""COMPUTED_VALUE"""),"Goldman Sachs,Amazon,Google")</f>
        <v>Goldman Sachs,Amazon,Google</v>
      </c>
      <c r="G541" s="6" t="str">
        <f>IFERROR(__xludf.DUMMYFUNCTION("""COMPUTED_VALUE"""),"Apple,Goldman Sachs,Amazon,Google")</f>
        <v>Apple,Goldman Sachs,Amazon,Google</v>
      </c>
      <c r="H541" s="6" t="str">
        <f>IFERROR(__xludf.DUMMYFUNCTION("""COMPUTED_VALUE"""),"Microsoft,Facebook,Apple,Goldman Sachs,Amazon,Google")</f>
        <v>Microsoft,Facebook,Apple,Goldman Sachs,Amazon,Google</v>
      </c>
      <c r="I541" s="6">
        <f>IFERROR(__xludf.DUMMYFUNCTION("""COMPUTED_VALUE"""),50.19)</f>
        <v>50.19</v>
      </c>
      <c r="J541" s="6" t="str">
        <f>IFERROR(__xludf.DUMMYFUNCTION("""COMPUTED_VALUE"""),"算法")</f>
        <v>算法</v>
      </c>
    </row>
    <row r="542">
      <c r="A542" s="6">
        <f>IFERROR(__xludf.DUMMYFUNCTION("""COMPUTED_VALUE"""),689.0)</f>
        <v>689</v>
      </c>
      <c r="B542" s="53" t="str">
        <f>IFERROR(__xludf.DUMMYFUNCTION("""COMPUTED_VALUE"""),"Maximum Sum of 3 Non-Overlapping Subarrays")</f>
        <v>Maximum Sum of 3 Non-Overlapping Subarrays</v>
      </c>
      <c r="C542" s="6" t="str">
        <f>IFERROR(__xludf.DUMMYFUNCTION("""COMPUTED_VALUE"""),"Hard")</f>
        <v>Hard</v>
      </c>
      <c r="D542" s="6" t="str">
        <f>IFERROR(__xludf.DUMMYFUNCTION("""COMPUTED_VALUE"""),"Dynamic Programming,Array")</f>
        <v>Dynamic Programming,Array</v>
      </c>
      <c r="E542" s="6" t="str">
        <f>IFERROR(__xludf.DUMMYFUNCTION("""COMPUTED_VALUE"""),"Facebook,Google")</f>
        <v>Facebook,Google</v>
      </c>
      <c r="F542" s="6" t="str">
        <f>IFERROR(__xludf.DUMMYFUNCTION("""COMPUTED_VALUE"""),"Facebook")</f>
        <v>Facebook</v>
      </c>
      <c r="G542" s="6" t="str">
        <f>IFERROR(__xludf.DUMMYFUNCTION("""COMPUTED_VALUE"""),"Google,Facebook")</f>
        <v>Google,Facebook</v>
      </c>
      <c r="H542" s="6" t="str">
        <f>IFERROR(__xludf.DUMMYFUNCTION("""COMPUTED_VALUE"""),"Google,Facebook")</f>
        <v>Google,Facebook</v>
      </c>
      <c r="I542" s="6">
        <f>IFERROR(__xludf.DUMMYFUNCTION("""COMPUTED_VALUE"""),47.24)</f>
        <v>47.24</v>
      </c>
      <c r="J542" s="6" t="str">
        <f>IFERROR(__xludf.DUMMYFUNCTION("""COMPUTED_VALUE"""),"算法")</f>
        <v>算法</v>
      </c>
    </row>
    <row r="543">
      <c r="A543" s="6">
        <f>IFERROR(__xludf.DUMMYFUNCTION("""COMPUTED_VALUE"""),690.0)</f>
        <v>690</v>
      </c>
      <c r="B543" s="53" t="str">
        <f>IFERROR(__xludf.DUMMYFUNCTION("""COMPUTED_VALUE"""),"Employee Importance")</f>
        <v>Employee Importance</v>
      </c>
      <c r="C543" s="6" t="str">
        <f>IFERROR(__xludf.DUMMYFUNCTION("""COMPUTED_VALUE"""),"Easy")</f>
        <v>Easy</v>
      </c>
      <c r="D543" s="6" t="str">
        <f>IFERROR(__xludf.DUMMYFUNCTION("""COMPUTED_VALUE"""),"Breadth First Search,Depth First Search,Hash Table")</f>
        <v>Breadth First Search,Depth First Search,Hash Table</v>
      </c>
      <c r="E543" s="6" t="str">
        <f>IFERROR(__xludf.DUMMYFUNCTION("""COMPUTED_VALUE"""),"Microsoft,Uber,Amazon,Google")</f>
        <v>Microsoft,Uber,Amazon,Google</v>
      </c>
      <c r="F543" s="6" t="str">
        <f>IFERROR(__xludf.DUMMYFUNCTION("""COMPUTED_VALUE"""),"Google,Microsoft")</f>
        <v>Google,Microsoft</v>
      </c>
      <c r="G543" s="6" t="str">
        <f>IFERROR(__xludf.DUMMYFUNCTION("""COMPUTED_VALUE"""),"Amazon,Google,Microsoft")</f>
        <v>Amazon,Google,Microsoft</v>
      </c>
      <c r="H543" s="6" t="str">
        <f>IFERROR(__xludf.DUMMYFUNCTION("""COMPUTED_VALUE"""),"Uber,Amazon,Google,Microsoft")</f>
        <v>Uber,Amazon,Google,Microsoft</v>
      </c>
      <c r="I543" s="6">
        <f>IFERROR(__xludf.DUMMYFUNCTION("""COMPUTED_VALUE"""),58.86)</f>
        <v>58.86</v>
      </c>
      <c r="J543" s="6" t="str">
        <f>IFERROR(__xludf.DUMMYFUNCTION("""COMPUTED_VALUE"""),"算法")</f>
        <v>算法</v>
      </c>
    </row>
    <row r="544">
      <c r="A544" s="6">
        <f>IFERROR(__xludf.DUMMYFUNCTION("""COMPUTED_VALUE"""),692.0)</f>
        <v>692</v>
      </c>
      <c r="B544" s="53" t="str">
        <f>IFERROR(__xludf.DUMMYFUNCTION("""COMPUTED_VALUE"""),"Top K Frequent Words")</f>
        <v>Top K Frequent Words</v>
      </c>
      <c r="C544" s="6" t="str">
        <f>IFERROR(__xludf.DUMMYFUNCTION("""COMPUTED_VALUE"""),"Medium")</f>
        <v>Medium</v>
      </c>
      <c r="D544" s="6" t="str">
        <f>IFERROR(__xludf.DUMMYFUNCTION("""COMPUTED_VALUE"""),"Trie,Heap,Hash Table")</f>
        <v>Trie,Heap,Hash Table</v>
      </c>
      <c r="E544" s="6" t="str">
        <f>IFERROR(__xludf.DUMMYFUNCTION("""COMPUTED_VALUE"""),"Tesla,Qualtrics,Lyft,ByteDance,TripAdvisor,Pocket Gems,Atlassian,Salesforce,VMware,Expedia,Yelp,Oracle,Apple,Uber,Bloomberg,Adobe,Facebook,Amazon,LinkedIn,Microsoft,Google")</f>
        <v>Tesla,Qualtrics,Lyft,ByteDance,TripAdvisor,Pocket Gems,Atlassian,Salesforce,VMware,Expedia,Yelp,Oracle,Apple,Uber,Bloomberg,Adobe,Facebook,Amazon,LinkedIn,Microsoft,Google</v>
      </c>
      <c r="F544" s="6" t="str">
        <f>IFERROR(__xludf.DUMMYFUNCTION("""COMPUTED_VALUE"""),"Amazon,Bloomberg,Google,Facebook,Apple,Oracle,Microsoft,ByteDance")</f>
        <v>Amazon,Bloomberg,Google,Facebook,Apple,Oracle,Microsoft,ByteDance</v>
      </c>
      <c r="G544" s="6" t="str">
        <f>IFERROR(__xludf.DUMMYFUNCTION("""COMPUTED_VALUE"""),"Uber,Lyft,Qualtrics,Amazon,Bloomberg,Google,Facebook,Apple,Oracle,Microsoft,ByteDance")</f>
        <v>Uber,Lyft,Qualtrics,Amazon,Bloomberg,Google,Facebook,Apple,Oracle,Microsoft,ByteDance</v>
      </c>
      <c r="H544" s="6" t="str">
        <f>IFERROR(__xludf.DUMMYFUNCTION("""COMPUTED_VALUE"""),"Yelp,Expedia,TripAdvisor,Atlassian,Salesforce,Tesla,Pocket Gems,Uber,Lyft,Qualtrics,Amazon,Bloomberg,Google,Facebook,Apple,Oracle,Microsoft,ByteDance")</f>
        <v>Yelp,Expedia,TripAdvisor,Atlassian,Salesforce,Tesla,Pocket Gems,Uber,Lyft,Qualtrics,Amazon,Bloomberg,Google,Facebook,Apple,Oracle,Microsoft,ByteDance</v>
      </c>
      <c r="I544" s="6">
        <f>IFERROR(__xludf.DUMMYFUNCTION("""COMPUTED_VALUE"""),53.17)</f>
        <v>53.17</v>
      </c>
      <c r="J544" s="6" t="str">
        <f>IFERROR(__xludf.DUMMYFUNCTION("""COMPUTED_VALUE"""),"算法")</f>
        <v>算法</v>
      </c>
    </row>
    <row r="545">
      <c r="A545" s="6">
        <f>IFERROR(__xludf.DUMMYFUNCTION("""COMPUTED_VALUE"""),694.0)</f>
        <v>694</v>
      </c>
      <c r="B545" s="53" t="str">
        <f>IFERROR(__xludf.DUMMYFUNCTION("""COMPUTED_VALUE"""),"Number of Distinct Islands")</f>
        <v>Number of Distinct Islands</v>
      </c>
      <c r="C545" s="6" t="str">
        <f>IFERROR(__xludf.DUMMYFUNCTION("""COMPUTED_VALUE"""),"Medium")</f>
        <v>Medium</v>
      </c>
      <c r="D545" s="6" t="str">
        <f>IFERROR(__xludf.DUMMYFUNCTION("""COMPUTED_VALUE"""),"Breadth First Search,Depth First Search,Hash Table")</f>
        <v>Breadth First Search,Depth First Search,Hash Table</v>
      </c>
      <c r="E545" s="6" t="str">
        <f>IFERROR(__xludf.DUMMYFUNCTION("""COMPUTED_VALUE"""),"Palantir Technologies,Oracle,Lyft,Apple,Uber,Bloomberg,Facebook,Amazon,Microsoft,Google")</f>
        <v>Palantir Technologies,Oracle,Lyft,Apple,Uber,Bloomberg,Facebook,Amazon,Microsoft,Google</v>
      </c>
      <c r="F545" s="6" t="str">
        <f>IFERROR(__xludf.DUMMYFUNCTION("""COMPUTED_VALUE"""),"Amazon,Bloomberg,Microsoft")</f>
        <v>Amazon,Bloomberg,Microsoft</v>
      </c>
      <c r="G545" s="6" t="str">
        <f>IFERROR(__xludf.DUMMYFUNCTION("""COMPUTED_VALUE"""),"Facebook,Palantir Technologies,Amazon,Bloomberg,Microsoft")</f>
        <v>Facebook,Palantir Technologies,Amazon,Bloomberg,Microsoft</v>
      </c>
      <c r="H545" s="6" t="str">
        <f>IFERROR(__xludf.DUMMYFUNCTION("""COMPUTED_VALUE"""),"Apple,Google,Uber,Oracle,Facebook,Palantir Technologies,Amazon,Bloomberg,Microsoft")</f>
        <v>Apple,Google,Uber,Oracle,Facebook,Palantir Technologies,Amazon,Bloomberg,Microsoft</v>
      </c>
      <c r="I545" s="6">
        <f>IFERROR(__xludf.DUMMYFUNCTION("""COMPUTED_VALUE"""),57.94)</f>
        <v>57.94</v>
      </c>
      <c r="J545" s="6" t="str">
        <f>IFERROR(__xludf.DUMMYFUNCTION("""COMPUTED_VALUE"""),"算法")</f>
        <v>算法</v>
      </c>
    </row>
    <row r="546">
      <c r="A546" s="6">
        <f>IFERROR(__xludf.DUMMYFUNCTION("""COMPUTED_VALUE"""),695.0)</f>
        <v>695</v>
      </c>
      <c r="B546" s="53" t="str">
        <f>IFERROR(__xludf.DUMMYFUNCTION("""COMPUTED_VALUE"""),"Max Area of Island")</f>
        <v>Max Area of Island</v>
      </c>
      <c r="C546" s="6" t="str">
        <f>IFERROR(__xludf.DUMMYFUNCTION("""COMPUTED_VALUE"""),"Medium")</f>
        <v>Medium</v>
      </c>
      <c r="D546" s="6" t="str">
        <f>IFERROR(__xludf.DUMMYFUNCTION("""COMPUTED_VALUE"""),"Depth First Search,Array")</f>
        <v>Depth First Search,Array</v>
      </c>
      <c r="E546" s="6" t="str">
        <f>IFERROR(__xludf.DUMMYFUNCTION("""COMPUTED_VALUE"""),"EBay,LinkedIn,DoorDash,Qualtrics,Palantir Technologies,Cruise Automation,Twitch,ByteDance,Affirm,Walmart Labs,Zillow,Wish,Oracle,Intuit,Mathworks,Apple,Uber,Bloomberg,Adobe,Facebook,Amazon,Microsoft,Google")</f>
        <v>EBay,LinkedIn,DoorDash,Qualtrics,Palantir Technologies,Cruise Automation,Twitch,ByteDance,Affirm,Walmart Labs,Zillow,Wish,Oracle,Intuit,Mathworks,Apple,Uber,Bloomberg,Adobe,Facebook,Amazon,Microsoft,Google</v>
      </c>
      <c r="F546" s="6" t="str">
        <f>IFERROR(__xludf.DUMMYFUNCTION("""COMPUTED_VALUE"""),"Google,DoorDash,Amazon,Facebook,Microsoft,Oracle,Bloomberg,eBay,Qualtrics,Palantir Technologies")</f>
        <v>Google,DoorDash,Amazon,Facebook,Microsoft,Oracle,Bloomberg,eBay,Qualtrics,Palantir Technologies</v>
      </c>
      <c r="G546" s="6" t="str">
        <f>IFERROR(__xludf.DUMMYFUNCTION("""COMPUTED_VALUE"""),"ByteDance,Twitch,Cruise Automation,Google,DoorDash,Amazon,Facebook,Microsoft,Oracle,Bloomberg,eBay,Qualtrics,Palantir Technologies")</f>
        <v>ByteDance,Twitch,Cruise Automation,Google,DoorDash,Amazon,Facebook,Microsoft,Oracle,Bloomberg,eBay,Qualtrics,Palantir Technologies</v>
      </c>
      <c r="H546" s="6" t="str">
        <f>IFERROR(__xludf.DUMMYFUNCTION("""COMPUTED_VALUE"""),"Wish,Walmart Labs,Affirm,LinkedIn,Apple,Intuit,ByteDance,Twitch,Cruise Automation,Google,DoorDash,Amazon,Facebook,Microsoft,Oracle,Bloomberg,eBay,Qualtrics,Palantir Technologies")</f>
        <v>Wish,Walmart Labs,Affirm,LinkedIn,Apple,Intuit,ByteDance,Twitch,Cruise Automation,Google,DoorDash,Amazon,Facebook,Microsoft,Oracle,Bloomberg,eBay,Qualtrics,Palantir Technologies</v>
      </c>
      <c r="I546" s="6">
        <f>IFERROR(__xludf.DUMMYFUNCTION("""COMPUTED_VALUE"""),64.92)</f>
        <v>64.92</v>
      </c>
      <c r="J546" s="6" t="str">
        <f>IFERROR(__xludf.DUMMYFUNCTION("""COMPUTED_VALUE"""),"算法")</f>
        <v>算法</v>
      </c>
    </row>
    <row r="547">
      <c r="A547" s="6">
        <f>IFERROR(__xludf.DUMMYFUNCTION("""COMPUTED_VALUE"""),698.0)</f>
        <v>698</v>
      </c>
      <c r="B547" s="53" t="str">
        <f>IFERROR(__xludf.DUMMYFUNCTION("""COMPUTED_VALUE"""),"Partition to K Equal Sum Subsets")</f>
        <v>Partition to K Equal Sum Subsets</v>
      </c>
      <c r="C547" s="6" t="str">
        <f>IFERROR(__xludf.DUMMYFUNCTION("""COMPUTED_VALUE"""),"Medium")</f>
        <v>Medium</v>
      </c>
      <c r="D547" s="6" t="str">
        <f>IFERROR(__xludf.DUMMYFUNCTION("""COMPUTED_VALUE"""),"Recursion,Dynamic Programming")</f>
        <v>Recursion,Dynamic Programming</v>
      </c>
      <c r="E547" s="6" t="str">
        <f>IFERROR(__xludf.DUMMYFUNCTION("""COMPUTED_VALUE"""),"ByteDance,Yahoo,Bloomberg,Adobe,Pinterest,Houzz,VMware,EBay,Facebook,Amazon,LinkedIn,Microsoft,Google")</f>
        <v>ByteDance,Yahoo,Bloomberg,Adobe,Pinterest,Houzz,VMware,EBay,Facebook,Amazon,LinkedIn,Microsoft,Google</v>
      </c>
      <c r="F547" s="6" t="str">
        <f>IFERROR(__xludf.DUMMYFUNCTION("""COMPUTED_VALUE"""),"LinkedIn,Facebook,Google,Amazon,Adobe")</f>
        <v>LinkedIn,Facebook,Google,Amazon,Adobe</v>
      </c>
      <c r="G547" s="6" t="str">
        <f>IFERROR(__xludf.DUMMYFUNCTION("""COMPUTED_VALUE"""),"Bloomberg,ByteDance,Pinterest,LinkedIn,Facebook,Google,Amazon,Adobe")</f>
        <v>Bloomberg,ByteDance,Pinterest,LinkedIn,Facebook,Google,Amazon,Adobe</v>
      </c>
      <c r="H547" s="6" t="str">
        <f>IFERROR(__xludf.DUMMYFUNCTION("""COMPUTED_VALUE"""),"Microsoft,Yahoo,Houzz,eBay,Bloomberg,ByteDance,Pinterest,LinkedIn,Facebook,Google,Amazon,Adobe")</f>
        <v>Microsoft,Yahoo,Houzz,eBay,Bloomberg,ByteDance,Pinterest,LinkedIn,Facebook,Google,Amazon,Adobe</v>
      </c>
      <c r="I547" s="6">
        <f>IFERROR(__xludf.DUMMYFUNCTION("""COMPUTED_VALUE"""),45.75)</f>
        <v>45.75</v>
      </c>
      <c r="J547" s="6" t="str">
        <f>IFERROR(__xludf.DUMMYFUNCTION("""COMPUTED_VALUE"""),"算法")</f>
        <v>算法</v>
      </c>
    </row>
    <row r="548">
      <c r="A548" s="6">
        <f>IFERROR(__xludf.DUMMYFUNCTION("""COMPUTED_VALUE"""),700.0)</f>
        <v>700</v>
      </c>
      <c r="B548" s="53" t="str">
        <f>IFERROR(__xludf.DUMMYFUNCTION("""COMPUTED_VALUE"""),"Search in a Binary Search Tree")</f>
        <v>Search in a Binary Search Tree</v>
      </c>
      <c r="C548" s="6" t="str">
        <f>IFERROR(__xludf.DUMMYFUNCTION("""COMPUTED_VALUE"""),"Easy")</f>
        <v>Easy</v>
      </c>
      <c r="D548" s="6" t="str">
        <f>IFERROR(__xludf.DUMMYFUNCTION("""COMPUTED_VALUE"""),"Tree")</f>
        <v>Tree</v>
      </c>
      <c r="E548" s="6" t="str">
        <f>IFERROR(__xludf.DUMMYFUNCTION("""COMPUTED_VALUE"""),"Apple,Uber,IBM,Adobe,Google")</f>
        <v>Apple,Uber,IBM,Adobe,Google</v>
      </c>
      <c r="F548" s="6"/>
      <c r="G548" s="6" t="str">
        <f>IFERROR(__xludf.DUMMYFUNCTION("""COMPUTED_VALUE"""),"Apple,Uber")</f>
        <v>Apple,Uber</v>
      </c>
      <c r="H548" s="6" t="str">
        <f>IFERROR(__xludf.DUMMYFUNCTION("""COMPUTED_VALUE"""),"Apple,Uber")</f>
        <v>Apple,Uber</v>
      </c>
      <c r="I548" s="6">
        <f>IFERROR(__xludf.DUMMYFUNCTION("""COMPUTED_VALUE"""),73.44)</f>
        <v>73.44</v>
      </c>
      <c r="J548" s="6" t="str">
        <f>IFERROR(__xludf.DUMMYFUNCTION("""COMPUTED_VALUE"""),"算法")</f>
        <v>算法</v>
      </c>
    </row>
    <row r="549">
      <c r="A549" s="6">
        <f>IFERROR(__xludf.DUMMYFUNCTION("""COMPUTED_VALUE"""),701.0)</f>
        <v>701</v>
      </c>
      <c r="B549" s="53" t="str">
        <f>IFERROR(__xludf.DUMMYFUNCTION("""COMPUTED_VALUE"""),"Insert into a Binary Search Tree")</f>
        <v>Insert into a Binary Search Tree</v>
      </c>
      <c r="C549" s="6" t="str">
        <f>IFERROR(__xludf.DUMMYFUNCTION("""COMPUTED_VALUE"""),"Medium")</f>
        <v>Medium</v>
      </c>
      <c r="D549" s="6" t="str">
        <f>IFERROR(__xludf.DUMMYFUNCTION("""COMPUTED_VALUE"""),"Tree")</f>
        <v>Tree</v>
      </c>
      <c r="E549" s="6" t="str">
        <f>IFERROR(__xludf.DUMMYFUNCTION("""COMPUTED_VALUE"""),"Apple,Atlassian,Facebook,Amazon,LinkedIn,Microsoft,Google")</f>
        <v>Apple,Atlassian,Facebook,Amazon,LinkedIn,Microsoft,Google</v>
      </c>
      <c r="F549" s="6"/>
      <c r="G549" s="6" t="str">
        <f>IFERROR(__xludf.DUMMYFUNCTION("""COMPUTED_VALUE"""),"Amazon,Microsoft,Google")</f>
        <v>Amazon,Microsoft,Google</v>
      </c>
      <c r="H549" s="6" t="str">
        <f>IFERROR(__xludf.DUMMYFUNCTION("""COMPUTED_VALUE"""),"Facebook,Atlassian,Apple,Amazon,Microsoft,Google")</f>
        <v>Facebook,Atlassian,Apple,Amazon,Microsoft,Google</v>
      </c>
      <c r="I549" s="6">
        <f>IFERROR(__xludf.DUMMYFUNCTION("""COMPUTED_VALUE"""),75.45)</f>
        <v>75.45</v>
      </c>
      <c r="J549" s="6" t="str">
        <f>IFERROR(__xludf.DUMMYFUNCTION("""COMPUTED_VALUE"""),"算法")</f>
        <v>算法</v>
      </c>
    </row>
    <row r="550">
      <c r="A550" s="6">
        <f>IFERROR(__xludf.DUMMYFUNCTION("""COMPUTED_VALUE"""),702.0)</f>
        <v>702</v>
      </c>
      <c r="B550" s="53" t="str">
        <f>IFERROR(__xludf.DUMMYFUNCTION("""COMPUTED_VALUE"""),"Search in a Sorted Array of Unknown Size")</f>
        <v>Search in a Sorted Array of Unknown Size</v>
      </c>
      <c r="C550" s="6" t="str">
        <f>IFERROR(__xludf.DUMMYFUNCTION("""COMPUTED_VALUE"""),"Medium")</f>
        <v>Medium</v>
      </c>
      <c r="D550" s="6" t="str">
        <f>IFERROR(__xludf.DUMMYFUNCTION("""COMPUTED_VALUE"""),"Binary Search")</f>
        <v>Binary Search</v>
      </c>
      <c r="E550" s="6" t="str">
        <f>IFERROR(__xludf.DUMMYFUNCTION("""COMPUTED_VALUE"""),"Morgan Stanley,EBay,Amazon,Microsoft,Google")</f>
        <v>Morgan Stanley,EBay,Amazon,Microsoft,Google</v>
      </c>
      <c r="F550" s="6"/>
      <c r="G550" s="6" t="str">
        <f>IFERROR(__xludf.DUMMYFUNCTION("""COMPUTED_VALUE"""),"Google,Microsoft,Morgan Stanley")</f>
        <v>Google,Microsoft,Morgan Stanley</v>
      </c>
      <c r="H550" s="6" t="str">
        <f>IFERROR(__xludf.DUMMYFUNCTION("""COMPUTED_VALUE"""),"Amazon,Google,Microsoft,Morgan Stanley")</f>
        <v>Amazon,Google,Microsoft,Morgan Stanley</v>
      </c>
      <c r="I550" s="6">
        <f>IFERROR(__xludf.DUMMYFUNCTION("""COMPUTED_VALUE"""),68.88)</f>
        <v>68.88</v>
      </c>
      <c r="J550" s="6" t="str">
        <f>IFERROR(__xludf.DUMMYFUNCTION("""COMPUTED_VALUE"""),"算法")</f>
        <v>算法</v>
      </c>
    </row>
    <row r="551">
      <c r="A551" s="6">
        <f>IFERROR(__xludf.DUMMYFUNCTION("""COMPUTED_VALUE"""),703.0)</f>
        <v>703</v>
      </c>
      <c r="B551" s="53" t="str">
        <f>IFERROR(__xludf.DUMMYFUNCTION("""COMPUTED_VALUE"""),"Kth Largest Element in a Stream")</f>
        <v>Kth Largest Element in a Stream</v>
      </c>
      <c r="C551" s="6" t="str">
        <f>IFERROR(__xludf.DUMMYFUNCTION("""COMPUTED_VALUE"""),"Easy")</f>
        <v>Easy</v>
      </c>
      <c r="D551" s="6" t="str">
        <f>IFERROR(__xludf.DUMMYFUNCTION("""COMPUTED_VALUE"""),"Design,Heap")</f>
        <v>Design,Heap</v>
      </c>
      <c r="E551" s="6" t="str">
        <f>IFERROR(__xludf.DUMMYFUNCTION("""COMPUTED_VALUE"""),"Adobe,Goldman Sachs,Nutanix,Walmart Labs,EBay,Apple,Bloomberg,Facebook,Amazon,Microsoft,Google")</f>
        <v>Adobe,Goldman Sachs,Nutanix,Walmart Labs,EBay,Apple,Bloomberg,Facebook,Amazon,Microsoft,Google</v>
      </c>
      <c r="F551" s="6" t="str">
        <f>IFERROR(__xludf.DUMMYFUNCTION("""COMPUTED_VALUE"""),"Amazon,Microsoft,Facebook,Goldman Sachs")</f>
        <v>Amazon,Microsoft,Facebook,Goldman Sachs</v>
      </c>
      <c r="G551" s="6" t="str">
        <f>IFERROR(__xludf.DUMMYFUNCTION("""COMPUTED_VALUE"""),"Google,Adobe,Amazon,Microsoft,Facebook,Goldman Sachs")</f>
        <v>Google,Adobe,Amazon,Microsoft,Facebook,Goldman Sachs</v>
      </c>
      <c r="H551" s="6" t="str">
        <f>IFERROR(__xludf.DUMMYFUNCTION("""COMPUTED_VALUE"""),"eBay,Nutanix,Apple,Google,Adobe,Amazon,Microsoft,Facebook,Goldman Sachs")</f>
        <v>eBay,Nutanix,Apple,Google,Adobe,Amazon,Microsoft,Facebook,Goldman Sachs</v>
      </c>
      <c r="I551" s="6">
        <f>IFERROR(__xludf.DUMMYFUNCTION("""COMPUTED_VALUE"""),50.81)</f>
        <v>50.81</v>
      </c>
      <c r="J551" s="6" t="str">
        <f>IFERROR(__xludf.DUMMYFUNCTION("""COMPUTED_VALUE"""),"算法")</f>
        <v>算法</v>
      </c>
    </row>
    <row r="552">
      <c r="A552" s="6">
        <f>IFERROR(__xludf.DUMMYFUNCTION("""COMPUTED_VALUE"""),704.0)</f>
        <v>704</v>
      </c>
      <c r="B552" s="53" t="str">
        <f>IFERROR(__xludf.DUMMYFUNCTION("""COMPUTED_VALUE"""),"Binary Search")</f>
        <v>Binary Search</v>
      </c>
      <c r="C552" s="6" t="str">
        <f>IFERROR(__xludf.DUMMYFUNCTION("""COMPUTED_VALUE"""),"Easy")</f>
        <v>Easy</v>
      </c>
      <c r="D552" s="6" t="str">
        <f>IFERROR(__xludf.DUMMYFUNCTION("""COMPUTED_VALUE"""),"Binary Search")</f>
        <v>Binary Search</v>
      </c>
      <c r="E552" s="6" t="str">
        <f>IFERROR(__xludf.DUMMYFUNCTION("""COMPUTED_VALUE"""),"Paypal,Apple,Bloomberg,Facebook,Amazon,Microsoft,Google")</f>
        <v>Paypal,Apple,Bloomberg,Facebook,Amazon,Microsoft,Google</v>
      </c>
      <c r="F552" s="6" t="str">
        <f>IFERROR(__xludf.DUMMYFUNCTION("""COMPUTED_VALUE"""),"Microsoft,Facebook,Amazon,Apple")</f>
        <v>Microsoft,Facebook,Amazon,Apple</v>
      </c>
      <c r="G552" s="6" t="str">
        <f>IFERROR(__xludf.DUMMYFUNCTION("""COMPUTED_VALUE"""),"Bloomberg,Paypal,Microsoft,Facebook,Amazon,Apple")</f>
        <v>Bloomberg,Paypal,Microsoft,Facebook,Amazon,Apple</v>
      </c>
      <c r="H552" s="6" t="str">
        <f>IFERROR(__xludf.DUMMYFUNCTION("""COMPUTED_VALUE"""),"Google,Bloomberg,Paypal,Microsoft,Facebook,Amazon,Apple")</f>
        <v>Google,Bloomberg,Paypal,Microsoft,Facebook,Amazon,Apple</v>
      </c>
      <c r="I552" s="6">
        <f>IFERROR(__xludf.DUMMYFUNCTION("""COMPUTED_VALUE"""),54.11)</f>
        <v>54.11</v>
      </c>
      <c r="J552" s="6" t="str">
        <f>IFERROR(__xludf.DUMMYFUNCTION("""COMPUTED_VALUE"""),"算法")</f>
        <v>算法</v>
      </c>
    </row>
    <row r="553">
      <c r="A553" s="6">
        <f>IFERROR(__xludf.DUMMYFUNCTION("""COMPUTED_VALUE"""),705.0)</f>
        <v>705</v>
      </c>
      <c r="B553" s="53" t="str">
        <f>IFERROR(__xludf.DUMMYFUNCTION("""COMPUTED_VALUE"""),"Design HashSet")</f>
        <v>Design HashSet</v>
      </c>
      <c r="C553" s="6" t="str">
        <f>IFERROR(__xludf.DUMMYFUNCTION("""COMPUTED_VALUE"""),"Easy")</f>
        <v>Easy</v>
      </c>
      <c r="D553" s="6" t="str">
        <f>IFERROR(__xludf.DUMMYFUNCTION("""COMPUTED_VALUE"""),"Design,Hash Table")</f>
        <v>Design,Hash Table</v>
      </c>
      <c r="E553" s="6" t="str">
        <f>IFERROR(__xludf.DUMMYFUNCTION("""COMPUTED_VALUE"""),"Adobe,Google")</f>
        <v>Adobe,Google</v>
      </c>
      <c r="F553" s="6"/>
      <c r="G553" s="6"/>
      <c r="H553" s="6" t="str">
        <f>IFERROR(__xludf.DUMMYFUNCTION("""COMPUTED_VALUE"""),"Google,Adobe")</f>
        <v>Google,Adobe</v>
      </c>
      <c r="I553" s="6">
        <f>IFERROR(__xludf.DUMMYFUNCTION("""COMPUTED_VALUE"""),64.59)</f>
        <v>64.59</v>
      </c>
      <c r="J553" s="6" t="str">
        <f>IFERROR(__xludf.DUMMYFUNCTION("""COMPUTED_VALUE"""),"算法")</f>
        <v>算法</v>
      </c>
    </row>
    <row r="554">
      <c r="A554" s="6">
        <f>IFERROR(__xludf.DUMMYFUNCTION("""COMPUTED_VALUE"""),706.0)</f>
        <v>706</v>
      </c>
      <c r="B554" s="53" t="str">
        <f>IFERROR(__xludf.DUMMYFUNCTION("""COMPUTED_VALUE"""),"Design HashMap")</f>
        <v>Design HashMap</v>
      </c>
      <c r="C554" s="6" t="str">
        <f>IFERROR(__xludf.DUMMYFUNCTION("""COMPUTED_VALUE"""),"Easy")</f>
        <v>Easy</v>
      </c>
      <c r="D554" s="6" t="str">
        <f>IFERROR(__xludf.DUMMYFUNCTION("""COMPUTED_VALUE"""),"Design,Hash Table")</f>
        <v>Design,Hash Table</v>
      </c>
      <c r="E554" s="6" t="str">
        <f>IFERROR(__xludf.DUMMYFUNCTION("""COMPUTED_VALUE"""),"ByteDance,Expedia,EBay,Morgan Stanley,Reddit,Atlassian,Dell,Tableau,Salesforce,VMware,Walmart Labs,Twitter,ServiceNow,Oracle,Apple,Uber,Adobe,Facebook,Amazon,LinkedIn,Microsoft,Goldman Sachs,Google")</f>
        <v>ByteDance,Expedia,EBay,Morgan Stanley,Reddit,Atlassian,Dell,Tableau,Salesforce,VMware,Walmart Labs,Twitter,ServiceNow,Oracle,Apple,Uber,Adobe,Facebook,Amazon,LinkedIn,Microsoft,Goldman Sachs,Google</v>
      </c>
      <c r="F554" s="6" t="str">
        <f>IFERROR(__xludf.DUMMYFUNCTION("""COMPUTED_VALUE"""),"Goldman Sachs,Apple,Amazon,Oracle,LinkedIn,Google,eBay,Microsoft,Twitter,ServiceNow,VMware,ByteDance")</f>
        <v>Goldman Sachs,Apple,Amazon,Oracle,LinkedIn,Google,eBay,Microsoft,Twitter,ServiceNow,VMware,ByteDance</v>
      </c>
      <c r="G554" s="6" t="str">
        <f>IFERROR(__xludf.DUMMYFUNCTION("""COMPUTED_VALUE"""),"Facebook,Expedia,Atlassian,Morgan Stanley,Goldman Sachs,Apple,Amazon,Oracle,LinkedIn,Google,eBay,Microsoft,Twitter,ServiceNow,VMware,ByteDance")</f>
        <v>Facebook,Expedia,Atlassian,Morgan Stanley,Goldman Sachs,Apple,Amazon,Oracle,LinkedIn,Google,eBay,Microsoft,Twitter,ServiceNow,VMware,ByteDance</v>
      </c>
      <c r="H554" s="6" t="str">
        <f>IFERROR(__xludf.DUMMYFUNCTION("""COMPUTED_VALUE"""),"Adobe,Salesforce,Uber,Reddit,Dell,Tableau,Walmart Labs,Facebook,Expedia,Atlassian,Morgan Stanley,Goldman Sachs,Apple,Amazon,Oracle,LinkedIn,Google,eBay,Microsoft,Twitter,ServiceNow,VMware,ByteDance")</f>
        <v>Adobe,Salesforce,Uber,Reddit,Dell,Tableau,Walmart Labs,Facebook,Expedia,Atlassian,Morgan Stanley,Goldman Sachs,Apple,Amazon,Oracle,LinkedIn,Google,eBay,Microsoft,Twitter,ServiceNow,VMware,ByteDance</v>
      </c>
      <c r="I554" s="6">
        <f>IFERROR(__xludf.DUMMYFUNCTION("""COMPUTED_VALUE"""),64.2)</f>
        <v>64.2</v>
      </c>
      <c r="J554" s="6" t="str">
        <f>IFERROR(__xludf.DUMMYFUNCTION("""COMPUTED_VALUE"""),"算法")</f>
        <v>算法</v>
      </c>
    </row>
    <row r="555">
      <c r="A555" s="6">
        <f>IFERROR(__xludf.DUMMYFUNCTION("""COMPUTED_VALUE"""),708.0)</f>
        <v>708</v>
      </c>
      <c r="B555" s="53" t="str">
        <f>IFERROR(__xludf.DUMMYFUNCTION("""COMPUTED_VALUE"""),"Insert into a Sorted Circular Linked List")</f>
        <v>Insert into a Sorted Circular Linked List</v>
      </c>
      <c r="C555" s="6" t="str">
        <f>IFERROR(__xludf.DUMMYFUNCTION("""COMPUTED_VALUE"""),"Medium")</f>
        <v>Medium</v>
      </c>
      <c r="D555" s="6" t="str">
        <f>IFERROR(__xludf.DUMMYFUNCTION("""COMPUTED_VALUE"""),"Linked List")</f>
        <v>Linked List</v>
      </c>
      <c r="E555" s="6" t="str">
        <f>IFERROR(__xludf.DUMMYFUNCTION("""COMPUTED_VALUE"""),"Splunk,Quip (Salesforce),Bloomberg,Facebook,Amazon,Microsoft,Google")</f>
        <v>Splunk,Quip (Salesforce),Bloomberg,Facebook,Amazon,Microsoft,Google</v>
      </c>
      <c r="F555" s="6" t="str">
        <f>IFERROR(__xludf.DUMMYFUNCTION("""COMPUTED_VALUE"""),"Facebook,Amazon,Microsoft")</f>
        <v>Facebook,Amazon,Microsoft</v>
      </c>
      <c r="G555" s="6" t="str">
        <f>IFERROR(__xludf.DUMMYFUNCTION("""COMPUTED_VALUE"""),"Quip (Salesforce),Facebook,Amazon,Microsoft")</f>
        <v>Quip (Salesforce),Facebook,Amazon,Microsoft</v>
      </c>
      <c r="H555" s="6" t="str">
        <f>IFERROR(__xludf.DUMMYFUNCTION("""COMPUTED_VALUE"""),"Google,Splunk,Bloomberg,Quip (Salesforce),Facebook,Amazon,Microsoft")</f>
        <v>Google,Splunk,Bloomberg,Quip (Salesforce),Facebook,Amazon,Microsoft</v>
      </c>
      <c r="I555" s="6">
        <f>IFERROR(__xludf.DUMMYFUNCTION("""COMPUTED_VALUE"""),32.58)</f>
        <v>32.58</v>
      </c>
      <c r="J555" s="6" t="str">
        <f>IFERROR(__xludf.DUMMYFUNCTION("""COMPUTED_VALUE"""),"算法")</f>
        <v>算法</v>
      </c>
    </row>
    <row r="556">
      <c r="A556" s="6">
        <f>IFERROR(__xludf.DUMMYFUNCTION("""COMPUTED_VALUE"""),709.0)</f>
        <v>709</v>
      </c>
      <c r="B556" s="53" t="str">
        <f>IFERROR(__xludf.DUMMYFUNCTION("""COMPUTED_VALUE"""),"To Lower Case")</f>
        <v>To Lower Case</v>
      </c>
      <c r="C556" s="6" t="str">
        <f>IFERROR(__xludf.DUMMYFUNCTION("""COMPUTED_VALUE"""),"Easy")</f>
        <v>Easy</v>
      </c>
      <c r="D556" s="6" t="str">
        <f>IFERROR(__xludf.DUMMYFUNCTION("""COMPUTED_VALUE"""),"String")</f>
        <v>String</v>
      </c>
      <c r="E556" s="6" t="str">
        <f>IFERROR(__xludf.DUMMYFUNCTION("""COMPUTED_VALUE"""),"Apple,Adobe,Google")</f>
        <v>Apple,Adobe,Google</v>
      </c>
      <c r="F556" s="6"/>
      <c r="G556" s="6"/>
      <c r="H556" s="6" t="str">
        <f>IFERROR(__xludf.DUMMYFUNCTION("""COMPUTED_VALUE"""),"Google,Adobe,Apple")</f>
        <v>Google,Adobe,Apple</v>
      </c>
      <c r="I556" s="6">
        <f>IFERROR(__xludf.DUMMYFUNCTION("""COMPUTED_VALUE"""),80.2)</f>
        <v>80.2</v>
      </c>
      <c r="J556" s="6" t="str">
        <f>IFERROR(__xludf.DUMMYFUNCTION("""COMPUTED_VALUE"""),"算法")</f>
        <v>算法</v>
      </c>
    </row>
    <row r="557">
      <c r="A557" s="6">
        <f>IFERROR(__xludf.DUMMYFUNCTION("""COMPUTED_VALUE"""),710.0)</f>
        <v>710</v>
      </c>
      <c r="B557" s="53" t="str">
        <f>IFERROR(__xludf.DUMMYFUNCTION("""COMPUTED_VALUE"""),"Random Pick with Blacklist")</f>
        <v>Random Pick with Blacklist</v>
      </c>
      <c r="C557" s="6" t="str">
        <f>IFERROR(__xludf.DUMMYFUNCTION("""COMPUTED_VALUE"""),"Hard")</f>
        <v>Hard</v>
      </c>
      <c r="D557" s="6" t="str">
        <f>IFERROR(__xludf.DUMMYFUNCTION("""COMPUTED_VALUE"""),"Random,Sort,Binary Search,Hash Table")</f>
        <v>Random,Sort,Binary Search,Hash Table</v>
      </c>
      <c r="E557" s="6" t="str">
        <f>IFERROR(__xludf.DUMMYFUNCTION("""COMPUTED_VALUE"""),"Two Sigma,Uber,Facebook,Amazon,Google")</f>
        <v>Two Sigma,Uber,Facebook,Amazon,Google</v>
      </c>
      <c r="F557" s="6" t="str">
        <f>IFERROR(__xludf.DUMMYFUNCTION("""COMPUTED_VALUE"""),"Two Sigma")</f>
        <v>Two Sigma</v>
      </c>
      <c r="G557" s="6" t="str">
        <f>IFERROR(__xludf.DUMMYFUNCTION("""COMPUTED_VALUE"""),"Two Sigma")</f>
        <v>Two Sigma</v>
      </c>
      <c r="H557" s="6" t="str">
        <f>IFERROR(__xludf.DUMMYFUNCTION("""COMPUTED_VALUE"""),"Google,Amazon,Uber,Two Sigma")</f>
        <v>Google,Amazon,Uber,Two Sigma</v>
      </c>
      <c r="I557" s="6">
        <f>IFERROR(__xludf.DUMMYFUNCTION("""COMPUTED_VALUE"""),32.96)</f>
        <v>32.96</v>
      </c>
      <c r="J557" s="6" t="str">
        <f>IFERROR(__xludf.DUMMYFUNCTION("""COMPUTED_VALUE"""),"算法")</f>
        <v>算法</v>
      </c>
    </row>
    <row r="558">
      <c r="A558" s="6">
        <f>IFERROR(__xludf.DUMMYFUNCTION("""COMPUTED_VALUE"""),713.0)</f>
        <v>713</v>
      </c>
      <c r="B558" s="53" t="str">
        <f>IFERROR(__xludf.DUMMYFUNCTION("""COMPUTED_VALUE"""),"Subarray Product Less Than K")</f>
        <v>Subarray Product Less Than K</v>
      </c>
      <c r="C558" s="6" t="str">
        <f>IFERROR(__xludf.DUMMYFUNCTION("""COMPUTED_VALUE"""),"Medium")</f>
        <v>Medium</v>
      </c>
      <c r="D558" s="6" t="str">
        <f>IFERROR(__xludf.DUMMYFUNCTION("""COMPUTED_VALUE"""),"Two Pointers,Array")</f>
        <v>Two Pointers,Array</v>
      </c>
      <c r="E558" s="6" t="str">
        <f>IFERROR(__xludf.DUMMYFUNCTION("""COMPUTED_VALUE"""),"Bloomberg,Amazon,LinkedIn,Goldman Sachs,Yatra,Akuna Capital,Coursera,Atlassian,Expedia,Google")</f>
        <v>Bloomberg,Amazon,LinkedIn,Goldman Sachs,Yatra,Akuna Capital,Coursera,Atlassian,Expedia,Google</v>
      </c>
      <c r="F558" s="6" t="str">
        <f>IFERROR(__xludf.DUMMYFUNCTION("""COMPUTED_VALUE"""),"Bloomberg,LinkedIn")</f>
        <v>Bloomberg,LinkedIn</v>
      </c>
      <c r="G558" s="6" t="str">
        <f>IFERROR(__xludf.DUMMYFUNCTION("""COMPUTED_VALUE"""),"Bloomberg,LinkedIn")</f>
        <v>Bloomberg,LinkedIn</v>
      </c>
      <c r="H558" s="6" t="str">
        <f>IFERROR(__xludf.DUMMYFUNCTION("""COMPUTED_VALUE"""),"Akuna Capital,Google,Amazon,Goldman Sachs,Yatra,Bloomberg,LinkedIn")</f>
        <v>Akuna Capital,Google,Amazon,Goldman Sachs,Yatra,Bloomberg,LinkedIn</v>
      </c>
      <c r="I558" s="6">
        <f>IFERROR(__xludf.DUMMYFUNCTION("""COMPUTED_VALUE"""),40.51)</f>
        <v>40.51</v>
      </c>
      <c r="J558" s="6" t="str">
        <f>IFERROR(__xludf.DUMMYFUNCTION("""COMPUTED_VALUE"""),"算法")</f>
        <v>算法</v>
      </c>
    </row>
    <row r="559">
      <c r="A559" s="6">
        <f>IFERROR(__xludf.DUMMYFUNCTION("""COMPUTED_VALUE"""),714.0)</f>
        <v>714</v>
      </c>
      <c r="B559" s="53" t="str">
        <f>IFERROR(__xludf.DUMMYFUNCTION("""COMPUTED_VALUE"""),"Best Time to Buy and Sell Stock with Transaction Fee")</f>
        <v>Best Time to Buy and Sell Stock with Transaction Fee</v>
      </c>
      <c r="C559" s="6" t="str">
        <f>IFERROR(__xludf.DUMMYFUNCTION("""COMPUTED_VALUE"""),"Medium")</f>
        <v>Medium</v>
      </c>
      <c r="D559" s="6" t="str">
        <f>IFERROR(__xludf.DUMMYFUNCTION("""COMPUTED_VALUE"""),"Greedy,Dynamic Programming,Array")</f>
        <v>Greedy,Dynamic Programming,Array</v>
      </c>
      <c r="E559" s="6" t="str">
        <f>IFERROR(__xludf.DUMMYFUNCTION("""COMPUTED_VALUE"""),"Bloomberg,Facebook,Amazon,Google")</f>
        <v>Bloomberg,Facebook,Amazon,Google</v>
      </c>
      <c r="F559" s="6" t="str">
        <f>IFERROR(__xludf.DUMMYFUNCTION("""COMPUTED_VALUE"""),"Amazon")</f>
        <v>Amazon</v>
      </c>
      <c r="G559" s="6" t="str">
        <f>IFERROR(__xludf.DUMMYFUNCTION("""COMPUTED_VALUE"""),"Bloomberg,Amazon")</f>
        <v>Bloomberg,Amazon</v>
      </c>
      <c r="H559" s="6" t="str">
        <f>IFERROR(__xludf.DUMMYFUNCTION("""COMPUTED_VALUE"""),"Google,Facebook,Bloomberg,Amazon")</f>
        <v>Google,Facebook,Bloomberg,Amazon</v>
      </c>
      <c r="I559" s="6">
        <f>IFERROR(__xludf.DUMMYFUNCTION("""COMPUTED_VALUE"""),57.97)</f>
        <v>57.97</v>
      </c>
      <c r="J559" s="6" t="str">
        <f>IFERROR(__xludf.DUMMYFUNCTION("""COMPUTED_VALUE"""),"算法")</f>
        <v>算法</v>
      </c>
    </row>
    <row r="560">
      <c r="A560" s="6">
        <f>IFERROR(__xludf.DUMMYFUNCTION("""COMPUTED_VALUE"""),715.0)</f>
        <v>715</v>
      </c>
      <c r="B560" s="53" t="str">
        <f>IFERROR(__xludf.DUMMYFUNCTION("""COMPUTED_VALUE"""),"Range Module")</f>
        <v>Range Module</v>
      </c>
      <c r="C560" s="6" t="str">
        <f>IFERROR(__xludf.DUMMYFUNCTION("""COMPUTED_VALUE"""),"Hard")</f>
        <v>Hard</v>
      </c>
      <c r="D560" s="6" t="str">
        <f>IFERROR(__xludf.DUMMYFUNCTION("""COMPUTED_VALUE"""),"Ordered Map,Segment Tree")</f>
        <v>Ordered Map,Segment Tree</v>
      </c>
      <c r="E560" s="6" t="str">
        <f>IFERROR(__xludf.DUMMYFUNCTION("""COMPUTED_VALUE"""),"Machine Zone,Coupang,Oracle,Amazon,LinkedIn,Google")</f>
        <v>Machine Zone,Coupang,Oracle,Amazon,LinkedIn,Google</v>
      </c>
      <c r="F560" s="6" t="str">
        <f>IFERROR(__xludf.DUMMYFUNCTION("""COMPUTED_VALUE"""),"Google,Amazon")</f>
        <v>Google,Amazon</v>
      </c>
      <c r="G560" s="6" t="str">
        <f>IFERROR(__xludf.DUMMYFUNCTION("""COMPUTED_VALUE"""),"Google,Amazon")</f>
        <v>Google,Amazon</v>
      </c>
      <c r="H560" s="6" t="str">
        <f>IFERROR(__xludf.DUMMYFUNCTION("""COMPUTED_VALUE"""),"Oracle,Machine Zone,Coupang,Google,Amazon")</f>
        <v>Oracle,Machine Zone,Coupang,Google,Amazon</v>
      </c>
      <c r="I560" s="6">
        <f>IFERROR(__xludf.DUMMYFUNCTION("""COMPUTED_VALUE"""),40.37)</f>
        <v>40.37</v>
      </c>
      <c r="J560" s="6" t="str">
        <f>IFERROR(__xludf.DUMMYFUNCTION("""COMPUTED_VALUE"""),"算法")</f>
        <v>算法</v>
      </c>
    </row>
    <row r="561">
      <c r="A561" s="6">
        <f>IFERROR(__xludf.DUMMYFUNCTION("""COMPUTED_VALUE"""),716.0)</f>
        <v>716</v>
      </c>
      <c r="B561" s="53" t="str">
        <f>IFERROR(__xludf.DUMMYFUNCTION("""COMPUTED_VALUE"""),"Max Stack")</f>
        <v>Max Stack</v>
      </c>
      <c r="C561" s="6" t="str">
        <f>IFERROR(__xludf.DUMMYFUNCTION("""COMPUTED_VALUE"""),"Easy")</f>
        <v>Easy</v>
      </c>
      <c r="D561" s="6" t="str">
        <f>IFERROR(__xludf.DUMMYFUNCTION("""COMPUTED_VALUE"""),"Design")</f>
        <v>Design</v>
      </c>
      <c r="E561" s="6" t="str">
        <f>IFERROR(__xludf.DUMMYFUNCTION("""COMPUTED_VALUE"""),"Apple,Uber,Pure Storage,Snapchat,Twitter,Lyft,Bloomberg,Facebook,Amazon,LinkedIn,Microsoft,Google")</f>
        <v>Apple,Uber,Pure Storage,Snapchat,Twitter,Lyft,Bloomberg,Facebook,Amazon,LinkedIn,Microsoft,Google</v>
      </c>
      <c r="F561" s="6" t="str">
        <f>IFERROR(__xludf.DUMMYFUNCTION("""COMPUTED_VALUE"""),"Lyft,LinkedIn,Amazon,Pure Storage,Twitter,Uber")</f>
        <v>Lyft,LinkedIn,Amazon,Pure Storage,Twitter,Uber</v>
      </c>
      <c r="G561" s="6" t="str">
        <f>IFERROR(__xludf.DUMMYFUNCTION("""COMPUTED_VALUE"""),"Microsoft,Facebook,Apple,Lyft,LinkedIn,Amazon,Pure Storage,Twitter,Uber")</f>
        <v>Microsoft,Facebook,Apple,Lyft,LinkedIn,Amazon,Pure Storage,Twitter,Uber</v>
      </c>
      <c r="H561" s="6" t="str">
        <f>IFERROR(__xludf.DUMMYFUNCTION("""COMPUTED_VALUE"""),"Bloomberg,Microsoft,Facebook,Apple,Lyft,LinkedIn,Amazon,Pure Storage,Twitter,Uber")</f>
        <v>Bloomberg,Microsoft,Facebook,Apple,Lyft,LinkedIn,Amazon,Pure Storage,Twitter,Uber</v>
      </c>
      <c r="I561" s="6">
        <f>IFERROR(__xludf.DUMMYFUNCTION("""COMPUTED_VALUE"""),43.08)</f>
        <v>43.08</v>
      </c>
      <c r="J561" s="6" t="str">
        <f>IFERROR(__xludf.DUMMYFUNCTION("""COMPUTED_VALUE"""),"算法")</f>
        <v>算法</v>
      </c>
    </row>
    <row r="562">
      <c r="A562" s="6">
        <f>IFERROR(__xludf.DUMMYFUNCTION("""COMPUTED_VALUE"""),717.0)</f>
        <v>717</v>
      </c>
      <c r="B562" s="53" t="str">
        <f>IFERROR(__xludf.DUMMYFUNCTION("""COMPUTED_VALUE"""),"1-bit and 2-bit Characters")</f>
        <v>1-bit and 2-bit Characters</v>
      </c>
      <c r="C562" s="6" t="str">
        <f>IFERROR(__xludf.DUMMYFUNCTION("""COMPUTED_VALUE"""),"Easy")</f>
        <v>Easy</v>
      </c>
      <c r="D562" s="6" t="str">
        <f>IFERROR(__xludf.DUMMYFUNCTION("""COMPUTED_VALUE"""),"Array")</f>
        <v>Array</v>
      </c>
      <c r="E562" s="6" t="str">
        <f>IFERROR(__xludf.DUMMYFUNCTION("""COMPUTED_VALUE"""),"Amazon,IXL,Quora,Microsoft,Google")</f>
        <v>Amazon,IXL,Quora,Microsoft,Google</v>
      </c>
      <c r="F562" s="6" t="str">
        <f>IFERROR(__xludf.DUMMYFUNCTION("""COMPUTED_VALUE"""),"Amazon")</f>
        <v>Amazon</v>
      </c>
      <c r="G562" s="6" t="str">
        <f>IFERROR(__xludf.DUMMYFUNCTION("""COMPUTED_VALUE"""),"Amazon")</f>
        <v>Amazon</v>
      </c>
      <c r="H562" s="6" t="str">
        <f>IFERROR(__xludf.DUMMYFUNCTION("""COMPUTED_VALUE"""),"Google,IXL,Microsoft,Quora,Amazon")</f>
        <v>Google,IXL,Microsoft,Quora,Amazon</v>
      </c>
      <c r="I562" s="6">
        <f>IFERROR(__xludf.DUMMYFUNCTION("""COMPUTED_VALUE"""),47.0)</f>
        <v>47</v>
      </c>
      <c r="J562" s="6" t="str">
        <f>IFERROR(__xludf.DUMMYFUNCTION("""COMPUTED_VALUE"""),"算法")</f>
        <v>算法</v>
      </c>
    </row>
    <row r="563">
      <c r="A563" s="6">
        <f>IFERROR(__xludf.DUMMYFUNCTION("""COMPUTED_VALUE"""),718.0)</f>
        <v>718</v>
      </c>
      <c r="B563" s="53" t="str">
        <f>IFERROR(__xludf.DUMMYFUNCTION("""COMPUTED_VALUE"""),"Maximum Length of Repeated Subarray")</f>
        <v>Maximum Length of Repeated Subarray</v>
      </c>
      <c r="C563" s="6" t="str">
        <f>IFERROR(__xludf.DUMMYFUNCTION("""COMPUTED_VALUE"""),"Medium")</f>
        <v>Medium</v>
      </c>
      <c r="D563" s="6" t="str">
        <f>IFERROR(__xludf.DUMMYFUNCTION("""COMPUTED_VALUE"""),"Dynamic Programming,Binary Search,Hash Table,Array")</f>
        <v>Dynamic Programming,Binary Search,Hash Table,Array</v>
      </c>
      <c r="E563" s="6" t="str">
        <f>IFERROR(__xludf.DUMMYFUNCTION("""COMPUTED_VALUE"""),"Karat,Wayfair,Roblox,Apple,Google,Pinterest,Citadel,Indeed,Intuit")</f>
        <v>Karat,Wayfair,Roblox,Apple,Google,Pinterest,Citadel,Indeed,Intuit</v>
      </c>
      <c r="F563" s="6" t="str">
        <f>IFERROR(__xludf.DUMMYFUNCTION("""COMPUTED_VALUE"""),"Karat,Indeed,Intuit,Roblox")</f>
        <v>Karat,Indeed,Intuit,Roblox</v>
      </c>
      <c r="G563" s="6" t="str">
        <f>IFERROR(__xludf.DUMMYFUNCTION("""COMPUTED_VALUE"""),"Karat,Indeed,Intuit,Roblox")</f>
        <v>Karat,Indeed,Intuit,Roblox</v>
      </c>
      <c r="H563" s="6" t="str">
        <f>IFERROR(__xludf.DUMMYFUNCTION("""COMPUTED_VALUE"""),"Pinterest,Apple,Wayfair,Google,Citadel,Karat,Indeed,Intuit,Roblox")</f>
        <v>Pinterest,Apple,Wayfair,Google,Citadel,Karat,Indeed,Intuit,Roblox</v>
      </c>
      <c r="I563" s="6">
        <f>IFERROR(__xludf.DUMMYFUNCTION("""COMPUTED_VALUE"""),50.4)</f>
        <v>50.4</v>
      </c>
      <c r="J563" s="6" t="str">
        <f>IFERROR(__xludf.DUMMYFUNCTION("""COMPUTED_VALUE"""),"算法")</f>
        <v>算法</v>
      </c>
    </row>
    <row r="564">
      <c r="A564" s="6">
        <f>IFERROR(__xludf.DUMMYFUNCTION("""COMPUTED_VALUE"""),719.0)</f>
        <v>719</v>
      </c>
      <c r="B564" s="53" t="str">
        <f>IFERROR(__xludf.DUMMYFUNCTION("""COMPUTED_VALUE"""),"Find K-th Smallest Pair Distance")</f>
        <v>Find K-th Smallest Pair Distance</v>
      </c>
      <c r="C564" s="6" t="str">
        <f>IFERROR(__xludf.DUMMYFUNCTION("""COMPUTED_VALUE"""),"Hard")</f>
        <v>Hard</v>
      </c>
      <c r="D564" s="6" t="str">
        <f>IFERROR(__xludf.DUMMYFUNCTION("""COMPUTED_VALUE"""),"Heap,Binary Search,Array")</f>
        <v>Heap,Binary Search,Array</v>
      </c>
      <c r="E564" s="6" t="str">
        <f>IFERROR(__xludf.DUMMYFUNCTION("""COMPUTED_VALUE"""),"Amazon,Google")</f>
        <v>Amazon,Google</v>
      </c>
      <c r="F564" s="6"/>
      <c r="G564" s="6"/>
      <c r="H564" s="6" t="str">
        <f>IFERROR(__xludf.DUMMYFUNCTION("""COMPUTED_VALUE"""),"Google,Amazon")</f>
        <v>Google,Amazon</v>
      </c>
      <c r="I564" s="6">
        <f>IFERROR(__xludf.DUMMYFUNCTION("""COMPUTED_VALUE"""),32.62)</f>
        <v>32.62</v>
      </c>
      <c r="J564" s="6" t="str">
        <f>IFERROR(__xludf.DUMMYFUNCTION("""COMPUTED_VALUE"""),"算法")</f>
        <v>算法</v>
      </c>
    </row>
    <row r="565">
      <c r="A565" s="6">
        <f>IFERROR(__xludf.DUMMYFUNCTION("""COMPUTED_VALUE"""),720.0)</f>
        <v>720</v>
      </c>
      <c r="B565" s="53" t="str">
        <f>IFERROR(__xludf.DUMMYFUNCTION("""COMPUTED_VALUE"""),"Longest Word in Dictionary")</f>
        <v>Longest Word in Dictionary</v>
      </c>
      <c r="C565" s="6" t="str">
        <f>IFERROR(__xludf.DUMMYFUNCTION("""COMPUTED_VALUE"""),"Easy")</f>
        <v>Easy</v>
      </c>
      <c r="D565" s="6" t="str">
        <f>IFERROR(__xludf.DUMMYFUNCTION("""COMPUTED_VALUE"""),"Trie,Hash Table")</f>
        <v>Trie,Hash Table</v>
      </c>
      <c r="E565" s="6" t="str">
        <f>IFERROR(__xludf.DUMMYFUNCTION("""COMPUTED_VALUE"""),"VMware,Bloomberg,Facebook,Pinterest,Amazon,Goldman Sachs,Google")</f>
        <v>VMware,Bloomberg,Facebook,Pinterest,Amazon,Goldman Sachs,Google</v>
      </c>
      <c r="F565" s="6" t="str">
        <f>IFERROR(__xludf.DUMMYFUNCTION("""COMPUTED_VALUE"""),"Goldman Sachs")</f>
        <v>Goldman Sachs</v>
      </c>
      <c r="G565" s="6" t="str">
        <f>IFERROR(__xludf.DUMMYFUNCTION("""COMPUTED_VALUE"""),"VMware,Amazon,Facebook,Goldman Sachs")</f>
        <v>VMware,Amazon,Facebook,Goldman Sachs</v>
      </c>
      <c r="H565" s="6" t="str">
        <f>IFERROR(__xludf.DUMMYFUNCTION("""COMPUTED_VALUE"""),"Google,Bloomberg,Pinterest,VMware,Amazon,Facebook,Goldman Sachs")</f>
        <v>Google,Bloomberg,Pinterest,VMware,Amazon,Facebook,Goldman Sachs</v>
      </c>
      <c r="I565" s="6">
        <f>IFERROR(__xludf.DUMMYFUNCTION("""COMPUTED_VALUE"""),49.31)</f>
        <v>49.31</v>
      </c>
      <c r="J565" s="6" t="str">
        <f>IFERROR(__xludf.DUMMYFUNCTION("""COMPUTED_VALUE"""),"算法")</f>
        <v>算法</v>
      </c>
    </row>
    <row r="566">
      <c r="A566" s="6">
        <f>IFERROR(__xludf.DUMMYFUNCTION("""COMPUTED_VALUE"""),721.0)</f>
        <v>721</v>
      </c>
      <c r="B566" s="53" t="str">
        <f>IFERROR(__xludf.DUMMYFUNCTION("""COMPUTED_VALUE"""),"Accounts Merge")</f>
        <v>Accounts Merge</v>
      </c>
      <c r="C566" s="6" t="str">
        <f>IFERROR(__xludf.DUMMYFUNCTION("""COMPUTED_VALUE"""),"Medium")</f>
        <v>Medium</v>
      </c>
      <c r="D566" s="6" t="str">
        <f>IFERROR(__xludf.DUMMYFUNCTION("""COMPUTED_VALUE"""),"Union Find,Depth First Search")</f>
        <v>Union Find,Depth First Search</v>
      </c>
      <c r="E566" s="6" t="str">
        <f>IFERROR(__xludf.DUMMYFUNCTION("""COMPUTED_VALUE"""),"Rubrik,Twitter,Uber,Bloomberg,Houzz,Oracle,Apple,Facebook,Amazon,LinkedIn,Microsoft,Google")</f>
        <v>Rubrik,Twitter,Uber,Bloomberg,Houzz,Oracle,Apple,Facebook,Amazon,LinkedIn,Microsoft,Google</v>
      </c>
      <c r="F566" s="6" t="str">
        <f>IFERROR(__xludf.DUMMYFUNCTION("""COMPUTED_VALUE"""),"Facebook,Google,Microsoft,Amazon,LinkedIn,Twitter")</f>
        <v>Facebook,Google,Microsoft,Amazon,LinkedIn,Twitter</v>
      </c>
      <c r="G566" s="6" t="str">
        <f>IFERROR(__xludf.DUMMYFUNCTION("""COMPUTED_VALUE"""),"Bloomberg,Facebook,Google,Microsoft,Amazon,LinkedIn,Twitter")</f>
        <v>Bloomberg,Facebook,Google,Microsoft,Amazon,LinkedIn,Twitter</v>
      </c>
      <c r="H566" s="6" t="str">
        <f>IFERROR(__xludf.DUMMYFUNCTION("""COMPUTED_VALUE"""),"Houzz,Uber,Apple,Rubrik,Oracle,Bloomberg,Facebook,Google,Microsoft,Amazon,LinkedIn,Twitter")</f>
        <v>Houzz,Uber,Apple,Rubrik,Oracle,Bloomberg,Facebook,Google,Microsoft,Amazon,LinkedIn,Twitter</v>
      </c>
      <c r="I566" s="6">
        <f>IFERROR(__xludf.DUMMYFUNCTION("""COMPUTED_VALUE"""),52.05)</f>
        <v>52.05</v>
      </c>
      <c r="J566" s="6" t="str">
        <f>IFERROR(__xludf.DUMMYFUNCTION("""COMPUTED_VALUE"""),"算法")</f>
        <v>算法</v>
      </c>
    </row>
    <row r="567">
      <c r="A567" s="6">
        <f>IFERROR(__xludf.DUMMYFUNCTION("""COMPUTED_VALUE"""),722.0)</f>
        <v>722</v>
      </c>
      <c r="B567" s="53" t="str">
        <f>IFERROR(__xludf.DUMMYFUNCTION("""COMPUTED_VALUE"""),"Remove Comments")</f>
        <v>Remove Comments</v>
      </c>
      <c r="C567" s="6" t="str">
        <f>IFERROR(__xludf.DUMMYFUNCTION("""COMPUTED_VALUE"""),"Medium")</f>
        <v>Medium</v>
      </c>
      <c r="D567" s="6" t="str">
        <f>IFERROR(__xludf.DUMMYFUNCTION("""COMPUTED_VALUE"""),"String")</f>
        <v>String</v>
      </c>
      <c r="E567" s="6" t="str">
        <f>IFERROR(__xludf.DUMMYFUNCTION("""COMPUTED_VALUE"""),"HBO,Qualtrics,Databricks,Oracle,Uber,Facebook,Amazon,Microsoft,Goldman Sachs,Google")</f>
        <v>HBO,Qualtrics,Databricks,Oracle,Uber,Facebook,Amazon,Microsoft,Goldman Sachs,Google</v>
      </c>
      <c r="F567" s="6" t="str">
        <f>IFERROR(__xludf.DUMMYFUNCTION("""COMPUTED_VALUE"""),"Microsoft,Google,Databricks")</f>
        <v>Microsoft,Google,Databricks</v>
      </c>
      <c r="G567" s="6" t="str">
        <f>IFERROR(__xludf.DUMMYFUNCTION("""COMPUTED_VALUE"""),"Facebook,Microsoft,Google,Databricks")</f>
        <v>Facebook,Microsoft,Google,Databricks</v>
      </c>
      <c r="H567" s="6" t="str">
        <f>IFERROR(__xludf.DUMMYFUNCTION("""COMPUTED_VALUE"""),"Oracle,HBO,Uber,Amazon,Goldman Sachs,Facebook,Microsoft,Google,Databricks")</f>
        <v>Oracle,HBO,Uber,Amazon,Goldman Sachs,Facebook,Microsoft,Google,Databricks</v>
      </c>
      <c r="I567" s="6">
        <f>IFERROR(__xludf.DUMMYFUNCTION("""COMPUTED_VALUE"""),36.29)</f>
        <v>36.29</v>
      </c>
      <c r="J567" s="6" t="str">
        <f>IFERROR(__xludf.DUMMYFUNCTION("""COMPUTED_VALUE"""),"算法")</f>
        <v>算法</v>
      </c>
    </row>
    <row r="568">
      <c r="A568" s="6">
        <f>IFERROR(__xludf.DUMMYFUNCTION("""COMPUTED_VALUE"""),723.0)</f>
        <v>723</v>
      </c>
      <c r="B568" s="53" t="str">
        <f>IFERROR(__xludf.DUMMYFUNCTION("""COMPUTED_VALUE"""),"Candy Crush")</f>
        <v>Candy Crush</v>
      </c>
      <c r="C568" s="6" t="str">
        <f>IFERROR(__xludf.DUMMYFUNCTION("""COMPUTED_VALUE"""),"Medium")</f>
        <v>Medium</v>
      </c>
      <c r="D568" s="6" t="str">
        <f>IFERROR(__xludf.DUMMYFUNCTION("""COMPUTED_VALUE"""),"Two Pointers,Array")</f>
        <v>Two Pointers,Array</v>
      </c>
      <c r="E568" s="6" t="str">
        <f>IFERROR(__xludf.DUMMYFUNCTION("""COMPUTED_VALUE"""),"Uber,Rubrik,Twitch,Bloomberg,Facebook,Google")</f>
        <v>Uber,Rubrik,Twitch,Bloomberg,Facebook,Google</v>
      </c>
      <c r="F568" s="6" t="str">
        <f>IFERROR(__xludf.DUMMYFUNCTION("""COMPUTED_VALUE"""),"Bloomberg,Google")</f>
        <v>Bloomberg,Google</v>
      </c>
      <c r="G568" s="6" t="str">
        <f>IFERROR(__xludf.DUMMYFUNCTION("""COMPUTED_VALUE"""),"Facebook,Uber,Bloomberg,Google")</f>
        <v>Facebook,Uber,Bloomberg,Google</v>
      </c>
      <c r="H568" s="6" t="str">
        <f>IFERROR(__xludf.DUMMYFUNCTION("""COMPUTED_VALUE"""),"Twitch,Rubrik,Facebook,Uber,Bloomberg,Google")</f>
        <v>Twitch,Rubrik,Facebook,Uber,Bloomberg,Google</v>
      </c>
      <c r="I568" s="6">
        <f>IFERROR(__xludf.DUMMYFUNCTION("""COMPUTED_VALUE"""),72.84)</f>
        <v>72.84</v>
      </c>
      <c r="J568" s="6" t="str">
        <f>IFERROR(__xludf.DUMMYFUNCTION("""COMPUTED_VALUE"""),"算法")</f>
        <v>算法</v>
      </c>
    </row>
    <row r="569">
      <c r="A569" s="6">
        <f>IFERROR(__xludf.DUMMYFUNCTION("""COMPUTED_VALUE"""),724.0)</f>
        <v>724</v>
      </c>
      <c r="B569" s="53" t="str">
        <f>IFERROR(__xludf.DUMMYFUNCTION("""COMPUTED_VALUE"""),"Find Pivot Index")</f>
        <v>Find Pivot Index</v>
      </c>
      <c r="C569" s="6" t="str">
        <f>IFERROR(__xludf.DUMMYFUNCTION("""COMPUTED_VALUE"""),"Easy")</f>
        <v>Easy</v>
      </c>
      <c r="D569" s="6" t="str">
        <f>IFERROR(__xludf.DUMMYFUNCTION("""COMPUTED_VALUE"""),"Array")</f>
        <v>Array</v>
      </c>
      <c r="E569" s="6" t="str">
        <f>IFERROR(__xludf.DUMMYFUNCTION("""COMPUTED_VALUE"""),"Citadel,Twitter,Cisco,Bloomberg,Tesla,Coupang,Salesforce,GoDaddy,Indeed,Radius,Expedia,Baidu,Apple,Facebook,Amazon,Microsoft,Goldman Sachs,Google")</f>
        <v>Citadel,Twitter,Cisco,Bloomberg,Tesla,Coupang,Salesforce,GoDaddy,Indeed,Radius,Expedia,Baidu,Apple,Facebook,Amazon,Microsoft,Goldman Sachs,Google</v>
      </c>
      <c r="F569" s="6" t="str">
        <f>IFERROR(__xludf.DUMMYFUNCTION("""COMPUTED_VALUE"""),"Facebook,Goldman Sachs,Twitter,Apple")</f>
        <v>Facebook,Goldman Sachs,Twitter,Apple</v>
      </c>
      <c r="G569" s="6" t="str">
        <f>IFERROR(__xludf.DUMMYFUNCTION("""COMPUTED_VALUE"""),"Microsoft,Bloomberg,Amazon,Citadel,Facebook,Goldman Sachs,Twitter,Apple")</f>
        <v>Microsoft,Bloomberg,Amazon,Citadel,Facebook,Goldman Sachs,Twitter,Apple</v>
      </c>
      <c r="H569" s="6" t="str">
        <f>IFERROR(__xludf.DUMMYFUNCTION("""COMPUTED_VALUE"""),"Google,Expedia,GoDaddy,Salesforce,Cisco,Radius,Coupang,Microsoft,Bloomberg,Amazon,Citadel,Facebook,Goldman Sachs,Twitter,Apple")</f>
        <v>Google,Expedia,GoDaddy,Salesforce,Cisco,Radius,Coupang,Microsoft,Bloomberg,Amazon,Citadel,Facebook,Goldman Sachs,Twitter,Apple</v>
      </c>
      <c r="I569" s="6">
        <f>IFERROR(__xludf.DUMMYFUNCTION("""COMPUTED_VALUE"""),45.81)</f>
        <v>45.81</v>
      </c>
      <c r="J569" s="6" t="str">
        <f>IFERROR(__xludf.DUMMYFUNCTION("""COMPUTED_VALUE"""),"算法")</f>
        <v>算法</v>
      </c>
    </row>
    <row r="570">
      <c r="A570" s="6">
        <f>IFERROR(__xludf.DUMMYFUNCTION("""COMPUTED_VALUE"""),725.0)</f>
        <v>725</v>
      </c>
      <c r="B570" s="53" t="str">
        <f>IFERROR(__xludf.DUMMYFUNCTION("""COMPUTED_VALUE"""),"Split Linked List in Parts")</f>
        <v>Split Linked List in Parts</v>
      </c>
      <c r="C570" s="6" t="str">
        <f>IFERROR(__xludf.DUMMYFUNCTION("""COMPUTED_VALUE"""),"Medium")</f>
        <v>Medium</v>
      </c>
      <c r="D570" s="6" t="str">
        <f>IFERROR(__xludf.DUMMYFUNCTION("""COMPUTED_VALUE"""),"Linked List")</f>
        <v>Linked List</v>
      </c>
      <c r="E570" s="6" t="str">
        <f>IFERROR(__xludf.DUMMYFUNCTION("""COMPUTED_VALUE"""),"Adobe,Amazon,Google")</f>
        <v>Adobe,Amazon,Google</v>
      </c>
      <c r="F570" s="6"/>
      <c r="G570" s="6"/>
      <c r="H570" s="6" t="str">
        <f>IFERROR(__xludf.DUMMYFUNCTION("""COMPUTED_VALUE"""),"Adobe,Amazon")</f>
        <v>Adobe,Amazon</v>
      </c>
      <c r="I570" s="6">
        <f>IFERROR(__xludf.DUMMYFUNCTION("""COMPUTED_VALUE"""),53.06)</f>
        <v>53.06</v>
      </c>
      <c r="J570" s="6" t="str">
        <f>IFERROR(__xludf.DUMMYFUNCTION("""COMPUTED_VALUE"""),"算法")</f>
        <v>算法</v>
      </c>
    </row>
    <row r="571">
      <c r="A571" s="6">
        <f>IFERROR(__xludf.DUMMYFUNCTION("""COMPUTED_VALUE"""),726.0)</f>
        <v>726</v>
      </c>
      <c r="B571" s="53" t="str">
        <f>IFERROR(__xludf.DUMMYFUNCTION("""COMPUTED_VALUE"""),"Number of Atoms")</f>
        <v>Number of Atoms</v>
      </c>
      <c r="C571" s="6" t="str">
        <f>IFERROR(__xludf.DUMMYFUNCTION("""COMPUTED_VALUE"""),"Hard")</f>
        <v>Hard</v>
      </c>
      <c r="D571" s="6" t="str">
        <f>IFERROR(__xludf.DUMMYFUNCTION("""COMPUTED_VALUE"""),"Recursion,Stack,Hash Table")</f>
        <v>Recursion,Stack,Hash Table</v>
      </c>
      <c r="E571" s="6" t="str">
        <f>IFERROR(__xludf.DUMMYFUNCTION("""COMPUTED_VALUE"""),"Microsoft,Pinterest,ByteDance,Adobe,Facebook,Amazon,Google")</f>
        <v>Microsoft,Pinterest,ByteDance,Adobe,Facebook,Amazon,Google</v>
      </c>
      <c r="F571" s="6" t="str">
        <f>IFERROR(__xludf.DUMMYFUNCTION("""COMPUTED_VALUE"""),"ByteDance,Google,Pinterest,Amazon,Microsoft")</f>
        <v>ByteDance,Google,Pinterest,Amazon,Microsoft</v>
      </c>
      <c r="G571" s="6" t="str">
        <f>IFERROR(__xludf.DUMMYFUNCTION("""COMPUTED_VALUE"""),"ByteDance,Google,Pinterest,Amazon,Microsoft")</f>
        <v>ByteDance,Google,Pinterest,Amazon,Microsoft</v>
      </c>
      <c r="H571" s="6" t="str">
        <f>IFERROR(__xludf.DUMMYFUNCTION("""COMPUTED_VALUE"""),"Adobe,ByteDance,Google,Pinterest,Amazon,Microsoft")</f>
        <v>Adobe,ByteDance,Google,Pinterest,Amazon,Microsoft</v>
      </c>
      <c r="I571" s="6">
        <f>IFERROR(__xludf.DUMMYFUNCTION("""COMPUTED_VALUE"""),50.98)</f>
        <v>50.98</v>
      </c>
      <c r="J571" s="6" t="str">
        <f>IFERROR(__xludf.DUMMYFUNCTION("""COMPUTED_VALUE"""),"算法")</f>
        <v>算法</v>
      </c>
    </row>
    <row r="572">
      <c r="A572" s="6">
        <f>IFERROR(__xludf.DUMMYFUNCTION("""COMPUTED_VALUE"""),727.0)</f>
        <v>727</v>
      </c>
      <c r="B572" s="53" t="str">
        <f>IFERROR(__xludf.DUMMYFUNCTION("""COMPUTED_VALUE"""),"Minimum Window Subsequence")</f>
        <v>Minimum Window Subsequence</v>
      </c>
      <c r="C572" s="6" t="str">
        <f>IFERROR(__xludf.DUMMYFUNCTION("""COMPUTED_VALUE"""),"Hard")</f>
        <v>Hard</v>
      </c>
      <c r="D572" s="6" t="str">
        <f>IFERROR(__xludf.DUMMYFUNCTION("""COMPUTED_VALUE"""),"Sliding Window,Dynamic Programming")</f>
        <v>Sliding Window,Dynamic Programming</v>
      </c>
      <c r="E572" s="6" t="str">
        <f>IFERROR(__xludf.DUMMYFUNCTION("""COMPUTED_VALUE"""),"Facebook,Houzz,EBay,Bloomberg,Amazon,Microsoft,Google")</f>
        <v>Facebook,Houzz,EBay,Bloomberg,Amazon,Microsoft,Google</v>
      </c>
      <c r="F572" s="6" t="str">
        <f>IFERROR(__xludf.DUMMYFUNCTION("""COMPUTED_VALUE"""),"Google,Amazon,Facebook")</f>
        <v>Google,Amazon,Facebook</v>
      </c>
      <c r="G572" s="6" t="str">
        <f>IFERROR(__xludf.DUMMYFUNCTION("""COMPUTED_VALUE"""),"Microsoft,Google,Amazon,Facebook")</f>
        <v>Microsoft,Google,Amazon,Facebook</v>
      </c>
      <c r="H572" s="6" t="str">
        <f>IFERROR(__xludf.DUMMYFUNCTION("""COMPUTED_VALUE"""),"Bloomberg,eBay,Microsoft,Google,Amazon,Facebook")</f>
        <v>Bloomberg,eBay,Microsoft,Google,Amazon,Facebook</v>
      </c>
      <c r="I572" s="6">
        <f>IFERROR(__xludf.DUMMYFUNCTION("""COMPUTED_VALUE"""),42.27)</f>
        <v>42.27</v>
      </c>
      <c r="J572" s="6" t="str">
        <f>IFERROR(__xludf.DUMMYFUNCTION("""COMPUTED_VALUE"""),"算法")</f>
        <v>算法</v>
      </c>
    </row>
    <row r="573">
      <c r="A573" s="6">
        <f>IFERROR(__xludf.DUMMYFUNCTION("""COMPUTED_VALUE"""),729.0)</f>
        <v>729</v>
      </c>
      <c r="B573" s="53" t="str">
        <f>IFERROR(__xludf.DUMMYFUNCTION("""COMPUTED_VALUE"""),"My Calendar I")</f>
        <v>My Calendar I</v>
      </c>
      <c r="C573" s="6" t="str">
        <f>IFERROR(__xludf.DUMMYFUNCTION("""COMPUTED_VALUE"""),"Medium")</f>
        <v>Medium</v>
      </c>
      <c r="D573" s="6" t="str">
        <f>IFERROR(__xludf.DUMMYFUNCTION("""COMPUTED_VALUE"""),"Array")</f>
        <v>Array</v>
      </c>
      <c r="E573" s="6" t="str">
        <f>IFERROR(__xludf.DUMMYFUNCTION("""COMPUTED_VALUE"""),"Qualtrics,Wish,Bloomberg,Intuit,Apple,Uber,Amazon,Microsoft,Google")</f>
        <v>Qualtrics,Wish,Bloomberg,Intuit,Apple,Uber,Amazon,Microsoft,Google</v>
      </c>
      <c r="F573" s="6" t="str">
        <f>IFERROR(__xludf.DUMMYFUNCTION("""COMPUTED_VALUE"""),"Google,Intuit,Amazon,Qualtrics")</f>
        <v>Google,Intuit,Amazon,Qualtrics</v>
      </c>
      <c r="G573" s="6" t="str">
        <f>IFERROR(__xludf.DUMMYFUNCTION("""COMPUTED_VALUE"""),"Bloomberg,Apple,Google,Intuit,Amazon,Qualtrics")</f>
        <v>Bloomberg,Apple,Google,Intuit,Amazon,Qualtrics</v>
      </c>
      <c r="H573" s="6" t="str">
        <f>IFERROR(__xludf.DUMMYFUNCTION("""COMPUTED_VALUE"""),"Uber,Microsoft,Wish,Bloomberg,Apple,Google,Intuit,Amazon,Qualtrics")</f>
        <v>Uber,Microsoft,Wish,Bloomberg,Apple,Google,Intuit,Amazon,Qualtrics</v>
      </c>
      <c r="I573" s="6">
        <f>IFERROR(__xludf.DUMMYFUNCTION("""COMPUTED_VALUE"""),53.46)</f>
        <v>53.46</v>
      </c>
      <c r="J573" s="6" t="str">
        <f>IFERROR(__xludf.DUMMYFUNCTION("""COMPUTED_VALUE"""),"算法")</f>
        <v>算法</v>
      </c>
    </row>
    <row r="574">
      <c r="A574" s="6">
        <f>IFERROR(__xludf.DUMMYFUNCTION("""COMPUTED_VALUE"""),730.0)</f>
        <v>730</v>
      </c>
      <c r="B574" s="53" t="str">
        <f>IFERROR(__xludf.DUMMYFUNCTION("""COMPUTED_VALUE"""),"Count Different Palindromic Subsequences")</f>
        <v>Count Different Palindromic Subsequences</v>
      </c>
      <c r="C574" s="6" t="str">
        <f>IFERROR(__xludf.DUMMYFUNCTION("""COMPUTED_VALUE"""),"Hard")</f>
        <v>Hard</v>
      </c>
      <c r="D574" s="6" t="str">
        <f>IFERROR(__xludf.DUMMYFUNCTION("""COMPUTED_VALUE"""),"Dynamic Programming,String")</f>
        <v>Dynamic Programming,String</v>
      </c>
      <c r="E574" s="6" t="str">
        <f>IFERROR(__xludf.DUMMYFUNCTION("""COMPUTED_VALUE"""),"Facebook,Pure Storage,LinkedIn,Google")</f>
        <v>Facebook,Pure Storage,LinkedIn,Google</v>
      </c>
      <c r="F574" s="6"/>
      <c r="G574" s="6"/>
      <c r="H574" s="6" t="str">
        <f>IFERROR(__xludf.DUMMYFUNCTION("""COMPUTED_VALUE"""),"LinkedIn,Google,Facebook")</f>
        <v>LinkedIn,Google,Facebook</v>
      </c>
      <c r="I574" s="6">
        <f>IFERROR(__xludf.DUMMYFUNCTION("""COMPUTED_VALUE"""),43.43)</f>
        <v>43.43</v>
      </c>
      <c r="J574" s="6" t="str">
        <f>IFERROR(__xludf.DUMMYFUNCTION("""COMPUTED_VALUE"""),"算法")</f>
        <v>算法</v>
      </c>
    </row>
    <row r="575">
      <c r="A575" s="6">
        <f>IFERROR(__xludf.DUMMYFUNCTION("""COMPUTED_VALUE"""),731.0)</f>
        <v>731</v>
      </c>
      <c r="B575" s="53" t="str">
        <f>IFERROR(__xludf.DUMMYFUNCTION("""COMPUTED_VALUE"""),"My Calendar II")</f>
        <v>My Calendar II</v>
      </c>
      <c r="C575" s="6" t="str">
        <f>IFERROR(__xludf.DUMMYFUNCTION("""COMPUTED_VALUE"""),"Medium")</f>
        <v>Medium</v>
      </c>
      <c r="D575" s="6" t="str">
        <f>IFERROR(__xludf.DUMMYFUNCTION("""COMPUTED_VALUE"""),"Ordered Map")</f>
        <v>Ordered Map</v>
      </c>
      <c r="E575" s="6" t="str">
        <f>IFERROR(__xludf.DUMMYFUNCTION("""COMPUTED_VALUE"""),"Bloomberg,Amazon,Google")</f>
        <v>Bloomberg,Amazon,Google</v>
      </c>
      <c r="F575" s="6" t="str">
        <f>IFERROR(__xludf.DUMMYFUNCTION("""COMPUTED_VALUE"""),"Bloomberg")</f>
        <v>Bloomberg</v>
      </c>
      <c r="G575" s="6" t="str">
        <f>IFERROR(__xludf.DUMMYFUNCTION("""COMPUTED_VALUE"""),"Google,Bloomberg")</f>
        <v>Google,Bloomberg</v>
      </c>
      <c r="H575" s="6" t="str">
        <f>IFERROR(__xludf.DUMMYFUNCTION("""COMPUTED_VALUE"""),"Amazon,Google,Bloomberg")</f>
        <v>Amazon,Google,Bloomberg</v>
      </c>
      <c r="I575" s="6">
        <f>IFERROR(__xludf.DUMMYFUNCTION("""COMPUTED_VALUE"""),50.77)</f>
        <v>50.77</v>
      </c>
      <c r="J575" s="6" t="str">
        <f>IFERROR(__xludf.DUMMYFUNCTION("""COMPUTED_VALUE"""),"算法")</f>
        <v>算法</v>
      </c>
    </row>
    <row r="576">
      <c r="A576" s="6">
        <f>IFERROR(__xludf.DUMMYFUNCTION("""COMPUTED_VALUE"""),732.0)</f>
        <v>732</v>
      </c>
      <c r="B576" s="53" t="str">
        <f>IFERROR(__xludf.DUMMYFUNCTION("""COMPUTED_VALUE"""),"My Calendar III")</f>
        <v>My Calendar III</v>
      </c>
      <c r="C576" s="6" t="str">
        <f>IFERROR(__xludf.DUMMYFUNCTION("""COMPUTED_VALUE"""),"Hard")</f>
        <v>Hard</v>
      </c>
      <c r="D576" s="6" t="str">
        <f>IFERROR(__xludf.DUMMYFUNCTION("""COMPUTED_VALUE"""),"Ordered Map,Segment Tree")</f>
        <v>Ordered Map,Segment Tree</v>
      </c>
      <c r="E576" s="6" t="str">
        <f>IFERROR(__xludf.DUMMYFUNCTION("""COMPUTED_VALUE"""),"Amazon,Google")</f>
        <v>Amazon,Google</v>
      </c>
      <c r="F576" s="6" t="str">
        <f>IFERROR(__xludf.DUMMYFUNCTION("""COMPUTED_VALUE"""),"Google")</f>
        <v>Google</v>
      </c>
      <c r="G576" s="6" t="str">
        <f>IFERROR(__xludf.DUMMYFUNCTION("""COMPUTED_VALUE"""),"Google")</f>
        <v>Google</v>
      </c>
      <c r="H576" s="6" t="str">
        <f>IFERROR(__xludf.DUMMYFUNCTION("""COMPUTED_VALUE"""),"Amazon,Google")</f>
        <v>Amazon,Google</v>
      </c>
      <c r="I576" s="6">
        <f>IFERROR(__xludf.DUMMYFUNCTION("""COMPUTED_VALUE"""),62.07)</f>
        <v>62.07</v>
      </c>
      <c r="J576" s="6" t="str">
        <f>IFERROR(__xludf.DUMMYFUNCTION("""COMPUTED_VALUE"""),"算法")</f>
        <v>算法</v>
      </c>
    </row>
    <row r="577">
      <c r="A577" s="6">
        <f>IFERROR(__xludf.DUMMYFUNCTION("""COMPUTED_VALUE"""),733.0)</f>
        <v>733</v>
      </c>
      <c r="B577" s="53" t="str">
        <f>IFERROR(__xludf.DUMMYFUNCTION("""COMPUTED_VALUE"""),"Flood Fill")</f>
        <v>Flood Fill</v>
      </c>
      <c r="C577" s="6" t="str">
        <f>IFERROR(__xludf.DUMMYFUNCTION("""COMPUTED_VALUE"""),"Easy")</f>
        <v>Easy</v>
      </c>
      <c r="D577" s="6" t="str">
        <f>IFERROR(__xludf.DUMMYFUNCTION("""COMPUTED_VALUE"""),"Depth First Search")</f>
        <v>Depth First Search</v>
      </c>
      <c r="E577" s="6" t="str">
        <f>IFERROR(__xludf.DUMMYFUNCTION("""COMPUTED_VALUE"""),"Adobe,Qualtrics,Palantir Technologies,VMware,Snapchat,Apple,Uber,Bloomberg,Facebook,Amazon,Microsoft,Google")</f>
        <v>Adobe,Qualtrics,Palantir Technologies,VMware,Snapchat,Apple,Uber,Bloomberg,Facebook,Amazon,Microsoft,Google</v>
      </c>
      <c r="F577" s="6" t="str">
        <f>IFERROR(__xludf.DUMMYFUNCTION("""COMPUTED_VALUE"""),"Amazon,Microsoft,Google")</f>
        <v>Amazon,Microsoft,Google</v>
      </c>
      <c r="G577" s="6" t="str">
        <f>IFERROR(__xludf.DUMMYFUNCTION("""COMPUTED_VALUE"""),"Apple,VMware,Palantir Technologies,Adobe,Amazon,Microsoft,Google")</f>
        <v>Apple,VMware,Palantir Technologies,Adobe,Amazon,Microsoft,Google</v>
      </c>
      <c r="H577" s="6" t="str">
        <f>IFERROR(__xludf.DUMMYFUNCTION("""COMPUTED_VALUE"""),"Qualtrics,Facebook,Uber,Snapchat,Apple,VMware,Palantir Technologies,Adobe,Amazon,Microsoft,Google")</f>
        <v>Qualtrics,Facebook,Uber,Snapchat,Apple,VMware,Palantir Technologies,Adobe,Amazon,Microsoft,Google</v>
      </c>
      <c r="I577" s="6">
        <f>IFERROR(__xludf.DUMMYFUNCTION("""COMPUTED_VALUE"""),55.93)</f>
        <v>55.93</v>
      </c>
      <c r="J577" s="6" t="str">
        <f>IFERROR(__xludf.DUMMYFUNCTION("""COMPUTED_VALUE"""),"算法")</f>
        <v>算法</v>
      </c>
    </row>
    <row r="578">
      <c r="A578" s="6">
        <f>IFERROR(__xludf.DUMMYFUNCTION("""COMPUTED_VALUE"""),734.0)</f>
        <v>734</v>
      </c>
      <c r="B578" s="53" t="str">
        <f>IFERROR(__xludf.DUMMYFUNCTION("""COMPUTED_VALUE"""),"Sentence Similarity")</f>
        <v>Sentence Similarity</v>
      </c>
      <c r="C578" s="6" t="str">
        <f>IFERROR(__xludf.DUMMYFUNCTION("""COMPUTED_VALUE"""),"Easy")</f>
        <v>Easy</v>
      </c>
      <c r="D578" s="6" t="str">
        <f>IFERROR(__xludf.DUMMYFUNCTION("""COMPUTED_VALUE"""),"Hash Table")</f>
        <v>Hash Table</v>
      </c>
      <c r="E578" s="6" t="str">
        <f>IFERROR(__xludf.DUMMYFUNCTION("""COMPUTED_VALUE"""),"Facebook,Google")</f>
        <v>Facebook,Google</v>
      </c>
      <c r="F578" s="6"/>
      <c r="G578" s="6" t="str">
        <f>IFERROR(__xludf.DUMMYFUNCTION("""COMPUTED_VALUE"""),"Facebook")</f>
        <v>Facebook</v>
      </c>
      <c r="H578" s="6" t="str">
        <f>IFERROR(__xludf.DUMMYFUNCTION("""COMPUTED_VALUE"""),"Google,Facebook")</f>
        <v>Google,Facebook</v>
      </c>
      <c r="I578" s="6">
        <f>IFERROR(__xludf.DUMMYFUNCTION("""COMPUTED_VALUE"""),42.38)</f>
        <v>42.38</v>
      </c>
      <c r="J578" s="6" t="str">
        <f>IFERROR(__xludf.DUMMYFUNCTION("""COMPUTED_VALUE"""),"算法")</f>
        <v>算法</v>
      </c>
    </row>
    <row r="579">
      <c r="A579" s="6">
        <f>IFERROR(__xludf.DUMMYFUNCTION("""COMPUTED_VALUE"""),735.0)</f>
        <v>735</v>
      </c>
      <c r="B579" s="53" t="str">
        <f>IFERROR(__xludf.DUMMYFUNCTION("""COMPUTED_VALUE"""),"Asteroid Collision")</f>
        <v>Asteroid Collision</v>
      </c>
      <c r="C579" s="6" t="str">
        <f>IFERROR(__xludf.DUMMYFUNCTION("""COMPUTED_VALUE"""),"Medium")</f>
        <v>Medium</v>
      </c>
      <c r="D579" s="6" t="str">
        <f>IFERROR(__xludf.DUMMYFUNCTION("""COMPUTED_VALUE"""),"Stack")</f>
        <v>Stack</v>
      </c>
      <c r="E579" s="6" t="str">
        <f>IFERROR(__xludf.DUMMYFUNCTION("""COMPUTED_VALUE"""),"Robinhood,ByteDance,Oracle,Visa,Paypal,Lyft,EBay,Uber,Amazon,Microsoft,Google")</f>
        <v>Robinhood,ByteDance,Oracle,Visa,Paypal,Lyft,EBay,Uber,Amazon,Microsoft,Google</v>
      </c>
      <c r="F579" s="6" t="str">
        <f>IFERROR(__xludf.DUMMYFUNCTION("""COMPUTED_VALUE"""),"Amazon,Lyft,ByteDance,Oracle,Robinhood")</f>
        <v>Amazon,Lyft,ByteDance,Oracle,Robinhood</v>
      </c>
      <c r="G579" s="6" t="str">
        <f>IFERROR(__xludf.DUMMYFUNCTION("""COMPUTED_VALUE"""),"Google,Amazon,Lyft,ByteDance,Oracle,Robinhood")</f>
        <v>Google,Amazon,Lyft,ByteDance,Oracle,Robinhood</v>
      </c>
      <c r="H579" s="6" t="str">
        <f>IFERROR(__xludf.DUMMYFUNCTION("""COMPUTED_VALUE"""),"Visa,Paypal,Uber,Google,Amazon,Lyft,ByteDance,Oracle,Robinhood")</f>
        <v>Visa,Paypal,Uber,Google,Amazon,Lyft,ByteDance,Oracle,Robinhood</v>
      </c>
      <c r="I579" s="6">
        <f>IFERROR(__xludf.DUMMYFUNCTION("""COMPUTED_VALUE"""),43.27)</f>
        <v>43.27</v>
      </c>
      <c r="J579" s="6" t="str">
        <f>IFERROR(__xludf.DUMMYFUNCTION("""COMPUTED_VALUE"""),"算法")</f>
        <v>算法</v>
      </c>
    </row>
    <row r="580">
      <c r="A580" s="6">
        <f>IFERROR(__xludf.DUMMYFUNCTION("""COMPUTED_VALUE"""),736.0)</f>
        <v>736</v>
      </c>
      <c r="B580" s="53" t="str">
        <f>IFERROR(__xludf.DUMMYFUNCTION("""COMPUTED_VALUE"""),"Parse Lisp Expression")</f>
        <v>Parse Lisp Expression</v>
      </c>
      <c r="C580" s="6" t="str">
        <f>IFERROR(__xludf.DUMMYFUNCTION("""COMPUTED_VALUE"""),"Hard")</f>
        <v>Hard</v>
      </c>
      <c r="D580" s="6" t="str">
        <f>IFERROR(__xludf.DUMMYFUNCTION("""COMPUTED_VALUE"""),"String")</f>
        <v>String</v>
      </c>
      <c r="E580" s="6" t="str">
        <f>IFERROR(__xludf.DUMMYFUNCTION("""COMPUTED_VALUE"""),"Affirm,Google")</f>
        <v>Affirm,Google</v>
      </c>
      <c r="F580" s="6"/>
      <c r="G580" s="6" t="str">
        <f>IFERROR(__xludf.DUMMYFUNCTION("""COMPUTED_VALUE"""),"Google")</f>
        <v>Google</v>
      </c>
      <c r="H580" s="6" t="str">
        <f>IFERROR(__xludf.DUMMYFUNCTION("""COMPUTED_VALUE"""),"Affirm,Google")</f>
        <v>Affirm,Google</v>
      </c>
      <c r="I580" s="6">
        <f>IFERROR(__xludf.DUMMYFUNCTION("""COMPUTED_VALUE"""),49.71)</f>
        <v>49.71</v>
      </c>
      <c r="J580" s="6" t="str">
        <f>IFERROR(__xludf.DUMMYFUNCTION("""COMPUTED_VALUE"""),"算法")</f>
        <v>算法</v>
      </c>
    </row>
    <row r="581">
      <c r="A581" s="6">
        <f>IFERROR(__xludf.DUMMYFUNCTION("""COMPUTED_VALUE"""),737.0)</f>
        <v>737</v>
      </c>
      <c r="B581" s="53" t="str">
        <f>IFERROR(__xludf.DUMMYFUNCTION("""COMPUTED_VALUE"""),"Sentence Similarity II")</f>
        <v>Sentence Similarity II</v>
      </c>
      <c r="C581" s="6" t="str">
        <f>IFERROR(__xludf.DUMMYFUNCTION("""COMPUTED_VALUE"""),"Medium")</f>
        <v>Medium</v>
      </c>
      <c r="D581" s="6" t="str">
        <f>IFERROR(__xludf.DUMMYFUNCTION("""COMPUTED_VALUE"""),"Union Find,Depth First Search")</f>
        <v>Union Find,Depth First Search</v>
      </c>
      <c r="E581" s="6" t="str">
        <f>IFERROR(__xludf.DUMMYFUNCTION("""COMPUTED_VALUE"""),"Bloomberg,Amazon,Google")</f>
        <v>Bloomberg,Amazon,Google</v>
      </c>
      <c r="F581" s="6"/>
      <c r="G581" s="6" t="str">
        <f>IFERROR(__xludf.DUMMYFUNCTION("""COMPUTED_VALUE"""),"Amazon")</f>
        <v>Amazon</v>
      </c>
      <c r="H581" s="6" t="str">
        <f>IFERROR(__xludf.DUMMYFUNCTION("""COMPUTED_VALUE"""),"Google,Amazon")</f>
        <v>Google,Amazon</v>
      </c>
      <c r="I581" s="6">
        <f>IFERROR(__xludf.DUMMYFUNCTION("""COMPUTED_VALUE"""),46.59)</f>
        <v>46.59</v>
      </c>
      <c r="J581" s="6" t="str">
        <f>IFERROR(__xludf.DUMMYFUNCTION("""COMPUTED_VALUE"""),"算法")</f>
        <v>算法</v>
      </c>
    </row>
    <row r="582">
      <c r="A582" s="6">
        <f>IFERROR(__xludf.DUMMYFUNCTION("""COMPUTED_VALUE"""),739.0)</f>
        <v>739</v>
      </c>
      <c r="B582" s="53" t="str">
        <f>IFERROR(__xludf.DUMMYFUNCTION("""COMPUTED_VALUE"""),"Daily Temperatures")</f>
        <v>Daily Temperatures</v>
      </c>
      <c r="C582" s="6" t="str">
        <f>IFERROR(__xludf.DUMMYFUNCTION("""COMPUTED_VALUE"""),"Medium")</f>
        <v>Medium</v>
      </c>
      <c r="D582" s="6" t="str">
        <f>IFERROR(__xludf.DUMMYFUNCTION("""COMPUTED_VALUE"""),"Stack,Hash Table")</f>
        <v>Stack,Hash Table</v>
      </c>
      <c r="E582" s="6" t="str">
        <f>IFERROR(__xludf.DUMMYFUNCTION("""COMPUTED_VALUE"""),"ByteDance,Salesforce,Paypal,Twitter,Oracle,Huawei,Zillow,Expedia,Nvidia,Cisco,Apple,Uber,Bloomberg,Adobe,Facebook,Amazon,LinkedIn,Microsoft,Goldman Sachs,Google")</f>
        <v>ByteDance,Salesforce,Paypal,Twitter,Oracle,Huawei,Zillow,Expedia,Nvidia,Cisco,Apple,Uber,Bloomberg,Adobe,Facebook,Amazon,LinkedIn,Microsoft,Goldman Sachs,Google</v>
      </c>
      <c r="F582" s="6" t="str">
        <f>IFERROR(__xludf.DUMMYFUNCTION("""COMPUTED_VALUE"""),"Facebook,Bloomberg,Amazon,Google,ByteDance,Zillow,Adobe,Microsoft,Paypal,Oracle,Salesforce,Twitter")</f>
        <v>Facebook,Bloomberg,Amazon,Google,ByteDance,Zillow,Adobe,Microsoft,Paypal,Oracle,Salesforce,Twitter</v>
      </c>
      <c r="G582" s="6" t="str">
        <f>IFERROR(__xludf.DUMMYFUNCTION("""COMPUTED_VALUE"""),"Cisco,Facebook,Bloomberg,Amazon,Google,ByteDance,Zillow,Adobe,Microsoft,Paypal,Oracle,Salesforce,Twitter")</f>
        <v>Cisco,Facebook,Bloomberg,Amazon,Google,ByteDance,Zillow,Adobe,Microsoft,Paypal,Oracle,Salesforce,Twitter</v>
      </c>
      <c r="H582" s="6" t="str">
        <f>IFERROR(__xludf.DUMMYFUNCTION("""COMPUTED_VALUE"""),"LinkedIn,Apple,Nvidia,Uber,Expedia,Goldman Sachs,Huawei,Cisco,Facebook,Bloomberg,Amazon,Google,ByteDance,Zillow,Adobe,Microsoft,Paypal,Oracle,Salesforce,Twitter")</f>
        <v>LinkedIn,Apple,Nvidia,Uber,Expedia,Goldman Sachs,Huawei,Cisco,Facebook,Bloomberg,Amazon,Google,ByteDance,Zillow,Adobe,Microsoft,Paypal,Oracle,Salesforce,Twitter</v>
      </c>
      <c r="I582" s="6">
        <f>IFERROR(__xludf.DUMMYFUNCTION("""COMPUTED_VALUE"""),64.72)</f>
        <v>64.72</v>
      </c>
      <c r="J582" s="6" t="str">
        <f>IFERROR(__xludf.DUMMYFUNCTION("""COMPUTED_VALUE"""),"算法")</f>
        <v>算法</v>
      </c>
    </row>
    <row r="583">
      <c r="A583" s="6">
        <f>IFERROR(__xludf.DUMMYFUNCTION("""COMPUTED_VALUE"""),741.0)</f>
        <v>741</v>
      </c>
      <c r="B583" s="53" t="str">
        <f>IFERROR(__xludf.DUMMYFUNCTION("""COMPUTED_VALUE"""),"Cherry Pickup")</f>
        <v>Cherry Pickup</v>
      </c>
      <c r="C583" s="6" t="str">
        <f>IFERROR(__xludf.DUMMYFUNCTION("""COMPUTED_VALUE"""),"Hard")</f>
        <v>Hard</v>
      </c>
      <c r="D583" s="6" t="str">
        <f>IFERROR(__xludf.DUMMYFUNCTION("""COMPUTED_VALUE"""),"Dynamic Programming")</f>
        <v>Dynamic Programming</v>
      </c>
      <c r="E583" s="6" t="str">
        <f>IFERROR(__xludf.DUMMYFUNCTION("""COMPUTED_VALUE"""),"Swiggy,Facebook,Akuna Capital,Citrix,Flipkart,Oracle,Mathworks,Apple,Uber,Adobe,Amazon,Google")</f>
        <v>Swiggy,Facebook,Akuna Capital,Citrix,Flipkart,Oracle,Mathworks,Apple,Uber,Adobe,Amazon,Google</v>
      </c>
      <c r="F583" s="6" t="str">
        <f>IFERROR(__xludf.DUMMYFUNCTION("""COMPUTED_VALUE"""),"Swiggy,Facebook,Mathworks")</f>
        <v>Swiggy,Facebook,Mathworks</v>
      </c>
      <c r="G583" s="6" t="str">
        <f>IFERROR(__xludf.DUMMYFUNCTION("""COMPUTED_VALUE"""),"Google,Swiggy,Facebook,Mathworks")</f>
        <v>Google,Swiggy,Facebook,Mathworks</v>
      </c>
      <c r="H583" s="6" t="str">
        <f>IFERROR(__xludf.DUMMYFUNCTION("""COMPUTED_VALUE"""),"Uber,Adobe,Flipkart,Citrix,Apple,Amazon,Oracle,Akuna Capital,Google,Swiggy,Facebook,Mathworks")</f>
        <v>Uber,Adobe,Flipkart,Citrix,Apple,Amazon,Oracle,Akuna Capital,Google,Swiggy,Facebook,Mathworks</v>
      </c>
      <c r="I583" s="6">
        <f>IFERROR(__xludf.DUMMYFUNCTION("""COMPUTED_VALUE"""),35.16)</f>
        <v>35.16</v>
      </c>
      <c r="J583" s="6" t="str">
        <f>IFERROR(__xludf.DUMMYFUNCTION("""COMPUTED_VALUE"""),"算法")</f>
        <v>算法</v>
      </c>
    </row>
    <row r="584">
      <c r="A584" s="6">
        <f>IFERROR(__xludf.DUMMYFUNCTION("""COMPUTED_VALUE"""),742.0)</f>
        <v>742</v>
      </c>
      <c r="B584" s="53" t="str">
        <f>IFERROR(__xludf.DUMMYFUNCTION("""COMPUTED_VALUE"""),"Closest Leaf in a Binary Tree")</f>
        <v>Closest Leaf in a Binary Tree</v>
      </c>
      <c r="C584" s="6" t="str">
        <f>IFERROR(__xludf.DUMMYFUNCTION("""COMPUTED_VALUE"""),"Medium")</f>
        <v>Medium</v>
      </c>
      <c r="D584" s="6" t="str">
        <f>IFERROR(__xludf.DUMMYFUNCTION("""COMPUTED_VALUE"""),"Tree")</f>
        <v>Tree</v>
      </c>
      <c r="E584" s="6" t="str">
        <f>IFERROR(__xludf.DUMMYFUNCTION("""COMPUTED_VALUE"""),"PayTM,JPMorgan,Databricks,Facebook,Amazon,Google")</f>
        <v>PayTM,JPMorgan,Databricks,Facebook,Amazon,Google</v>
      </c>
      <c r="F584" s="6" t="str">
        <f>IFERROR(__xludf.DUMMYFUNCTION("""COMPUTED_VALUE"""),"Facebook")</f>
        <v>Facebook</v>
      </c>
      <c r="G584" s="6" t="str">
        <f>IFERROR(__xludf.DUMMYFUNCTION("""COMPUTED_VALUE"""),"Databricks,JPMorgan,PayTM,Facebook")</f>
        <v>Databricks,JPMorgan,PayTM,Facebook</v>
      </c>
      <c r="H584" s="6" t="str">
        <f>IFERROR(__xludf.DUMMYFUNCTION("""COMPUTED_VALUE"""),"Google,Amazon,Databricks,JPMorgan,PayTM,Facebook")</f>
        <v>Google,Amazon,Databricks,JPMorgan,PayTM,Facebook</v>
      </c>
      <c r="I584" s="6">
        <f>IFERROR(__xludf.DUMMYFUNCTION("""COMPUTED_VALUE"""),44.48)</f>
        <v>44.48</v>
      </c>
      <c r="J584" s="6" t="str">
        <f>IFERROR(__xludf.DUMMYFUNCTION("""COMPUTED_VALUE"""),"算法")</f>
        <v>算法</v>
      </c>
    </row>
    <row r="585">
      <c r="A585" s="6">
        <f>IFERROR(__xludf.DUMMYFUNCTION("""COMPUTED_VALUE"""),743.0)</f>
        <v>743</v>
      </c>
      <c r="B585" s="53" t="str">
        <f>IFERROR(__xludf.DUMMYFUNCTION("""COMPUTED_VALUE"""),"Network Delay Time")</f>
        <v>Network Delay Time</v>
      </c>
      <c r="C585" s="6" t="str">
        <f>IFERROR(__xludf.DUMMYFUNCTION("""COMPUTED_VALUE"""),"Medium")</f>
        <v>Medium</v>
      </c>
      <c r="D585" s="6" t="str">
        <f>IFERROR(__xludf.DUMMYFUNCTION("""COMPUTED_VALUE"""),"Graph,Breadth First Search,Depth First Search,Heap")</f>
        <v>Graph,Breadth First Search,Depth First Search,Heap</v>
      </c>
      <c r="E585" s="6" t="str">
        <f>IFERROR(__xludf.DUMMYFUNCTION("""COMPUTED_VALUE"""),"Akuna Capital,Amazon,Microsoft,Google")</f>
        <v>Akuna Capital,Amazon,Microsoft,Google</v>
      </c>
      <c r="F585" s="6" t="str">
        <f>IFERROR(__xludf.DUMMYFUNCTION("""COMPUTED_VALUE"""),"Amazon")</f>
        <v>Amazon</v>
      </c>
      <c r="G585" s="6" t="str">
        <f>IFERROR(__xludf.DUMMYFUNCTION("""COMPUTED_VALUE"""),"Google,Amazon")</f>
        <v>Google,Amazon</v>
      </c>
      <c r="H585" s="6" t="str">
        <f>IFERROR(__xludf.DUMMYFUNCTION("""COMPUTED_VALUE"""),"Akuna Capital,Google,Amazon")</f>
        <v>Akuna Capital,Google,Amazon</v>
      </c>
      <c r="I585" s="6">
        <f>IFERROR(__xludf.DUMMYFUNCTION("""COMPUTED_VALUE"""),45.6)</f>
        <v>45.6</v>
      </c>
      <c r="J585" s="6" t="str">
        <f>IFERROR(__xludf.DUMMYFUNCTION("""COMPUTED_VALUE"""),"算法")</f>
        <v>算法</v>
      </c>
    </row>
    <row r="586">
      <c r="A586" s="6">
        <f>IFERROR(__xludf.DUMMYFUNCTION("""COMPUTED_VALUE"""),745.0)</f>
        <v>745</v>
      </c>
      <c r="B586" s="53" t="str">
        <f>IFERROR(__xludf.DUMMYFUNCTION("""COMPUTED_VALUE"""),"Prefix and Suffix Search")</f>
        <v>Prefix and Suffix Search</v>
      </c>
      <c r="C586" s="6" t="str">
        <f>IFERROR(__xludf.DUMMYFUNCTION("""COMPUTED_VALUE"""),"Hard")</f>
        <v>Hard</v>
      </c>
      <c r="D586" s="6" t="str">
        <f>IFERROR(__xludf.DUMMYFUNCTION("""COMPUTED_VALUE"""),"Trie")</f>
        <v>Trie</v>
      </c>
      <c r="E586" s="6" t="str">
        <f>IFERROR(__xludf.DUMMYFUNCTION("""COMPUTED_VALUE"""),"Amazon,Facebook,Google")</f>
        <v>Amazon,Facebook,Google</v>
      </c>
      <c r="F586" s="6"/>
      <c r="G586" s="6"/>
      <c r="H586" s="6" t="str">
        <f>IFERROR(__xludf.DUMMYFUNCTION("""COMPUTED_VALUE"""),"Amazon,Facebook")</f>
        <v>Amazon,Facebook</v>
      </c>
      <c r="I586" s="6">
        <f>IFERROR(__xludf.DUMMYFUNCTION("""COMPUTED_VALUE"""),35.43)</f>
        <v>35.43</v>
      </c>
      <c r="J586" s="6" t="str">
        <f>IFERROR(__xludf.DUMMYFUNCTION("""COMPUTED_VALUE"""),"算法")</f>
        <v>算法</v>
      </c>
    </row>
    <row r="587">
      <c r="A587" s="6">
        <f>IFERROR(__xludf.DUMMYFUNCTION("""COMPUTED_VALUE"""),747.0)</f>
        <v>747</v>
      </c>
      <c r="B587" s="53" t="str">
        <f>IFERROR(__xludf.DUMMYFUNCTION("""COMPUTED_VALUE"""),"Largest Number At Least Twice of Others")</f>
        <v>Largest Number At Least Twice of Others</v>
      </c>
      <c r="C587" s="6" t="str">
        <f>IFERROR(__xludf.DUMMYFUNCTION("""COMPUTED_VALUE"""),"Easy")</f>
        <v>Easy</v>
      </c>
      <c r="D587" s="6" t="str">
        <f>IFERROR(__xludf.DUMMYFUNCTION("""COMPUTED_VALUE"""),"Array")</f>
        <v>Array</v>
      </c>
      <c r="E587" s="6" t="str">
        <f>IFERROR(__xludf.DUMMYFUNCTION("""COMPUTED_VALUE"""),"Google")</f>
        <v>Google</v>
      </c>
      <c r="F587" s="6"/>
      <c r="G587" s="6" t="str">
        <f>IFERROR(__xludf.DUMMYFUNCTION("""COMPUTED_VALUE"""),"Google")</f>
        <v>Google</v>
      </c>
      <c r="H587" s="6" t="str">
        <f>IFERROR(__xludf.DUMMYFUNCTION("""COMPUTED_VALUE"""),"Google")</f>
        <v>Google</v>
      </c>
      <c r="I587" s="6">
        <f>IFERROR(__xludf.DUMMYFUNCTION("""COMPUTED_VALUE"""),43.11)</f>
        <v>43.11</v>
      </c>
      <c r="J587" s="6" t="str">
        <f>IFERROR(__xludf.DUMMYFUNCTION("""COMPUTED_VALUE"""),"算法")</f>
        <v>算法</v>
      </c>
    </row>
    <row r="588">
      <c r="A588" s="6">
        <f>IFERROR(__xludf.DUMMYFUNCTION("""COMPUTED_VALUE"""),748.0)</f>
        <v>748</v>
      </c>
      <c r="B588" s="53" t="str">
        <f>IFERROR(__xludf.DUMMYFUNCTION("""COMPUTED_VALUE"""),"Shortest Completing Word")</f>
        <v>Shortest Completing Word</v>
      </c>
      <c r="C588" s="6" t="str">
        <f>IFERROR(__xludf.DUMMYFUNCTION("""COMPUTED_VALUE"""),"Easy")</f>
        <v>Easy</v>
      </c>
      <c r="D588" s="6" t="str">
        <f>IFERROR(__xludf.DUMMYFUNCTION("""COMPUTED_VALUE"""),"Hash Table")</f>
        <v>Hash Table</v>
      </c>
      <c r="E588" s="6" t="str">
        <f>IFERROR(__xludf.DUMMYFUNCTION("""COMPUTED_VALUE"""),"Google")</f>
        <v>Google</v>
      </c>
      <c r="F588" s="6"/>
      <c r="G588" s="6"/>
      <c r="H588" s="6" t="str">
        <f>IFERROR(__xludf.DUMMYFUNCTION("""COMPUTED_VALUE"""),"Google")</f>
        <v>Google</v>
      </c>
      <c r="I588" s="6">
        <f>IFERROR(__xludf.DUMMYFUNCTION("""COMPUTED_VALUE"""),57.56)</f>
        <v>57.56</v>
      </c>
      <c r="J588" s="6" t="str">
        <f>IFERROR(__xludf.DUMMYFUNCTION("""COMPUTED_VALUE"""),"算法")</f>
        <v>算法</v>
      </c>
    </row>
    <row r="589">
      <c r="A589" s="6">
        <f>IFERROR(__xludf.DUMMYFUNCTION("""COMPUTED_VALUE"""),750.0)</f>
        <v>750</v>
      </c>
      <c r="B589" s="53" t="str">
        <f>IFERROR(__xludf.DUMMYFUNCTION("""COMPUTED_VALUE"""),"Number Of Corner Rectangles")</f>
        <v>Number Of Corner Rectangles</v>
      </c>
      <c r="C589" s="6" t="str">
        <f>IFERROR(__xludf.DUMMYFUNCTION("""COMPUTED_VALUE"""),"Medium")</f>
        <v>Medium</v>
      </c>
      <c r="D589" s="6" t="str">
        <f>IFERROR(__xludf.DUMMYFUNCTION("""COMPUTED_VALUE"""),"Dynamic Programming")</f>
        <v>Dynamic Programming</v>
      </c>
      <c r="E589" s="6" t="str">
        <f>IFERROR(__xludf.DUMMYFUNCTION("""COMPUTED_VALUE"""),"Facebook,Google")</f>
        <v>Facebook,Google</v>
      </c>
      <c r="F589" s="6"/>
      <c r="G589" s="6"/>
      <c r="H589" s="6" t="str">
        <f>IFERROR(__xludf.DUMMYFUNCTION("""COMPUTED_VALUE"""),"Facebook")</f>
        <v>Facebook</v>
      </c>
      <c r="I589" s="6">
        <f>IFERROR(__xludf.DUMMYFUNCTION("""COMPUTED_VALUE"""),67.17)</f>
        <v>67.17</v>
      </c>
      <c r="J589" s="6" t="str">
        <f>IFERROR(__xludf.DUMMYFUNCTION("""COMPUTED_VALUE"""),"算法")</f>
        <v>算法</v>
      </c>
    </row>
    <row r="590">
      <c r="A590" s="6">
        <f>IFERROR(__xludf.DUMMYFUNCTION("""COMPUTED_VALUE"""),752.0)</f>
        <v>752</v>
      </c>
      <c r="B590" s="53" t="str">
        <f>IFERROR(__xludf.DUMMYFUNCTION("""COMPUTED_VALUE"""),"Open the Lock")</f>
        <v>Open the Lock</v>
      </c>
      <c r="C590" s="6" t="str">
        <f>IFERROR(__xludf.DUMMYFUNCTION("""COMPUTED_VALUE"""),"Medium")</f>
        <v>Medium</v>
      </c>
      <c r="D590" s="6" t="str">
        <f>IFERROR(__xludf.DUMMYFUNCTION("""COMPUTED_VALUE"""),"Breadth First Search")</f>
        <v>Breadth First Search</v>
      </c>
      <c r="E590" s="6" t="str">
        <f>IFERROR(__xludf.DUMMYFUNCTION("""COMPUTED_VALUE"""),"Citadel,Microsoft,Uber,Bloomberg,Facebook,Amazon,Google")</f>
        <v>Citadel,Microsoft,Uber,Bloomberg,Facebook,Amazon,Google</v>
      </c>
      <c r="F590" s="6" t="str">
        <f>IFERROR(__xludf.DUMMYFUNCTION("""COMPUTED_VALUE"""),"Facebook,Amazon,Citadel,Google,Bloomberg")</f>
        <v>Facebook,Amazon,Citadel,Google,Bloomberg</v>
      </c>
      <c r="G590" s="6" t="str">
        <f>IFERROR(__xludf.DUMMYFUNCTION("""COMPUTED_VALUE"""),"Microsoft,Facebook,Amazon,Citadel,Google,Bloomberg")</f>
        <v>Microsoft,Facebook,Amazon,Citadel,Google,Bloomberg</v>
      </c>
      <c r="H590" s="6" t="str">
        <f>IFERROR(__xludf.DUMMYFUNCTION("""COMPUTED_VALUE"""),"Uber,Microsoft,Facebook,Amazon,Citadel,Google,Bloomberg")</f>
        <v>Uber,Microsoft,Facebook,Amazon,Citadel,Google,Bloomberg</v>
      </c>
      <c r="I590" s="6">
        <f>IFERROR(__xludf.DUMMYFUNCTION("""COMPUTED_VALUE"""),52.86)</f>
        <v>52.86</v>
      </c>
      <c r="J590" s="6" t="str">
        <f>IFERROR(__xludf.DUMMYFUNCTION("""COMPUTED_VALUE"""),"算法")</f>
        <v>算法</v>
      </c>
    </row>
    <row r="591">
      <c r="A591" s="6">
        <f>IFERROR(__xludf.DUMMYFUNCTION("""COMPUTED_VALUE"""),753.0)</f>
        <v>753</v>
      </c>
      <c r="B591" s="53" t="str">
        <f>IFERROR(__xludf.DUMMYFUNCTION("""COMPUTED_VALUE"""),"Cracking the Safe")</f>
        <v>Cracking the Safe</v>
      </c>
      <c r="C591" s="6" t="str">
        <f>IFERROR(__xludf.DUMMYFUNCTION("""COMPUTED_VALUE"""),"Hard")</f>
        <v>Hard</v>
      </c>
      <c r="D591" s="6" t="str">
        <f>IFERROR(__xludf.DUMMYFUNCTION("""COMPUTED_VALUE"""),"Depth First Search,Math")</f>
        <v>Depth First Search,Math</v>
      </c>
      <c r="E591" s="6" t="str">
        <f>IFERROR(__xludf.DUMMYFUNCTION("""COMPUTED_VALUE"""),"Google")</f>
        <v>Google</v>
      </c>
      <c r="F591" s="6" t="str">
        <f>IFERROR(__xludf.DUMMYFUNCTION("""COMPUTED_VALUE"""),"Google")</f>
        <v>Google</v>
      </c>
      <c r="G591" s="6" t="str">
        <f>IFERROR(__xludf.DUMMYFUNCTION("""COMPUTED_VALUE"""),"Google")</f>
        <v>Google</v>
      </c>
      <c r="H591" s="6" t="str">
        <f>IFERROR(__xludf.DUMMYFUNCTION("""COMPUTED_VALUE"""),"Google")</f>
        <v>Google</v>
      </c>
      <c r="I591" s="6">
        <f>IFERROR(__xludf.DUMMYFUNCTION("""COMPUTED_VALUE"""),52.43)</f>
        <v>52.43</v>
      </c>
      <c r="J591" s="6" t="str">
        <f>IFERROR(__xludf.DUMMYFUNCTION("""COMPUTED_VALUE"""),"算法")</f>
        <v>算法</v>
      </c>
    </row>
    <row r="592">
      <c r="A592" s="6">
        <f>IFERROR(__xludf.DUMMYFUNCTION("""COMPUTED_VALUE"""),756.0)</f>
        <v>756</v>
      </c>
      <c r="B592" s="53" t="str">
        <f>IFERROR(__xludf.DUMMYFUNCTION("""COMPUTED_VALUE"""),"Pyramid Transition Matrix")</f>
        <v>Pyramid Transition Matrix</v>
      </c>
      <c r="C592" s="6" t="str">
        <f>IFERROR(__xludf.DUMMYFUNCTION("""COMPUTED_VALUE"""),"Medium")</f>
        <v>Medium</v>
      </c>
      <c r="D592" s="6" t="str">
        <f>IFERROR(__xludf.DUMMYFUNCTION("""COMPUTED_VALUE"""),"Depth First Search,Bit Manipulation")</f>
        <v>Depth First Search,Bit Manipulation</v>
      </c>
      <c r="E592" s="6" t="str">
        <f>IFERROR(__xludf.DUMMYFUNCTION("""COMPUTED_VALUE"""),"Airbnb,Amazon,Google")</f>
        <v>Airbnb,Amazon,Google</v>
      </c>
      <c r="F592" s="6"/>
      <c r="G592" s="6" t="str">
        <f>IFERROR(__xludf.DUMMYFUNCTION("""COMPUTED_VALUE"""),"Amazon")</f>
        <v>Amazon</v>
      </c>
      <c r="H592" s="6" t="str">
        <f>IFERROR(__xludf.DUMMYFUNCTION("""COMPUTED_VALUE"""),"Airbnb,Google,Amazon")</f>
        <v>Airbnb,Google,Amazon</v>
      </c>
      <c r="I592" s="6">
        <f>IFERROR(__xludf.DUMMYFUNCTION("""COMPUTED_VALUE"""),55.63)</f>
        <v>55.63</v>
      </c>
      <c r="J592" s="6" t="str">
        <f>IFERROR(__xludf.DUMMYFUNCTION("""COMPUTED_VALUE"""),"算法")</f>
        <v>算法</v>
      </c>
    </row>
    <row r="593">
      <c r="A593" s="6">
        <f>IFERROR(__xludf.DUMMYFUNCTION("""COMPUTED_VALUE"""),758.0)</f>
        <v>758</v>
      </c>
      <c r="B593" s="53" t="str">
        <f>IFERROR(__xludf.DUMMYFUNCTION("""COMPUTED_VALUE"""),"Bold Words in String")</f>
        <v>Bold Words in String</v>
      </c>
      <c r="C593" s="6" t="str">
        <f>IFERROR(__xludf.DUMMYFUNCTION("""COMPUTED_VALUE"""),"Easy")</f>
        <v>Easy</v>
      </c>
      <c r="D593" s="6" t="str">
        <f>IFERROR(__xludf.DUMMYFUNCTION("""COMPUTED_VALUE"""),"String")</f>
        <v>String</v>
      </c>
      <c r="E593" s="6" t="str">
        <f>IFERROR(__xludf.DUMMYFUNCTION("""COMPUTED_VALUE"""),"Google")</f>
        <v>Google</v>
      </c>
      <c r="F593" s="6"/>
      <c r="G593" s="6"/>
      <c r="H593" s="6" t="str">
        <f>IFERROR(__xludf.DUMMYFUNCTION("""COMPUTED_VALUE"""),"Google")</f>
        <v>Google</v>
      </c>
      <c r="I593" s="6">
        <f>IFERROR(__xludf.DUMMYFUNCTION("""COMPUTED_VALUE"""),47.44)</f>
        <v>47.44</v>
      </c>
      <c r="J593" s="6" t="str">
        <f>IFERROR(__xludf.DUMMYFUNCTION("""COMPUTED_VALUE"""),"算法")</f>
        <v>算法</v>
      </c>
    </row>
    <row r="594">
      <c r="A594" s="6">
        <f>IFERROR(__xludf.DUMMYFUNCTION("""COMPUTED_VALUE"""),759.0)</f>
        <v>759</v>
      </c>
      <c r="B594" s="53" t="str">
        <f>IFERROR(__xludf.DUMMYFUNCTION("""COMPUTED_VALUE"""),"Employee Free Time")</f>
        <v>Employee Free Time</v>
      </c>
      <c r="C594" s="6" t="str">
        <f>IFERROR(__xludf.DUMMYFUNCTION("""COMPUTED_VALUE"""),"Hard")</f>
        <v>Hard</v>
      </c>
      <c r="D594" s="6" t="str">
        <f>IFERROR(__xludf.DUMMYFUNCTION("""COMPUTED_VALUE"""),"Greedy,Heap")</f>
        <v>Greedy,Heap</v>
      </c>
      <c r="E594" s="6" t="str">
        <f>IFERROR(__xludf.DUMMYFUNCTION("""COMPUTED_VALUE"""),"Oracle,Cisco,DoorDash,Postmates,Pinterest,Wayfair,Coupang,Intuit,Airbnb,Uber,Bloomberg,Facebook,Amazon,Microsoft,Google")</f>
        <v>Oracle,Cisco,DoorDash,Postmates,Pinterest,Wayfair,Coupang,Intuit,Airbnb,Uber,Bloomberg,Facebook,Amazon,Microsoft,Google</v>
      </c>
      <c r="F594" s="6" t="str">
        <f>IFERROR(__xludf.DUMMYFUNCTION("""COMPUTED_VALUE"""),"DoorDash,Amazon,Intuit,Pinterest,Bloomberg,Oracle")</f>
        <v>DoorDash,Amazon,Intuit,Pinterest,Bloomberg,Oracle</v>
      </c>
      <c r="G594" s="6" t="str">
        <f>IFERROR(__xludf.DUMMYFUNCTION("""COMPUTED_VALUE"""),"Microsoft,Facebook,Google,Wayfair,Coupang,DoorDash,Amazon,Intuit,Pinterest,Bloomberg,Oracle")</f>
        <v>Microsoft,Facebook,Google,Wayfair,Coupang,DoorDash,Amazon,Intuit,Pinterest,Bloomberg,Oracle</v>
      </c>
      <c r="H594" s="6" t="str">
        <f>IFERROR(__xludf.DUMMYFUNCTION("""COMPUTED_VALUE"""),"Airbnb,Uber,Cisco,Microsoft,Facebook,Google,Wayfair,Coupang,DoorDash,Amazon,Intuit,Pinterest,Bloomberg,Oracle")</f>
        <v>Airbnb,Uber,Cisco,Microsoft,Facebook,Google,Wayfair,Coupang,DoorDash,Amazon,Intuit,Pinterest,Bloomberg,Oracle</v>
      </c>
      <c r="I594" s="6">
        <f>IFERROR(__xludf.DUMMYFUNCTION("""COMPUTED_VALUE"""),68.29)</f>
        <v>68.29</v>
      </c>
      <c r="J594" s="6" t="str">
        <f>IFERROR(__xludf.DUMMYFUNCTION("""COMPUTED_VALUE"""),"算法")</f>
        <v>算法</v>
      </c>
    </row>
    <row r="595">
      <c r="A595" s="6">
        <f>IFERROR(__xludf.DUMMYFUNCTION("""COMPUTED_VALUE"""),760.0)</f>
        <v>760</v>
      </c>
      <c r="B595" s="53" t="str">
        <f>IFERROR(__xludf.DUMMYFUNCTION("""COMPUTED_VALUE"""),"Find Anagram Mappings")</f>
        <v>Find Anagram Mappings</v>
      </c>
      <c r="C595" s="6" t="str">
        <f>IFERROR(__xludf.DUMMYFUNCTION("""COMPUTED_VALUE"""),"Easy")</f>
        <v>Easy</v>
      </c>
      <c r="D595" s="6" t="str">
        <f>IFERROR(__xludf.DUMMYFUNCTION("""COMPUTED_VALUE"""),"Hash Table")</f>
        <v>Hash Table</v>
      </c>
      <c r="E595" s="6" t="str">
        <f>IFERROR(__xludf.DUMMYFUNCTION("""COMPUTED_VALUE"""),"Google")</f>
        <v>Google</v>
      </c>
      <c r="F595" s="6"/>
      <c r="G595" s="6"/>
      <c r="H595" s="6" t="str">
        <f>IFERROR(__xludf.DUMMYFUNCTION("""COMPUTED_VALUE"""),"Google")</f>
        <v>Google</v>
      </c>
      <c r="I595" s="6">
        <f>IFERROR(__xludf.DUMMYFUNCTION("""COMPUTED_VALUE"""),81.87)</f>
        <v>81.87</v>
      </c>
      <c r="J595" s="6" t="str">
        <f>IFERROR(__xludf.DUMMYFUNCTION("""COMPUTED_VALUE"""),"算法")</f>
        <v>算法</v>
      </c>
    </row>
    <row r="596">
      <c r="A596" s="6">
        <f>IFERROR(__xludf.DUMMYFUNCTION("""COMPUTED_VALUE"""),764.0)</f>
        <v>764</v>
      </c>
      <c r="B596" s="53" t="str">
        <f>IFERROR(__xludf.DUMMYFUNCTION("""COMPUTED_VALUE"""),"Largest Plus Sign")</f>
        <v>Largest Plus Sign</v>
      </c>
      <c r="C596" s="6" t="str">
        <f>IFERROR(__xludf.DUMMYFUNCTION("""COMPUTED_VALUE"""),"Medium")</f>
        <v>Medium</v>
      </c>
      <c r="D596" s="6" t="str">
        <f>IFERROR(__xludf.DUMMYFUNCTION("""COMPUTED_VALUE"""),"Dynamic Programming")</f>
        <v>Dynamic Programming</v>
      </c>
      <c r="E596" s="6" t="str">
        <f>IFERROR(__xludf.DUMMYFUNCTION("""COMPUTED_VALUE"""),"Facebook,Google")</f>
        <v>Facebook,Google</v>
      </c>
      <c r="F596" s="6"/>
      <c r="G596" s="6"/>
      <c r="H596" s="6" t="str">
        <f>IFERROR(__xludf.DUMMYFUNCTION("""COMPUTED_VALUE"""),"Facebook")</f>
        <v>Facebook</v>
      </c>
      <c r="I596" s="6">
        <f>IFERROR(__xludf.DUMMYFUNCTION("""COMPUTED_VALUE"""),46.6)</f>
        <v>46.6</v>
      </c>
      <c r="J596" s="6" t="str">
        <f>IFERROR(__xludf.DUMMYFUNCTION("""COMPUTED_VALUE"""),"算法")</f>
        <v>算法</v>
      </c>
    </row>
    <row r="597">
      <c r="A597" s="6">
        <f>IFERROR(__xludf.DUMMYFUNCTION("""COMPUTED_VALUE"""),765.0)</f>
        <v>765</v>
      </c>
      <c r="B597" s="53" t="str">
        <f>IFERROR(__xludf.DUMMYFUNCTION("""COMPUTED_VALUE"""),"Couples Holding Hands")</f>
        <v>Couples Holding Hands</v>
      </c>
      <c r="C597" s="6" t="str">
        <f>IFERROR(__xludf.DUMMYFUNCTION("""COMPUTED_VALUE"""),"Hard")</f>
        <v>Hard</v>
      </c>
      <c r="D597" s="6" t="str">
        <f>IFERROR(__xludf.DUMMYFUNCTION("""COMPUTED_VALUE"""),"Graph,Union Find,Greedy")</f>
        <v>Graph,Union Find,Greedy</v>
      </c>
      <c r="E597" s="6" t="str">
        <f>IFERROR(__xludf.DUMMYFUNCTION("""COMPUTED_VALUE"""),"Amazon,Google")</f>
        <v>Amazon,Google</v>
      </c>
      <c r="F597" s="6"/>
      <c r="G597" s="6"/>
      <c r="H597" s="6" t="str">
        <f>IFERROR(__xludf.DUMMYFUNCTION("""COMPUTED_VALUE"""),"Google")</f>
        <v>Google</v>
      </c>
      <c r="I597" s="6">
        <f>IFERROR(__xludf.DUMMYFUNCTION("""COMPUTED_VALUE"""),55.52)</f>
        <v>55.52</v>
      </c>
      <c r="J597" s="6" t="str">
        <f>IFERROR(__xludf.DUMMYFUNCTION("""COMPUTED_VALUE"""),"算法")</f>
        <v>算法</v>
      </c>
    </row>
    <row r="598">
      <c r="A598" s="6">
        <f>IFERROR(__xludf.DUMMYFUNCTION("""COMPUTED_VALUE"""),766.0)</f>
        <v>766</v>
      </c>
      <c r="B598" s="53" t="str">
        <f>IFERROR(__xludf.DUMMYFUNCTION("""COMPUTED_VALUE"""),"Toeplitz Matrix")</f>
        <v>Toeplitz Matrix</v>
      </c>
      <c r="C598" s="6" t="str">
        <f>IFERROR(__xludf.DUMMYFUNCTION("""COMPUTED_VALUE"""),"Easy")</f>
        <v>Easy</v>
      </c>
      <c r="D598" s="6" t="str">
        <f>IFERROR(__xludf.DUMMYFUNCTION("""COMPUTED_VALUE"""),"Array")</f>
        <v>Array</v>
      </c>
      <c r="E598" s="6" t="str">
        <f>IFERROR(__xludf.DUMMYFUNCTION("""COMPUTED_VALUE"""),"Apple,Facebook,Google")</f>
        <v>Apple,Facebook,Google</v>
      </c>
      <c r="F598" s="6" t="str">
        <f>IFERROR(__xludf.DUMMYFUNCTION("""COMPUTED_VALUE"""),"Facebook")</f>
        <v>Facebook</v>
      </c>
      <c r="G598" s="6" t="str">
        <f>IFERROR(__xludf.DUMMYFUNCTION("""COMPUTED_VALUE"""),"Google,Facebook")</f>
        <v>Google,Facebook</v>
      </c>
      <c r="H598" s="6" t="str">
        <f>IFERROR(__xludf.DUMMYFUNCTION("""COMPUTED_VALUE"""),"Google,Facebook")</f>
        <v>Google,Facebook</v>
      </c>
      <c r="I598" s="6">
        <f>IFERROR(__xludf.DUMMYFUNCTION("""COMPUTED_VALUE"""),65.9)</f>
        <v>65.9</v>
      </c>
      <c r="J598" s="6" t="str">
        <f>IFERROR(__xludf.DUMMYFUNCTION("""COMPUTED_VALUE"""),"算法")</f>
        <v>算法</v>
      </c>
    </row>
    <row r="599">
      <c r="A599" s="6">
        <f>IFERROR(__xludf.DUMMYFUNCTION("""COMPUTED_VALUE"""),767.0)</f>
        <v>767</v>
      </c>
      <c r="B599" s="53" t="str">
        <f>IFERROR(__xludf.DUMMYFUNCTION("""COMPUTED_VALUE"""),"Reorganize String")</f>
        <v>Reorganize String</v>
      </c>
      <c r="C599" s="6" t="str">
        <f>IFERROR(__xludf.DUMMYFUNCTION("""COMPUTED_VALUE"""),"Medium")</f>
        <v>Medium</v>
      </c>
      <c r="D599" s="6" t="str">
        <f>IFERROR(__xludf.DUMMYFUNCTION("""COMPUTED_VALUE"""),"Sort,Greedy,Heap,String")</f>
        <v>Sort,Greedy,Heap,String</v>
      </c>
      <c r="E599" s="6" t="str">
        <f>IFERROR(__xludf.DUMMYFUNCTION("""COMPUTED_VALUE"""),"Qualtrics,Wish,EBay,Apple,Bloomberg,Goldman Sachs,Tesla,Twitch,Twitter,Oracle,Uber,Facebook,Amazon,Microsoft,Google")</f>
        <v>Qualtrics,Wish,EBay,Apple,Bloomberg,Goldman Sachs,Tesla,Twitch,Twitter,Oracle,Uber,Facebook,Amazon,Microsoft,Google</v>
      </c>
      <c r="F599" s="6" t="str">
        <f>IFERROR(__xludf.DUMMYFUNCTION("""COMPUTED_VALUE"""),"Amazon,Google,Microsoft,Uber,Facebook,Goldman Sachs,Wish,Bloomberg")</f>
        <v>Amazon,Google,Microsoft,Uber,Facebook,Goldman Sachs,Wish,Bloomberg</v>
      </c>
      <c r="G599" s="6" t="str">
        <f>IFERROR(__xludf.DUMMYFUNCTION("""COMPUTED_VALUE"""),"eBay,Oracle,Qualtrics,Apple,Amazon,Google,Microsoft,Uber,Facebook,Goldman Sachs,Wish,Bloomberg")</f>
        <v>eBay,Oracle,Qualtrics,Apple,Amazon,Google,Microsoft,Uber,Facebook,Goldman Sachs,Wish,Bloomberg</v>
      </c>
      <c r="H599" s="6" t="str">
        <f>IFERROR(__xludf.DUMMYFUNCTION("""COMPUTED_VALUE"""),"Twitter,Tesla,Twitch,eBay,Oracle,Qualtrics,Apple,Amazon,Google,Microsoft,Uber,Facebook,Goldman Sachs,Wish,Bloomberg")</f>
        <v>Twitter,Tesla,Twitch,eBay,Oracle,Qualtrics,Apple,Amazon,Google,Microsoft,Uber,Facebook,Goldman Sachs,Wish,Bloomberg</v>
      </c>
      <c r="I599" s="6">
        <f>IFERROR(__xludf.DUMMYFUNCTION("""COMPUTED_VALUE"""),50.2)</f>
        <v>50.2</v>
      </c>
      <c r="J599" s="6" t="str">
        <f>IFERROR(__xludf.DUMMYFUNCTION("""COMPUTED_VALUE"""),"算法")</f>
        <v>算法</v>
      </c>
    </row>
    <row r="600">
      <c r="A600" s="6">
        <f>IFERROR(__xludf.DUMMYFUNCTION("""COMPUTED_VALUE"""),768.0)</f>
        <v>768</v>
      </c>
      <c r="B600" s="53" t="str">
        <f>IFERROR(__xludf.DUMMYFUNCTION("""COMPUTED_VALUE"""),"Max Chunks To Make Sorted II")</f>
        <v>Max Chunks To Make Sorted II</v>
      </c>
      <c r="C600" s="6" t="str">
        <f>IFERROR(__xludf.DUMMYFUNCTION("""COMPUTED_VALUE"""),"Hard")</f>
        <v>Hard</v>
      </c>
      <c r="D600" s="6" t="str">
        <f>IFERROR(__xludf.DUMMYFUNCTION("""COMPUTED_VALUE"""),"Array")</f>
        <v>Array</v>
      </c>
      <c r="E600" s="6" t="str">
        <f>IFERROR(__xludf.DUMMYFUNCTION("""COMPUTED_VALUE"""),"Microsoft,Google")</f>
        <v>Microsoft,Google</v>
      </c>
      <c r="F600" s="6"/>
      <c r="G600" s="6"/>
      <c r="H600" s="6" t="str">
        <f>IFERROR(__xludf.DUMMYFUNCTION("""COMPUTED_VALUE"""),"Microsoft,Google")</f>
        <v>Microsoft,Google</v>
      </c>
      <c r="I600" s="6">
        <f>IFERROR(__xludf.DUMMYFUNCTION("""COMPUTED_VALUE"""),49.83)</f>
        <v>49.83</v>
      </c>
      <c r="J600" s="6" t="str">
        <f>IFERROR(__xludf.DUMMYFUNCTION("""COMPUTED_VALUE"""),"算法")</f>
        <v>算法</v>
      </c>
    </row>
    <row r="601">
      <c r="A601" s="6">
        <f>IFERROR(__xludf.DUMMYFUNCTION("""COMPUTED_VALUE"""),769.0)</f>
        <v>769</v>
      </c>
      <c r="B601" s="53" t="str">
        <f>IFERROR(__xludf.DUMMYFUNCTION("""COMPUTED_VALUE"""),"Max Chunks To Make Sorted")</f>
        <v>Max Chunks To Make Sorted</v>
      </c>
      <c r="C601" s="6" t="str">
        <f>IFERROR(__xludf.DUMMYFUNCTION("""COMPUTED_VALUE"""),"Medium")</f>
        <v>Medium</v>
      </c>
      <c r="D601" s="6" t="str">
        <f>IFERROR(__xludf.DUMMYFUNCTION("""COMPUTED_VALUE"""),"Array")</f>
        <v>Array</v>
      </c>
      <c r="E601" s="6" t="str">
        <f>IFERROR(__xludf.DUMMYFUNCTION("""COMPUTED_VALUE"""),"Uber,Microsoft,Google")</f>
        <v>Uber,Microsoft,Google</v>
      </c>
      <c r="F601" s="6" t="str">
        <f>IFERROR(__xludf.DUMMYFUNCTION("""COMPUTED_VALUE"""),"Google")</f>
        <v>Google</v>
      </c>
      <c r="G601" s="6" t="str">
        <f>IFERROR(__xludf.DUMMYFUNCTION("""COMPUTED_VALUE"""),"Google")</f>
        <v>Google</v>
      </c>
      <c r="H601" s="6" t="str">
        <f>IFERROR(__xludf.DUMMYFUNCTION("""COMPUTED_VALUE"""),"Microsoft,Google")</f>
        <v>Microsoft,Google</v>
      </c>
      <c r="I601" s="6">
        <f>IFERROR(__xludf.DUMMYFUNCTION("""COMPUTED_VALUE"""),55.77)</f>
        <v>55.77</v>
      </c>
      <c r="J601" s="6" t="str">
        <f>IFERROR(__xludf.DUMMYFUNCTION("""COMPUTED_VALUE"""),"算法")</f>
        <v>算法</v>
      </c>
    </row>
    <row r="602">
      <c r="A602" s="6">
        <f>IFERROR(__xludf.DUMMYFUNCTION("""COMPUTED_VALUE"""),770.0)</f>
        <v>770</v>
      </c>
      <c r="B602" s="53" t="str">
        <f>IFERROR(__xludf.DUMMYFUNCTION("""COMPUTED_VALUE"""),"Basic Calculator IV")</f>
        <v>Basic Calculator IV</v>
      </c>
      <c r="C602" s="6" t="str">
        <f>IFERROR(__xludf.DUMMYFUNCTION("""COMPUTED_VALUE"""),"Hard")</f>
        <v>Hard</v>
      </c>
      <c r="D602" s="6" t="str">
        <f>IFERROR(__xludf.DUMMYFUNCTION("""COMPUTED_VALUE"""),"Stack,String,Hash Table")</f>
        <v>Stack,String,Hash Table</v>
      </c>
      <c r="E602" s="6" t="str">
        <f>IFERROR(__xludf.DUMMYFUNCTION("""COMPUTED_VALUE"""),"Roblox,Pinterest,Indeed,Intuit,Amazon,Google")</f>
        <v>Roblox,Pinterest,Indeed,Intuit,Amazon,Google</v>
      </c>
      <c r="F602" s="6" t="str">
        <f>IFERROR(__xludf.DUMMYFUNCTION("""COMPUTED_VALUE"""),"Roblox")</f>
        <v>Roblox</v>
      </c>
      <c r="G602" s="6" t="str">
        <f>IFERROR(__xludf.DUMMYFUNCTION("""COMPUTED_VALUE"""),"Roblox")</f>
        <v>Roblox</v>
      </c>
      <c r="H602" s="6" t="str">
        <f>IFERROR(__xludf.DUMMYFUNCTION("""COMPUTED_VALUE"""),"Indeed,Amazon,Intuit,Roblox")</f>
        <v>Indeed,Amazon,Intuit,Roblox</v>
      </c>
      <c r="I602" s="6">
        <f>IFERROR(__xludf.DUMMYFUNCTION("""COMPUTED_VALUE"""),54.29)</f>
        <v>54.29</v>
      </c>
      <c r="J602" s="6" t="str">
        <f>IFERROR(__xludf.DUMMYFUNCTION("""COMPUTED_VALUE"""),"算法")</f>
        <v>算法</v>
      </c>
    </row>
    <row r="603">
      <c r="A603" s="6">
        <f>IFERROR(__xludf.DUMMYFUNCTION("""COMPUTED_VALUE"""),771.0)</f>
        <v>771</v>
      </c>
      <c r="B603" s="53" t="str">
        <f>IFERROR(__xludf.DUMMYFUNCTION("""COMPUTED_VALUE"""),"Jewels and Stones")</f>
        <v>Jewels and Stones</v>
      </c>
      <c r="C603" s="6" t="str">
        <f>IFERROR(__xludf.DUMMYFUNCTION("""COMPUTED_VALUE"""),"Easy")</f>
        <v>Easy</v>
      </c>
      <c r="D603" s="6" t="str">
        <f>IFERROR(__xludf.DUMMYFUNCTION("""COMPUTED_VALUE"""),"Hash Table")</f>
        <v>Hash Table</v>
      </c>
      <c r="E603" s="6" t="str">
        <f>IFERROR(__xludf.DUMMYFUNCTION("""COMPUTED_VALUE"""),"Yandex,Baidu,Apple,Yahoo,Adobe,Facebook,Amazon,Alibaba,Google")</f>
        <v>Yandex,Baidu,Apple,Yahoo,Adobe,Facebook,Amazon,Alibaba,Google</v>
      </c>
      <c r="F603" s="6" t="str">
        <f>IFERROR(__xludf.DUMMYFUNCTION("""COMPUTED_VALUE"""),"Apple")</f>
        <v>Apple</v>
      </c>
      <c r="G603" s="6" t="str">
        <f>IFERROR(__xludf.DUMMYFUNCTION("""COMPUTED_VALUE"""),"Amazon,Google,Apple")</f>
        <v>Amazon,Google,Apple</v>
      </c>
      <c r="H603" s="6" t="str">
        <f>IFERROR(__xludf.DUMMYFUNCTION("""COMPUTED_VALUE"""),"Yahoo,Adobe,Yandex,Facebook,Amazon,Google,Apple")</f>
        <v>Yahoo,Adobe,Yandex,Facebook,Amazon,Google,Apple</v>
      </c>
      <c r="I603" s="6">
        <f>IFERROR(__xludf.DUMMYFUNCTION("""COMPUTED_VALUE"""),86.95)</f>
        <v>86.95</v>
      </c>
      <c r="J603" s="6" t="str">
        <f>IFERROR(__xludf.DUMMYFUNCTION("""COMPUTED_VALUE"""),"算法")</f>
        <v>算法</v>
      </c>
    </row>
    <row r="604">
      <c r="A604" s="6">
        <f>IFERROR(__xludf.DUMMYFUNCTION("""COMPUTED_VALUE"""),772.0)</f>
        <v>772</v>
      </c>
      <c r="B604" s="53" t="str">
        <f>IFERROR(__xludf.DUMMYFUNCTION("""COMPUTED_VALUE"""),"Basic Calculator III")</f>
        <v>Basic Calculator III</v>
      </c>
      <c r="C604" s="6" t="str">
        <f>IFERROR(__xludf.DUMMYFUNCTION("""COMPUTED_VALUE"""),"Hard")</f>
        <v>Hard</v>
      </c>
      <c r="D604" s="6" t="str">
        <f>IFERROR(__xludf.DUMMYFUNCTION("""COMPUTED_VALUE"""),"Stack,String")</f>
        <v>Stack,String</v>
      </c>
      <c r="E604" s="6" t="str">
        <f>IFERROR(__xludf.DUMMYFUNCTION("""COMPUTED_VALUE"""),"Robinhood,ByteDance,EBay,Jingchi,Hulu,DoorDash,Pinterest,Pocket Gems,Houzz,Snapchat,Apple,Uber,Facebook,Amazon,Microsoft,Google")</f>
        <v>Robinhood,ByteDance,EBay,Jingchi,Hulu,DoorDash,Pinterest,Pocket Gems,Houzz,Snapchat,Apple,Uber,Facebook,Amazon,Microsoft,Google</v>
      </c>
      <c r="F604" s="6" t="str">
        <f>IFERROR(__xludf.DUMMYFUNCTION("""COMPUTED_VALUE"""),"Facebook,ByteDance")</f>
        <v>Facebook,ByteDance</v>
      </c>
      <c r="G604" s="6" t="str">
        <f>IFERROR(__xludf.DUMMYFUNCTION("""COMPUTED_VALUE"""),"Amazon,Snapchat,Apple,eBay,Facebook,ByteDance")</f>
        <v>Amazon,Snapchat,Apple,eBay,Facebook,ByteDance</v>
      </c>
      <c r="H604" s="6" t="str">
        <f>IFERROR(__xludf.DUMMYFUNCTION("""COMPUTED_VALUE"""),"Uber,Google,Microsoft,Robinhood,Jingchi,Pocket Gems,Hulu,Houzz,DoorDash,Amazon,Snapchat,Apple,eBay,Facebook,ByteDance")</f>
        <v>Uber,Google,Microsoft,Robinhood,Jingchi,Pocket Gems,Hulu,Houzz,DoorDash,Amazon,Snapchat,Apple,eBay,Facebook,ByteDance</v>
      </c>
      <c r="I604" s="6">
        <f>IFERROR(__xludf.DUMMYFUNCTION("""COMPUTED_VALUE"""),43.82)</f>
        <v>43.82</v>
      </c>
      <c r="J604" s="6" t="str">
        <f>IFERROR(__xludf.DUMMYFUNCTION("""COMPUTED_VALUE"""),"算法")</f>
        <v>算法</v>
      </c>
    </row>
    <row r="605">
      <c r="A605" s="6">
        <f>IFERROR(__xludf.DUMMYFUNCTION("""COMPUTED_VALUE"""),773.0)</f>
        <v>773</v>
      </c>
      <c r="B605" s="53" t="str">
        <f>IFERROR(__xludf.DUMMYFUNCTION("""COMPUTED_VALUE"""),"Sliding Puzzle")</f>
        <v>Sliding Puzzle</v>
      </c>
      <c r="C605" s="6" t="str">
        <f>IFERROR(__xludf.DUMMYFUNCTION("""COMPUTED_VALUE"""),"Hard")</f>
        <v>Hard</v>
      </c>
      <c r="D605" s="6" t="str">
        <f>IFERROR(__xludf.DUMMYFUNCTION("""COMPUTED_VALUE"""),"Breadth First Search")</f>
        <v>Breadth First Search</v>
      </c>
      <c r="E605" s="6" t="str">
        <f>IFERROR(__xludf.DUMMYFUNCTION("""COMPUTED_VALUE"""),"Airbnb,Uber,Facebook,Amazon,Microsoft,Google")</f>
        <v>Airbnb,Uber,Facebook,Amazon,Microsoft,Google</v>
      </c>
      <c r="F605" s="6" t="str">
        <f>IFERROR(__xludf.DUMMYFUNCTION("""COMPUTED_VALUE"""),"Uber,Airbnb,Facebook")</f>
        <v>Uber,Airbnb,Facebook</v>
      </c>
      <c r="G605" s="6" t="str">
        <f>IFERROR(__xludf.DUMMYFUNCTION("""COMPUTED_VALUE"""),"Microsoft,Amazon,Uber,Airbnb,Facebook")</f>
        <v>Microsoft,Amazon,Uber,Airbnb,Facebook</v>
      </c>
      <c r="H605" s="6" t="str">
        <f>IFERROR(__xludf.DUMMYFUNCTION("""COMPUTED_VALUE"""),"Google,Microsoft,Amazon,Uber,Airbnb,Facebook")</f>
        <v>Google,Microsoft,Amazon,Uber,Airbnb,Facebook</v>
      </c>
      <c r="I605" s="6">
        <f>IFERROR(__xludf.DUMMYFUNCTION("""COMPUTED_VALUE"""),61.01)</f>
        <v>61.01</v>
      </c>
      <c r="J605" s="6" t="str">
        <f>IFERROR(__xludf.DUMMYFUNCTION("""COMPUTED_VALUE"""),"算法")</f>
        <v>算法</v>
      </c>
    </row>
    <row r="606">
      <c r="A606" s="6">
        <f>IFERROR(__xludf.DUMMYFUNCTION("""COMPUTED_VALUE"""),774.0)</f>
        <v>774</v>
      </c>
      <c r="B606" s="53" t="str">
        <f>IFERROR(__xludf.DUMMYFUNCTION("""COMPUTED_VALUE"""),"Minimize Max Distance to Gas Station")</f>
        <v>Minimize Max Distance to Gas Station</v>
      </c>
      <c r="C606" s="6" t="str">
        <f>IFERROR(__xludf.DUMMYFUNCTION("""COMPUTED_VALUE"""),"Hard")</f>
        <v>Hard</v>
      </c>
      <c r="D606" s="6" t="str">
        <f>IFERROR(__xludf.DUMMYFUNCTION("""COMPUTED_VALUE"""),"Binary Search")</f>
        <v>Binary Search</v>
      </c>
      <c r="E606" s="6" t="str">
        <f>IFERROR(__xludf.DUMMYFUNCTION("""COMPUTED_VALUE"""),"Google")</f>
        <v>Google</v>
      </c>
      <c r="F606" s="6"/>
      <c r="G606" s="6"/>
      <c r="H606" s="6" t="str">
        <f>IFERROR(__xludf.DUMMYFUNCTION("""COMPUTED_VALUE"""),"Google")</f>
        <v>Google</v>
      </c>
      <c r="I606" s="6">
        <f>IFERROR(__xludf.DUMMYFUNCTION("""COMPUTED_VALUE"""),48.35)</f>
        <v>48.35</v>
      </c>
      <c r="J606" s="6" t="str">
        <f>IFERROR(__xludf.DUMMYFUNCTION("""COMPUTED_VALUE"""),"算法")</f>
        <v>算法</v>
      </c>
    </row>
    <row r="607">
      <c r="A607" s="6">
        <f>IFERROR(__xludf.DUMMYFUNCTION("""COMPUTED_VALUE"""),776.0)</f>
        <v>776</v>
      </c>
      <c r="B607" s="53" t="str">
        <f>IFERROR(__xludf.DUMMYFUNCTION("""COMPUTED_VALUE"""),"Split BST")</f>
        <v>Split BST</v>
      </c>
      <c r="C607" s="6" t="str">
        <f>IFERROR(__xludf.DUMMYFUNCTION("""COMPUTED_VALUE"""),"Medium")</f>
        <v>Medium</v>
      </c>
      <c r="D607" s="6" t="str">
        <f>IFERROR(__xludf.DUMMYFUNCTION("""COMPUTED_VALUE"""),"Recursion,Tree")</f>
        <v>Recursion,Tree</v>
      </c>
      <c r="E607" s="6" t="str">
        <f>IFERROR(__xludf.DUMMYFUNCTION("""COMPUTED_VALUE"""),"Salesforce,Coupang,Facebook,Amazon,Google")</f>
        <v>Salesforce,Coupang,Facebook,Amazon,Google</v>
      </c>
      <c r="F607" s="6" t="str">
        <f>IFERROR(__xludf.DUMMYFUNCTION("""COMPUTED_VALUE"""),"Salesforce")</f>
        <v>Salesforce</v>
      </c>
      <c r="G607" s="6" t="str">
        <f>IFERROR(__xludf.DUMMYFUNCTION("""COMPUTED_VALUE"""),"Salesforce")</f>
        <v>Salesforce</v>
      </c>
      <c r="H607" s="6" t="str">
        <f>IFERROR(__xludf.DUMMYFUNCTION("""COMPUTED_VALUE"""),"Google,Facebook,Amazon,Coupang,Salesforce")</f>
        <v>Google,Facebook,Amazon,Coupang,Salesforce</v>
      </c>
      <c r="I607" s="6">
        <f>IFERROR(__xludf.DUMMYFUNCTION("""COMPUTED_VALUE"""),56.62)</f>
        <v>56.62</v>
      </c>
      <c r="J607" s="6" t="str">
        <f>IFERROR(__xludf.DUMMYFUNCTION("""COMPUTED_VALUE"""),"算法")</f>
        <v>算法</v>
      </c>
    </row>
    <row r="608">
      <c r="A608" s="6">
        <f>IFERROR(__xludf.DUMMYFUNCTION("""COMPUTED_VALUE"""),777.0)</f>
        <v>777</v>
      </c>
      <c r="B608" s="53" t="str">
        <f>IFERROR(__xludf.DUMMYFUNCTION("""COMPUTED_VALUE"""),"Swap Adjacent in LR String")</f>
        <v>Swap Adjacent in LR String</v>
      </c>
      <c r="C608" s="6" t="str">
        <f>IFERROR(__xludf.DUMMYFUNCTION("""COMPUTED_VALUE"""),"Medium")</f>
        <v>Medium</v>
      </c>
      <c r="D608" s="6" t="str">
        <f>IFERROR(__xludf.DUMMYFUNCTION("""COMPUTED_VALUE"""),"Brainteaser")</f>
        <v>Brainteaser</v>
      </c>
      <c r="E608" s="6" t="str">
        <f>IFERROR(__xludf.DUMMYFUNCTION("""COMPUTED_VALUE"""),"ByteDance,Google")</f>
        <v>ByteDance,Google</v>
      </c>
      <c r="F608" s="6" t="str">
        <f>IFERROR(__xludf.DUMMYFUNCTION("""COMPUTED_VALUE"""),"Google")</f>
        <v>Google</v>
      </c>
      <c r="G608" s="6" t="str">
        <f>IFERROR(__xludf.DUMMYFUNCTION("""COMPUTED_VALUE"""),"ByteDance,Google")</f>
        <v>ByteDance,Google</v>
      </c>
      <c r="H608" s="6" t="str">
        <f>IFERROR(__xludf.DUMMYFUNCTION("""COMPUTED_VALUE"""),"ByteDance,Google")</f>
        <v>ByteDance,Google</v>
      </c>
      <c r="I608" s="6">
        <f>IFERROR(__xludf.DUMMYFUNCTION("""COMPUTED_VALUE"""),35.68)</f>
        <v>35.68</v>
      </c>
      <c r="J608" s="6" t="str">
        <f>IFERROR(__xludf.DUMMYFUNCTION("""COMPUTED_VALUE"""),"算法")</f>
        <v>算法</v>
      </c>
    </row>
    <row r="609">
      <c r="A609" s="6">
        <f>IFERROR(__xludf.DUMMYFUNCTION("""COMPUTED_VALUE"""),778.0)</f>
        <v>778</v>
      </c>
      <c r="B609" s="53" t="str">
        <f>IFERROR(__xludf.DUMMYFUNCTION("""COMPUTED_VALUE"""),"Swim in Rising Water")</f>
        <v>Swim in Rising Water</v>
      </c>
      <c r="C609" s="6" t="str">
        <f>IFERROR(__xludf.DUMMYFUNCTION("""COMPUTED_VALUE"""),"Hard")</f>
        <v>Hard</v>
      </c>
      <c r="D609" s="6" t="str">
        <f>IFERROR(__xludf.DUMMYFUNCTION("""COMPUTED_VALUE"""),"Union Find,Depth First Search,Heap,Binary Search")</f>
        <v>Union Find,Depth First Search,Heap,Binary Search</v>
      </c>
      <c r="E609" s="6" t="str">
        <f>IFERROR(__xludf.DUMMYFUNCTION("""COMPUTED_VALUE"""),"Amazon,Facebook,Google")</f>
        <v>Amazon,Facebook,Google</v>
      </c>
      <c r="F609" s="6"/>
      <c r="G609" s="6"/>
      <c r="H609" s="6" t="str">
        <f>IFERROR(__xludf.DUMMYFUNCTION("""COMPUTED_VALUE"""),"Facebook,Google,Amazon")</f>
        <v>Facebook,Google,Amazon</v>
      </c>
      <c r="I609" s="6">
        <f>IFERROR(__xludf.DUMMYFUNCTION("""COMPUTED_VALUE"""),54.76)</f>
        <v>54.76</v>
      </c>
      <c r="J609" s="6" t="str">
        <f>IFERROR(__xludf.DUMMYFUNCTION("""COMPUTED_VALUE"""),"算法")</f>
        <v>算法</v>
      </c>
    </row>
    <row r="610">
      <c r="A610" s="6">
        <f>IFERROR(__xludf.DUMMYFUNCTION("""COMPUTED_VALUE"""),779.0)</f>
        <v>779</v>
      </c>
      <c r="B610" s="53" t="str">
        <f>IFERROR(__xludf.DUMMYFUNCTION("""COMPUTED_VALUE"""),"K-th Symbol in Grammar")</f>
        <v>K-th Symbol in Grammar</v>
      </c>
      <c r="C610" s="6" t="str">
        <f>IFERROR(__xludf.DUMMYFUNCTION("""COMPUTED_VALUE"""),"Medium")</f>
        <v>Medium</v>
      </c>
      <c r="D610" s="6" t="str">
        <f>IFERROR(__xludf.DUMMYFUNCTION("""COMPUTED_VALUE"""),"Recursion")</f>
        <v>Recursion</v>
      </c>
      <c r="E610" s="6" t="str">
        <f>IFERROR(__xludf.DUMMYFUNCTION("""COMPUTED_VALUE"""),"Facebook,Amazon,Google")</f>
        <v>Facebook,Amazon,Google</v>
      </c>
      <c r="F610" s="6"/>
      <c r="G610" s="6" t="str">
        <f>IFERROR(__xludf.DUMMYFUNCTION("""COMPUTED_VALUE"""),"Amazon,Facebook")</f>
        <v>Amazon,Facebook</v>
      </c>
      <c r="H610" s="6" t="str">
        <f>IFERROR(__xludf.DUMMYFUNCTION("""COMPUTED_VALUE"""),"Google,Amazon,Facebook")</f>
        <v>Google,Amazon,Facebook</v>
      </c>
      <c r="I610" s="6">
        <f>IFERROR(__xludf.DUMMYFUNCTION("""COMPUTED_VALUE"""),38.57)</f>
        <v>38.57</v>
      </c>
      <c r="J610" s="6" t="str">
        <f>IFERROR(__xludf.DUMMYFUNCTION("""COMPUTED_VALUE"""),"算法")</f>
        <v>算法</v>
      </c>
    </row>
    <row r="611">
      <c r="A611" s="6">
        <f>IFERROR(__xludf.DUMMYFUNCTION("""COMPUTED_VALUE"""),780.0)</f>
        <v>780</v>
      </c>
      <c r="B611" s="53" t="str">
        <f>IFERROR(__xludf.DUMMYFUNCTION("""COMPUTED_VALUE"""),"Reaching Points")</f>
        <v>Reaching Points</v>
      </c>
      <c r="C611" s="6" t="str">
        <f>IFERROR(__xludf.DUMMYFUNCTION("""COMPUTED_VALUE"""),"Hard")</f>
        <v>Hard</v>
      </c>
      <c r="D611" s="6" t="str">
        <f>IFERROR(__xludf.DUMMYFUNCTION("""COMPUTED_VALUE"""),"Math")</f>
        <v>Math</v>
      </c>
      <c r="E611" s="6" t="str">
        <f>IFERROR(__xludf.DUMMYFUNCTION("""COMPUTED_VALUE"""),"Goldman Sachs,Coursera,Salesforce,Quora,Twitter,Uber,Google")</f>
        <v>Goldman Sachs,Coursera,Salesforce,Quora,Twitter,Uber,Google</v>
      </c>
      <c r="F611" s="6" t="str">
        <f>IFERROR(__xludf.DUMMYFUNCTION("""COMPUTED_VALUE"""),"Goldman Sachs,Twitter,Quora")</f>
        <v>Goldman Sachs,Twitter,Quora</v>
      </c>
      <c r="G611" s="6" t="str">
        <f>IFERROR(__xludf.DUMMYFUNCTION("""COMPUTED_VALUE"""),"Goldman Sachs,Twitter,Quora")</f>
        <v>Goldman Sachs,Twitter,Quora</v>
      </c>
      <c r="H611" s="6" t="str">
        <f>IFERROR(__xludf.DUMMYFUNCTION("""COMPUTED_VALUE"""),"Uber,Google,Coursera,Goldman Sachs,Twitter,Quora")</f>
        <v>Uber,Google,Coursera,Goldman Sachs,Twitter,Quora</v>
      </c>
      <c r="I611" s="6">
        <f>IFERROR(__xludf.DUMMYFUNCTION("""COMPUTED_VALUE"""),30.44)</f>
        <v>30.44</v>
      </c>
      <c r="J611" s="6" t="str">
        <f>IFERROR(__xludf.DUMMYFUNCTION("""COMPUTED_VALUE"""),"算法")</f>
        <v>算法</v>
      </c>
    </row>
    <row r="612">
      <c r="A612" s="6">
        <f>IFERROR(__xludf.DUMMYFUNCTION("""COMPUTED_VALUE"""),782.0)</f>
        <v>782</v>
      </c>
      <c r="B612" s="53" t="str">
        <f>IFERROR(__xludf.DUMMYFUNCTION("""COMPUTED_VALUE"""),"Transform to Chessboard")</f>
        <v>Transform to Chessboard</v>
      </c>
      <c r="C612" s="6" t="str">
        <f>IFERROR(__xludf.DUMMYFUNCTION("""COMPUTED_VALUE"""),"Hard")</f>
        <v>Hard</v>
      </c>
      <c r="D612" s="6" t="str">
        <f>IFERROR(__xludf.DUMMYFUNCTION("""COMPUTED_VALUE"""),"Math,Array")</f>
        <v>Math,Array</v>
      </c>
      <c r="E612" s="6" t="str">
        <f>IFERROR(__xludf.DUMMYFUNCTION("""COMPUTED_VALUE"""),"Google")</f>
        <v>Google</v>
      </c>
      <c r="F612" s="6"/>
      <c r="G612" s="6"/>
      <c r="H612" s="6" t="str">
        <f>IFERROR(__xludf.DUMMYFUNCTION("""COMPUTED_VALUE"""),"Google")</f>
        <v>Google</v>
      </c>
      <c r="I612" s="6">
        <f>IFERROR(__xludf.DUMMYFUNCTION("""COMPUTED_VALUE"""),47.04)</f>
        <v>47.04</v>
      </c>
      <c r="J612" s="6" t="str">
        <f>IFERROR(__xludf.DUMMYFUNCTION("""COMPUTED_VALUE"""),"算法")</f>
        <v>算法</v>
      </c>
    </row>
    <row r="613">
      <c r="A613" s="6">
        <f>IFERROR(__xludf.DUMMYFUNCTION("""COMPUTED_VALUE"""),783.0)</f>
        <v>783</v>
      </c>
      <c r="B613" s="53" t="str">
        <f>IFERROR(__xludf.DUMMYFUNCTION("""COMPUTED_VALUE"""),"Minimum Distance Between BST Nodes")</f>
        <v>Minimum Distance Between BST Nodes</v>
      </c>
      <c r="C613" s="6" t="str">
        <f>IFERROR(__xludf.DUMMYFUNCTION("""COMPUTED_VALUE"""),"Easy")</f>
        <v>Easy</v>
      </c>
      <c r="D613" s="6" t="str">
        <f>IFERROR(__xludf.DUMMYFUNCTION("""COMPUTED_VALUE"""),"Depth First Search,Recursion,Tree")</f>
        <v>Depth First Search,Recursion,Tree</v>
      </c>
      <c r="E613" s="6" t="str">
        <f>IFERROR(__xludf.DUMMYFUNCTION("""COMPUTED_VALUE"""),"Amazon,Google")</f>
        <v>Amazon,Google</v>
      </c>
      <c r="F613" s="6" t="str">
        <f>IFERROR(__xludf.DUMMYFUNCTION("""COMPUTED_VALUE"""),"Amazon")</f>
        <v>Amazon</v>
      </c>
      <c r="G613" s="6" t="str">
        <f>IFERROR(__xludf.DUMMYFUNCTION("""COMPUTED_VALUE"""),"Amazon")</f>
        <v>Amazon</v>
      </c>
      <c r="H613" s="6" t="str">
        <f>IFERROR(__xludf.DUMMYFUNCTION("""COMPUTED_VALUE"""),"Google,Amazon")</f>
        <v>Google,Amazon</v>
      </c>
      <c r="I613" s="6">
        <f>IFERROR(__xludf.DUMMYFUNCTION("""COMPUTED_VALUE"""),53.99)</f>
        <v>53.99</v>
      </c>
      <c r="J613" s="6" t="str">
        <f>IFERROR(__xludf.DUMMYFUNCTION("""COMPUTED_VALUE"""),"算法")</f>
        <v>算法</v>
      </c>
    </row>
    <row r="614">
      <c r="A614" s="6">
        <f>IFERROR(__xludf.DUMMYFUNCTION("""COMPUTED_VALUE"""),785.0)</f>
        <v>785</v>
      </c>
      <c r="B614" s="53" t="str">
        <f>IFERROR(__xludf.DUMMYFUNCTION("""COMPUTED_VALUE"""),"Is Graph Bipartite?")</f>
        <v>Is Graph Bipartite?</v>
      </c>
      <c r="C614" s="6" t="str">
        <f>IFERROR(__xludf.DUMMYFUNCTION("""COMPUTED_VALUE"""),"Medium")</f>
        <v>Medium</v>
      </c>
      <c r="D614" s="6" t="str">
        <f>IFERROR(__xludf.DUMMYFUNCTION("""COMPUTED_VALUE"""),"Graph,Breadth First Search,Depth First Search")</f>
        <v>Graph,Breadth First Search,Depth First Search</v>
      </c>
      <c r="E614" s="6" t="str">
        <f>IFERROR(__xludf.DUMMYFUNCTION("""COMPUTED_VALUE"""),"ByteDance,Uber,Bloomberg,LiveRamp,Walmart Labs,EBay,Facebook,Amazon,LinkedIn,Microsoft,Google")</f>
        <v>ByteDance,Uber,Bloomberg,LiveRamp,Walmart Labs,EBay,Facebook,Amazon,LinkedIn,Microsoft,Google</v>
      </c>
      <c r="F614" s="6" t="str">
        <f>IFERROR(__xludf.DUMMYFUNCTION("""COMPUTED_VALUE"""),"Facebook,ByteDance,eBay")</f>
        <v>Facebook,ByteDance,eBay</v>
      </c>
      <c r="G614" s="6" t="str">
        <f>IFERROR(__xludf.DUMMYFUNCTION("""COMPUTED_VALUE"""),"Amazon,Walmart Labs,Facebook,ByteDance,eBay")</f>
        <v>Amazon,Walmart Labs,Facebook,ByteDance,eBay</v>
      </c>
      <c r="H614" s="6" t="str">
        <f>IFERROR(__xludf.DUMMYFUNCTION("""COMPUTED_VALUE"""),"Google,LinkedIn,LiveRamp,Microsoft,Bloomberg,Uber,Amazon,Walmart Labs,Facebook,ByteDance,eBay")</f>
        <v>Google,LinkedIn,LiveRamp,Microsoft,Bloomberg,Uber,Amazon,Walmart Labs,Facebook,ByteDance,eBay</v>
      </c>
      <c r="I614" s="6">
        <f>IFERROR(__xludf.DUMMYFUNCTION("""COMPUTED_VALUE"""),48.65)</f>
        <v>48.65</v>
      </c>
      <c r="J614" s="6" t="str">
        <f>IFERROR(__xludf.DUMMYFUNCTION("""COMPUTED_VALUE"""),"算法")</f>
        <v>算法</v>
      </c>
    </row>
    <row r="615">
      <c r="A615" s="6">
        <f>IFERROR(__xludf.DUMMYFUNCTION("""COMPUTED_VALUE"""),787.0)</f>
        <v>787</v>
      </c>
      <c r="B615" s="53" t="str">
        <f>IFERROR(__xludf.DUMMYFUNCTION("""COMPUTED_VALUE"""),"Cheapest Flights Within K Stops")</f>
        <v>Cheapest Flights Within K Stops</v>
      </c>
      <c r="C615" s="6" t="str">
        <f>IFERROR(__xludf.DUMMYFUNCTION("""COMPUTED_VALUE"""),"Medium")</f>
        <v>Medium</v>
      </c>
      <c r="D615" s="6" t="str">
        <f>IFERROR(__xludf.DUMMYFUNCTION("""COMPUTED_VALUE"""),"Breadth First Search,Heap,Dynamic Programming")</f>
        <v>Breadth First Search,Heap,Dynamic Programming</v>
      </c>
      <c r="E615" s="6" t="str">
        <f>IFERROR(__xludf.DUMMYFUNCTION("""COMPUTED_VALUE"""),"Qualtrics,Expedia,Apple,EBay,Airbnb,Bloomberg,Facebook,Amazon,Microsoft,Google")</f>
        <v>Qualtrics,Expedia,Apple,EBay,Airbnb,Bloomberg,Facebook,Amazon,Microsoft,Google</v>
      </c>
      <c r="F615" s="6" t="str">
        <f>IFERROR(__xludf.DUMMYFUNCTION("""COMPUTED_VALUE"""),"Facebook,Expedia,Qualtrics,Airbnb,Amazon,Apple")</f>
        <v>Facebook,Expedia,Qualtrics,Airbnb,Amazon,Apple</v>
      </c>
      <c r="G615" s="6" t="str">
        <f>IFERROR(__xludf.DUMMYFUNCTION("""COMPUTED_VALUE"""),"eBay,Facebook,Expedia,Qualtrics,Airbnb,Amazon,Apple")</f>
        <v>eBay,Facebook,Expedia,Qualtrics,Airbnb,Amazon,Apple</v>
      </c>
      <c r="H615" s="6" t="str">
        <f>IFERROR(__xludf.DUMMYFUNCTION("""COMPUTED_VALUE"""),"Bloomberg,Google,eBay,Facebook,Expedia,Qualtrics,Airbnb,Amazon,Apple")</f>
        <v>Bloomberg,Google,eBay,Facebook,Expedia,Qualtrics,Airbnb,Amazon,Apple</v>
      </c>
      <c r="I615" s="6">
        <f>IFERROR(__xludf.DUMMYFUNCTION("""COMPUTED_VALUE"""),39.59)</f>
        <v>39.59</v>
      </c>
      <c r="J615" s="6" t="str">
        <f>IFERROR(__xludf.DUMMYFUNCTION("""COMPUTED_VALUE"""),"算法")</f>
        <v>算法</v>
      </c>
    </row>
    <row r="616">
      <c r="A616" s="6">
        <f>IFERROR(__xludf.DUMMYFUNCTION("""COMPUTED_VALUE"""),788.0)</f>
        <v>788</v>
      </c>
      <c r="B616" s="53" t="str">
        <f>IFERROR(__xludf.DUMMYFUNCTION("""COMPUTED_VALUE"""),"Rotated Digits")</f>
        <v>Rotated Digits</v>
      </c>
      <c r="C616" s="6" t="str">
        <f>IFERROR(__xludf.DUMMYFUNCTION("""COMPUTED_VALUE"""),"Easy")</f>
        <v>Easy</v>
      </c>
      <c r="D616" s="6" t="str">
        <f>IFERROR(__xludf.DUMMYFUNCTION("""COMPUTED_VALUE"""),"String")</f>
        <v>String</v>
      </c>
      <c r="E616" s="6" t="str">
        <f>IFERROR(__xludf.DUMMYFUNCTION("""COMPUTED_VALUE"""),"Facebook,Microsoft,Google")</f>
        <v>Facebook,Microsoft,Google</v>
      </c>
      <c r="F616" s="6"/>
      <c r="G616" s="6" t="str">
        <f>IFERROR(__xludf.DUMMYFUNCTION("""COMPUTED_VALUE"""),"Microsoft")</f>
        <v>Microsoft</v>
      </c>
      <c r="H616" s="6" t="str">
        <f>IFERROR(__xludf.DUMMYFUNCTION("""COMPUTED_VALUE"""),"Google,Facebook,Microsoft")</f>
        <v>Google,Facebook,Microsoft</v>
      </c>
      <c r="I616" s="6">
        <f>IFERROR(__xludf.DUMMYFUNCTION("""COMPUTED_VALUE"""),57.34)</f>
        <v>57.34</v>
      </c>
      <c r="J616" s="6" t="str">
        <f>IFERROR(__xludf.DUMMYFUNCTION("""COMPUTED_VALUE"""),"算法")</f>
        <v>算法</v>
      </c>
    </row>
    <row r="617">
      <c r="A617" s="6">
        <f>IFERROR(__xludf.DUMMYFUNCTION("""COMPUTED_VALUE"""),789.0)</f>
        <v>789</v>
      </c>
      <c r="B617" s="53" t="str">
        <f>IFERROR(__xludf.DUMMYFUNCTION("""COMPUTED_VALUE"""),"Escape The Ghosts")</f>
        <v>Escape The Ghosts</v>
      </c>
      <c r="C617" s="6" t="str">
        <f>IFERROR(__xludf.DUMMYFUNCTION("""COMPUTED_VALUE"""),"Medium")</f>
        <v>Medium</v>
      </c>
      <c r="D617" s="6" t="str">
        <f>IFERROR(__xludf.DUMMYFUNCTION("""COMPUTED_VALUE"""),"Math")</f>
        <v>Math</v>
      </c>
      <c r="E617" s="6" t="str">
        <f>IFERROR(__xludf.DUMMYFUNCTION("""COMPUTED_VALUE"""),"Google")</f>
        <v>Google</v>
      </c>
      <c r="F617" s="6"/>
      <c r="G617" s="6"/>
      <c r="H617" s="6" t="str">
        <f>IFERROR(__xludf.DUMMYFUNCTION("""COMPUTED_VALUE"""),"Google")</f>
        <v>Google</v>
      </c>
      <c r="I617" s="6">
        <f>IFERROR(__xludf.DUMMYFUNCTION("""COMPUTED_VALUE"""),58.44)</f>
        <v>58.44</v>
      </c>
      <c r="J617" s="6" t="str">
        <f>IFERROR(__xludf.DUMMYFUNCTION("""COMPUTED_VALUE"""),"算法")</f>
        <v>算法</v>
      </c>
    </row>
    <row r="618">
      <c r="A618" s="6">
        <f>IFERROR(__xludf.DUMMYFUNCTION("""COMPUTED_VALUE"""),790.0)</f>
        <v>790</v>
      </c>
      <c r="B618" s="53" t="str">
        <f>IFERROR(__xludf.DUMMYFUNCTION("""COMPUTED_VALUE"""),"Domino and Tromino Tiling")</f>
        <v>Domino and Tromino Tiling</v>
      </c>
      <c r="C618" s="6" t="str">
        <f>IFERROR(__xludf.DUMMYFUNCTION("""COMPUTED_VALUE"""),"Medium")</f>
        <v>Medium</v>
      </c>
      <c r="D618" s="6" t="str">
        <f>IFERROR(__xludf.DUMMYFUNCTION("""COMPUTED_VALUE"""),"Dynamic Programming")</f>
        <v>Dynamic Programming</v>
      </c>
      <c r="E618" s="6" t="str">
        <f>IFERROR(__xludf.DUMMYFUNCTION("""COMPUTED_VALUE"""),"Google")</f>
        <v>Google</v>
      </c>
      <c r="F618" s="6"/>
      <c r="G618" s="6"/>
      <c r="H618" s="6" t="str">
        <f>IFERROR(__xludf.DUMMYFUNCTION("""COMPUTED_VALUE"""),"Google")</f>
        <v>Google</v>
      </c>
      <c r="I618" s="6">
        <f>IFERROR(__xludf.DUMMYFUNCTION("""COMPUTED_VALUE"""),40.2)</f>
        <v>40.2</v>
      </c>
      <c r="J618" s="6" t="str">
        <f>IFERROR(__xludf.DUMMYFUNCTION("""COMPUTED_VALUE"""),"算法")</f>
        <v>算法</v>
      </c>
    </row>
    <row r="619">
      <c r="A619" s="6">
        <f>IFERROR(__xludf.DUMMYFUNCTION("""COMPUTED_VALUE"""),791.0)</f>
        <v>791</v>
      </c>
      <c r="B619" s="53" t="str">
        <f>IFERROR(__xludf.DUMMYFUNCTION("""COMPUTED_VALUE"""),"Custom Sort String")</f>
        <v>Custom Sort String</v>
      </c>
      <c r="C619" s="6" t="str">
        <f>IFERROR(__xludf.DUMMYFUNCTION("""COMPUTED_VALUE"""),"Medium")</f>
        <v>Medium</v>
      </c>
      <c r="D619" s="6" t="str">
        <f>IFERROR(__xludf.DUMMYFUNCTION("""COMPUTED_VALUE"""),"String")</f>
        <v>String</v>
      </c>
      <c r="E619" s="6" t="str">
        <f>IFERROR(__xludf.DUMMYFUNCTION("""COMPUTED_VALUE"""),"Microsoft,Uber,Facebook,Amazon,Google")</f>
        <v>Microsoft,Uber,Facebook,Amazon,Google</v>
      </c>
      <c r="F619" s="6" t="str">
        <f>IFERROR(__xludf.DUMMYFUNCTION("""COMPUTED_VALUE"""),"Facebook")</f>
        <v>Facebook</v>
      </c>
      <c r="G619" s="6" t="str">
        <f>IFERROR(__xludf.DUMMYFUNCTION("""COMPUTED_VALUE"""),"Google,Facebook")</f>
        <v>Google,Facebook</v>
      </c>
      <c r="H619" s="6" t="str">
        <f>IFERROR(__xludf.DUMMYFUNCTION("""COMPUTED_VALUE"""),"Uber,Amazon,Microsoft,Google,Facebook")</f>
        <v>Uber,Amazon,Microsoft,Google,Facebook</v>
      </c>
      <c r="I619" s="6">
        <f>IFERROR(__xludf.DUMMYFUNCTION("""COMPUTED_VALUE"""),65.9)</f>
        <v>65.9</v>
      </c>
      <c r="J619" s="6" t="str">
        <f>IFERROR(__xludf.DUMMYFUNCTION("""COMPUTED_VALUE"""),"算法")</f>
        <v>算法</v>
      </c>
    </row>
    <row r="620">
      <c r="A620" s="6">
        <f>IFERROR(__xludf.DUMMYFUNCTION("""COMPUTED_VALUE"""),792.0)</f>
        <v>792</v>
      </c>
      <c r="B620" s="53" t="str">
        <f>IFERROR(__xludf.DUMMYFUNCTION("""COMPUTED_VALUE"""),"Number of Matching Subsequences")</f>
        <v>Number of Matching Subsequences</v>
      </c>
      <c r="C620" s="6" t="str">
        <f>IFERROR(__xludf.DUMMYFUNCTION("""COMPUTED_VALUE"""),"Medium")</f>
        <v>Medium</v>
      </c>
      <c r="D620" s="6" t="str">
        <f>IFERROR(__xludf.DUMMYFUNCTION("""COMPUTED_VALUE"""),"Array")</f>
        <v>Array</v>
      </c>
      <c r="E620" s="6" t="str">
        <f>IFERROR(__xludf.DUMMYFUNCTION("""COMPUTED_VALUE"""),"Facebook,Amazon,Google")</f>
        <v>Facebook,Amazon,Google</v>
      </c>
      <c r="F620" s="6" t="str">
        <f>IFERROR(__xludf.DUMMYFUNCTION("""COMPUTED_VALUE"""),"Google")</f>
        <v>Google</v>
      </c>
      <c r="G620" s="6" t="str">
        <f>IFERROR(__xludf.DUMMYFUNCTION("""COMPUTED_VALUE"""),"Google")</f>
        <v>Google</v>
      </c>
      <c r="H620" s="6" t="str">
        <f>IFERROR(__xludf.DUMMYFUNCTION("""COMPUTED_VALUE"""),"Amazon,Google")</f>
        <v>Amazon,Google</v>
      </c>
      <c r="I620" s="6">
        <f>IFERROR(__xludf.DUMMYFUNCTION("""COMPUTED_VALUE"""),48.21)</f>
        <v>48.21</v>
      </c>
      <c r="J620" s="6" t="str">
        <f>IFERROR(__xludf.DUMMYFUNCTION("""COMPUTED_VALUE"""),"算法")</f>
        <v>算法</v>
      </c>
    </row>
    <row r="621">
      <c r="A621" s="6">
        <f>IFERROR(__xludf.DUMMYFUNCTION("""COMPUTED_VALUE"""),794.0)</f>
        <v>794</v>
      </c>
      <c r="B621" s="53" t="str">
        <f>IFERROR(__xludf.DUMMYFUNCTION("""COMPUTED_VALUE"""),"Valid Tic-Tac-Toe State")</f>
        <v>Valid Tic-Tac-Toe State</v>
      </c>
      <c r="C621" s="6" t="str">
        <f>IFERROR(__xludf.DUMMYFUNCTION("""COMPUTED_VALUE"""),"Medium")</f>
        <v>Medium</v>
      </c>
      <c r="D621" s="6" t="str">
        <f>IFERROR(__xludf.DUMMYFUNCTION("""COMPUTED_VALUE"""),"Recursion,Math")</f>
        <v>Recursion,Math</v>
      </c>
      <c r="E621" s="6" t="str">
        <f>IFERROR(__xludf.DUMMYFUNCTION("""COMPUTED_VALUE"""),"Bloomberg,Oracle,Yahoo,Facebook,Amazon,Microsoft,Google")</f>
        <v>Bloomberg,Oracle,Yahoo,Facebook,Amazon,Microsoft,Google</v>
      </c>
      <c r="F621" s="6" t="str">
        <f>IFERROR(__xludf.DUMMYFUNCTION("""COMPUTED_VALUE"""),"Facebook,Bloomberg")</f>
        <v>Facebook,Bloomberg</v>
      </c>
      <c r="G621" s="6" t="str">
        <f>IFERROR(__xludf.DUMMYFUNCTION("""COMPUTED_VALUE"""),"Oracle,Facebook,Bloomberg")</f>
        <v>Oracle,Facebook,Bloomberg</v>
      </c>
      <c r="H621" s="6" t="str">
        <f>IFERROR(__xludf.DUMMYFUNCTION("""COMPUTED_VALUE"""),"Microsoft,Amazon,Google,Oracle,Facebook,Bloomberg")</f>
        <v>Microsoft,Amazon,Google,Oracle,Facebook,Bloomberg</v>
      </c>
      <c r="I621" s="6">
        <f>IFERROR(__xludf.DUMMYFUNCTION("""COMPUTED_VALUE"""),33.68)</f>
        <v>33.68</v>
      </c>
      <c r="J621" s="6" t="str">
        <f>IFERROR(__xludf.DUMMYFUNCTION("""COMPUTED_VALUE"""),"算法")</f>
        <v>算法</v>
      </c>
    </row>
    <row r="622">
      <c r="A622" s="6">
        <f>IFERROR(__xludf.DUMMYFUNCTION("""COMPUTED_VALUE"""),797.0)</f>
        <v>797</v>
      </c>
      <c r="B622" s="53" t="str">
        <f>IFERROR(__xludf.DUMMYFUNCTION("""COMPUTED_VALUE"""),"All Paths From Source to Target")</f>
        <v>All Paths From Source to Target</v>
      </c>
      <c r="C622" s="6" t="str">
        <f>IFERROR(__xludf.DUMMYFUNCTION("""COMPUTED_VALUE"""),"Medium")</f>
        <v>Medium</v>
      </c>
      <c r="D622" s="6" t="str">
        <f>IFERROR(__xludf.DUMMYFUNCTION("""COMPUTED_VALUE"""),"Graph,Depth First Search,Backtracking")</f>
        <v>Graph,Depth First Search,Backtracking</v>
      </c>
      <c r="E622" s="6" t="str">
        <f>IFERROR(__xludf.DUMMYFUNCTION("""COMPUTED_VALUE"""),"Cisco,Google,Walmart Labs,Bloomberg,Amazon")</f>
        <v>Cisco,Google,Walmart Labs,Bloomberg,Amazon</v>
      </c>
      <c r="F622" s="6" t="str">
        <f>IFERROR(__xludf.DUMMYFUNCTION("""COMPUTED_VALUE"""),"Bloomberg,Amazon")</f>
        <v>Bloomberg,Amazon</v>
      </c>
      <c r="G622" s="6" t="str">
        <f>IFERROR(__xludf.DUMMYFUNCTION("""COMPUTED_VALUE"""),"Bloomberg,Amazon")</f>
        <v>Bloomberg,Amazon</v>
      </c>
      <c r="H622" s="6" t="str">
        <f>IFERROR(__xludf.DUMMYFUNCTION("""COMPUTED_VALUE"""),"Google,Cisco,Bloomberg,Amazon")</f>
        <v>Google,Cisco,Bloomberg,Amazon</v>
      </c>
      <c r="I622" s="6">
        <f>IFERROR(__xludf.DUMMYFUNCTION("""COMPUTED_VALUE"""),78.5)</f>
        <v>78.5</v>
      </c>
      <c r="J622" s="6" t="str">
        <f>IFERROR(__xludf.DUMMYFUNCTION("""COMPUTED_VALUE"""),"算法")</f>
        <v>算法</v>
      </c>
    </row>
    <row r="623">
      <c r="A623" s="6">
        <f>IFERROR(__xludf.DUMMYFUNCTION("""COMPUTED_VALUE"""),799.0)</f>
        <v>799</v>
      </c>
      <c r="B623" s="53" t="str">
        <f>IFERROR(__xludf.DUMMYFUNCTION("""COMPUTED_VALUE"""),"Champagne Tower")</f>
        <v>Champagne Tower</v>
      </c>
      <c r="C623" s="6" t="str">
        <f>IFERROR(__xludf.DUMMYFUNCTION("""COMPUTED_VALUE"""),"Medium")</f>
        <v>Medium</v>
      </c>
      <c r="D623" s="6" t="str">
        <f>IFERROR(__xludf.DUMMYFUNCTION("""COMPUTED_VALUE"""),"Dynamic Programming")</f>
        <v>Dynamic Programming</v>
      </c>
      <c r="E623" s="6" t="str">
        <f>IFERROR(__xludf.DUMMYFUNCTION("""COMPUTED_VALUE"""),"Samsung,Google")</f>
        <v>Samsung,Google</v>
      </c>
      <c r="F623" s="6" t="str">
        <f>IFERROR(__xludf.DUMMYFUNCTION("""COMPUTED_VALUE"""),"Samsung")</f>
        <v>Samsung</v>
      </c>
      <c r="G623" s="6" t="str">
        <f>IFERROR(__xludf.DUMMYFUNCTION("""COMPUTED_VALUE"""),"Samsung")</f>
        <v>Samsung</v>
      </c>
      <c r="H623" s="6" t="str">
        <f>IFERROR(__xludf.DUMMYFUNCTION("""COMPUTED_VALUE"""),"Google,Samsung")</f>
        <v>Google,Samsung</v>
      </c>
      <c r="I623" s="6">
        <f>IFERROR(__xludf.DUMMYFUNCTION("""COMPUTED_VALUE"""),44.07)</f>
        <v>44.07</v>
      </c>
      <c r="J623" s="6" t="str">
        <f>IFERROR(__xludf.DUMMYFUNCTION("""COMPUTED_VALUE"""),"算法")</f>
        <v>算法</v>
      </c>
    </row>
    <row r="624">
      <c r="A624" s="6">
        <f>IFERROR(__xludf.DUMMYFUNCTION("""COMPUTED_VALUE"""),800.0)</f>
        <v>800</v>
      </c>
      <c r="B624" s="53" t="str">
        <f>IFERROR(__xludf.DUMMYFUNCTION("""COMPUTED_VALUE"""),"Similar RGB Color")</f>
        <v>Similar RGB Color</v>
      </c>
      <c r="C624" s="6" t="str">
        <f>IFERROR(__xludf.DUMMYFUNCTION("""COMPUTED_VALUE"""),"Easy")</f>
        <v>Easy</v>
      </c>
      <c r="D624" s="6" t="str">
        <f>IFERROR(__xludf.DUMMYFUNCTION("""COMPUTED_VALUE"""),"String,Math")</f>
        <v>String,Math</v>
      </c>
      <c r="E624" s="6" t="str">
        <f>IFERROR(__xludf.DUMMYFUNCTION("""COMPUTED_VALUE"""),"Google")</f>
        <v>Google</v>
      </c>
      <c r="F624" s="6"/>
      <c r="G624" s="6"/>
      <c r="H624" s="6" t="str">
        <f>IFERROR(__xludf.DUMMYFUNCTION("""COMPUTED_VALUE"""),"Google")</f>
        <v>Google</v>
      </c>
      <c r="I624" s="6">
        <f>IFERROR(__xludf.DUMMYFUNCTION("""COMPUTED_VALUE"""),62.39)</f>
        <v>62.39</v>
      </c>
      <c r="J624" s="6" t="str">
        <f>IFERROR(__xludf.DUMMYFUNCTION("""COMPUTED_VALUE"""),"算法")</f>
        <v>算法</v>
      </c>
    </row>
    <row r="625">
      <c r="A625" s="6">
        <f>IFERROR(__xludf.DUMMYFUNCTION("""COMPUTED_VALUE"""),801.0)</f>
        <v>801</v>
      </c>
      <c r="B625" s="53" t="str">
        <f>IFERROR(__xludf.DUMMYFUNCTION("""COMPUTED_VALUE"""),"Minimum Swaps To Make Sequences Increasing")</f>
        <v>Minimum Swaps To Make Sequences Increasing</v>
      </c>
      <c r="C625" s="6" t="str">
        <f>IFERROR(__xludf.DUMMYFUNCTION("""COMPUTED_VALUE"""),"Medium")</f>
        <v>Medium</v>
      </c>
      <c r="D625" s="6" t="str">
        <f>IFERROR(__xludf.DUMMYFUNCTION("""COMPUTED_VALUE"""),"Dynamic Programming")</f>
        <v>Dynamic Programming</v>
      </c>
      <c r="E625" s="6" t="str">
        <f>IFERROR(__xludf.DUMMYFUNCTION("""COMPUTED_VALUE"""),"Oracle,Facebook,Amazon,Google")</f>
        <v>Oracle,Facebook,Amazon,Google</v>
      </c>
      <c r="F625" s="6" t="str">
        <f>IFERROR(__xludf.DUMMYFUNCTION("""COMPUTED_VALUE"""),"Oracle")</f>
        <v>Oracle</v>
      </c>
      <c r="G625" s="6" t="str">
        <f>IFERROR(__xludf.DUMMYFUNCTION("""COMPUTED_VALUE"""),"Oracle")</f>
        <v>Oracle</v>
      </c>
      <c r="H625" s="6" t="str">
        <f>IFERROR(__xludf.DUMMYFUNCTION("""COMPUTED_VALUE"""),"Google,Amazon,Facebook,Oracle")</f>
        <v>Google,Amazon,Facebook,Oracle</v>
      </c>
      <c r="I625" s="6">
        <f>IFERROR(__xludf.DUMMYFUNCTION("""COMPUTED_VALUE"""),38.98)</f>
        <v>38.98</v>
      </c>
      <c r="J625" s="6" t="str">
        <f>IFERROR(__xludf.DUMMYFUNCTION("""COMPUTED_VALUE"""),"算法")</f>
        <v>算法</v>
      </c>
    </row>
    <row r="626">
      <c r="A626" s="6">
        <f>IFERROR(__xludf.DUMMYFUNCTION("""COMPUTED_VALUE"""),802.0)</f>
        <v>802</v>
      </c>
      <c r="B626" s="53" t="str">
        <f>IFERROR(__xludf.DUMMYFUNCTION("""COMPUTED_VALUE"""),"Find Eventual Safe States")</f>
        <v>Find Eventual Safe States</v>
      </c>
      <c r="C626" s="6" t="str">
        <f>IFERROR(__xludf.DUMMYFUNCTION("""COMPUTED_VALUE"""),"Medium")</f>
        <v>Medium</v>
      </c>
      <c r="D626" s="6" t="str">
        <f>IFERROR(__xludf.DUMMYFUNCTION("""COMPUTED_VALUE"""),"Graph,Depth First Search")</f>
        <v>Graph,Depth First Search</v>
      </c>
      <c r="E626" s="6" t="str">
        <f>IFERROR(__xludf.DUMMYFUNCTION("""COMPUTED_VALUE"""),"Apple,Google")</f>
        <v>Apple,Google</v>
      </c>
      <c r="F626" s="6"/>
      <c r="G626" s="6"/>
      <c r="H626" s="6" t="str">
        <f>IFERROR(__xludf.DUMMYFUNCTION("""COMPUTED_VALUE"""),"Google,Apple")</f>
        <v>Google,Apple</v>
      </c>
      <c r="I626" s="6">
        <f>IFERROR(__xludf.DUMMYFUNCTION("""COMPUTED_VALUE"""),49.9)</f>
        <v>49.9</v>
      </c>
      <c r="J626" s="6" t="str">
        <f>IFERROR(__xludf.DUMMYFUNCTION("""COMPUTED_VALUE"""),"算法")</f>
        <v>算法</v>
      </c>
    </row>
    <row r="627">
      <c r="A627" s="6">
        <f>IFERROR(__xludf.DUMMYFUNCTION("""COMPUTED_VALUE"""),803.0)</f>
        <v>803</v>
      </c>
      <c r="B627" s="53" t="str">
        <f>IFERROR(__xludf.DUMMYFUNCTION("""COMPUTED_VALUE"""),"Bricks Falling When Hit")</f>
        <v>Bricks Falling When Hit</v>
      </c>
      <c r="C627" s="6" t="str">
        <f>IFERROR(__xludf.DUMMYFUNCTION("""COMPUTED_VALUE"""),"Hard")</f>
        <v>Hard</v>
      </c>
      <c r="D627" s="6" t="str">
        <f>IFERROR(__xludf.DUMMYFUNCTION("""COMPUTED_VALUE"""),"Union Find")</f>
        <v>Union Find</v>
      </c>
      <c r="E627" s="6" t="str">
        <f>IFERROR(__xludf.DUMMYFUNCTION("""COMPUTED_VALUE"""),"Google")</f>
        <v>Google</v>
      </c>
      <c r="F627" s="6"/>
      <c r="G627" s="6" t="str">
        <f>IFERROR(__xludf.DUMMYFUNCTION("""COMPUTED_VALUE"""),"Google")</f>
        <v>Google</v>
      </c>
      <c r="H627" s="6" t="str">
        <f>IFERROR(__xludf.DUMMYFUNCTION("""COMPUTED_VALUE"""),"Google")</f>
        <v>Google</v>
      </c>
      <c r="I627" s="6">
        <f>IFERROR(__xludf.DUMMYFUNCTION("""COMPUTED_VALUE"""),31.53)</f>
        <v>31.53</v>
      </c>
      <c r="J627" s="6" t="str">
        <f>IFERROR(__xludf.DUMMYFUNCTION("""COMPUTED_VALUE"""),"算法")</f>
        <v>算法</v>
      </c>
    </row>
    <row r="628">
      <c r="A628" s="6">
        <f>IFERROR(__xludf.DUMMYFUNCTION("""COMPUTED_VALUE"""),804.0)</f>
        <v>804</v>
      </c>
      <c r="B628" s="53" t="str">
        <f>IFERROR(__xludf.DUMMYFUNCTION("""COMPUTED_VALUE"""),"Unique Morse Code Words")</f>
        <v>Unique Morse Code Words</v>
      </c>
      <c r="C628" s="6" t="str">
        <f>IFERROR(__xludf.DUMMYFUNCTION("""COMPUTED_VALUE"""),"Easy")</f>
        <v>Easy</v>
      </c>
      <c r="D628" s="6" t="str">
        <f>IFERROR(__xludf.DUMMYFUNCTION("""COMPUTED_VALUE"""),"String")</f>
        <v>String</v>
      </c>
      <c r="E628" s="6" t="str">
        <f>IFERROR(__xludf.DUMMYFUNCTION("""COMPUTED_VALUE"""),"Apple,Google")</f>
        <v>Apple,Google</v>
      </c>
      <c r="F628" s="6"/>
      <c r="G628" s="6"/>
      <c r="H628" s="6" t="str">
        <f>IFERROR(__xludf.DUMMYFUNCTION("""COMPUTED_VALUE"""),"Apple")</f>
        <v>Apple</v>
      </c>
      <c r="I628" s="6">
        <f>IFERROR(__xludf.DUMMYFUNCTION("""COMPUTED_VALUE"""),79.0)</f>
        <v>79</v>
      </c>
      <c r="J628" s="6" t="str">
        <f>IFERROR(__xludf.DUMMYFUNCTION("""COMPUTED_VALUE"""),"算法")</f>
        <v>算法</v>
      </c>
    </row>
    <row r="629">
      <c r="A629" s="6">
        <f>IFERROR(__xludf.DUMMYFUNCTION("""COMPUTED_VALUE"""),805.0)</f>
        <v>805</v>
      </c>
      <c r="B629" s="53" t="str">
        <f>IFERROR(__xludf.DUMMYFUNCTION("""COMPUTED_VALUE"""),"Split Array With Same Average")</f>
        <v>Split Array With Same Average</v>
      </c>
      <c r="C629" s="6" t="str">
        <f>IFERROR(__xludf.DUMMYFUNCTION("""COMPUTED_VALUE"""),"Hard")</f>
        <v>Hard</v>
      </c>
      <c r="D629" s="6" t="str">
        <f>IFERROR(__xludf.DUMMYFUNCTION("""COMPUTED_VALUE"""),"Math")</f>
        <v>Math</v>
      </c>
      <c r="E629" s="6" t="str">
        <f>IFERROR(__xludf.DUMMYFUNCTION("""COMPUTED_VALUE"""),"Apple,Uber,Amazon,Microsoft,Google")</f>
        <v>Apple,Uber,Amazon,Microsoft,Google</v>
      </c>
      <c r="F629" s="6"/>
      <c r="G629" s="6" t="str">
        <f>IFERROR(__xludf.DUMMYFUNCTION("""COMPUTED_VALUE"""),"Apple")</f>
        <v>Apple</v>
      </c>
      <c r="H629" s="6" t="str">
        <f>IFERROR(__xludf.DUMMYFUNCTION("""COMPUTED_VALUE"""),"Microsoft,Google,Amazon,Uber,Apple")</f>
        <v>Microsoft,Google,Amazon,Uber,Apple</v>
      </c>
      <c r="I629" s="6">
        <f>IFERROR(__xludf.DUMMYFUNCTION("""COMPUTED_VALUE"""),26.93)</f>
        <v>26.93</v>
      </c>
      <c r="J629" s="6" t="str">
        <f>IFERROR(__xludf.DUMMYFUNCTION("""COMPUTED_VALUE"""),"算法")</f>
        <v>算法</v>
      </c>
    </row>
    <row r="630">
      <c r="A630" s="6">
        <f>IFERROR(__xludf.DUMMYFUNCTION("""COMPUTED_VALUE"""),806.0)</f>
        <v>806</v>
      </c>
      <c r="B630" s="53" t="str">
        <f>IFERROR(__xludf.DUMMYFUNCTION("""COMPUTED_VALUE"""),"Number of Lines To Write String")</f>
        <v>Number of Lines To Write String</v>
      </c>
      <c r="C630" s="6" t="str">
        <f>IFERROR(__xludf.DUMMYFUNCTION("""COMPUTED_VALUE"""),"Easy")</f>
        <v>Easy</v>
      </c>
      <c r="D630" s="6"/>
      <c r="E630" s="6" t="str">
        <f>IFERROR(__xludf.DUMMYFUNCTION("""COMPUTED_VALUE"""),"Google")</f>
        <v>Google</v>
      </c>
      <c r="F630" s="6"/>
      <c r="G630" s="6"/>
      <c r="H630" s="6" t="str">
        <f>IFERROR(__xludf.DUMMYFUNCTION("""COMPUTED_VALUE"""),"Google")</f>
        <v>Google</v>
      </c>
      <c r="I630" s="6">
        <f>IFERROR(__xludf.DUMMYFUNCTION("""COMPUTED_VALUE"""),65.47)</f>
        <v>65.47</v>
      </c>
      <c r="J630" s="6" t="str">
        <f>IFERROR(__xludf.DUMMYFUNCTION("""COMPUTED_VALUE"""),"算法")</f>
        <v>算法</v>
      </c>
    </row>
    <row r="631">
      <c r="A631" s="6">
        <f>IFERROR(__xludf.DUMMYFUNCTION("""COMPUTED_VALUE"""),807.0)</f>
        <v>807</v>
      </c>
      <c r="B631" s="53" t="str">
        <f>IFERROR(__xludf.DUMMYFUNCTION("""COMPUTED_VALUE"""),"Max Increase to Keep City Skyline")</f>
        <v>Max Increase to Keep City Skyline</v>
      </c>
      <c r="C631" s="6" t="str">
        <f>IFERROR(__xludf.DUMMYFUNCTION("""COMPUTED_VALUE"""),"Medium")</f>
        <v>Medium</v>
      </c>
      <c r="D631" s="6"/>
      <c r="E631" s="6" t="str">
        <f>IFERROR(__xludf.DUMMYFUNCTION("""COMPUTED_VALUE"""),"Amazon,Google")</f>
        <v>Amazon,Google</v>
      </c>
      <c r="F631" s="6"/>
      <c r="G631" s="6"/>
      <c r="H631" s="6" t="str">
        <f>IFERROR(__xludf.DUMMYFUNCTION("""COMPUTED_VALUE"""),"Google")</f>
        <v>Google</v>
      </c>
      <c r="I631" s="6">
        <f>IFERROR(__xludf.DUMMYFUNCTION("""COMPUTED_VALUE"""),84.37)</f>
        <v>84.37</v>
      </c>
      <c r="J631" s="6" t="str">
        <f>IFERROR(__xludf.DUMMYFUNCTION("""COMPUTED_VALUE"""),"算法")</f>
        <v>算法</v>
      </c>
    </row>
    <row r="632">
      <c r="A632" s="6">
        <f>IFERROR(__xludf.DUMMYFUNCTION("""COMPUTED_VALUE"""),808.0)</f>
        <v>808</v>
      </c>
      <c r="B632" s="53" t="str">
        <f>IFERROR(__xludf.DUMMYFUNCTION("""COMPUTED_VALUE"""),"Soup Servings")</f>
        <v>Soup Servings</v>
      </c>
      <c r="C632" s="6" t="str">
        <f>IFERROR(__xludf.DUMMYFUNCTION("""COMPUTED_VALUE"""),"Medium")</f>
        <v>Medium</v>
      </c>
      <c r="D632" s="6" t="str">
        <f>IFERROR(__xludf.DUMMYFUNCTION("""COMPUTED_VALUE"""),"Dynamic Programming")</f>
        <v>Dynamic Programming</v>
      </c>
      <c r="E632" s="6" t="str">
        <f>IFERROR(__xludf.DUMMYFUNCTION("""COMPUTED_VALUE"""),"Google")</f>
        <v>Google</v>
      </c>
      <c r="F632" s="6"/>
      <c r="G632" s="6"/>
      <c r="H632" s="6" t="str">
        <f>IFERROR(__xludf.DUMMYFUNCTION("""COMPUTED_VALUE"""),"Google")</f>
        <v>Google</v>
      </c>
      <c r="I632" s="6">
        <f>IFERROR(__xludf.DUMMYFUNCTION("""COMPUTED_VALUE"""),41.03)</f>
        <v>41.03</v>
      </c>
      <c r="J632" s="6" t="str">
        <f>IFERROR(__xludf.DUMMYFUNCTION("""COMPUTED_VALUE"""),"算法")</f>
        <v>算法</v>
      </c>
    </row>
    <row r="633">
      <c r="A633" s="6">
        <f>IFERROR(__xludf.DUMMYFUNCTION("""COMPUTED_VALUE"""),809.0)</f>
        <v>809</v>
      </c>
      <c r="B633" s="53" t="str">
        <f>IFERROR(__xludf.DUMMYFUNCTION("""COMPUTED_VALUE"""),"Expressive Words")</f>
        <v>Expressive Words</v>
      </c>
      <c r="C633" s="6" t="str">
        <f>IFERROR(__xludf.DUMMYFUNCTION("""COMPUTED_VALUE"""),"Medium")</f>
        <v>Medium</v>
      </c>
      <c r="D633" s="6" t="str">
        <f>IFERROR(__xludf.DUMMYFUNCTION("""COMPUTED_VALUE"""),"String")</f>
        <v>String</v>
      </c>
      <c r="E633" s="6" t="str">
        <f>IFERROR(__xludf.DUMMYFUNCTION("""COMPUTED_VALUE"""),"Amazon,Google")</f>
        <v>Amazon,Google</v>
      </c>
      <c r="F633" s="6" t="str">
        <f>IFERROR(__xludf.DUMMYFUNCTION("""COMPUTED_VALUE"""),"Google")</f>
        <v>Google</v>
      </c>
      <c r="G633" s="6" t="str">
        <f>IFERROR(__xludf.DUMMYFUNCTION("""COMPUTED_VALUE"""),"Amazon,Google")</f>
        <v>Amazon,Google</v>
      </c>
      <c r="H633" s="6" t="str">
        <f>IFERROR(__xludf.DUMMYFUNCTION("""COMPUTED_VALUE"""),"Amazon,Google")</f>
        <v>Amazon,Google</v>
      </c>
      <c r="I633" s="6">
        <f>IFERROR(__xludf.DUMMYFUNCTION("""COMPUTED_VALUE"""),46.44)</f>
        <v>46.44</v>
      </c>
      <c r="J633" s="6" t="str">
        <f>IFERROR(__xludf.DUMMYFUNCTION("""COMPUTED_VALUE"""),"算法")</f>
        <v>算法</v>
      </c>
    </row>
    <row r="634">
      <c r="A634" s="6">
        <f>IFERROR(__xludf.DUMMYFUNCTION("""COMPUTED_VALUE"""),811.0)</f>
        <v>811</v>
      </c>
      <c r="B634" s="53" t="str">
        <f>IFERROR(__xludf.DUMMYFUNCTION("""COMPUTED_VALUE"""),"Subdomain Visit Count")</f>
        <v>Subdomain Visit Count</v>
      </c>
      <c r="C634" s="6" t="str">
        <f>IFERROR(__xludf.DUMMYFUNCTION("""COMPUTED_VALUE"""),"Easy")</f>
        <v>Easy</v>
      </c>
      <c r="D634" s="6" t="str">
        <f>IFERROR(__xludf.DUMMYFUNCTION("""COMPUTED_VALUE"""),"Hash Table")</f>
        <v>Hash Table</v>
      </c>
      <c r="E634" s="6" t="str">
        <f>IFERROR(__xludf.DUMMYFUNCTION("""COMPUTED_VALUE"""),"Karat,Pinterest,Citrix,Wayfair,Roblox,Indeed,Intuit,Apple,Bloomberg,Amazon,Google")</f>
        <v>Karat,Pinterest,Citrix,Wayfair,Roblox,Indeed,Intuit,Apple,Bloomberg,Amazon,Google</v>
      </c>
      <c r="F634" s="6" t="str">
        <f>IFERROR(__xludf.DUMMYFUNCTION("""COMPUTED_VALUE"""),"Karat,Wayfair,Indeed,Intuit,Pinterest,Roblox")</f>
        <v>Karat,Wayfair,Indeed,Intuit,Pinterest,Roblox</v>
      </c>
      <c r="G634" s="6" t="str">
        <f>IFERROR(__xludf.DUMMYFUNCTION("""COMPUTED_VALUE"""),"Karat,Wayfair,Indeed,Intuit,Pinterest,Roblox")</f>
        <v>Karat,Wayfair,Indeed,Intuit,Pinterest,Roblox</v>
      </c>
      <c r="H634" s="6" t="str">
        <f>IFERROR(__xludf.DUMMYFUNCTION("""COMPUTED_VALUE"""),"Amazon,Apple,Karat,Wayfair,Indeed,Intuit,Pinterest,Roblox")</f>
        <v>Amazon,Apple,Karat,Wayfair,Indeed,Intuit,Pinterest,Roblox</v>
      </c>
      <c r="I634" s="6">
        <f>IFERROR(__xludf.DUMMYFUNCTION("""COMPUTED_VALUE"""),71.64)</f>
        <v>71.64</v>
      </c>
      <c r="J634" s="6" t="str">
        <f>IFERROR(__xludf.DUMMYFUNCTION("""COMPUTED_VALUE"""),"算法")</f>
        <v>算法</v>
      </c>
    </row>
    <row r="635">
      <c r="A635" s="6">
        <f>IFERROR(__xludf.DUMMYFUNCTION("""COMPUTED_VALUE"""),812.0)</f>
        <v>812</v>
      </c>
      <c r="B635" s="53" t="str">
        <f>IFERROR(__xludf.DUMMYFUNCTION("""COMPUTED_VALUE"""),"Largest Triangle Area")</f>
        <v>Largest Triangle Area</v>
      </c>
      <c r="C635" s="6" t="str">
        <f>IFERROR(__xludf.DUMMYFUNCTION("""COMPUTED_VALUE"""),"Easy")</f>
        <v>Easy</v>
      </c>
      <c r="D635" s="6" t="str">
        <f>IFERROR(__xludf.DUMMYFUNCTION("""COMPUTED_VALUE"""),"Math")</f>
        <v>Math</v>
      </c>
      <c r="E635" s="6" t="str">
        <f>IFERROR(__xludf.DUMMYFUNCTION("""COMPUTED_VALUE"""),"Google")</f>
        <v>Google</v>
      </c>
      <c r="F635" s="6"/>
      <c r="G635" s="6"/>
      <c r="H635" s="6" t="str">
        <f>IFERROR(__xludf.DUMMYFUNCTION("""COMPUTED_VALUE"""),"Google")</f>
        <v>Google</v>
      </c>
      <c r="I635" s="6">
        <f>IFERROR(__xludf.DUMMYFUNCTION("""COMPUTED_VALUE"""),58.97)</f>
        <v>58.97</v>
      </c>
      <c r="J635" s="6" t="str">
        <f>IFERROR(__xludf.DUMMYFUNCTION("""COMPUTED_VALUE"""),"算法")</f>
        <v>算法</v>
      </c>
    </row>
    <row r="636">
      <c r="A636" s="6">
        <f>IFERROR(__xludf.DUMMYFUNCTION("""COMPUTED_VALUE"""),813.0)</f>
        <v>813</v>
      </c>
      <c r="B636" s="53" t="str">
        <f>IFERROR(__xludf.DUMMYFUNCTION("""COMPUTED_VALUE"""),"Largest Sum of Averages")</f>
        <v>Largest Sum of Averages</v>
      </c>
      <c r="C636" s="6" t="str">
        <f>IFERROR(__xludf.DUMMYFUNCTION("""COMPUTED_VALUE"""),"Medium")</f>
        <v>Medium</v>
      </c>
      <c r="D636" s="6" t="str">
        <f>IFERROR(__xludf.DUMMYFUNCTION("""COMPUTED_VALUE"""),"Dynamic Programming")</f>
        <v>Dynamic Programming</v>
      </c>
      <c r="E636" s="6" t="str">
        <f>IFERROR(__xludf.DUMMYFUNCTION("""COMPUTED_VALUE"""),"Amazon,Bloomberg,Google")</f>
        <v>Amazon,Bloomberg,Google</v>
      </c>
      <c r="F636" s="6"/>
      <c r="G636" s="6" t="str">
        <f>IFERROR(__xludf.DUMMYFUNCTION("""COMPUTED_VALUE"""),"Amazon")</f>
        <v>Amazon</v>
      </c>
      <c r="H636" s="6" t="str">
        <f>IFERROR(__xludf.DUMMYFUNCTION("""COMPUTED_VALUE"""),"Bloomberg,Google,Amazon")</f>
        <v>Bloomberg,Google,Amazon</v>
      </c>
      <c r="I636" s="6">
        <f>IFERROR(__xludf.DUMMYFUNCTION("""COMPUTED_VALUE"""),51.16)</f>
        <v>51.16</v>
      </c>
      <c r="J636" s="6" t="str">
        <f>IFERROR(__xludf.DUMMYFUNCTION("""COMPUTED_VALUE"""),"算法")</f>
        <v>算法</v>
      </c>
    </row>
    <row r="637">
      <c r="A637" s="6">
        <f>IFERROR(__xludf.DUMMYFUNCTION("""COMPUTED_VALUE"""),814.0)</f>
        <v>814</v>
      </c>
      <c r="B637" s="53" t="str">
        <f>IFERROR(__xludf.DUMMYFUNCTION("""COMPUTED_VALUE"""),"Binary Tree Pruning")</f>
        <v>Binary Tree Pruning</v>
      </c>
      <c r="C637" s="6" t="str">
        <f>IFERROR(__xludf.DUMMYFUNCTION("""COMPUTED_VALUE"""),"Medium")</f>
        <v>Medium</v>
      </c>
      <c r="D637" s="6" t="str">
        <f>IFERROR(__xludf.DUMMYFUNCTION("""COMPUTED_VALUE"""),"Tree")</f>
        <v>Tree</v>
      </c>
      <c r="E637" s="6" t="str">
        <f>IFERROR(__xludf.DUMMYFUNCTION("""COMPUTED_VALUE"""),"Facebook,Amazon,Hulu,Capital One,Twitter,Google")</f>
        <v>Facebook,Amazon,Hulu,Capital One,Twitter,Google</v>
      </c>
      <c r="F637" s="6" t="str">
        <f>IFERROR(__xludf.DUMMYFUNCTION("""COMPUTED_VALUE"""),"Amazon")</f>
        <v>Amazon</v>
      </c>
      <c r="G637" s="6" t="str">
        <f>IFERROR(__xludf.DUMMYFUNCTION("""COMPUTED_VALUE"""),"Capital One,Facebook,Amazon")</f>
        <v>Capital One,Facebook,Amazon</v>
      </c>
      <c r="H637" s="6" t="str">
        <f>IFERROR(__xludf.DUMMYFUNCTION("""COMPUTED_VALUE"""),"Google,Hulu,Capital One,Facebook,Amazon")</f>
        <v>Google,Hulu,Capital One,Facebook,Amazon</v>
      </c>
      <c r="I637" s="6">
        <f>IFERROR(__xludf.DUMMYFUNCTION("""COMPUTED_VALUE"""),72.19)</f>
        <v>72.19</v>
      </c>
      <c r="J637" s="6" t="str">
        <f>IFERROR(__xludf.DUMMYFUNCTION("""COMPUTED_VALUE"""),"算法")</f>
        <v>算法</v>
      </c>
    </row>
    <row r="638">
      <c r="A638" s="6">
        <f>IFERROR(__xludf.DUMMYFUNCTION("""COMPUTED_VALUE"""),815.0)</f>
        <v>815</v>
      </c>
      <c r="B638" s="53" t="str">
        <f>IFERROR(__xludf.DUMMYFUNCTION("""COMPUTED_VALUE"""),"Bus Routes")</f>
        <v>Bus Routes</v>
      </c>
      <c r="C638" s="6" t="str">
        <f>IFERROR(__xludf.DUMMYFUNCTION("""COMPUTED_VALUE"""),"Hard")</f>
        <v>Hard</v>
      </c>
      <c r="D638" s="6" t="str">
        <f>IFERROR(__xludf.DUMMYFUNCTION("""COMPUTED_VALUE"""),"Breadth First Search")</f>
        <v>Breadth First Search</v>
      </c>
      <c r="E638" s="6" t="str">
        <f>IFERROR(__xludf.DUMMYFUNCTION("""COMPUTED_VALUE"""),"Square,Qualtrics,DiDi,Uber,Amazon,Google")</f>
        <v>Square,Qualtrics,DiDi,Uber,Amazon,Google</v>
      </c>
      <c r="F638" s="6" t="str">
        <f>IFERROR(__xludf.DUMMYFUNCTION("""COMPUTED_VALUE"""),"Amazon,Qualtrics,Square")</f>
        <v>Amazon,Qualtrics,Square</v>
      </c>
      <c r="G638" s="6" t="str">
        <f>IFERROR(__xludf.DUMMYFUNCTION("""COMPUTED_VALUE"""),"Google,Amazon,Qualtrics,Square")</f>
        <v>Google,Amazon,Qualtrics,Square</v>
      </c>
      <c r="H638" s="6" t="str">
        <f>IFERROR(__xludf.DUMMYFUNCTION("""COMPUTED_VALUE"""),"Uber,DiDi,Google,Amazon,Qualtrics,Square")</f>
        <v>Uber,DiDi,Google,Amazon,Qualtrics,Square</v>
      </c>
      <c r="I638" s="6">
        <f>IFERROR(__xludf.DUMMYFUNCTION("""COMPUTED_VALUE"""),43.43)</f>
        <v>43.43</v>
      </c>
      <c r="J638" s="6" t="str">
        <f>IFERROR(__xludf.DUMMYFUNCTION("""COMPUTED_VALUE"""),"算法")</f>
        <v>算法</v>
      </c>
    </row>
    <row r="639">
      <c r="A639" s="6">
        <f>IFERROR(__xludf.DUMMYFUNCTION("""COMPUTED_VALUE"""),816.0)</f>
        <v>816</v>
      </c>
      <c r="B639" s="53" t="str">
        <f>IFERROR(__xludf.DUMMYFUNCTION("""COMPUTED_VALUE"""),"Ambiguous Coordinates")</f>
        <v>Ambiguous Coordinates</v>
      </c>
      <c r="C639" s="6" t="str">
        <f>IFERROR(__xludf.DUMMYFUNCTION("""COMPUTED_VALUE"""),"Medium")</f>
        <v>Medium</v>
      </c>
      <c r="D639" s="6" t="str">
        <f>IFERROR(__xludf.DUMMYFUNCTION("""COMPUTED_VALUE"""),"String")</f>
        <v>String</v>
      </c>
      <c r="E639" s="6" t="str">
        <f>IFERROR(__xludf.DUMMYFUNCTION("""COMPUTED_VALUE"""),"Google")</f>
        <v>Google</v>
      </c>
      <c r="F639" s="6"/>
      <c r="G639" s="6"/>
      <c r="H639" s="6" t="str">
        <f>IFERROR(__xludf.DUMMYFUNCTION("""COMPUTED_VALUE"""),"Google")</f>
        <v>Google</v>
      </c>
      <c r="I639" s="6">
        <f>IFERROR(__xludf.DUMMYFUNCTION("""COMPUTED_VALUE"""),48.06)</f>
        <v>48.06</v>
      </c>
      <c r="J639" s="6" t="str">
        <f>IFERROR(__xludf.DUMMYFUNCTION("""COMPUTED_VALUE"""),"算法")</f>
        <v>算法</v>
      </c>
    </row>
    <row r="640">
      <c r="A640" s="6">
        <f>IFERROR(__xludf.DUMMYFUNCTION("""COMPUTED_VALUE"""),817.0)</f>
        <v>817</v>
      </c>
      <c r="B640" s="53" t="str">
        <f>IFERROR(__xludf.DUMMYFUNCTION("""COMPUTED_VALUE"""),"Linked List Components")</f>
        <v>Linked List Components</v>
      </c>
      <c r="C640" s="6" t="str">
        <f>IFERROR(__xludf.DUMMYFUNCTION("""COMPUTED_VALUE"""),"Medium")</f>
        <v>Medium</v>
      </c>
      <c r="D640" s="6" t="str">
        <f>IFERROR(__xludf.DUMMYFUNCTION("""COMPUTED_VALUE"""),"Linked List")</f>
        <v>Linked List</v>
      </c>
      <c r="E640" s="6" t="str">
        <f>IFERROR(__xludf.DUMMYFUNCTION("""COMPUTED_VALUE"""),"Google")</f>
        <v>Google</v>
      </c>
      <c r="F640" s="6" t="str">
        <f>IFERROR(__xludf.DUMMYFUNCTION("""COMPUTED_VALUE"""),"Google")</f>
        <v>Google</v>
      </c>
      <c r="G640" s="6" t="str">
        <f>IFERROR(__xludf.DUMMYFUNCTION("""COMPUTED_VALUE"""),"Google")</f>
        <v>Google</v>
      </c>
      <c r="H640" s="6" t="str">
        <f>IFERROR(__xludf.DUMMYFUNCTION("""COMPUTED_VALUE"""),"Google")</f>
        <v>Google</v>
      </c>
      <c r="I640" s="6">
        <f>IFERROR(__xludf.DUMMYFUNCTION("""COMPUTED_VALUE"""),57.79)</f>
        <v>57.79</v>
      </c>
      <c r="J640" s="6" t="str">
        <f>IFERROR(__xludf.DUMMYFUNCTION("""COMPUTED_VALUE"""),"算法")</f>
        <v>算法</v>
      </c>
    </row>
    <row r="641">
      <c r="A641" s="6">
        <f>IFERROR(__xludf.DUMMYFUNCTION("""COMPUTED_VALUE"""),818.0)</f>
        <v>818</v>
      </c>
      <c r="B641" s="53" t="str">
        <f>IFERROR(__xludf.DUMMYFUNCTION("""COMPUTED_VALUE"""),"Race Car")</f>
        <v>Race Car</v>
      </c>
      <c r="C641" s="6" t="str">
        <f>IFERROR(__xludf.DUMMYFUNCTION("""COMPUTED_VALUE"""),"Hard")</f>
        <v>Hard</v>
      </c>
      <c r="D641" s="6" t="str">
        <f>IFERROR(__xludf.DUMMYFUNCTION("""COMPUTED_VALUE"""),"Heap,Dynamic Programming")</f>
        <v>Heap,Dynamic Programming</v>
      </c>
      <c r="E641" s="6" t="str">
        <f>IFERROR(__xludf.DUMMYFUNCTION("""COMPUTED_VALUE"""),"Amazon,Google")</f>
        <v>Amazon,Google</v>
      </c>
      <c r="F641" s="6" t="str">
        <f>IFERROR(__xludf.DUMMYFUNCTION("""COMPUTED_VALUE"""),"Google")</f>
        <v>Google</v>
      </c>
      <c r="G641" s="6" t="str">
        <f>IFERROR(__xludf.DUMMYFUNCTION("""COMPUTED_VALUE"""),"Google")</f>
        <v>Google</v>
      </c>
      <c r="H641" s="6" t="str">
        <f>IFERROR(__xludf.DUMMYFUNCTION("""COMPUTED_VALUE"""),"Amazon,Google")</f>
        <v>Amazon,Google</v>
      </c>
      <c r="I641" s="6">
        <f>IFERROR(__xludf.DUMMYFUNCTION("""COMPUTED_VALUE"""),40.13)</f>
        <v>40.13</v>
      </c>
      <c r="J641" s="6" t="str">
        <f>IFERROR(__xludf.DUMMYFUNCTION("""COMPUTED_VALUE"""),"算法")</f>
        <v>算法</v>
      </c>
    </row>
    <row r="642">
      <c r="A642" s="6">
        <f>IFERROR(__xludf.DUMMYFUNCTION("""COMPUTED_VALUE"""),819.0)</f>
        <v>819</v>
      </c>
      <c r="B642" s="53" t="str">
        <f>IFERROR(__xludf.DUMMYFUNCTION("""COMPUTED_VALUE"""),"Most Common Word")</f>
        <v>Most Common Word</v>
      </c>
      <c r="C642" s="6" t="str">
        <f>IFERROR(__xludf.DUMMYFUNCTION("""COMPUTED_VALUE"""),"Easy")</f>
        <v>Easy</v>
      </c>
      <c r="D642" s="6" t="str">
        <f>IFERROR(__xludf.DUMMYFUNCTION("""COMPUTED_VALUE"""),"String")</f>
        <v>String</v>
      </c>
      <c r="E642" s="6" t="str">
        <f>IFERROR(__xludf.DUMMYFUNCTION("""COMPUTED_VALUE"""),"Oracle,Apple,Amazon,Microsoft,Google")</f>
        <v>Oracle,Apple,Amazon,Microsoft,Google</v>
      </c>
      <c r="F642" s="6" t="str">
        <f>IFERROR(__xludf.DUMMYFUNCTION("""COMPUTED_VALUE"""),"Amazon")</f>
        <v>Amazon</v>
      </c>
      <c r="G642" s="6" t="str">
        <f>IFERROR(__xludf.DUMMYFUNCTION("""COMPUTED_VALUE"""),"Amazon")</f>
        <v>Amazon</v>
      </c>
      <c r="H642" s="6" t="str">
        <f>IFERROR(__xludf.DUMMYFUNCTION("""COMPUTED_VALUE"""),"Microsoft,Apple,Oracle,Amazon")</f>
        <v>Microsoft,Apple,Oracle,Amazon</v>
      </c>
      <c r="I642" s="6">
        <f>IFERROR(__xludf.DUMMYFUNCTION("""COMPUTED_VALUE"""),45.48)</f>
        <v>45.48</v>
      </c>
      <c r="J642" s="6" t="str">
        <f>IFERROR(__xludf.DUMMYFUNCTION("""COMPUTED_VALUE"""),"算法")</f>
        <v>算法</v>
      </c>
    </row>
    <row r="643">
      <c r="A643" s="6">
        <f>IFERROR(__xludf.DUMMYFUNCTION("""COMPUTED_VALUE"""),821.0)</f>
        <v>821</v>
      </c>
      <c r="B643" s="53" t="str">
        <f>IFERROR(__xludf.DUMMYFUNCTION("""COMPUTED_VALUE"""),"Shortest Distance to a Character")</f>
        <v>Shortest Distance to a Character</v>
      </c>
      <c r="C643" s="6" t="str">
        <f>IFERROR(__xludf.DUMMYFUNCTION("""COMPUTED_VALUE"""),"Easy")</f>
        <v>Easy</v>
      </c>
      <c r="D643" s="6"/>
      <c r="E643" s="6" t="str">
        <f>IFERROR(__xludf.DUMMYFUNCTION("""COMPUTED_VALUE"""),"Microsoft,Atlassian,Apple,Bloomberg,Facebook,Google")</f>
        <v>Microsoft,Atlassian,Apple,Bloomberg,Facebook,Google</v>
      </c>
      <c r="F643" s="6"/>
      <c r="G643" s="6" t="str">
        <f>IFERROR(__xludf.DUMMYFUNCTION("""COMPUTED_VALUE"""),"Apple")</f>
        <v>Apple</v>
      </c>
      <c r="H643" s="6" t="str">
        <f>IFERROR(__xludf.DUMMYFUNCTION("""COMPUTED_VALUE"""),"Atlassian,Google,Bloomberg,Microsoft,Apple")</f>
        <v>Atlassian,Google,Bloomberg,Microsoft,Apple</v>
      </c>
      <c r="I643" s="6">
        <f>IFERROR(__xludf.DUMMYFUNCTION("""COMPUTED_VALUE"""),70.0)</f>
        <v>70</v>
      </c>
      <c r="J643" s="6" t="str">
        <f>IFERROR(__xludf.DUMMYFUNCTION("""COMPUTED_VALUE"""),"算法")</f>
        <v>算法</v>
      </c>
    </row>
    <row r="644">
      <c r="A644" s="6">
        <f>IFERROR(__xludf.DUMMYFUNCTION("""COMPUTED_VALUE"""),827.0)</f>
        <v>827</v>
      </c>
      <c r="B644" s="53" t="str">
        <f>IFERROR(__xludf.DUMMYFUNCTION("""COMPUTED_VALUE"""),"Making A Large Island")</f>
        <v>Making A Large Island</v>
      </c>
      <c r="C644" s="6" t="str">
        <f>IFERROR(__xludf.DUMMYFUNCTION("""COMPUTED_VALUE"""),"Hard")</f>
        <v>Hard</v>
      </c>
      <c r="D644" s="6" t="str">
        <f>IFERROR(__xludf.DUMMYFUNCTION("""COMPUTED_VALUE"""),"Breadth First Search,Depth First Search")</f>
        <v>Breadth First Search,Depth First Search</v>
      </c>
      <c r="E644" s="6" t="str">
        <f>IFERROR(__xludf.DUMMYFUNCTION("""COMPUTED_VALUE"""),"Uber,Facebook,Amazon,Google")</f>
        <v>Uber,Facebook,Amazon,Google</v>
      </c>
      <c r="F644" s="6" t="str">
        <f>IFERROR(__xludf.DUMMYFUNCTION("""COMPUTED_VALUE"""),"Facebook,Google,Amazon")</f>
        <v>Facebook,Google,Amazon</v>
      </c>
      <c r="G644" s="6" t="str">
        <f>IFERROR(__xludf.DUMMYFUNCTION("""COMPUTED_VALUE"""),"Facebook,Google,Amazon")</f>
        <v>Facebook,Google,Amazon</v>
      </c>
      <c r="H644" s="6" t="str">
        <f>IFERROR(__xludf.DUMMYFUNCTION("""COMPUTED_VALUE"""),"Uber,Facebook,Google,Amazon")</f>
        <v>Uber,Facebook,Google,Amazon</v>
      </c>
      <c r="I644" s="6">
        <f>IFERROR(__xludf.DUMMYFUNCTION("""COMPUTED_VALUE"""),47.36)</f>
        <v>47.36</v>
      </c>
      <c r="J644" s="6" t="str">
        <f>IFERROR(__xludf.DUMMYFUNCTION("""COMPUTED_VALUE"""),"算法")</f>
        <v>算法</v>
      </c>
    </row>
    <row r="645">
      <c r="A645" s="6">
        <f>IFERROR(__xludf.DUMMYFUNCTION("""COMPUTED_VALUE"""),829.0)</f>
        <v>829</v>
      </c>
      <c r="B645" s="53" t="str">
        <f>IFERROR(__xludf.DUMMYFUNCTION("""COMPUTED_VALUE"""),"Consecutive Numbers Sum")</f>
        <v>Consecutive Numbers Sum</v>
      </c>
      <c r="C645" s="6" t="str">
        <f>IFERROR(__xludf.DUMMYFUNCTION("""COMPUTED_VALUE"""),"Hard")</f>
        <v>Hard</v>
      </c>
      <c r="D645" s="6" t="str">
        <f>IFERROR(__xludf.DUMMYFUNCTION("""COMPUTED_VALUE"""),"Math")</f>
        <v>Math</v>
      </c>
      <c r="E645" s="6" t="str">
        <f>IFERROR(__xludf.DUMMYFUNCTION("""COMPUTED_VALUE"""),"Citadel,Nvidia,Citrix,Bloomberg,Amazon,Google,Roblox,Visa,VMware,Indeed,Uber")</f>
        <v>Citadel,Nvidia,Citrix,Bloomberg,Amazon,Google,Roblox,Visa,VMware,Indeed,Uber</v>
      </c>
      <c r="F645" s="6" t="str">
        <f>IFERROR(__xludf.DUMMYFUNCTION("""COMPUTED_VALUE"""),"Citadel,Visa,Amazon,Nvidia,Citrix")</f>
        <v>Citadel,Visa,Amazon,Nvidia,Citrix</v>
      </c>
      <c r="G645" s="6" t="str">
        <f>IFERROR(__xludf.DUMMYFUNCTION("""COMPUTED_VALUE"""),"Roblox,Bloomberg,Citadel,Visa,Amazon,Nvidia,Citrix")</f>
        <v>Roblox,Bloomberg,Citadel,Visa,Amazon,Nvidia,Citrix</v>
      </c>
      <c r="H645" s="6" t="str">
        <f>IFERROR(__xludf.DUMMYFUNCTION("""COMPUTED_VALUE"""),"Google,Roblox,Bloomberg,Citadel,Visa,Amazon,Nvidia,Citrix")</f>
        <v>Google,Roblox,Bloomberg,Citadel,Visa,Amazon,Nvidia,Citrix</v>
      </c>
      <c r="I645" s="6">
        <f>IFERROR(__xludf.DUMMYFUNCTION("""COMPUTED_VALUE"""),39.26)</f>
        <v>39.26</v>
      </c>
      <c r="J645" s="6" t="str">
        <f>IFERROR(__xludf.DUMMYFUNCTION("""COMPUTED_VALUE"""),"算法")</f>
        <v>算法</v>
      </c>
    </row>
    <row r="646">
      <c r="A646" s="6">
        <f>IFERROR(__xludf.DUMMYFUNCTION("""COMPUTED_VALUE"""),830.0)</f>
        <v>830</v>
      </c>
      <c r="B646" s="53" t="str">
        <f>IFERROR(__xludf.DUMMYFUNCTION("""COMPUTED_VALUE"""),"Positions of Large Groups")</f>
        <v>Positions of Large Groups</v>
      </c>
      <c r="C646" s="6" t="str">
        <f>IFERROR(__xludf.DUMMYFUNCTION("""COMPUTED_VALUE"""),"Easy")</f>
        <v>Easy</v>
      </c>
      <c r="D646" s="6" t="str">
        <f>IFERROR(__xludf.DUMMYFUNCTION("""COMPUTED_VALUE"""),"Array")</f>
        <v>Array</v>
      </c>
      <c r="E646" s="6" t="str">
        <f>IFERROR(__xludf.DUMMYFUNCTION("""COMPUTED_VALUE"""),"Google")</f>
        <v>Google</v>
      </c>
      <c r="F646" s="6"/>
      <c r="G646" s="6" t="str">
        <f>IFERROR(__xludf.DUMMYFUNCTION("""COMPUTED_VALUE"""),"Google")</f>
        <v>Google</v>
      </c>
      <c r="H646" s="6" t="str">
        <f>IFERROR(__xludf.DUMMYFUNCTION("""COMPUTED_VALUE"""),"Google")</f>
        <v>Google</v>
      </c>
      <c r="I646" s="6">
        <f>IFERROR(__xludf.DUMMYFUNCTION("""COMPUTED_VALUE"""),50.42)</f>
        <v>50.42</v>
      </c>
      <c r="J646" s="6" t="str">
        <f>IFERROR(__xludf.DUMMYFUNCTION("""COMPUTED_VALUE"""),"算法")</f>
        <v>算法</v>
      </c>
    </row>
    <row r="647">
      <c r="A647" s="6">
        <f>IFERROR(__xludf.DUMMYFUNCTION("""COMPUTED_VALUE"""),832.0)</f>
        <v>832</v>
      </c>
      <c r="B647" s="53" t="str">
        <f>IFERROR(__xludf.DUMMYFUNCTION("""COMPUTED_VALUE"""),"Flipping an Image")</f>
        <v>Flipping an Image</v>
      </c>
      <c r="C647" s="6" t="str">
        <f>IFERROR(__xludf.DUMMYFUNCTION("""COMPUTED_VALUE"""),"Easy")</f>
        <v>Easy</v>
      </c>
      <c r="D647" s="6" t="str">
        <f>IFERROR(__xludf.DUMMYFUNCTION("""COMPUTED_VALUE"""),"Array")</f>
        <v>Array</v>
      </c>
      <c r="E647" s="6" t="str">
        <f>IFERROR(__xludf.DUMMYFUNCTION("""COMPUTED_VALUE"""),"Facebook,Microsoft,Google")</f>
        <v>Facebook,Microsoft,Google</v>
      </c>
      <c r="F647" s="6"/>
      <c r="G647" s="6" t="str">
        <f>IFERROR(__xludf.DUMMYFUNCTION("""COMPUTED_VALUE"""),"Facebook,Microsoft")</f>
        <v>Facebook,Microsoft</v>
      </c>
      <c r="H647" s="6" t="str">
        <f>IFERROR(__xludf.DUMMYFUNCTION("""COMPUTED_VALUE"""),"Google,Facebook,Microsoft")</f>
        <v>Google,Facebook,Microsoft</v>
      </c>
      <c r="I647" s="6">
        <f>IFERROR(__xludf.DUMMYFUNCTION("""COMPUTED_VALUE"""),78.23)</f>
        <v>78.23</v>
      </c>
      <c r="J647" s="6" t="str">
        <f>IFERROR(__xludf.DUMMYFUNCTION("""COMPUTED_VALUE"""),"算法")</f>
        <v>算法</v>
      </c>
    </row>
    <row r="648">
      <c r="A648" s="6">
        <f>IFERROR(__xludf.DUMMYFUNCTION("""COMPUTED_VALUE"""),833.0)</f>
        <v>833</v>
      </c>
      <c r="B648" s="53" t="str">
        <f>IFERROR(__xludf.DUMMYFUNCTION("""COMPUTED_VALUE"""),"Find And Replace in String")</f>
        <v>Find And Replace in String</v>
      </c>
      <c r="C648" s="6" t="str">
        <f>IFERROR(__xludf.DUMMYFUNCTION("""COMPUTED_VALUE"""),"Medium")</f>
        <v>Medium</v>
      </c>
      <c r="D648" s="6" t="str">
        <f>IFERROR(__xludf.DUMMYFUNCTION("""COMPUTED_VALUE"""),"String")</f>
        <v>String</v>
      </c>
      <c r="E648" s="6" t="str">
        <f>IFERROR(__xludf.DUMMYFUNCTION("""COMPUTED_VALUE"""),"Apple,Adobe,LinkedIn,Microsoft,Google")</f>
        <v>Apple,Adobe,LinkedIn,Microsoft,Google</v>
      </c>
      <c r="F648" s="6" t="str">
        <f>IFERROR(__xludf.DUMMYFUNCTION("""COMPUTED_VALUE"""),"Google")</f>
        <v>Google</v>
      </c>
      <c r="G648" s="6" t="str">
        <f>IFERROR(__xludf.DUMMYFUNCTION("""COMPUTED_VALUE"""),"Adobe,Google")</f>
        <v>Adobe,Google</v>
      </c>
      <c r="H648" s="6" t="str">
        <f>IFERROR(__xludf.DUMMYFUNCTION("""COMPUTED_VALUE"""),"Microsoft,Apple,Adobe,Google")</f>
        <v>Microsoft,Apple,Adobe,Google</v>
      </c>
      <c r="I648" s="6">
        <f>IFERROR(__xludf.DUMMYFUNCTION("""COMPUTED_VALUE"""),51.48)</f>
        <v>51.48</v>
      </c>
      <c r="J648" s="6" t="str">
        <f>IFERROR(__xludf.DUMMYFUNCTION("""COMPUTED_VALUE"""),"算法")</f>
        <v>算法</v>
      </c>
    </row>
    <row r="649">
      <c r="A649" s="6">
        <f>IFERROR(__xludf.DUMMYFUNCTION("""COMPUTED_VALUE"""),834.0)</f>
        <v>834</v>
      </c>
      <c r="B649" s="53" t="str">
        <f>IFERROR(__xludf.DUMMYFUNCTION("""COMPUTED_VALUE"""),"Sum of Distances in Tree")</f>
        <v>Sum of Distances in Tree</v>
      </c>
      <c r="C649" s="6" t="str">
        <f>IFERROR(__xludf.DUMMYFUNCTION("""COMPUTED_VALUE"""),"Hard")</f>
        <v>Hard</v>
      </c>
      <c r="D649" s="6" t="str">
        <f>IFERROR(__xludf.DUMMYFUNCTION("""COMPUTED_VALUE"""),"Depth First Search,Tree")</f>
        <v>Depth First Search,Tree</v>
      </c>
      <c r="E649" s="6" t="str">
        <f>IFERROR(__xludf.DUMMYFUNCTION("""COMPUTED_VALUE"""),"ByteDance,Apple,Google")</f>
        <v>ByteDance,Apple,Google</v>
      </c>
      <c r="F649" s="6" t="str">
        <f>IFERROR(__xludf.DUMMYFUNCTION("""COMPUTED_VALUE"""),"Google,Apple")</f>
        <v>Google,Apple</v>
      </c>
      <c r="G649" s="6" t="str">
        <f>IFERROR(__xludf.DUMMYFUNCTION("""COMPUTED_VALUE"""),"Google,Apple")</f>
        <v>Google,Apple</v>
      </c>
      <c r="H649" s="6" t="str">
        <f>IFERROR(__xludf.DUMMYFUNCTION("""COMPUTED_VALUE"""),"ByteDance,Google,Apple")</f>
        <v>ByteDance,Google,Apple</v>
      </c>
      <c r="I649" s="6">
        <f>IFERROR(__xludf.DUMMYFUNCTION("""COMPUTED_VALUE"""),46.3)</f>
        <v>46.3</v>
      </c>
      <c r="J649" s="6" t="str">
        <f>IFERROR(__xludf.DUMMYFUNCTION("""COMPUTED_VALUE"""),"算法")</f>
        <v>算法</v>
      </c>
    </row>
    <row r="650">
      <c r="A650" s="6">
        <f>IFERROR(__xludf.DUMMYFUNCTION("""COMPUTED_VALUE"""),835.0)</f>
        <v>835</v>
      </c>
      <c r="B650" s="53" t="str">
        <f>IFERROR(__xludf.DUMMYFUNCTION("""COMPUTED_VALUE"""),"Image Overlap")</f>
        <v>Image Overlap</v>
      </c>
      <c r="C650" s="6" t="str">
        <f>IFERROR(__xludf.DUMMYFUNCTION("""COMPUTED_VALUE"""),"Medium")</f>
        <v>Medium</v>
      </c>
      <c r="D650" s="6" t="str">
        <f>IFERROR(__xludf.DUMMYFUNCTION("""COMPUTED_VALUE"""),"Array")</f>
        <v>Array</v>
      </c>
      <c r="E650" s="6" t="str">
        <f>IFERROR(__xludf.DUMMYFUNCTION("""COMPUTED_VALUE"""),"Google")</f>
        <v>Google</v>
      </c>
      <c r="F650" s="6"/>
      <c r="G650" s="6"/>
      <c r="H650" s="6" t="str">
        <f>IFERROR(__xludf.DUMMYFUNCTION("""COMPUTED_VALUE"""),"Google")</f>
        <v>Google</v>
      </c>
      <c r="I650" s="6">
        <f>IFERROR(__xludf.DUMMYFUNCTION("""COMPUTED_VALUE"""),61.67)</f>
        <v>61.67</v>
      </c>
      <c r="J650" s="6" t="str">
        <f>IFERROR(__xludf.DUMMYFUNCTION("""COMPUTED_VALUE"""),"算法")</f>
        <v>算法</v>
      </c>
    </row>
    <row r="651">
      <c r="A651" s="6">
        <f>IFERROR(__xludf.DUMMYFUNCTION("""COMPUTED_VALUE"""),836.0)</f>
        <v>836</v>
      </c>
      <c r="B651" s="53" t="str">
        <f>IFERROR(__xludf.DUMMYFUNCTION("""COMPUTED_VALUE"""),"Rectangle Overlap")</f>
        <v>Rectangle Overlap</v>
      </c>
      <c r="C651" s="6" t="str">
        <f>IFERROR(__xludf.DUMMYFUNCTION("""COMPUTED_VALUE"""),"Easy")</f>
        <v>Easy</v>
      </c>
      <c r="D651" s="6" t="str">
        <f>IFERROR(__xludf.DUMMYFUNCTION("""COMPUTED_VALUE"""),"Math")</f>
        <v>Math</v>
      </c>
      <c r="E651" s="6" t="str">
        <f>IFERROR(__xludf.DUMMYFUNCTION("""COMPUTED_VALUE"""),"Pinterest,Facebook,Oracle,Mathworks,Apple,Bloomberg,Adobe,Amazon,Microsoft,Goldman Sachs,Google")</f>
        <v>Pinterest,Facebook,Oracle,Mathworks,Apple,Bloomberg,Adobe,Amazon,Microsoft,Goldman Sachs,Google</v>
      </c>
      <c r="F651" s="6" t="str">
        <f>IFERROR(__xludf.DUMMYFUNCTION("""COMPUTED_VALUE"""),"Microsoft,Amazon,Google,Oracle")</f>
        <v>Microsoft,Amazon,Google,Oracle</v>
      </c>
      <c r="G651" s="6" t="str">
        <f>IFERROR(__xludf.DUMMYFUNCTION("""COMPUTED_VALUE"""),"Apple,Microsoft,Amazon,Google,Oracle")</f>
        <v>Apple,Microsoft,Amazon,Google,Oracle</v>
      </c>
      <c r="H651" s="6" t="str">
        <f>IFERROR(__xludf.DUMMYFUNCTION("""COMPUTED_VALUE"""),"Bloomberg,Adobe,Goldman Sachs,Pinterest,Facebook,Apple,Microsoft,Amazon,Google,Oracle")</f>
        <v>Bloomberg,Adobe,Goldman Sachs,Pinterest,Facebook,Apple,Microsoft,Amazon,Google,Oracle</v>
      </c>
      <c r="I651" s="6">
        <f>IFERROR(__xludf.DUMMYFUNCTION("""COMPUTED_VALUE"""),44.0)</f>
        <v>44</v>
      </c>
      <c r="J651" s="6" t="str">
        <f>IFERROR(__xludf.DUMMYFUNCTION("""COMPUTED_VALUE"""),"算法")</f>
        <v>算法</v>
      </c>
    </row>
    <row r="652">
      <c r="A652" s="6">
        <f>IFERROR(__xludf.DUMMYFUNCTION("""COMPUTED_VALUE"""),837.0)</f>
        <v>837</v>
      </c>
      <c r="B652" s="53" t="str">
        <f>IFERROR(__xludf.DUMMYFUNCTION("""COMPUTED_VALUE"""),"New 21 Game")</f>
        <v>New 21 Game</v>
      </c>
      <c r="C652" s="6" t="str">
        <f>IFERROR(__xludf.DUMMYFUNCTION("""COMPUTED_VALUE"""),"Medium")</f>
        <v>Medium</v>
      </c>
      <c r="D652" s="6" t="str">
        <f>IFERROR(__xludf.DUMMYFUNCTION("""COMPUTED_VALUE"""),"Dynamic Programming")</f>
        <v>Dynamic Programming</v>
      </c>
      <c r="E652" s="6" t="str">
        <f>IFERROR(__xludf.DUMMYFUNCTION("""COMPUTED_VALUE"""),"Apple,Uber,Google")</f>
        <v>Apple,Uber,Google</v>
      </c>
      <c r="F652" s="6" t="str">
        <f>IFERROR(__xludf.DUMMYFUNCTION("""COMPUTED_VALUE"""),"Google")</f>
        <v>Google</v>
      </c>
      <c r="G652" s="6" t="str">
        <f>IFERROR(__xludf.DUMMYFUNCTION("""COMPUTED_VALUE"""),"Apple,Google")</f>
        <v>Apple,Google</v>
      </c>
      <c r="H652" s="6" t="str">
        <f>IFERROR(__xludf.DUMMYFUNCTION("""COMPUTED_VALUE"""),"Uber,Apple,Google")</f>
        <v>Uber,Apple,Google</v>
      </c>
      <c r="I652" s="6">
        <f>IFERROR(__xludf.DUMMYFUNCTION("""COMPUTED_VALUE"""),35.45)</f>
        <v>35.45</v>
      </c>
      <c r="J652" s="6" t="str">
        <f>IFERROR(__xludf.DUMMYFUNCTION("""COMPUTED_VALUE"""),"算法")</f>
        <v>算法</v>
      </c>
    </row>
    <row r="653">
      <c r="A653" s="6">
        <f>IFERROR(__xludf.DUMMYFUNCTION("""COMPUTED_VALUE"""),838.0)</f>
        <v>838</v>
      </c>
      <c r="B653" s="53" t="str">
        <f>IFERROR(__xludf.DUMMYFUNCTION("""COMPUTED_VALUE"""),"Push Dominoes")</f>
        <v>Push Dominoes</v>
      </c>
      <c r="C653" s="6" t="str">
        <f>IFERROR(__xludf.DUMMYFUNCTION("""COMPUTED_VALUE"""),"Medium")</f>
        <v>Medium</v>
      </c>
      <c r="D653" s="6" t="str">
        <f>IFERROR(__xludf.DUMMYFUNCTION("""COMPUTED_VALUE"""),"Dynamic Programming,Two Pointers")</f>
        <v>Dynamic Programming,Two Pointers</v>
      </c>
      <c r="E653" s="6" t="str">
        <f>IFERROR(__xludf.DUMMYFUNCTION("""COMPUTED_VALUE"""),"Google")</f>
        <v>Google</v>
      </c>
      <c r="F653" s="6"/>
      <c r="G653" s="6"/>
      <c r="H653" s="6" t="str">
        <f>IFERROR(__xludf.DUMMYFUNCTION("""COMPUTED_VALUE"""),"Google")</f>
        <v>Google</v>
      </c>
      <c r="I653" s="6">
        <f>IFERROR(__xludf.DUMMYFUNCTION("""COMPUTED_VALUE"""),49.89)</f>
        <v>49.89</v>
      </c>
      <c r="J653" s="6" t="str">
        <f>IFERROR(__xludf.DUMMYFUNCTION("""COMPUTED_VALUE"""),"算法")</f>
        <v>算法</v>
      </c>
    </row>
    <row r="654">
      <c r="A654" s="6">
        <f>IFERROR(__xludf.DUMMYFUNCTION("""COMPUTED_VALUE"""),839.0)</f>
        <v>839</v>
      </c>
      <c r="B654" s="53" t="str">
        <f>IFERROR(__xludf.DUMMYFUNCTION("""COMPUTED_VALUE"""),"Similar String Groups")</f>
        <v>Similar String Groups</v>
      </c>
      <c r="C654" s="6" t="str">
        <f>IFERROR(__xludf.DUMMYFUNCTION("""COMPUTED_VALUE"""),"Hard")</f>
        <v>Hard</v>
      </c>
      <c r="D654" s="6" t="str">
        <f>IFERROR(__xludf.DUMMYFUNCTION("""COMPUTED_VALUE"""),"Graph,Union Find,Depth First Search")</f>
        <v>Graph,Union Find,Depth First Search</v>
      </c>
      <c r="E654" s="6" t="str">
        <f>IFERROR(__xludf.DUMMYFUNCTION("""COMPUTED_VALUE"""),"Snapchat,Facebook,Amazon,Google")</f>
        <v>Snapchat,Facebook,Amazon,Google</v>
      </c>
      <c r="F654" s="6" t="str">
        <f>IFERROR(__xludf.DUMMYFUNCTION("""COMPUTED_VALUE"""),"Facebook")</f>
        <v>Facebook</v>
      </c>
      <c r="G654" s="6" t="str">
        <f>IFERROR(__xludf.DUMMYFUNCTION("""COMPUTED_VALUE"""),"Amazon,Facebook")</f>
        <v>Amazon,Facebook</v>
      </c>
      <c r="H654" s="6" t="str">
        <f>IFERROR(__xludf.DUMMYFUNCTION("""COMPUTED_VALUE"""),"Google,Snapchat,Amazon,Facebook")</f>
        <v>Google,Snapchat,Amazon,Facebook</v>
      </c>
      <c r="I654" s="6">
        <f>IFERROR(__xludf.DUMMYFUNCTION("""COMPUTED_VALUE"""),41.13)</f>
        <v>41.13</v>
      </c>
      <c r="J654" s="6" t="str">
        <f>IFERROR(__xludf.DUMMYFUNCTION("""COMPUTED_VALUE"""),"算法")</f>
        <v>算法</v>
      </c>
    </row>
    <row r="655">
      <c r="A655" s="6">
        <f>IFERROR(__xludf.DUMMYFUNCTION("""COMPUTED_VALUE"""),840.0)</f>
        <v>840</v>
      </c>
      <c r="B655" s="53" t="str">
        <f>IFERROR(__xludf.DUMMYFUNCTION("""COMPUTED_VALUE"""),"Magic Squares In Grid")</f>
        <v>Magic Squares In Grid</v>
      </c>
      <c r="C655" s="6" t="str">
        <f>IFERROR(__xludf.DUMMYFUNCTION("""COMPUTED_VALUE"""),"Medium")</f>
        <v>Medium</v>
      </c>
      <c r="D655" s="6" t="str">
        <f>IFERROR(__xludf.DUMMYFUNCTION("""COMPUTED_VALUE"""),"Array")</f>
        <v>Array</v>
      </c>
      <c r="E655" s="6" t="str">
        <f>IFERROR(__xludf.DUMMYFUNCTION("""COMPUTED_VALUE"""),"Wayfair,Google")</f>
        <v>Wayfair,Google</v>
      </c>
      <c r="F655" s="6"/>
      <c r="G655" s="6" t="str">
        <f>IFERROR(__xludf.DUMMYFUNCTION("""COMPUTED_VALUE"""),"Google")</f>
        <v>Google</v>
      </c>
      <c r="H655" s="6" t="str">
        <f>IFERROR(__xludf.DUMMYFUNCTION("""COMPUTED_VALUE"""),"Wayfair,Google")</f>
        <v>Wayfair,Google</v>
      </c>
      <c r="I655" s="6">
        <f>IFERROR(__xludf.DUMMYFUNCTION("""COMPUTED_VALUE"""),37.87)</f>
        <v>37.87</v>
      </c>
      <c r="J655" s="6" t="str">
        <f>IFERROR(__xludf.DUMMYFUNCTION("""COMPUTED_VALUE"""),"算法")</f>
        <v>算法</v>
      </c>
    </row>
    <row r="656">
      <c r="A656" s="6">
        <f>IFERROR(__xludf.DUMMYFUNCTION("""COMPUTED_VALUE"""),841.0)</f>
        <v>841</v>
      </c>
      <c r="B656" s="53" t="str">
        <f>IFERROR(__xludf.DUMMYFUNCTION("""COMPUTED_VALUE"""),"Keys and Rooms")</f>
        <v>Keys and Rooms</v>
      </c>
      <c r="C656" s="6" t="str">
        <f>IFERROR(__xludf.DUMMYFUNCTION("""COMPUTED_VALUE"""),"Medium")</f>
        <v>Medium</v>
      </c>
      <c r="D656" s="6" t="str">
        <f>IFERROR(__xludf.DUMMYFUNCTION("""COMPUTED_VALUE"""),"Graph,Depth First Search")</f>
        <v>Graph,Depth First Search</v>
      </c>
      <c r="E656" s="6" t="str">
        <f>IFERROR(__xludf.DUMMYFUNCTION("""COMPUTED_VALUE"""),"Atlassian,Adobe,Amazon,Google")</f>
        <v>Atlassian,Adobe,Amazon,Google</v>
      </c>
      <c r="F656" s="6" t="str">
        <f>IFERROR(__xludf.DUMMYFUNCTION("""COMPUTED_VALUE"""),"Amazon")</f>
        <v>Amazon</v>
      </c>
      <c r="G656" s="6" t="str">
        <f>IFERROR(__xludf.DUMMYFUNCTION("""COMPUTED_VALUE"""),"Atlassian,Adobe,Amazon")</f>
        <v>Atlassian,Adobe,Amazon</v>
      </c>
      <c r="H656" s="6" t="str">
        <f>IFERROR(__xludf.DUMMYFUNCTION("""COMPUTED_VALUE"""),"Google,Atlassian,Adobe,Amazon")</f>
        <v>Google,Atlassian,Adobe,Amazon</v>
      </c>
      <c r="I656" s="6">
        <f>IFERROR(__xludf.DUMMYFUNCTION("""COMPUTED_VALUE"""),66.09)</f>
        <v>66.09</v>
      </c>
      <c r="J656" s="6" t="str">
        <f>IFERROR(__xludf.DUMMYFUNCTION("""COMPUTED_VALUE"""),"算法")</f>
        <v>算法</v>
      </c>
    </row>
    <row r="657">
      <c r="A657" s="6">
        <f>IFERROR(__xludf.DUMMYFUNCTION("""COMPUTED_VALUE"""),843.0)</f>
        <v>843</v>
      </c>
      <c r="B657" s="53" t="str">
        <f>IFERROR(__xludf.DUMMYFUNCTION("""COMPUTED_VALUE"""),"Guess the Word")</f>
        <v>Guess the Word</v>
      </c>
      <c r="C657" s="6" t="str">
        <f>IFERROR(__xludf.DUMMYFUNCTION("""COMPUTED_VALUE"""),"Hard")</f>
        <v>Hard</v>
      </c>
      <c r="D657" s="6" t="str">
        <f>IFERROR(__xludf.DUMMYFUNCTION("""COMPUTED_VALUE"""),"Minimax")</f>
        <v>Minimax</v>
      </c>
      <c r="E657" s="6" t="str">
        <f>IFERROR(__xludf.DUMMYFUNCTION("""COMPUTED_VALUE"""),"Airbnb,Facebook,Amazon,Microsoft,Google")</f>
        <v>Airbnb,Facebook,Amazon,Microsoft,Google</v>
      </c>
      <c r="F657" s="6" t="str">
        <f>IFERROR(__xludf.DUMMYFUNCTION("""COMPUTED_VALUE"""),"Google")</f>
        <v>Google</v>
      </c>
      <c r="G657" s="6" t="str">
        <f>IFERROR(__xludf.DUMMYFUNCTION("""COMPUTED_VALUE"""),"Amazon,Google")</f>
        <v>Amazon,Google</v>
      </c>
      <c r="H657" s="6" t="str">
        <f>IFERROR(__xludf.DUMMYFUNCTION("""COMPUTED_VALUE"""),"Microsoft,Facebook,Amazon,Google")</f>
        <v>Microsoft,Facebook,Amazon,Google</v>
      </c>
      <c r="I657" s="6">
        <f>IFERROR(__xludf.DUMMYFUNCTION("""COMPUTED_VALUE"""),46.45)</f>
        <v>46.45</v>
      </c>
      <c r="J657" s="6" t="str">
        <f>IFERROR(__xludf.DUMMYFUNCTION("""COMPUTED_VALUE"""),"算法")</f>
        <v>算法</v>
      </c>
    </row>
    <row r="658">
      <c r="A658" s="6">
        <f>IFERROR(__xludf.DUMMYFUNCTION("""COMPUTED_VALUE"""),844.0)</f>
        <v>844</v>
      </c>
      <c r="B658" s="53" t="str">
        <f>IFERROR(__xludf.DUMMYFUNCTION("""COMPUTED_VALUE"""),"Backspace String Compare")</f>
        <v>Backspace String Compare</v>
      </c>
      <c r="C658" s="6" t="str">
        <f>IFERROR(__xludf.DUMMYFUNCTION("""COMPUTED_VALUE"""),"Easy")</f>
        <v>Easy</v>
      </c>
      <c r="D658" s="6" t="str">
        <f>IFERROR(__xludf.DUMMYFUNCTION("""COMPUTED_VALUE"""),"Stack,Two Pointers")</f>
        <v>Stack,Two Pointers</v>
      </c>
      <c r="E658" s="6" t="str">
        <f>IFERROR(__xludf.DUMMYFUNCTION("""COMPUTED_VALUE"""),"Codenation,Atlassian,Oracle,Uber,Facebook,Amazon,Microsoft,Google")</f>
        <v>Codenation,Atlassian,Oracle,Uber,Facebook,Amazon,Microsoft,Google</v>
      </c>
      <c r="F658" s="6" t="str">
        <f>IFERROR(__xludf.DUMMYFUNCTION("""COMPUTED_VALUE"""),"Google,Facebook,Amazon,Oracle")</f>
        <v>Google,Facebook,Amazon,Oracle</v>
      </c>
      <c r="G658" s="6" t="str">
        <f>IFERROR(__xludf.DUMMYFUNCTION("""COMPUTED_VALUE"""),"Microsoft,Codenation,Google,Facebook,Amazon,Oracle")</f>
        <v>Microsoft,Codenation,Google,Facebook,Amazon,Oracle</v>
      </c>
      <c r="H658" s="6" t="str">
        <f>IFERROR(__xludf.DUMMYFUNCTION("""COMPUTED_VALUE"""),"Atlassian,Microsoft,Codenation,Google,Facebook,Amazon,Oracle")</f>
        <v>Atlassian,Microsoft,Codenation,Google,Facebook,Amazon,Oracle</v>
      </c>
      <c r="I658" s="6">
        <f>IFERROR(__xludf.DUMMYFUNCTION("""COMPUTED_VALUE"""),47.09)</f>
        <v>47.09</v>
      </c>
      <c r="J658" s="6" t="str">
        <f>IFERROR(__xludf.DUMMYFUNCTION("""COMPUTED_VALUE"""),"算法")</f>
        <v>算法</v>
      </c>
    </row>
    <row r="659">
      <c r="A659" s="6">
        <f>IFERROR(__xludf.DUMMYFUNCTION("""COMPUTED_VALUE"""),845.0)</f>
        <v>845</v>
      </c>
      <c r="B659" s="53" t="str">
        <f>IFERROR(__xludf.DUMMYFUNCTION("""COMPUTED_VALUE"""),"Longest Mountain in Array")</f>
        <v>Longest Mountain in Array</v>
      </c>
      <c r="C659" s="6" t="str">
        <f>IFERROR(__xludf.DUMMYFUNCTION("""COMPUTED_VALUE"""),"Medium")</f>
        <v>Medium</v>
      </c>
      <c r="D659" s="6" t="str">
        <f>IFERROR(__xludf.DUMMYFUNCTION("""COMPUTED_VALUE"""),"Two Pointers")</f>
        <v>Two Pointers</v>
      </c>
      <c r="E659" s="6" t="str">
        <f>IFERROR(__xludf.DUMMYFUNCTION("""COMPUTED_VALUE"""),"Paypal,Amazon,Microsoft,Cohesity,Wish,Google")</f>
        <v>Paypal,Amazon,Microsoft,Cohesity,Wish,Google</v>
      </c>
      <c r="F659" s="6" t="str">
        <f>IFERROR(__xludf.DUMMYFUNCTION("""COMPUTED_VALUE"""),"Amazon,Paypal")</f>
        <v>Amazon,Paypal</v>
      </c>
      <c r="G659" s="6" t="str">
        <f>IFERROR(__xludf.DUMMYFUNCTION("""COMPUTED_VALUE"""),"Google,Microsoft,Amazon,Paypal")</f>
        <v>Google,Microsoft,Amazon,Paypal</v>
      </c>
      <c r="H659" s="6" t="str">
        <f>IFERROR(__xludf.DUMMYFUNCTION("""COMPUTED_VALUE"""),"Wish,Google,Microsoft,Amazon,Paypal")</f>
        <v>Wish,Google,Microsoft,Amazon,Paypal</v>
      </c>
      <c r="I659" s="6">
        <f>IFERROR(__xludf.DUMMYFUNCTION("""COMPUTED_VALUE"""),38.62)</f>
        <v>38.62</v>
      </c>
      <c r="J659" s="6" t="str">
        <f>IFERROR(__xludf.DUMMYFUNCTION("""COMPUTED_VALUE"""),"算法")</f>
        <v>算法</v>
      </c>
    </row>
    <row r="660">
      <c r="A660" s="6">
        <f>IFERROR(__xludf.DUMMYFUNCTION("""COMPUTED_VALUE"""),846.0)</f>
        <v>846</v>
      </c>
      <c r="B660" s="53" t="str">
        <f>IFERROR(__xludf.DUMMYFUNCTION("""COMPUTED_VALUE"""),"Hand of Straights")</f>
        <v>Hand of Straights</v>
      </c>
      <c r="C660" s="6" t="str">
        <f>IFERROR(__xludf.DUMMYFUNCTION("""COMPUTED_VALUE"""),"Medium")</f>
        <v>Medium</v>
      </c>
      <c r="D660" s="6" t="str">
        <f>IFERROR(__xludf.DUMMYFUNCTION("""COMPUTED_VALUE"""),"Ordered Map")</f>
        <v>Ordered Map</v>
      </c>
      <c r="E660" s="6" t="str">
        <f>IFERROR(__xludf.DUMMYFUNCTION("""COMPUTED_VALUE"""),"Apple,EBay,Bloomberg,Google")</f>
        <v>Apple,EBay,Bloomberg,Google</v>
      </c>
      <c r="F660" s="6" t="str">
        <f>IFERROR(__xludf.DUMMYFUNCTION("""COMPUTED_VALUE"""),"Apple,Google,eBay")</f>
        <v>Apple,Google,eBay</v>
      </c>
      <c r="G660" s="6" t="str">
        <f>IFERROR(__xludf.DUMMYFUNCTION("""COMPUTED_VALUE"""),"Apple,Google,eBay")</f>
        <v>Apple,Google,eBay</v>
      </c>
      <c r="H660" s="6" t="str">
        <f>IFERROR(__xludf.DUMMYFUNCTION("""COMPUTED_VALUE"""),"Bloomberg,Apple,Google,eBay")</f>
        <v>Bloomberg,Apple,Google,eBay</v>
      </c>
      <c r="I660" s="6">
        <f>IFERROR(__xludf.DUMMYFUNCTION("""COMPUTED_VALUE"""),55.46)</f>
        <v>55.46</v>
      </c>
      <c r="J660" s="6" t="str">
        <f>IFERROR(__xludf.DUMMYFUNCTION("""COMPUTED_VALUE"""),"算法")</f>
        <v>算法</v>
      </c>
    </row>
    <row r="661">
      <c r="A661" s="6">
        <f>IFERROR(__xludf.DUMMYFUNCTION("""COMPUTED_VALUE"""),847.0)</f>
        <v>847</v>
      </c>
      <c r="B661" s="53" t="str">
        <f>IFERROR(__xludf.DUMMYFUNCTION("""COMPUTED_VALUE"""),"Shortest Path Visiting All Nodes")</f>
        <v>Shortest Path Visiting All Nodes</v>
      </c>
      <c r="C661" s="6" t="str">
        <f>IFERROR(__xludf.DUMMYFUNCTION("""COMPUTED_VALUE"""),"Hard")</f>
        <v>Hard</v>
      </c>
      <c r="D661" s="6" t="str">
        <f>IFERROR(__xludf.DUMMYFUNCTION("""COMPUTED_VALUE"""),"Breadth First Search,Dynamic Programming")</f>
        <v>Breadth First Search,Dynamic Programming</v>
      </c>
      <c r="E661" s="6" t="str">
        <f>IFERROR(__xludf.DUMMYFUNCTION("""COMPUTED_VALUE"""),"Codenation,Facebook,Meituan,Amazon,Google")</f>
        <v>Codenation,Facebook,Meituan,Amazon,Google</v>
      </c>
      <c r="F661" s="6" t="str">
        <f>IFERROR(__xludf.DUMMYFUNCTION("""COMPUTED_VALUE"""),"Google")</f>
        <v>Google</v>
      </c>
      <c r="G661" s="6" t="str">
        <f>IFERROR(__xludf.DUMMYFUNCTION("""COMPUTED_VALUE"""),"Google")</f>
        <v>Google</v>
      </c>
      <c r="H661" s="6" t="str">
        <f>IFERROR(__xludf.DUMMYFUNCTION("""COMPUTED_VALUE"""),"Facebook,Codenation,Google")</f>
        <v>Facebook,Codenation,Google</v>
      </c>
      <c r="I661" s="6">
        <f>IFERROR(__xludf.DUMMYFUNCTION("""COMPUTED_VALUE"""),53.9)</f>
        <v>53.9</v>
      </c>
      <c r="J661" s="6" t="str">
        <f>IFERROR(__xludf.DUMMYFUNCTION("""COMPUTED_VALUE"""),"算法")</f>
        <v>算法</v>
      </c>
    </row>
    <row r="662">
      <c r="A662" s="6">
        <f>IFERROR(__xludf.DUMMYFUNCTION("""COMPUTED_VALUE"""),849.0)</f>
        <v>849</v>
      </c>
      <c r="B662" s="53" t="str">
        <f>IFERROR(__xludf.DUMMYFUNCTION("""COMPUTED_VALUE"""),"Maximize Distance to Closest Person")</f>
        <v>Maximize Distance to Closest Person</v>
      </c>
      <c r="C662" s="6" t="str">
        <f>IFERROR(__xludf.DUMMYFUNCTION("""COMPUTED_VALUE"""),"Medium")</f>
        <v>Medium</v>
      </c>
      <c r="D662" s="6" t="str">
        <f>IFERROR(__xludf.DUMMYFUNCTION("""COMPUTED_VALUE"""),"Array")</f>
        <v>Array</v>
      </c>
      <c r="E662" s="6" t="str">
        <f>IFERROR(__xludf.DUMMYFUNCTION("""COMPUTED_VALUE"""),"Audible,Yandex,Microsoft,Amazon,Google")</f>
        <v>Audible,Yandex,Microsoft,Amazon,Google</v>
      </c>
      <c r="F662" s="6" t="str">
        <f>IFERROR(__xludf.DUMMYFUNCTION("""COMPUTED_VALUE"""),"Yandex,Google,Audible")</f>
        <v>Yandex,Google,Audible</v>
      </c>
      <c r="G662" s="6" t="str">
        <f>IFERROR(__xludf.DUMMYFUNCTION("""COMPUTED_VALUE"""),"Amazon,Microsoft,Yandex,Google,Audible")</f>
        <v>Amazon,Microsoft,Yandex,Google,Audible</v>
      </c>
      <c r="H662" s="6" t="str">
        <f>IFERROR(__xludf.DUMMYFUNCTION("""COMPUTED_VALUE"""),"Amazon,Microsoft,Yandex,Google,Audible")</f>
        <v>Amazon,Microsoft,Yandex,Google,Audible</v>
      </c>
      <c r="I662" s="6">
        <f>IFERROR(__xludf.DUMMYFUNCTION("""COMPUTED_VALUE"""),44.49)</f>
        <v>44.49</v>
      </c>
      <c r="J662" s="6" t="str">
        <f>IFERROR(__xludf.DUMMYFUNCTION("""COMPUTED_VALUE"""),"算法")</f>
        <v>算法</v>
      </c>
    </row>
    <row r="663">
      <c r="A663" s="6">
        <f>IFERROR(__xludf.DUMMYFUNCTION("""COMPUTED_VALUE"""),850.0)</f>
        <v>850</v>
      </c>
      <c r="B663" s="53" t="str">
        <f>IFERROR(__xludf.DUMMYFUNCTION("""COMPUTED_VALUE"""),"Rectangle Area II")</f>
        <v>Rectangle Area II</v>
      </c>
      <c r="C663" s="6" t="str">
        <f>IFERROR(__xludf.DUMMYFUNCTION("""COMPUTED_VALUE"""),"Hard")</f>
        <v>Hard</v>
      </c>
      <c r="D663" s="6" t="str">
        <f>IFERROR(__xludf.DUMMYFUNCTION("""COMPUTED_VALUE"""),"Line Sweep,Segment Tree")</f>
        <v>Line Sweep,Segment Tree</v>
      </c>
      <c r="E663" s="6" t="str">
        <f>IFERROR(__xludf.DUMMYFUNCTION("""COMPUTED_VALUE"""),"Sumologic,Google")</f>
        <v>Sumologic,Google</v>
      </c>
      <c r="F663" s="6" t="str">
        <f>IFERROR(__xludf.DUMMYFUNCTION("""COMPUTED_VALUE"""),"Sumologic")</f>
        <v>Sumologic</v>
      </c>
      <c r="G663" s="6" t="str">
        <f>IFERROR(__xludf.DUMMYFUNCTION("""COMPUTED_VALUE"""),"Google,Sumologic")</f>
        <v>Google,Sumologic</v>
      </c>
      <c r="H663" s="6" t="str">
        <f>IFERROR(__xludf.DUMMYFUNCTION("""COMPUTED_VALUE"""),"Google,Sumologic")</f>
        <v>Google,Sumologic</v>
      </c>
      <c r="I663" s="6">
        <f>IFERROR(__xludf.DUMMYFUNCTION("""COMPUTED_VALUE"""),48.3)</f>
        <v>48.3</v>
      </c>
      <c r="J663" s="6" t="str">
        <f>IFERROR(__xludf.DUMMYFUNCTION("""COMPUTED_VALUE"""),"算法")</f>
        <v>算法</v>
      </c>
    </row>
    <row r="664">
      <c r="A664" s="6">
        <f>IFERROR(__xludf.DUMMYFUNCTION("""COMPUTED_VALUE"""),852.0)</f>
        <v>852</v>
      </c>
      <c r="B664" s="53" t="str">
        <f>IFERROR(__xludf.DUMMYFUNCTION("""COMPUTED_VALUE"""),"Peak Index in a Mountain Array")</f>
        <v>Peak Index in a Mountain Array</v>
      </c>
      <c r="C664" s="6" t="str">
        <f>IFERROR(__xludf.DUMMYFUNCTION("""COMPUTED_VALUE"""),"Easy")</f>
        <v>Easy</v>
      </c>
      <c r="D664" s="6" t="str">
        <f>IFERROR(__xludf.DUMMYFUNCTION("""COMPUTED_VALUE"""),"Binary Search")</f>
        <v>Binary Search</v>
      </c>
      <c r="E664" s="6" t="str">
        <f>IFERROR(__xludf.DUMMYFUNCTION("""COMPUTED_VALUE"""),"Yahoo,Quora,Uber,Bloomberg,Facebook,Amazon,Microsoft,Google")</f>
        <v>Yahoo,Quora,Uber,Bloomberg,Facebook,Amazon,Microsoft,Google</v>
      </c>
      <c r="F664" s="6" t="str">
        <f>IFERROR(__xludf.DUMMYFUNCTION("""COMPUTED_VALUE"""),"Yahoo")</f>
        <v>Yahoo</v>
      </c>
      <c r="G664" s="6" t="str">
        <f>IFERROR(__xludf.DUMMYFUNCTION("""COMPUTED_VALUE"""),"Bloomberg,Microsoft,Yahoo")</f>
        <v>Bloomberg,Microsoft,Yahoo</v>
      </c>
      <c r="H664" s="6" t="str">
        <f>IFERROR(__xludf.DUMMYFUNCTION("""COMPUTED_VALUE"""),"Google,Facebook,Amazon,Quora,Uber,Bloomberg,Microsoft,Yahoo")</f>
        <v>Google,Facebook,Amazon,Quora,Uber,Bloomberg,Microsoft,Yahoo</v>
      </c>
      <c r="I664" s="6">
        <f>IFERROR(__xludf.DUMMYFUNCTION("""COMPUTED_VALUE"""),71.63)</f>
        <v>71.63</v>
      </c>
      <c r="J664" s="6" t="str">
        <f>IFERROR(__xludf.DUMMYFUNCTION("""COMPUTED_VALUE"""),"算法")</f>
        <v>算法</v>
      </c>
    </row>
    <row r="665">
      <c r="A665" s="6">
        <f>IFERROR(__xludf.DUMMYFUNCTION("""COMPUTED_VALUE"""),853.0)</f>
        <v>853</v>
      </c>
      <c r="B665" s="53" t="str">
        <f>IFERROR(__xludf.DUMMYFUNCTION("""COMPUTED_VALUE"""),"Car Fleet")</f>
        <v>Car Fleet</v>
      </c>
      <c r="C665" s="6" t="str">
        <f>IFERROR(__xludf.DUMMYFUNCTION("""COMPUTED_VALUE"""),"Medium")</f>
        <v>Medium</v>
      </c>
      <c r="D665" s="6" t="str">
        <f>IFERROR(__xludf.DUMMYFUNCTION("""COMPUTED_VALUE"""),"Sort")</f>
        <v>Sort</v>
      </c>
      <c r="E665" s="6" t="str">
        <f>IFERROR(__xludf.DUMMYFUNCTION("""COMPUTED_VALUE"""),"Nutanix,Google")</f>
        <v>Nutanix,Google</v>
      </c>
      <c r="F665" s="6" t="str">
        <f>IFERROR(__xludf.DUMMYFUNCTION("""COMPUTED_VALUE"""),"Google,Nutanix")</f>
        <v>Google,Nutanix</v>
      </c>
      <c r="G665" s="6" t="str">
        <f>IFERROR(__xludf.DUMMYFUNCTION("""COMPUTED_VALUE"""),"Google,Nutanix")</f>
        <v>Google,Nutanix</v>
      </c>
      <c r="H665" s="6" t="str">
        <f>IFERROR(__xludf.DUMMYFUNCTION("""COMPUTED_VALUE"""),"Google,Nutanix")</f>
        <v>Google,Nutanix</v>
      </c>
      <c r="I665" s="6">
        <f>IFERROR(__xludf.DUMMYFUNCTION("""COMPUTED_VALUE"""),44.13)</f>
        <v>44.13</v>
      </c>
      <c r="J665" s="6" t="str">
        <f>IFERROR(__xludf.DUMMYFUNCTION("""COMPUTED_VALUE"""),"算法")</f>
        <v>算法</v>
      </c>
    </row>
    <row r="666">
      <c r="A666" s="6">
        <f>IFERROR(__xludf.DUMMYFUNCTION("""COMPUTED_VALUE"""),854.0)</f>
        <v>854</v>
      </c>
      <c r="B666" s="53" t="str">
        <f>IFERROR(__xludf.DUMMYFUNCTION("""COMPUTED_VALUE"""),"K-Similar Strings")</f>
        <v>K-Similar Strings</v>
      </c>
      <c r="C666" s="6" t="str">
        <f>IFERROR(__xludf.DUMMYFUNCTION("""COMPUTED_VALUE"""),"Hard")</f>
        <v>Hard</v>
      </c>
      <c r="D666" s="6" t="str">
        <f>IFERROR(__xludf.DUMMYFUNCTION("""COMPUTED_VALUE"""),"Graph,Breadth First Search")</f>
        <v>Graph,Breadth First Search</v>
      </c>
      <c r="E666" s="6" t="str">
        <f>IFERROR(__xludf.DUMMYFUNCTION("""COMPUTED_VALUE"""),"Amazon,Google")</f>
        <v>Amazon,Google</v>
      </c>
      <c r="F666" s="6"/>
      <c r="G666" s="6" t="str">
        <f>IFERROR(__xludf.DUMMYFUNCTION("""COMPUTED_VALUE"""),"Amazon")</f>
        <v>Amazon</v>
      </c>
      <c r="H666" s="6" t="str">
        <f>IFERROR(__xludf.DUMMYFUNCTION("""COMPUTED_VALUE"""),"Google,Amazon")</f>
        <v>Google,Amazon</v>
      </c>
      <c r="I666" s="6">
        <f>IFERROR(__xludf.DUMMYFUNCTION("""COMPUTED_VALUE"""),38.7)</f>
        <v>38.7</v>
      </c>
      <c r="J666" s="6" t="str">
        <f>IFERROR(__xludf.DUMMYFUNCTION("""COMPUTED_VALUE"""),"算法")</f>
        <v>算法</v>
      </c>
    </row>
    <row r="667">
      <c r="A667" s="6">
        <f>IFERROR(__xludf.DUMMYFUNCTION("""COMPUTED_VALUE"""),855.0)</f>
        <v>855</v>
      </c>
      <c r="B667" s="53" t="str">
        <f>IFERROR(__xludf.DUMMYFUNCTION("""COMPUTED_VALUE"""),"Exam Room")</f>
        <v>Exam Room</v>
      </c>
      <c r="C667" s="6" t="str">
        <f>IFERROR(__xludf.DUMMYFUNCTION("""COMPUTED_VALUE"""),"Medium")</f>
        <v>Medium</v>
      </c>
      <c r="D667" s="6" t="str">
        <f>IFERROR(__xludf.DUMMYFUNCTION("""COMPUTED_VALUE"""),"Ordered Map")</f>
        <v>Ordered Map</v>
      </c>
      <c r="E667" s="6" t="str">
        <f>IFERROR(__xludf.DUMMYFUNCTION("""COMPUTED_VALUE"""),"Quip (Salesforce),Quora,Uber,Facebook,Amazon,Google")</f>
        <v>Quip (Salesforce),Quora,Uber,Facebook,Amazon,Google</v>
      </c>
      <c r="F667" s="6" t="str">
        <f>IFERROR(__xludf.DUMMYFUNCTION("""COMPUTED_VALUE"""),"Google")</f>
        <v>Google</v>
      </c>
      <c r="G667" s="6" t="str">
        <f>IFERROR(__xludf.DUMMYFUNCTION("""COMPUTED_VALUE"""),"Facebook,Google")</f>
        <v>Facebook,Google</v>
      </c>
      <c r="H667" s="6" t="str">
        <f>IFERROR(__xludf.DUMMYFUNCTION("""COMPUTED_VALUE"""),"Quora,Quip (Salesforce),Uber,Amazon,Facebook,Google")</f>
        <v>Quora,Quip (Salesforce),Uber,Amazon,Facebook,Google</v>
      </c>
      <c r="I667" s="6">
        <f>IFERROR(__xludf.DUMMYFUNCTION("""COMPUTED_VALUE"""),43.44)</f>
        <v>43.44</v>
      </c>
      <c r="J667" s="6" t="str">
        <f>IFERROR(__xludf.DUMMYFUNCTION("""COMPUTED_VALUE"""),"算法")</f>
        <v>算法</v>
      </c>
    </row>
    <row r="668">
      <c r="A668" s="6">
        <f>IFERROR(__xludf.DUMMYFUNCTION("""COMPUTED_VALUE"""),856.0)</f>
        <v>856</v>
      </c>
      <c r="B668" s="53" t="str">
        <f>IFERROR(__xludf.DUMMYFUNCTION("""COMPUTED_VALUE"""),"Score of Parentheses")</f>
        <v>Score of Parentheses</v>
      </c>
      <c r="C668" s="6" t="str">
        <f>IFERROR(__xludf.DUMMYFUNCTION("""COMPUTED_VALUE"""),"Medium")</f>
        <v>Medium</v>
      </c>
      <c r="D668" s="6" t="str">
        <f>IFERROR(__xludf.DUMMYFUNCTION("""COMPUTED_VALUE"""),"Stack,String")</f>
        <v>Stack,String</v>
      </c>
      <c r="E668" s="6" t="str">
        <f>IFERROR(__xludf.DUMMYFUNCTION("""COMPUTED_VALUE"""),"ByteDance,Bloomberg,Adobe,Google,Amazon")</f>
        <v>ByteDance,Bloomberg,Adobe,Google,Amazon</v>
      </c>
      <c r="F668" s="6" t="str">
        <f>IFERROR(__xludf.DUMMYFUNCTION("""COMPUTED_VALUE"""),"Amazon,Google")</f>
        <v>Amazon,Google</v>
      </c>
      <c r="G668" s="6" t="str">
        <f>IFERROR(__xludf.DUMMYFUNCTION("""COMPUTED_VALUE"""),"Amazon,Google")</f>
        <v>Amazon,Google</v>
      </c>
      <c r="H668" s="6" t="str">
        <f>IFERROR(__xludf.DUMMYFUNCTION("""COMPUTED_VALUE"""),"Bloomberg,Adobe,ByteDance,Amazon,Google")</f>
        <v>Bloomberg,Adobe,ByteDance,Amazon,Google</v>
      </c>
      <c r="I668" s="6">
        <f>IFERROR(__xludf.DUMMYFUNCTION("""COMPUTED_VALUE"""),64.85)</f>
        <v>64.85</v>
      </c>
      <c r="J668" s="6" t="str">
        <f>IFERROR(__xludf.DUMMYFUNCTION("""COMPUTED_VALUE"""),"算法")</f>
        <v>算法</v>
      </c>
    </row>
    <row r="669">
      <c r="A669" s="6">
        <f>IFERROR(__xludf.DUMMYFUNCTION("""COMPUTED_VALUE"""),857.0)</f>
        <v>857</v>
      </c>
      <c r="B669" s="53" t="str">
        <f>IFERROR(__xludf.DUMMYFUNCTION("""COMPUTED_VALUE"""),"Minimum Cost to Hire K Workers")</f>
        <v>Minimum Cost to Hire K Workers</v>
      </c>
      <c r="C669" s="6" t="str">
        <f>IFERROR(__xludf.DUMMYFUNCTION("""COMPUTED_VALUE"""),"Hard")</f>
        <v>Hard</v>
      </c>
      <c r="D669" s="6" t="str">
        <f>IFERROR(__xludf.DUMMYFUNCTION("""COMPUTED_VALUE"""),"Heap")</f>
        <v>Heap</v>
      </c>
      <c r="E669" s="6" t="str">
        <f>IFERROR(__xludf.DUMMYFUNCTION("""COMPUTED_VALUE"""),"Amazon,Google")</f>
        <v>Amazon,Google</v>
      </c>
      <c r="F669" s="6" t="str">
        <f>IFERROR(__xludf.DUMMYFUNCTION("""COMPUTED_VALUE"""),"Google")</f>
        <v>Google</v>
      </c>
      <c r="G669" s="6" t="str">
        <f>IFERROR(__xludf.DUMMYFUNCTION("""COMPUTED_VALUE"""),"Google")</f>
        <v>Google</v>
      </c>
      <c r="H669" s="6" t="str">
        <f>IFERROR(__xludf.DUMMYFUNCTION("""COMPUTED_VALUE"""),"Amazon,Google")</f>
        <v>Amazon,Google</v>
      </c>
      <c r="I669" s="6">
        <f>IFERROR(__xludf.DUMMYFUNCTION("""COMPUTED_VALUE"""),50.47)</f>
        <v>50.47</v>
      </c>
      <c r="J669" s="6" t="str">
        <f>IFERROR(__xludf.DUMMYFUNCTION("""COMPUTED_VALUE"""),"算法")</f>
        <v>算法</v>
      </c>
    </row>
    <row r="670">
      <c r="A670" s="6">
        <f>IFERROR(__xludf.DUMMYFUNCTION("""COMPUTED_VALUE"""),858.0)</f>
        <v>858</v>
      </c>
      <c r="B670" s="53" t="str">
        <f>IFERROR(__xludf.DUMMYFUNCTION("""COMPUTED_VALUE"""),"Mirror Reflection")</f>
        <v>Mirror Reflection</v>
      </c>
      <c r="C670" s="6" t="str">
        <f>IFERROR(__xludf.DUMMYFUNCTION("""COMPUTED_VALUE"""),"Medium")</f>
        <v>Medium</v>
      </c>
      <c r="D670" s="6" t="str">
        <f>IFERROR(__xludf.DUMMYFUNCTION("""COMPUTED_VALUE"""),"Math")</f>
        <v>Math</v>
      </c>
      <c r="E670" s="6" t="str">
        <f>IFERROR(__xludf.DUMMYFUNCTION("""COMPUTED_VALUE"""),"Facebook,Google")</f>
        <v>Facebook,Google</v>
      </c>
      <c r="F670" s="6"/>
      <c r="G670" s="6" t="str">
        <f>IFERROR(__xludf.DUMMYFUNCTION("""COMPUTED_VALUE"""),"Facebook")</f>
        <v>Facebook</v>
      </c>
      <c r="H670" s="6" t="str">
        <f>IFERROR(__xludf.DUMMYFUNCTION("""COMPUTED_VALUE"""),"Facebook")</f>
        <v>Facebook</v>
      </c>
      <c r="I670" s="6">
        <f>IFERROR(__xludf.DUMMYFUNCTION("""COMPUTED_VALUE"""),59.63)</f>
        <v>59.63</v>
      </c>
      <c r="J670" s="6" t="str">
        <f>IFERROR(__xludf.DUMMYFUNCTION("""COMPUTED_VALUE"""),"算法")</f>
        <v>算法</v>
      </c>
    </row>
    <row r="671">
      <c r="A671" s="6">
        <f>IFERROR(__xludf.DUMMYFUNCTION("""COMPUTED_VALUE"""),859.0)</f>
        <v>859</v>
      </c>
      <c r="B671" s="53" t="str">
        <f>IFERROR(__xludf.DUMMYFUNCTION("""COMPUTED_VALUE"""),"Buddy Strings")</f>
        <v>Buddy Strings</v>
      </c>
      <c r="C671" s="6" t="str">
        <f>IFERROR(__xludf.DUMMYFUNCTION("""COMPUTED_VALUE"""),"Easy")</f>
        <v>Easy</v>
      </c>
      <c r="D671" s="6" t="str">
        <f>IFERROR(__xludf.DUMMYFUNCTION("""COMPUTED_VALUE"""),"String")</f>
        <v>String</v>
      </c>
      <c r="E671" s="6" t="str">
        <f>IFERROR(__xludf.DUMMYFUNCTION("""COMPUTED_VALUE"""),"Facebook,Google")</f>
        <v>Facebook,Google</v>
      </c>
      <c r="F671" s="6"/>
      <c r="G671" s="6" t="str">
        <f>IFERROR(__xludf.DUMMYFUNCTION("""COMPUTED_VALUE"""),"Facebook")</f>
        <v>Facebook</v>
      </c>
      <c r="H671" s="6" t="str">
        <f>IFERROR(__xludf.DUMMYFUNCTION("""COMPUTED_VALUE"""),"Google,Facebook")</f>
        <v>Google,Facebook</v>
      </c>
      <c r="I671" s="6">
        <f>IFERROR(__xludf.DUMMYFUNCTION("""COMPUTED_VALUE"""),29.23)</f>
        <v>29.23</v>
      </c>
      <c r="J671" s="6" t="str">
        <f>IFERROR(__xludf.DUMMYFUNCTION("""COMPUTED_VALUE"""),"算法")</f>
        <v>算法</v>
      </c>
    </row>
    <row r="672">
      <c r="A672" s="6">
        <f>IFERROR(__xludf.DUMMYFUNCTION("""COMPUTED_VALUE"""),862.0)</f>
        <v>862</v>
      </c>
      <c r="B672" s="53" t="str">
        <f>IFERROR(__xludf.DUMMYFUNCTION("""COMPUTED_VALUE"""),"Shortest Subarray with Sum at Least K")</f>
        <v>Shortest Subarray with Sum at Least K</v>
      </c>
      <c r="C672" s="6" t="str">
        <f>IFERROR(__xludf.DUMMYFUNCTION("""COMPUTED_VALUE"""),"Hard")</f>
        <v>Hard</v>
      </c>
      <c r="D672" s="6" t="str">
        <f>IFERROR(__xludf.DUMMYFUNCTION("""COMPUTED_VALUE"""),"Queue,Binary Search")</f>
        <v>Queue,Binary Search</v>
      </c>
      <c r="E672" s="6" t="str">
        <f>IFERROR(__xludf.DUMMYFUNCTION("""COMPUTED_VALUE"""),"Microsoft,Facebook,Amazon,Goldman Sachs,Google")</f>
        <v>Microsoft,Facebook,Amazon,Goldman Sachs,Google</v>
      </c>
      <c r="F672" s="6" t="str">
        <f>IFERROR(__xludf.DUMMYFUNCTION("""COMPUTED_VALUE"""),"Goldman Sachs")</f>
        <v>Goldman Sachs</v>
      </c>
      <c r="G672" s="6" t="str">
        <f>IFERROR(__xludf.DUMMYFUNCTION("""COMPUTED_VALUE"""),"Google,Amazon,Goldman Sachs")</f>
        <v>Google,Amazon,Goldman Sachs</v>
      </c>
      <c r="H672" s="6" t="str">
        <f>IFERROR(__xludf.DUMMYFUNCTION("""COMPUTED_VALUE"""),"Microsoft,Google,Amazon,Goldman Sachs")</f>
        <v>Microsoft,Google,Amazon,Goldman Sachs</v>
      </c>
      <c r="I672" s="6">
        <f>IFERROR(__xludf.DUMMYFUNCTION("""COMPUTED_VALUE"""),25.22)</f>
        <v>25.22</v>
      </c>
      <c r="J672" s="6" t="str">
        <f>IFERROR(__xludf.DUMMYFUNCTION("""COMPUTED_VALUE"""),"算法")</f>
        <v>算法</v>
      </c>
    </row>
    <row r="673">
      <c r="A673" s="6">
        <f>IFERROR(__xludf.DUMMYFUNCTION("""COMPUTED_VALUE"""),863.0)</f>
        <v>863</v>
      </c>
      <c r="B673" s="53" t="str">
        <f>IFERROR(__xludf.DUMMYFUNCTION("""COMPUTED_VALUE"""),"All Nodes Distance K in Binary Tree")</f>
        <v>All Nodes Distance K in Binary Tree</v>
      </c>
      <c r="C673" s="6" t="str">
        <f>IFERROR(__xludf.DUMMYFUNCTION("""COMPUTED_VALUE"""),"Medium")</f>
        <v>Medium</v>
      </c>
      <c r="D673" s="6" t="str">
        <f>IFERROR(__xludf.DUMMYFUNCTION("""COMPUTED_VALUE"""),"Breadth First Search,Depth First Search,Tree")</f>
        <v>Breadth First Search,Depth First Search,Tree</v>
      </c>
      <c r="E673" s="6" t="str">
        <f>IFERROR(__xludf.DUMMYFUNCTION("""COMPUTED_VALUE"""),"Adobe,Hulu,ByteDance,Oracle,DiDi,Apple,Uber,Yahoo,Bloomberg,Facebook,Amazon,Microsoft,Google")</f>
        <v>Adobe,Hulu,ByteDance,Oracle,DiDi,Apple,Uber,Yahoo,Bloomberg,Facebook,Amazon,Microsoft,Google</v>
      </c>
      <c r="F673" s="6" t="str">
        <f>IFERROR(__xludf.DUMMYFUNCTION("""COMPUTED_VALUE"""),"Amazon,Facebook,Google")</f>
        <v>Amazon,Facebook,Google</v>
      </c>
      <c r="G673" s="6" t="str">
        <f>IFERROR(__xludf.DUMMYFUNCTION("""COMPUTED_VALUE"""),"Microsoft,Apple,Bloomberg,Amazon,Facebook,Google")</f>
        <v>Microsoft,Apple,Bloomberg,Amazon,Facebook,Google</v>
      </c>
      <c r="H673" s="6" t="str">
        <f>IFERROR(__xludf.DUMMYFUNCTION("""COMPUTED_VALUE"""),"Uber,Oracle,DiDi,ByteDance,Adobe,Microsoft,Apple,Bloomberg,Amazon,Facebook,Google")</f>
        <v>Uber,Oracle,DiDi,ByteDance,Adobe,Microsoft,Apple,Bloomberg,Amazon,Facebook,Google</v>
      </c>
      <c r="I673" s="6">
        <f>IFERROR(__xludf.DUMMYFUNCTION("""COMPUTED_VALUE"""),58.05)</f>
        <v>58.05</v>
      </c>
      <c r="J673" s="6" t="str">
        <f>IFERROR(__xludf.DUMMYFUNCTION("""COMPUTED_VALUE"""),"算法")</f>
        <v>算法</v>
      </c>
    </row>
    <row r="674">
      <c r="A674" s="6">
        <f>IFERROR(__xludf.DUMMYFUNCTION("""COMPUTED_VALUE"""),864.0)</f>
        <v>864</v>
      </c>
      <c r="B674" s="53" t="str">
        <f>IFERROR(__xludf.DUMMYFUNCTION("""COMPUTED_VALUE"""),"Shortest Path to Get All Keys")</f>
        <v>Shortest Path to Get All Keys</v>
      </c>
      <c r="C674" s="6" t="str">
        <f>IFERROR(__xludf.DUMMYFUNCTION("""COMPUTED_VALUE"""),"Hard")</f>
        <v>Hard</v>
      </c>
      <c r="D674" s="6" t="str">
        <f>IFERROR(__xludf.DUMMYFUNCTION("""COMPUTED_VALUE"""),"Breadth First Search,Heap")</f>
        <v>Breadth First Search,Heap</v>
      </c>
      <c r="E674" s="6" t="str">
        <f>IFERROR(__xludf.DUMMYFUNCTION("""COMPUTED_VALUE"""),"ByteDance,Airbnb,Amazon,Google")</f>
        <v>ByteDance,Airbnb,Amazon,Google</v>
      </c>
      <c r="F674" s="6" t="str">
        <f>IFERROR(__xludf.DUMMYFUNCTION("""COMPUTED_VALUE"""),"ByteDance,Airbnb")</f>
        <v>ByteDance,Airbnb</v>
      </c>
      <c r="G674" s="6" t="str">
        <f>IFERROR(__xludf.DUMMYFUNCTION("""COMPUTED_VALUE"""),"ByteDance,Airbnb")</f>
        <v>ByteDance,Airbnb</v>
      </c>
      <c r="H674" s="6" t="str">
        <f>IFERROR(__xludf.DUMMYFUNCTION("""COMPUTED_VALUE"""),"Google,ByteDance,Airbnb")</f>
        <v>Google,ByteDance,Airbnb</v>
      </c>
      <c r="I674" s="6">
        <f>IFERROR(__xludf.DUMMYFUNCTION("""COMPUTED_VALUE"""),42.25)</f>
        <v>42.25</v>
      </c>
      <c r="J674" s="6" t="str">
        <f>IFERROR(__xludf.DUMMYFUNCTION("""COMPUTED_VALUE"""),"算法")</f>
        <v>算法</v>
      </c>
    </row>
    <row r="675">
      <c r="A675" s="6">
        <f>IFERROR(__xludf.DUMMYFUNCTION("""COMPUTED_VALUE"""),871.0)</f>
        <v>871</v>
      </c>
      <c r="B675" s="53" t="str">
        <f>IFERROR(__xludf.DUMMYFUNCTION("""COMPUTED_VALUE"""),"Minimum Number of Refueling Stops")</f>
        <v>Minimum Number of Refueling Stops</v>
      </c>
      <c r="C675" s="6" t="str">
        <f>IFERROR(__xludf.DUMMYFUNCTION("""COMPUTED_VALUE"""),"Hard")</f>
        <v>Hard</v>
      </c>
      <c r="D675" s="6" t="str">
        <f>IFERROR(__xludf.DUMMYFUNCTION("""COMPUTED_VALUE"""),"Heap,Dynamic Programming")</f>
        <v>Heap,Dynamic Programming</v>
      </c>
      <c r="E675" s="6" t="str">
        <f>IFERROR(__xludf.DUMMYFUNCTION("""COMPUTED_VALUE"""),"Flipkart,Uber,Morgan Stanley,Baidu,Amazon,Microsoft,Google")</f>
        <v>Flipkart,Uber,Morgan Stanley,Baidu,Amazon,Microsoft,Google</v>
      </c>
      <c r="F675" s="6" t="str">
        <f>IFERROR(__xludf.DUMMYFUNCTION("""COMPUTED_VALUE"""),"Flipkart,Google")</f>
        <v>Flipkart,Google</v>
      </c>
      <c r="G675" s="6" t="str">
        <f>IFERROR(__xludf.DUMMYFUNCTION("""COMPUTED_VALUE"""),"Morgan Stanley,Uber,Flipkart,Google")</f>
        <v>Morgan Stanley,Uber,Flipkart,Google</v>
      </c>
      <c r="H675" s="6" t="str">
        <f>IFERROR(__xludf.DUMMYFUNCTION("""COMPUTED_VALUE"""),"Amazon,Baidu,Microsoft,Morgan Stanley,Uber,Flipkart,Google")</f>
        <v>Amazon,Baidu,Microsoft,Morgan Stanley,Uber,Flipkart,Google</v>
      </c>
      <c r="I675" s="6">
        <f>IFERROR(__xludf.DUMMYFUNCTION("""COMPUTED_VALUE"""),32.36)</f>
        <v>32.36</v>
      </c>
      <c r="J675" s="6" t="str">
        <f>IFERROR(__xludf.DUMMYFUNCTION("""COMPUTED_VALUE"""),"算法")</f>
        <v>算法</v>
      </c>
    </row>
    <row r="676">
      <c r="A676" s="6">
        <f>IFERROR(__xludf.DUMMYFUNCTION("""COMPUTED_VALUE"""),872.0)</f>
        <v>872</v>
      </c>
      <c r="B676" s="53" t="str">
        <f>IFERROR(__xludf.DUMMYFUNCTION("""COMPUTED_VALUE"""),"Leaf-Similar Trees")</f>
        <v>Leaf-Similar Trees</v>
      </c>
      <c r="C676" s="6" t="str">
        <f>IFERROR(__xludf.DUMMYFUNCTION("""COMPUTED_VALUE"""),"Easy")</f>
        <v>Easy</v>
      </c>
      <c r="D676" s="6" t="str">
        <f>IFERROR(__xludf.DUMMYFUNCTION("""COMPUTED_VALUE"""),"Depth First Search,Tree")</f>
        <v>Depth First Search,Tree</v>
      </c>
      <c r="E676" s="6" t="str">
        <f>IFERROR(__xludf.DUMMYFUNCTION("""COMPUTED_VALUE"""),"Atlassian,Facebook,Amazon,Microsoft,Google")</f>
        <v>Atlassian,Facebook,Amazon,Microsoft,Google</v>
      </c>
      <c r="F676" s="6" t="str">
        <f>IFERROR(__xludf.DUMMYFUNCTION("""COMPUTED_VALUE"""),"Amazon")</f>
        <v>Amazon</v>
      </c>
      <c r="G676" s="6" t="str">
        <f>IFERROR(__xludf.DUMMYFUNCTION("""COMPUTED_VALUE"""),"Microsoft,Atlassian,Amazon")</f>
        <v>Microsoft,Atlassian,Amazon</v>
      </c>
      <c r="H676" s="6" t="str">
        <f>IFERROR(__xludf.DUMMYFUNCTION("""COMPUTED_VALUE"""),"Facebook,Microsoft,Atlassian,Amazon")</f>
        <v>Facebook,Microsoft,Atlassian,Amazon</v>
      </c>
      <c r="I676" s="6">
        <f>IFERROR(__xludf.DUMMYFUNCTION("""COMPUTED_VALUE"""),64.51)</f>
        <v>64.51</v>
      </c>
      <c r="J676" s="6" t="str">
        <f>IFERROR(__xludf.DUMMYFUNCTION("""COMPUTED_VALUE"""),"算法")</f>
        <v>算法</v>
      </c>
    </row>
    <row r="677">
      <c r="A677" s="6">
        <f>IFERROR(__xludf.DUMMYFUNCTION("""COMPUTED_VALUE"""),875.0)</f>
        <v>875</v>
      </c>
      <c r="B677" s="53" t="str">
        <f>IFERROR(__xludf.DUMMYFUNCTION("""COMPUTED_VALUE"""),"Koko Eating Bananas")</f>
        <v>Koko Eating Bananas</v>
      </c>
      <c r="C677" s="6" t="str">
        <f>IFERROR(__xludf.DUMMYFUNCTION("""COMPUTED_VALUE"""),"Medium")</f>
        <v>Medium</v>
      </c>
      <c r="D677" s="6" t="str">
        <f>IFERROR(__xludf.DUMMYFUNCTION("""COMPUTED_VALUE"""),"Binary Search")</f>
        <v>Binary Search</v>
      </c>
      <c r="E677" s="6" t="str">
        <f>IFERROR(__xludf.DUMMYFUNCTION("""COMPUTED_VALUE"""),"Amazon,Airbnb,Adobe,Facebook,Google")</f>
        <v>Amazon,Airbnb,Adobe,Facebook,Google</v>
      </c>
      <c r="F677" s="6" t="str">
        <f>IFERROR(__xludf.DUMMYFUNCTION("""COMPUTED_VALUE"""),"Facebook")</f>
        <v>Facebook</v>
      </c>
      <c r="G677" s="6" t="str">
        <f>IFERROR(__xludf.DUMMYFUNCTION("""COMPUTED_VALUE"""),"Amazon,Adobe,Facebook")</f>
        <v>Amazon,Adobe,Facebook</v>
      </c>
      <c r="H677" s="6" t="str">
        <f>IFERROR(__xludf.DUMMYFUNCTION("""COMPUTED_VALUE"""),"Airbnb,Google,Amazon,Adobe,Facebook")</f>
        <v>Airbnb,Google,Amazon,Adobe,Facebook</v>
      </c>
      <c r="I677" s="6">
        <f>IFERROR(__xludf.DUMMYFUNCTION("""COMPUTED_VALUE"""),53.48)</f>
        <v>53.48</v>
      </c>
      <c r="J677" s="6" t="str">
        <f>IFERROR(__xludf.DUMMYFUNCTION("""COMPUTED_VALUE"""),"算法")</f>
        <v>算法</v>
      </c>
    </row>
    <row r="678">
      <c r="A678" s="6">
        <f>IFERROR(__xludf.DUMMYFUNCTION("""COMPUTED_VALUE"""),877.0)</f>
        <v>877</v>
      </c>
      <c r="B678" s="53" t="str">
        <f>IFERROR(__xludf.DUMMYFUNCTION("""COMPUTED_VALUE"""),"Stone Game")</f>
        <v>Stone Game</v>
      </c>
      <c r="C678" s="6" t="str">
        <f>IFERROR(__xludf.DUMMYFUNCTION("""COMPUTED_VALUE"""),"Medium")</f>
        <v>Medium</v>
      </c>
      <c r="D678" s="6" t="str">
        <f>IFERROR(__xludf.DUMMYFUNCTION("""COMPUTED_VALUE"""),"Minimax,Dynamic Programming,Math")</f>
        <v>Minimax,Dynamic Programming,Math</v>
      </c>
      <c r="E678" s="6" t="str">
        <f>IFERROR(__xludf.DUMMYFUNCTION("""COMPUTED_VALUE"""),"Apple,Adobe,Google")</f>
        <v>Apple,Adobe,Google</v>
      </c>
      <c r="F678" s="6"/>
      <c r="G678" s="6"/>
      <c r="H678" s="6" t="str">
        <f>IFERROR(__xludf.DUMMYFUNCTION("""COMPUTED_VALUE"""),"Adobe,Apple")</f>
        <v>Adobe,Apple</v>
      </c>
      <c r="I678" s="6">
        <f>IFERROR(__xludf.DUMMYFUNCTION("""COMPUTED_VALUE"""),66.97)</f>
        <v>66.97</v>
      </c>
      <c r="J678" s="6" t="str">
        <f>IFERROR(__xludf.DUMMYFUNCTION("""COMPUTED_VALUE"""),"算法")</f>
        <v>算法</v>
      </c>
    </row>
    <row r="679">
      <c r="A679" s="6">
        <f>IFERROR(__xludf.DUMMYFUNCTION("""COMPUTED_VALUE"""),879.0)</f>
        <v>879</v>
      </c>
      <c r="B679" s="53" t="str">
        <f>IFERROR(__xludf.DUMMYFUNCTION("""COMPUTED_VALUE"""),"Profitable Schemes")</f>
        <v>Profitable Schemes</v>
      </c>
      <c r="C679" s="6" t="str">
        <f>IFERROR(__xludf.DUMMYFUNCTION("""COMPUTED_VALUE"""),"Hard")</f>
        <v>Hard</v>
      </c>
      <c r="D679" s="6" t="str">
        <f>IFERROR(__xludf.DUMMYFUNCTION("""COMPUTED_VALUE"""),"Dynamic Programming")</f>
        <v>Dynamic Programming</v>
      </c>
      <c r="E679" s="6" t="str">
        <f>IFERROR(__xludf.DUMMYFUNCTION("""COMPUTED_VALUE"""),"LinkedIn,Google")</f>
        <v>LinkedIn,Google</v>
      </c>
      <c r="F679" s="6"/>
      <c r="G679" s="6"/>
      <c r="H679" s="6" t="str">
        <f>IFERROR(__xludf.DUMMYFUNCTION("""COMPUTED_VALUE"""),"Google")</f>
        <v>Google</v>
      </c>
      <c r="I679" s="6">
        <f>IFERROR(__xludf.DUMMYFUNCTION("""COMPUTED_VALUE"""),39.94)</f>
        <v>39.94</v>
      </c>
      <c r="J679" s="6" t="str">
        <f>IFERROR(__xludf.DUMMYFUNCTION("""COMPUTED_VALUE"""),"算法")</f>
        <v>算法</v>
      </c>
    </row>
    <row r="680">
      <c r="A680" s="6">
        <f>IFERROR(__xludf.DUMMYFUNCTION("""COMPUTED_VALUE"""),881.0)</f>
        <v>881</v>
      </c>
      <c r="B680" s="53" t="str">
        <f>IFERROR(__xludf.DUMMYFUNCTION("""COMPUTED_VALUE"""),"Boats to Save People")</f>
        <v>Boats to Save People</v>
      </c>
      <c r="C680" s="6" t="str">
        <f>IFERROR(__xludf.DUMMYFUNCTION("""COMPUTED_VALUE"""),"Medium")</f>
        <v>Medium</v>
      </c>
      <c r="D680" s="6" t="str">
        <f>IFERROR(__xludf.DUMMYFUNCTION("""COMPUTED_VALUE"""),"Greedy,Two Pointers")</f>
        <v>Greedy,Two Pointers</v>
      </c>
      <c r="E680" s="6" t="str">
        <f>IFERROR(__xludf.DUMMYFUNCTION("""COMPUTED_VALUE"""),"Roblox,Paypal,FactSet,Amazon,Google")</f>
        <v>Roblox,Paypal,FactSet,Amazon,Google</v>
      </c>
      <c r="F680" s="6" t="str">
        <f>IFERROR(__xludf.DUMMYFUNCTION("""COMPUTED_VALUE"""),"Roblox,Paypal")</f>
        <v>Roblox,Paypal</v>
      </c>
      <c r="G680" s="6" t="str">
        <f>IFERROR(__xludf.DUMMYFUNCTION("""COMPUTED_VALUE"""),"Amazon,Roblox,Paypal")</f>
        <v>Amazon,Roblox,Paypal</v>
      </c>
      <c r="H680" s="6" t="str">
        <f>IFERROR(__xludf.DUMMYFUNCTION("""COMPUTED_VALUE"""),"FactSet,Amazon,Roblox,Paypal")</f>
        <v>FactSet,Amazon,Roblox,Paypal</v>
      </c>
      <c r="I680" s="6">
        <f>IFERROR(__xludf.DUMMYFUNCTION("""COMPUTED_VALUE"""),48.98)</f>
        <v>48.98</v>
      </c>
      <c r="J680" s="6" t="str">
        <f>IFERROR(__xludf.DUMMYFUNCTION("""COMPUTED_VALUE"""),"算法")</f>
        <v>算法</v>
      </c>
    </row>
    <row r="681">
      <c r="A681" s="6">
        <f>IFERROR(__xludf.DUMMYFUNCTION("""COMPUTED_VALUE"""),886.0)</f>
        <v>886</v>
      </c>
      <c r="B681" s="53" t="str">
        <f>IFERROR(__xludf.DUMMYFUNCTION("""COMPUTED_VALUE"""),"Possible Bipartition")</f>
        <v>Possible Bipartition</v>
      </c>
      <c r="C681" s="6" t="str">
        <f>IFERROR(__xludf.DUMMYFUNCTION("""COMPUTED_VALUE"""),"Medium")</f>
        <v>Medium</v>
      </c>
      <c r="D681" s="6" t="str">
        <f>IFERROR(__xludf.DUMMYFUNCTION("""COMPUTED_VALUE"""),"Graph,Depth First Search")</f>
        <v>Graph,Depth First Search</v>
      </c>
      <c r="E681" s="6" t="str">
        <f>IFERROR(__xludf.DUMMYFUNCTION("""COMPUTED_VALUE"""),"Coupang,Amazon,Google,Apple,Facebook,Microsoft")</f>
        <v>Coupang,Amazon,Google,Apple,Facebook,Microsoft</v>
      </c>
      <c r="F681" s="6"/>
      <c r="G681" s="6" t="str">
        <f>IFERROR(__xludf.DUMMYFUNCTION("""COMPUTED_VALUE"""),"Amazon,Google,Apple,Coupang")</f>
        <v>Amazon,Google,Apple,Coupang</v>
      </c>
      <c r="H681" s="6" t="str">
        <f>IFERROR(__xludf.DUMMYFUNCTION("""COMPUTED_VALUE"""),"Facebook,Microsoft,Amazon,Google,Apple,Coupang")</f>
        <v>Facebook,Microsoft,Amazon,Google,Apple,Coupang</v>
      </c>
      <c r="I681" s="6">
        <f>IFERROR(__xludf.DUMMYFUNCTION("""COMPUTED_VALUE"""),45.21)</f>
        <v>45.21</v>
      </c>
      <c r="J681" s="6" t="str">
        <f>IFERROR(__xludf.DUMMYFUNCTION("""COMPUTED_VALUE"""),"算法")</f>
        <v>算法</v>
      </c>
    </row>
    <row r="682">
      <c r="A682" s="6">
        <f>IFERROR(__xludf.DUMMYFUNCTION("""COMPUTED_VALUE"""),887.0)</f>
        <v>887</v>
      </c>
      <c r="B682" s="53" t="str">
        <f>IFERROR(__xludf.DUMMYFUNCTION("""COMPUTED_VALUE"""),"Super Egg Drop")</f>
        <v>Super Egg Drop</v>
      </c>
      <c r="C682" s="6" t="str">
        <f>IFERROR(__xludf.DUMMYFUNCTION("""COMPUTED_VALUE"""),"Hard")</f>
        <v>Hard</v>
      </c>
      <c r="D682" s="6" t="str">
        <f>IFERROR(__xludf.DUMMYFUNCTION("""COMPUTED_VALUE"""),"Dynamic Programming,Binary Search,Math")</f>
        <v>Dynamic Programming,Binary Search,Math</v>
      </c>
      <c r="E682" s="6" t="str">
        <f>IFERROR(__xludf.DUMMYFUNCTION("""COMPUTED_VALUE"""),"Facebook,Amazon,Microsoft,Goldman Sachs,Google")</f>
        <v>Facebook,Amazon,Microsoft,Goldman Sachs,Google</v>
      </c>
      <c r="F682" s="6" t="str">
        <f>IFERROR(__xludf.DUMMYFUNCTION("""COMPUTED_VALUE"""),"Amazon")</f>
        <v>Amazon</v>
      </c>
      <c r="G682" s="6" t="str">
        <f>IFERROR(__xludf.DUMMYFUNCTION("""COMPUTED_VALUE"""),"Facebook,Amazon")</f>
        <v>Facebook,Amazon</v>
      </c>
      <c r="H682" s="6" t="str">
        <f>IFERROR(__xludf.DUMMYFUNCTION("""COMPUTED_VALUE"""),"Google,Goldman Sachs,Facebook,Amazon")</f>
        <v>Google,Goldman Sachs,Facebook,Amazon</v>
      </c>
      <c r="I682" s="6">
        <f>IFERROR(__xludf.DUMMYFUNCTION("""COMPUTED_VALUE"""),27.03)</f>
        <v>27.03</v>
      </c>
      <c r="J682" s="6" t="str">
        <f>IFERROR(__xludf.DUMMYFUNCTION("""COMPUTED_VALUE"""),"算法")</f>
        <v>算法</v>
      </c>
    </row>
    <row r="683">
      <c r="A683" s="6">
        <f>IFERROR(__xludf.DUMMYFUNCTION("""COMPUTED_VALUE"""),889.0)</f>
        <v>889</v>
      </c>
      <c r="B683" s="53" t="str">
        <f>IFERROR(__xludf.DUMMYFUNCTION("""COMPUTED_VALUE"""),"Construct Binary Tree from Preorder and Postorder Traversal")</f>
        <v>Construct Binary Tree from Preorder and Postorder Traversal</v>
      </c>
      <c r="C683" s="6" t="str">
        <f>IFERROR(__xludf.DUMMYFUNCTION("""COMPUTED_VALUE"""),"Medium")</f>
        <v>Medium</v>
      </c>
      <c r="D683" s="6" t="str">
        <f>IFERROR(__xludf.DUMMYFUNCTION("""COMPUTED_VALUE"""),"Tree")</f>
        <v>Tree</v>
      </c>
      <c r="E683" s="6" t="str">
        <f>IFERROR(__xludf.DUMMYFUNCTION("""COMPUTED_VALUE"""),"Uber,Bloomberg,Facebook,Amazon,Google")</f>
        <v>Uber,Bloomberg,Facebook,Amazon,Google</v>
      </c>
      <c r="F683" s="6" t="str">
        <f>IFERROR(__xludf.DUMMYFUNCTION("""COMPUTED_VALUE"""),"Amazon,Bloomberg")</f>
        <v>Amazon,Bloomberg</v>
      </c>
      <c r="G683" s="6" t="str">
        <f>IFERROR(__xludf.DUMMYFUNCTION("""COMPUTED_VALUE"""),"Amazon,Bloomberg")</f>
        <v>Amazon,Bloomberg</v>
      </c>
      <c r="H683" s="6" t="str">
        <f>IFERROR(__xludf.DUMMYFUNCTION("""COMPUTED_VALUE"""),"Google,Amazon,Bloomberg")</f>
        <v>Google,Amazon,Bloomberg</v>
      </c>
      <c r="I683" s="6">
        <f>IFERROR(__xludf.DUMMYFUNCTION("""COMPUTED_VALUE"""),67.7)</f>
        <v>67.7</v>
      </c>
      <c r="J683" s="6" t="str">
        <f>IFERROR(__xludf.DUMMYFUNCTION("""COMPUTED_VALUE"""),"算法")</f>
        <v>算法</v>
      </c>
    </row>
    <row r="684">
      <c r="A684" s="6">
        <f>IFERROR(__xludf.DUMMYFUNCTION("""COMPUTED_VALUE"""),890.0)</f>
        <v>890</v>
      </c>
      <c r="B684" s="53" t="str">
        <f>IFERROR(__xludf.DUMMYFUNCTION("""COMPUTED_VALUE"""),"Find and Replace Pattern")</f>
        <v>Find and Replace Pattern</v>
      </c>
      <c r="C684" s="6" t="str">
        <f>IFERROR(__xludf.DUMMYFUNCTION("""COMPUTED_VALUE"""),"Medium")</f>
        <v>Medium</v>
      </c>
      <c r="D684" s="6" t="str">
        <f>IFERROR(__xludf.DUMMYFUNCTION("""COMPUTED_VALUE"""),"String")</f>
        <v>String</v>
      </c>
      <c r="E684" s="6" t="str">
        <f>IFERROR(__xludf.DUMMYFUNCTION("""COMPUTED_VALUE"""),"Apple,Amazon,Google")</f>
        <v>Apple,Amazon,Google</v>
      </c>
      <c r="F684" s="6"/>
      <c r="G684" s="6"/>
      <c r="H684" s="6" t="str">
        <f>IFERROR(__xludf.DUMMYFUNCTION("""COMPUTED_VALUE"""),"Google,Amazon")</f>
        <v>Google,Amazon</v>
      </c>
      <c r="I684" s="6">
        <f>IFERROR(__xludf.DUMMYFUNCTION("""COMPUTED_VALUE"""),74.18)</f>
        <v>74.18</v>
      </c>
      <c r="J684" s="6" t="str">
        <f>IFERROR(__xludf.DUMMYFUNCTION("""COMPUTED_VALUE"""),"算法")</f>
        <v>算法</v>
      </c>
    </row>
    <row r="685">
      <c r="A685" s="6">
        <f>IFERROR(__xludf.DUMMYFUNCTION("""COMPUTED_VALUE"""),894.0)</f>
        <v>894</v>
      </c>
      <c r="B685" s="53" t="str">
        <f>IFERROR(__xludf.DUMMYFUNCTION("""COMPUTED_VALUE"""),"All Possible Full Binary Trees")</f>
        <v>All Possible Full Binary Trees</v>
      </c>
      <c r="C685" s="6" t="str">
        <f>IFERROR(__xludf.DUMMYFUNCTION("""COMPUTED_VALUE"""),"Medium")</f>
        <v>Medium</v>
      </c>
      <c r="D685" s="6" t="str">
        <f>IFERROR(__xludf.DUMMYFUNCTION("""COMPUTED_VALUE"""),"Recursion,Tree")</f>
        <v>Recursion,Tree</v>
      </c>
      <c r="E685" s="6" t="str">
        <f>IFERROR(__xludf.DUMMYFUNCTION("""COMPUTED_VALUE"""),"Amazon,Oracle,Google")</f>
        <v>Amazon,Oracle,Google</v>
      </c>
      <c r="F685" s="6"/>
      <c r="G685" s="6" t="str">
        <f>IFERROR(__xludf.DUMMYFUNCTION("""COMPUTED_VALUE"""),"Google,Amazon")</f>
        <v>Google,Amazon</v>
      </c>
      <c r="H685" s="6" t="str">
        <f>IFERROR(__xludf.DUMMYFUNCTION("""COMPUTED_VALUE"""),"Oracle,Google,Amazon")</f>
        <v>Oracle,Google,Amazon</v>
      </c>
      <c r="I685" s="6">
        <f>IFERROR(__xludf.DUMMYFUNCTION("""COMPUTED_VALUE"""),77.11)</f>
        <v>77.11</v>
      </c>
      <c r="J685" s="6" t="str">
        <f>IFERROR(__xludf.DUMMYFUNCTION("""COMPUTED_VALUE"""),"算法")</f>
        <v>算法</v>
      </c>
    </row>
    <row r="686">
      <c r="A686" s="6">
        <f>IFERROR(__xludf.DUMMYFUNCTION("""COMPUTED_VALUE"""),895.0)</f>
        <v>895</v>
      </c>
      <c r="B686" s="53" t="str">
        <f>IFERROR(__xludf.DUMMYFUNCTION("""COMPUTED_VALUE"""),"Maximum Frequency Stack")</f>
        <v>Maximum Frequency Stack</v>
      </c>
      <c r="C686" s="6" t="str">
        <f>IFERROR(__xludf.DUMMYFUNCTION("""COMPUTED_VALUE"""),"Hard")</f>
        <v>Hard</v>
      </c>
      <c r="D686" s="6" t="str">
        <f>IFERROR(__xludf.DUMMYFUNCTION("""COMPUTED_VALUE"""),"Stack,Hash Table")</f>
        <v>Stack,Hash Table</v>
      </c>
      <c r="E686" s="6" t="str">
        <f>IFERROR(__xludf.DUMMYFUNCTION("""COMPUTED_VALUE"""),"Adobe,Microsoft,Salesforce,Apple,Uber,Bloomberg,Amazon,Google")</f>
        <v>Adobe,Microsoft,Salesforce,Apple,Uber,Bloomberg,Amazon,Google</v>
      </c>
      <c r="F686" s="6" t="str">
        <f>IFERROR(__xludf.DUMMYFUNCTION("""COMPUTED_VALUE"""),"Amazon,Microsoft,Bloomberg,Adobe")</f>
        <v>Amazon,Microsoft,Bloomberg,Adobe</v>
      </c>
      <c r="G686" s="6" t="str">
        <f>IFERROR(__xludf.DUMMYFUNCTION("""COMPUTED_VALUE"""),"Google,Amazon,Microsoft,Bloomberg,Adobe")</f>
        <v>Google,Amazon,Microsoft,Bloomberg,Adobe</v>
      </c>
      <c r="H686" s="6" t="str">
        <f>IFERROR(__xludf.DUMMYFUNCTION("""COMPUTED_VALUE"""),"Uber,Apple,Salesforce,Google,Amazon,Microsoft,Bloomberg,Adobe")</f>
        <v>Uber,Apple,Salesforce,Google,Amazon,Microsoft,Bloomberg,Adobe</v>
      </c>
      <c r="I686" s="6">
        <f>IFERROR(__xludf.DUMMYFUNCTION("""COMPUTED_VALUE"""),63.14)</f>
        <v>63.14</v>
      </c>
      <c r="J686" s="6" t="str">
        <f>IFERROR(__xludf.DUMMYFUNCTION("""COMPUTED_VALUE"""),"算法")</f>
        <v>算法</v>
      </c>
    </row>
    <row r="687">
      <c r="A687" s="6">
        <f>IFERROR(__xludf.DUMMYFUNCTION("""COMPUTED_VALUE"""),900.0)</f>
        <v>900</v>
      </c>
      <c r="B687" s="53" t="str">
        <f>IFERROR(__xludf.DUMMYFUNCTION("""COMPUTED_VALUE"""),"RLE Iterator")</f>
        <v>RLE Iterator</v>
      </c>
      <c r="C687" s="6" t="str">
        <f>IFERROR(__xludf.DUMMYFUNCTION("""COMPUTED_VALUE"""),"Medium")</f>
        <v>Medium</v>
      </c>
      <c r="D687" s="6" t="str">
        <f>IFERROR(__xludf.DUMMYFUNCTION("""COMPUTED_VALUE"""),"Array")</f>
        <v>Array</v>
      </c>
      <c r="E687" s="6" t="str">
        <f>IFERROR(__xludf.DUMMYFUNCTION("""COMPUTED_VALUE"""),"Wish,Amazon,Google")</f>
        <v>Wish,Amazon,Google</v>
      </c>
      <c r="F687" s="6" t="str">
        <f>IFERROR(__xludf.DUMMYFUNCTION("""COMPUTED_VALUE"""),"Google")</f>
        <v>Google</v>
      </c>
      <c r="G687" s="6" t="str">
        <f>IFERROR(__xludf.DUMMYFUNCTION("""COMPUTED_VALUE"""),"Google")</f>
        <v>Google</v>
      </c>
      <c r="H687" s="6" t="str">
        <f>IFERROR(__xludf.DUMMYFUNCTION("""COMPUTED_VALUE"""),"Wish,Google")</f>
        <v>Wish,Google</v>
      </c>
      <c r="I687" s="6">
        <f>IFERROR(__xludf.DUMMYFUNCTION("""COMPUTED_VALUE"""),55.47)</f>
        <v>55.47</v>
      </c>
      <c r="J687" s="6" t="str">
        <f>IFERROR(__xludf.DUMMYFUNCTION("""COMPUTED_VALUE"""),"算法")</f>
        <v>算法</v>
      </c>
    </row>
    <row r="688">
      <c r="A688" s="6">
        <f>IFERROR(__xludf.DUMMYFUNCTION("""COMPUTED_VALUE"""),901.0)</f>
        <v>901</v>
      </c>
      <c r="B688" s="53" t="str">
        <f>IFERROR(__xludf.DUMMYFUNCTION("""COMPUTED_VALUE"""),"Online Stock Span")</f>
        <v>Online Stock Span</v>
      </c>
      <c r="C688" s="6" t="str">
        <f>IFERROR(__xludf.DUMMYFUNCTION("""COMPUTED_VALUE"""),"Medium")</f>
        <v>Medium</v>
      </c>
      <c r="D688" s="6" t="str">
        <f>IFERROR(__xludf.DUMMYFUNCTION("""COMPUTED_VALUE"""),"Stack")</f>
        <v>Stack</v>
      </c>
      <c r="E688" s="6" t="str">
        <f>IFERROR(__xludf.DUMMYFUNCTION("""COMPUTED_VALUE"""),"Facebook,Amazon,Microsoft,Google")</f>
        <v>Facebook,Amazon,Microsoft,Google</v>
      </c>
      <c r="F688" s="6" t="str">
        <f>IFERROR(__xludf.DUMMYFUNCTION("""COMPUTED_VALUE"""),"Amazon")</f>
        <v>Amazon</v>
      </c>
      <c r="G688" s="6" t="str">
        <f>IFERROR(__xludf.DUMMYFUNCTION("""COMPUTED_VALUE"""),"Microsoft,Facebook,Google,Amazon")</f>
        <v>Microsoft,Facebook,Google,Amazon</v>
      </c>
      <c r="H688" s="6" t="str">
        <f>IFERROR(__xludf.DUMMYFUNCTION("""COMPUTED_VALUE"""),"Microsoft,Facebook,Google,Amazon")</f>
        <v>Microsoft,Facebook,Google,Amazon</v>
      </c>
      <c r="I688" s="6">
        <f>IFERROR(__xludf.DUMMYFUNCTION("""COMPUTED_VALUE"""),61.41)</f>
        <v>61.41</v>
      </c>
      <c r="J688" s="6" t="str">
        <f>IFERROR(__xludf.DUMMYFUNCTION("""COMPUTED_VALUE"""),"算法")</f>
        <v>算法</v>
      </c>
    </row>
    <row r="689">
      <c r="A689" s="6">
        <f>IFERROR(__xludf.DUMMYFUNCTION("""COMPUTED_VALUE"""),904.0)</f>
        <v>904</v>
      </c>
      <c r="B689" s="53" t="str">
        <f>IFERROR(__xludf.DUMMYFUNCTION("""COMPUTED_VALUE"""),"Fruit Into Baskets")</f>
        <v>Fruit Into Baskets</v>
      </c>
      <c r="C689" s="6" t="str">
        <f>IFERROR(__xludf.DUMMYFUNCTION("""COMPUTED_VALUE"""),"Medium")</f>
        <v>Medium</v>
      </c>
      <c r="D689" s="6" t="str">
        <f>IFERROR(__xludf.DUMMYFUNCTION("""COMPUTED_VALUE"""),"Two Pointers")</f>
        <v>Two Pointers</v>
      </c>
      <c r="E689" s="6" t="str">
        <f>IFERROR(__xludf.DUMMYFUNCTION("""COMPUTED_VALUE"""),"Akamai,Amazon,Google")</f>
        <v>Akamai,Amazon,Google</v>
      </c>
      <c r="F689" s="6"/>
      <c r="G689" s="6" t="str">
        <f>IFERROR(__xludf.DUMMYFUNCTION("""COMPUTED_VALUE"""),"Google,Akamai")</f>
        <v>Google,Akamai</v>
      </c>
      <c r="H689" s="6" t="str">
        <f>IFERROR(__xludf.DUMMYFUNCTION("""COMPUTED_VALUE"""),"Amazon,Google,Akamai")</f>
        <v>Amazon,Google,Akamai</v>
      </c>
      <c r="I689" s="6">
        <f>IFERROR(__xludf.DUMMYFUNCTION("""COMPUTED_VALUE"""),43.01)</f>
        <v>43.01</v>
      </c>
      <c r="J689" s="6" t="str">
        <f>IFERROR(__xludf.DUMMYFUNCTION("""COMPUTED_VALUE"""),"算法")</f>
        <v>算法</v>
      </c>
    </row>
    <row r="690">
      <c r="A690" s="6">
        <f>IFERROR(__xludf.DUMMYFUNCTION("""COMPUTED_VALUE"""),905.0)</f>
        <v>905</v>
      </c>
      <c r="B690" s="53" t="str">
        <f>IFERROR(__xludf.DUMMYFUNCTION("""COMPUTED_VALUE"""),"Sort Array By Parity")</f>
        <v>Sort Array By Parity</v>
      </c>
      <c r="C690" s="6" t="str">
        <f>IFERROR(__xludf.DUMMYFUNCTION("""COMPUTED_VALUE"""),"Easy")</f>
        <v>Easy</v>
      </c>
      <c r="D690" s="6" t="str">
        <f>IFERROR(__xludf.DUMMYFUNCTION("""COMPUTED_VALUE"""),"Array")</f>
        <v>Array</v>
      </c>
      <c r="E690" s="6" t="str">
        <f>IFERROR(__xludf.DUMMYFUNCTION("""COMPUTED_VALUE"""),"Capital One,Apple,Morgan Stanley,Bloomberg,Google,VMware,Oracle,Cisco,Facebook,Amazon,Microsoft")</f>
        <v>Capital One,Apple,Morgan Stanley,Bloomberg,Google,VMware,Oracle,Cisco,Facebook,Amazon,Microsoft</v>
      </c>
      <c r="F690" s="6" t="str">
        <f>IFERROR(__xludf.DUMMYFUNCTION("""COMPUTED_VALUE"""),"Capital One,VMware")</f>
        <v>Capital One,VMware</v>
      </c>
      <c r="G690" s="6" t="str">
        <f>IFERROR(__xludf.DUMMYFUNCTION("""COMPUTED_VALUE"""),"Apple,Google,Cisco,Morgan Stanley,Capital One,VMware")</f>
        <v>Apple,Google,Cisco,Morgan Stanley,Capital One,VMware</v>
      </c>
      <c r="H690" s="6" t="str">
        <f>IFERROR(__xludf.DUMMYFUNCTION("""COMPUTED_VALUE"""),"Amazon,Facebook,Oracle,Bloomberg,Apple,Google,Cisco,Morgan Stanley,Capital One,VMware")</f>
        <v>Amazon,Facebook,Oracle,Bloomberg,Apple,Google,Cisco,Morgan Stanley,Capital One,VMware</v>
      </c>
      <c r="I690" s="6">
        <f>IFERROR(__xludf.DUMMYFUNCTION("""COMPUTED_VALUE"""),75.0)</f>
        <v>75</v>
      </c>
      <c r="J690" s="6" t="str">
        <f>IFERROR(__xludf.DUMMYFUNCTION("""COMPUTED_VALUE"""),"算法")</f>
        <v>算法</v>
      </c>
    </row>
    <row r="691">
      <c r="A691" s="6">
        <f>IFERROR(__xludf.DUMMYFUNCTION("""COMPUTED_VALUE"""),906.0)</f>
        <v>906</v>
      </c>
      <c r="B691" s="53" t="str">
        <f>IFERROR(__xludf.DUMMYFUNCTION("""COMPUTED_VALUE"""),"Super Palindromes")</f>
        <v>Super Palindromes</v>
      </c>
      <c r="C691" s="6" t="str">
        <f>IFERROR(__xludf.DUMMYFUNCTION("""COMPUTED_VALUE"""),"Hard")</f>
        <v>Hard</v>
      </c>
      <c r="D691" s="6" t="str">
        <f>IFERROR(__xludf.DUMMYFUNCTION("""COMPUTED_VALUE"""),"Math")</f>
        <v>Math</v>
      </c>
      <c r="E691" s="6" t="str">
        <f>IFERROR(__xludf.DUMMYFUNCTION("""COMPUTED_VALUE"""),"Google")</f>
        <v>Google</v>
      </c>
      <c r="F691" s="6"/>
      <c r="G691" s="6"/>
      <c r="H691" s="6" t="str">
        <f>IFERROR(__xludf.DUMMYFUNCTION("""COMPUTED_VALUE"""),"Google")</f>
        <v>Google</v>
      </c>
      <c r="I691" s="6">
        <f>IFERROR(__xludf.DUMMYFUNCTION("""COMPUTED_VALUE"""),32.74)</f>
        <v>32.74</v>
      </c>
      <c r="J691" s="6" t="str">
        <f>IFERROR(__xludf.DUMMYFUNCTION("""COMPUTED_VALUE"""),"算法")</f>
        <v>算法</v>
      </c>
    </row>
    <row r="692">
      <c r="A692" s="6">
        <f>IFERROR(__xludf.DUMMYFUNCTION("""COMPUTED_VALUE"""),907.0)</f>
        <v>907</v>
      </c>
      <c r="B692" s="53" t="str">
        <f>IFERROR(__xludf.DUMMYFUNCTION("""COMPUTED_VALUE"""),"Sum of Subarray Minimums")</f>
        <v>Sum of Subarray Minimums</v>
      </c>
      <c r="C692" s="6" t="str">
        <f>IFERROR(__xludf.DUMMYFUNCTION("""COMPUTED_VALUE"""),"Medium")</f>
        <v>Medium</v>
      </c>
      <c r="D692" s="6" t="str">
        <f>IFERROR(__xludf.DUMMYFUNCTION("""COMPUTED_VALUE"""),"Stack,Array")</f>
        <v>Stack,Array</v>
      </c>
      <c r="E692" s="6" t="str">
        <f>IFERROR(__xludf.DUMMYFUNCTION("""COMPUTED_VALUE"""),"Dunzo,VMware,Google,Hulu,Apple,Microsoft")</f>
        <v>Dunzo,VMware,Google,Hulu,Apple,Microsoft</v>
      </c>
      <c r="F692" s="6" t="str">
        <f>IFERROR(__xludf.DUMMYFUNCTION("""COMPUTED_VALUE"""),"Google")</f>
        <v>Google</v>
      </c>
      <c r="G692" s="6" t="str">
        <f>IFERROR(__xludf.DUMMYFUNCTION("""COMPUTED_VALUE"""),"Dunzo,Microsoft,VMware,Google")</f>
        <v>Dunzo,Microsoft,VMware,Google</v>
      </c>
      <c r="H692" s="6" t="str">
        <f>IFERROR(__xludf.DUMMYFUNCTION("""COMPUTED_VALUE"""),"Hulu,Dunzo,Microsoft,VMware,Google")</f>
        <v>Hulu,Dunzo,Microsoft,VMware,Google</v>
      </c>
      <c r="I692" s="6">
        <f>IFERROR(__xludf.DUMMYFUNCTION("""COMPUTED_VALUE"""),33.11)</f>
        <v>33.11</v>
      </c>
      <c r="J692" s="6" t="str">
        <f>IFERROR(__xludf.DUMMYFUNCTION("""COMPUTED_VALUE"""),"算法")</f>
        <v>算法</v>
      </c>
    </row>
    <row r="693">
      <c r="A693" s="6">
        <f>IFERROR(__xludf.DUMMYFUNCTION("""COMPUTED_VALUE"""),909.0)</f>
        <v>909</v>
      </c>
      <c r="B693" s="53" t="str">
        <f>IFERROR(__xludf.DUMMYFUNCTION("""COMPUTED_VALUE"""),"Snakes and Ladders")</f>
        <v>Snakes and Ladders</v>
      </c>
      <c r="C693" s="6" t="str">
        <f>IFERROR(__xludf.DUMMYFUNCTION("""COMPUTED_VALUE"""),"Medium")</f>
        <v>Medium</v>
      </c>
      <c r="D693" s="6" t="str">
        <f>IFERROR(__xludf.DUMMYFUNCTION("""COMPUTED_VALUE"""),"Breadth First Search")</f>
        <v>Breadth First Search</v>
      </c>
      <c r="E693" s="6" t="str">
        <f>IFERROR(__xludf.DUMMYFUNCTION("""COMPUTED_VALUE"""),"Cisco,Hulu,Apple,Uber,Amazon,Microsoft,Google")</f>
        <v>Cisco,Hulu,Apple,Uber,Amazon,Microsoft,Google</v>
      </c>
      <c r="F693" s="6" t="str">
        <f>IFERROR(__xludf.DUMMYFUNCTION("""COMPUTED_VALUE"""),"Amazon")</f>
        <v>Amazon</v>
      </c>
      <c r="G693" s="6" t="str">
        <f>IFERROR(__xludf.DUMMYFUNCTION("""COMPUTED_VALUE"""),"Apple,Cisco,Amazon")</f>
        <v>Apple,Cisco,Amazon</v>
      </c>
      <c r="H693" s="6" t="str">
        <f>IFERROR(__xludf.DUMMYFUNCTION("""COMPUTED_VALUE"""),"Microsoft,Uber,Google,Apple,Cisco,Amazon")</f>
        <v>Microsoft,Uber,Google,Apple,Cisco,Amazon</v>
      </c>
      <c r="I693" s="6">
        <f>IFERROR(__xludf.DUMMYFUNCTION("""COMPUTED_VALUE"""),39.34)</f>
        <v>39.34</v>
      </c>
      <c r="J693" s="6" t="str">
        <f>IFERROR(__xludf.DUMMYFUNCTION("""COMPUTED_VALUE"""),"算法")</f>
        <v>算法</v>
      </c>
    </row>
    <row r="694">
      <c r="A694" s="6">
        <f>IFERROR(__xludf.DUMMYFUNCTION("""COMPUTED_VALUE"""),911.0)</f>
        <v>911</v>
      </c>
      <c r="B694" s="53" t="str">
        <f>IFERROR(__xludf.DUMMYFUNCTION("""COMPUTED_VALUE"""),"Online Election")</f>
        <v>Online Election</v>
      </c>
      <c r="C694" s="6" t="str">
        <f>IFERROR(__xludf.DUMMYFUNCTION("""COMPUTED_VALUE"""),"Medium")</f>
        <v>Medium</v>
      </c>
      <c r="D694" s="6" t="str">
        <f>IFERROR(__xludf.DUMMYFUNCTION("""COMPUTED_VALUE"""),"Binary Search")</f>
        <v>Binary Search</v>
      </c>
      <c r="E694" s="6" t="str">
        <f>IFERROR(__xludf.DUMMYFUNCTION("""COMPUTED_VALUE"""),"Apple,Google")</f>
        <v>Apple,Google</v>
      </c>
      <c r="F694" s="6" t="str">
        <f>IFERROR(__xludf.DUMMYFUNCTION("""COMPUTED_VALUE"""),"Google")</f>
        <v>Google</v>
      </c>
      <c r="G694" s="6" t="str">
        <f>IFERROR(__xludf.DUMMYFUNCTION("""COMPUTED_VALUE"""),"Google")</f>
        <v>Google</v>
      </c>
      <c r="H694" s="6" t="str">
        <f>IFERROR(__xludf.DUMMYFUNCTION("""COMPUTED_VALUE"""),"Apple,Google")</f>
        <v>Apple,Google</v>
      </c>
      <c r="I694" s="6">
        <f>IFERROR(__xludf.DUMMYFUNCTION("""COMPUTED_VALUE"""),51.43)</f>
        <v>51.43</v>
      </c>
      <c r="J694" s="6" t="str">
        <f>IFERROR(__xludf.DUMMYFUNCTION("""COMPUTED_VALUE"""),"算法")</f>
        <v>算法</v>
      </c>
    </row>
    <row r="695">
      <c r="A695" s="6">
        <f>IFERROR(__xludf.DUMMYFUNCTION("""COMPUTED_VALUE"""),913.0)</f>
        <v>913</v>
      </c>
      <c r="B695" s="53" t="str">
        <f>IFERROR(__xludf.DUMMYFUNCTION("""COMPUTED_VALUE"""),"Cat and Mouse")</f>
        <v>Cat and Mouse</v>
      </c>
      <c r="C695" s="6" t="str">
        <f>IFERROR(__xludf.DUMMYFUNCTION("""COMPUTED_VALUE"""),"Hard")</f>
        <v>Hard</v>
      </c>
      <c r="D695" s="6" t="str">
        <f>IFERROR(__xludf.DUMMYFUNCTION("""COMPUTED_VALUE"""),"Minimax,Breadth First Search")</f>
        <v>Minimax,Breadth First Search</v>
      </c>
      <c r="E695" s="6" t="str">
        <f>IFERROR(__xludf.DUMMYFUNCTION("""COMPUTED_VALUE"""),"Google")</f>
        <v>Google</v>
      </c>
      <c r="F695" s="6" t="str">
        <f>IFERROR(__xludf.DUMMYFUNCTION("""COMPUTED_VALUE"""),"Google")</f>
        <v>Google</v>
      </c>
      <c r="G695" s="6" t="str">
        <f>IFERROR(__xludf.DUMMYFUNCTION("""COMPUTED_VALUE"""),"Google")</f>
        <v>Google</v>
      </c>
      <c r="H695" s="6" t="str">
        <f>IFERROR(__xludf.DUMMYFUNCTION("""COMPUTED_VALUE"""),"Google")</f>
        <v>Google</v>
      </c>
      <c r="I695" s="6">
        <f>IFERROR(__xludf.DUMMYFUNCTION("""COMPUTED_VALUE"""),34.77)</f>
        <v>34.77</v>
      </c>
      <c r="J695" s="6" t="str">
        <f>IFERROR(__xludf.DUMMYFUNCTION("""COMPUTED_VALUE"""),"算法")</f>
        <v>算法</v>
      </c>
    </row>
    <row r="696">
      <c r="A696" s="6">
        <f>IFERROR(__xludf.DUMMYFUNCTION("""COMPUTED_VALUE"""),914.0)</f>
        <v>914</v>
      </c>
      <c r="B696" s="53" t="str">
        <f>IFERROR(__xludf.DUMMYFUNCTION("""COMPUTED_VALUE"""),"X of a Kind in a Deck of Cards")</f>
        <v>X of a Kind in a Deck of Cards</v>
      </c>
      <c r="C696" s="6" t="str">
        <f>IFERROR(__xludf.DUMMYFUNCTION("""COMPUTED_VALUE"""),"Easy")</f>
        <v>Easy</v>
      </c>
      <c r="D696" s="6" t="str">
        <f>IFERROR(__xludf.DUMMYFUNCTION("""COMPUTED_VALUE"""),"Math,Array")</f>
        <v>Math,Array</v>
      </c>
      <c r="E696" s="6" t="str">
        <f>IFERROR(__xludf.DUMMYFUNCTION("""COMPUTED_VALUE"""),"Google")</f>
        <v>Google</v>
      </c>
      <c r="F696" s="6"/>
      <c r="G696" s="6" t="str">
        <f>IFERROR(__xludf.DUMMYFUNCTION("""COMPUTED_VALUE"""),"Google")</f>
        <v>Google</v>
      </c>
      <c r="H696" s="6" t="str">
        <f>IFERROR(__xludf.DUMMYFUNCTION("""COMPUTED_VALUE"""),"Google")</f>
        <v>Google</v>
      </c>
      <c r="I696" s="6">
        <f>IFERROR(__xludf.DUMMYFUNCTION("""COMPUTED_VALUE"""),34.13)</f>
        <v>34.13</v>
      </c>
      <c r="J696" s="6" t="str">
        <f>IFERROR(__xludf.DUMMYFUNCTION("""COMPUTED_VALUE"""),"算法")</f>
        <v>算法</v>
      </c>
    </row>
    <row r="697">
      <c r="A697" s="6">
        <f>IFERROR(__xludf.DUMMYFUNCTION("""COMPUTED_VALUE"""),916.0)</f>
        <v>916</v>
      </c>
      <c r="B697" s="53" t="str">
        <f>IFERROR(__xludf.DUMMYFUNCTION("""COMPUTED_VALUE"""),"Word Subsets")</f>
        <v>Word Subsets</v>
      </c>
      <c r="C697" s="6" t="str">
        <f>IFERROR(__xludf.DUMMYFUNCTION("""COMPUTED_VALUE"""),"Medium")</f>
        <v>Medium</v>
      </c>
      <c r="D697" s="6" t="str">
        <f>IFERROR(__xludf.DUMMYFUNCTION("""COMPUTED_VALUE"""),"String")</f>
        <v>String</v>
      </c>
      <c r="E697" s="6" t="str">
        <f>IFERROR(__xludf.DUMMYFUNCTION("""COMPUTED_VALUE"""),"Facebook,Amazon,Google")</f>
        <v>Facebook,Amazon,Google</v>
      </c>
      <c r="F697" s="6"/>
      <c r="G697" s="6"/>
      <c r="H697" s="6" t="str">
        <f>IFERROR(__xludf.DUMMYFUNCTION("""COMPUTED_VALUE"""),"Amazon,Google")</f>
        <v>Amazon,Google</v>
      </c>
      <c r="I697" s="6">
        <f>IFERROR(__xludf.DUMMYFUNCTION("""COMPUTED_VALUE"""),48.12)</f>
        <v>48.12</v>
      </c>
      <c r="J697" s="6" t="str">
        <f>IFERROR(__xludf.DUMMYFUNCTION("""COMPUTED_VALUE"""),"算法")</f>
        <v>算法</v>
      </c>
    </row>
    <row r="698">
      <c r="A698" s="6">
        <f>IFERROR(__xludf.DUMMYFUNCTION("""COMPUTED_VALUE"""),917.0)</f>
        <v>917</v>
      </c>
      <c r="B698" s="53" t="str">
        <f>IFERROR(__xludf.DUMMYFUNCTION("""COMPUTED_VALUE"""),"Reverse Only Letters")</f>
        <v>Reverse Only Letters</v>
      </c>
      <c r="C698" s="6" t="str">
        <f>IFERROR(__xludf.DUMMYFUNCTION("""COMPUTED_VALUE"""),"Easy")</f>
        <v>Easy</v>
      </c>
      <c r="D698" s="6" t="str">
        <f>IFERROR(__xludf.DUMMYFUNCTION("""COMPUTED_VALUE"""),"String")</f>
        <v>String</v>
      </c>
      <c r="E698" s="6" t="str">
        <f>IFERROR(__xludf.DUMMYFUNCTION("""COMPUTED_VALUE"""),"Apple,Microsoft,Google")</f>
        <v>Apple,Microsoft,Google</v>
      </c>
      <c r="F698" s="6" t="str">
        <f>IFERROR(__xludf.DUMMYFUNCTION("""COMPUTED_VALUE"""),"Apple")</f>
        <v>Apple</v>
      </c>
      <c r="G698" s="6" t="str">
        <f>IFERROR(__xludf.DUMMYFUNCTION("""COMPUTED_VALUE"""),"Apple")</f>
        <v>Apple</v>
      </c>
      <c r="H698" s="6" t="str">
        <f>IFERROR(__xludf.DUMMYFUNCTION("""COMPUTED_VALUE"""),"Microsoft,Google,Apple")</f>
        <v>Microsoft,Google,Apple</v>
      </c>
      <c r="I698" s="6">
        <f>IFERROR(__xludf.DUMMYFUNCTION("""COMPUTED_VALUE"""),59.15)</f>
        <v>59.15</v>
      </c>
      <c r="J698" s="6" t="str">
        <f>IFERROR(__xludf.DUMMYFUNCTION("""COMPUTED_VALUE"""),"算法")</f>
        <v>算法</v>
      </c>
    </row>
    <row r="699">
      <c r="A699" s="6">
        <f>IFERROR(__xludf.DUMMYFUNCTION("""COMPUTED_VALUE"""),919.0)</f>
        <v>919</v>
      </c>
      <c r="B699" s="53" t="str">
        <f>IFERROR(__xludf.DUMMYFUNCTION("""COMPUTED_VALUE"""),"Complete Binary Tree Inserter")</f>
        <v>Complete Binary Tree Inserter</v>
      </c>
      <c r="C699" s="6" t="str">
        <f>IFERROR(__xludf.DUMMYFUNCTION("""COMPUTED_VALUE"""),"Medium")</f>
        <v>Medium</v>
      </c>
      <c r="D699" s="6" t="str">
        <f>IFERROR(__xludf.DUMMYFUNCTION("""COMPUTED_VALUE"""),"Tree")</f>
        <v>Tree</v>
      </c>
      <c r="E699" s="6" t="str">
        <f>IFERROR(__xludf.DUMMYFUNCTION("""COMPUTED_VALUE"""),"Facebook,Microsoft,Amazon,Google")</f>
        <v>Facebook,Microsoft,Amazon,Google</v>
      </c>
      <c r="F699" s="6"/>
      <c r="G699" s="6" t="str">
        <f>IFERROR(__xludf.DUMMYFUNCTION("""COMPUTED_VALUE"""),"Facebook,Microsoft")</f>
        <v>Facebook,Microsoft</v>
      </c>
      <c r="H699" s="6" t="str">
        <f>IFERROR(__xludf.DUMMYFUNCTION("""COMPUTED_VALUE"""),"Google,Facebook,Microsoft")</f>
        <v>Google,Facebook,Microsoft</v>
      </c>
      <c r="I699" s="6">
        <f>IFERROR(__xludf.DUMMYFUNCTION("""COMPUTED_VALUE"""),58.94)</f>
        <v>58.94</v>
      </c>
      <c r="J699" s="6" t="str">
        <f>IFERROR(__xludf.DUMMYFUNCTION("""COMPUTED_VALUE"""),"算法")</f>
        <v>算法</v>
      </c>
    </row>
    <row r="700">
      <c r="A700" s="6">
        <f>IFERROR(__xludf.DUMMYFUNCTION("""COMPUTED_VALUE"""),920.0)</f>
        <v>920</v>
      </c>
      <c r="B700" s="53" t="str">
        <f>IFERROR(__xludf.DUMMYFUNCTION("""COMPUTED_VALUE"""),"Number of Music Playlists")</f>
        <v>Number of Music Playlists</v>
      </c>
      <c r="C700" s="6" t="str">
        <f>IFERROR(__xludf.DUMMYFUNCTION("""COMPUTED_VALUE"""),"Hard")</f>
        <v>Hard</v>
      </c>
      <c r="D700" s="6" t="str">
        <f>IFERROR(__xludf.DUMMYFUNCTION("""COMPUTED_VALUE"""),"Dynamic Programming")</f>
        <v>Dynamic Programming</v>
      </c>
      <c r="E700" s="6" t="str">
        <f>IFERROR(__xludf.DUMMYFUNCTION("""COMPUTED_VALUE"""),"Salesforce,Facebook,Coursera,Twitter,Google")</f>
        <v>Salesforce,Facebook,Coursera,Twitter,Google</v>
      </c>
      <c r="F700" s="6" t="str">
        <f>IFERROR(__xludf.DUMMYFUNCTION("""COMPUTED_VALUE"""),"Salesforce,Facebook")</f>
        <v>Salesforce,Facebook</v>
      </c>
      <c r="G700" s="6" t="str">
        <f>IFERROR(__xludf.DUMMYFUNCTION("""COMPUTED_VALUE"""),"Salesforce,Facebook")</f>
        <v>Salesforce,Facebook</v>
      </c>
      <c r="H700" s="6" t="str">
        <f>IFERROR(__xludf.DUMMYFUNCTION("""COMPUTED_VALUE"""),"Twitter,Coursera,Salesforce,Facebook")</f>
        <v>Twitter,Coursera,Salesforce,Facebook</v>
      </c>
      <c r="I700" s="6">
        <f>IFERROR(__xludf.DUMMYFUNCTION("""COMPUTED_VALUE"""),47.8)</f>
        <v>47.8</v>
      </c>
      <c r="J700" s="6" t="str">
        <f>IFERROR(__xludf.DUMMYFUNCTION("""COMPUTED_VALUE"""),"算法")</f>
        <v>算法</v>
      </c>
    </row>
    <row r="701">
      <c r="A701" s="6">
        <f>IFERROR(__xludf.DUMMYFUNCTION("""COMPUTED_VALUE"""),924.0)</f>
        <v>924</v>
      </c>
      <c r="B701" s="53" t="str">
        <f>IFERROR(__xludf.DUMMYFUNCTION("""COMPUTED_VALUE"""),"Minimize Malware Spread")</f>
        <v>Minimize Malware Spread</v>
      </c>
      <c r="C701" s="6" t="str">
        <f>IFERROR(__xludf.DUMMYFUNCTION("""COMPUTED_VALUE"""),"Hard")</f>
        <v>Hard</v>
      </c>
      <c r="D701" s="6" t="str">
        <f>IFERROR(__xludf.DUMMYFUNCTION("""COMPUTED_VALUE"""),"Union Find,Depth First Search")</f>
        <v>Union Find,Depth First Search</v>
      </c>
      <c r="E701" s="6" t="str">
        <f>IFERROR(__xludf.DUMMYFUNCTION("""COMPUTED_VALUE"""),"ByteDance,Dropbox,Bloomberg,Google")</f>
        <v>ByteDance,Dropbox,Bloomberg,Google</v>
      </c>
      <c r="F701" s="6" t="str">
        <f>IFERROR(__xludf.DUMMYFUNCTION("""COMPUTED_VALUE"""),"ByteDance")</f>
        <v>ByteDance</v>
      </c>
      <c r="G701" s="6" t="str">
        <f>IFERROR(__xludf.DUMMYFUNCTION("""COMPUTED_VALUE"""),"Bloomberg,ByteDance")</f>
        <v>Bloomberg,ByteDance</v>
      </c>
      <c r="H701" s="6" t="str">
        <f>IFERROR(__xludf.DUMMYFUNCTION("""COMPUTED_VALUE"""),"Google,Dropbox,Bloomberg,ByteDance")</f>
        <v>Google,Dropbox,Bloomberg,ByteDance</v>
      </c>
      <c r="I701" s="6">
        <f>IFERROR(__xludf.DUMMYFUNCTION("""COMPUTED_VALUE"""),41.94)</f>
        <v>41.94</v>
      </c>
      <c r="J701" s="6" t="str">
        <f>IFERROR(__xludf.DUMMYFUNCTION("""COMPUTED_VALUE"""),"算法")</f>
        <v>算法</v>
      </c>
    </row>
    <row r="702">
      <c r="A702" s="6">
        <f>IFERROR(__xludf.DUMMYFUNCTION("""COMPUTED_VALUE"""),925.0)</f>
        <v>925</v>
      </c>
      <c r="B702" s="53" t="str">
        <f>IFERROR(__xludf.DUMMYFUNCTION("""COMPUTED_VALUE"""),"Long Pressed Name")</f>
        <v>Long Pressed Name</v>
      </c>
      <c r="C702" s="6" t="str">
        <f>IFERROR(__xludf.DUMMYFUNCTION("""COMPUTED_VALUE"""),"Easy")</f>
        <v>Easy</v>
      </c>
      <c r="D702" s="6" t="str">
        <f>IFERROR(__xludf.DUMMYFUNCTION("""COMPUTED_VALUE"""),"String,Two Pointers")</f>
        <v>String,Two Pointers</v>
      </c>
      <c r="E702" s="6" t="str">
        <f>IFERROR(__xludf.DUMMYFUNCTION("""COMPUTED_VALUE"""),"Google")</f>
        <v>Google</v>
      </c>
      <c r="F702" s="6"/>
      <c r="G702" s="6"/>
      <c r="H702" s="6" t="str">
        <f>IFERROR(__xludf.DUMMYFUNCTION("""COMPUTED_VALUE"""),"Google")</f>
        <v>Google</v>
      </c>
      <c r="I702" s="6">
        <f>IFERROR(__xludf.DUMMYFUNCTION("""COMPUTED_VALUE"""),37.68)</f>
        <v>37.68</v>
      </c>
      <c r="J702" s="6" t="str">
        <f>IFERROR(__xludf.DUMMYFUNCTION("""COMPUTED_VALUE"""),"算法")</f>
        <v>算法</v>
      </c>
    </row>
    <row r="703">
      <c r="A703" s="6">
        <f>IFERROR(__xludf.DUMMYFUNCTION("""COMPUTED_VALUE"""),926.0)</f>
        <v>926</v>
      </c>
      <c r="B703" s="53" t="str">
        <f>IFERROR(__xludf.DUMMYFUNCTION("""COMPUTED_VALUE"""),"Flip String to Monotone Increasing")</f>
        <v>Flip String to Monotone Increasing</v>
      </c>
      <c r="C703" s="6" t="str">
        <f>IFERROR(__xludf.DUMMYFUNCTION("""COMPUTED_VALUE"""),"Medium")</f>
        <v>Medium</v>
      </c>
      <c r="D703" s="6" t="str">
        <f>IFERROR(__xludf.DUMMYFUNCTION("""COMPUTED_VALUE"""),"Array")</f>
        <v>Array</v>
      </c>
      <c r="E703" s="6" t="str">
        <f>IFERROR(__xludf.DUMMYFUNCTION("""COMPUTED_VALUE"""),"Amazon,Google")</f>
        <v>Amazon,Google</v>
      </c>
      <c r="F703" s="6" t="str">
        <f>IFERROR(__xludf.DUMMYFUNCTION("""COMPUTED_VALUE"""),"Amazon")</f>
        <v>Amazon</v>
      </c>
      <c r="G703" s="6" t="str">
        <f>IFERROR(__xludf.DUMMYFUNCTION("""COMPUTED_VALUE"""),"Amazon")</f>
        <v>Amazon</v>
      </c>
      <c r="H703" s="6" t="str">
        <f>IFERROR(__xludf.DUMMYFUNCTION("""COMPUTED_VALUE"""),"Google,Amazon")</f>
        <v>Google,Amazon</v>
      </c>
      <c r="I703" s="6">
        <f>IFERROR(__xludf.DUMMYFUNCTION("""COMPUTED_VALUE"""),53.37)</f>
        <v>53.37</v>
      </c>
      <c r="J703" s="6" t="str">
        <f>IFERROR(__xludf.DUMMYFUNCTION("""COMPUTED_VALUE"""),"算法")</f>
        <v>算法</v>
      </c>
    </row>
    <row r="704">
      <c r="A704" s="6">
        <f>IFERROR(__xludf.DUMMYFUNCTION("""COMPUTED_VALUE"""),929.0)</f>
        <v>929</v>
      </c>
      <c r="B704" s="53" t="str">
        <f>IFERROR(__xludf.DUMMYFUNCTION("""COMPUTED_VALUE"""),"Unique Email Addresses")</f>
        <v>Unique Email Addresses</v>
      </c>
      <c r="C704" s="6" t="str">
        <f>IFERROR(__xludf.DUMMYFUNCTION("""COMPUTED_VALUE"""),"Easy")</f>
        <v>Easy</v>
      </c>
      <c r="D704" s="6" t="str">
        <f>IFERROR(__xludf.DUMMYFUNCTION("""COMPUTED_VALUE"""),"String")</f>
        <v>String</v>
      </c>
      <c r="E704" s="6" t="str">
        <f>IFERROR(__xludf.DUMMYFUNCTION("""COMPUTED_VALUE"""),"Adobe,Amazon,Microsoft,Google")</f>
        <v>Adobe,Amazon,Microsoft,Google</v>
      </c>
      <c r="F704" s="6" t="str">
        <f>IFERROR(__xludf.DUMMYFUNCTION("""COMPUTED_VALUE"""),"Google")</f>
        <v>Google</v>
      </c>
      <c r="G704" s="6" t="str">
        <f>IFERROR(__xludf.DUMMYFUNCTION("""COMPUTED_VALUE"""),"Google")</f>
        <v>Google</v>
      </c>
      <c r="H704" s="6" t="str">
        <f>IFERROR(__xludf.DUMMYFUNCTION("""COMPUTED_VALUE"""),"Amazon,Adobe,Google")</f>
        <v>Amazon,Adobe,Google</v>
      </c>
      <c r="I704" s="6">
        <f>IFERROR(__xludf.DUMMYFUNCTION("""COMPUTED_VALUE"""),67.21)</f>
        <v>67.21</v>
      </c>
      <c r="J704" s="6" t="str">
        <f>IFERROR(__xludf.DUMMYFUNCTION("""COMPUTED_VALUE"""),"算法")</f>
        <v>算法</v>
      </c>
    </row>
    <row r="705">
      <c r="A705" s="6">
        <f>IFERROR(__xludf.DUMMYFUNCTION("""COMPUTED_VALUE"""),931.0)</f>
        <v>931</v>
      </c>
      <c r="B705" s="53" t="str">
        <f>IFERROR(__xludf.DUMMYFUNCTION("""COMPUTED_VALUE"""),"Minimum Falling Path Sum")</f>
        <v>Minimum Falling Path Sum</v>
      </c>
      <c r="C705" s="6" t="str">
        <f>IFERROR(__xludf.DUMMYFUNCTION("""COMPUTED_VALUE"""),"Medium")</f>
        <v>Medium</v>
      </c>
      <c r="D705" s="6" t="str">
        <f>IFERROR(__xludf.DUMMYFUNCTION("""COMPUTED_VALUE"""),"Dynamic Programming")</f>
        <v>Dynamic Programming</v>
      </c>
      <c r="E705" s="6" t="str">
        <f>IFERROR(__xludf.DUMMYFUNCTION("""COMPUTED_VALUE"""),"Roblox,Apple,Amazon,Goldman Sachs,Google")</f>
        <v>Roblox,Apple,Amazon,Goldman Sachs,Google</v>
      </c>
      <c r="F705" s="6" t="str">
        <f>IFERROR(__xludf.DUMMYFUNCTION("""COMPUTED_VALUE"""),"Amazon")</f>
        <v>Amazon</v>
      </c>
      <c r="G705" s="6" t="str">
        <f>IFERROR(__xludf.DUMMYFUNCTION("""COMPUTED_VALUE"""),"Apple,Roblox,Amazon")</f>
        <v>Apple,Roblox,Amazon</v>
      </c>
      <c r="H705" s="6" t="str">
        <f>IFERROR(__xludf.DUMMYFUNCTION("""COMPUTED_VALUE"""),"Google,Goldman Sachs,Apple,Roblox,Amazon")</f>
        <v>Google,Goldman Sachs,Apple,Roblox,Amazon</v>
      </c>
      <c r="I705" s="6">
        <f>IFERROR(__xludf.DUMMYFUNCTION("""COMPUTED_VALUE"""),63.58)</f>
        <v>63.58</v>
      </c>
      <c r="J705" s="6" t="str">
        <f>IFERROR(__xludf.DUMMYFUNCTION("""COMPUTED_VALUE"""),"算法")</f>
        <v>算法</v>
      </c>
    </row>
    <row r="706">
      <c r="A706" s="6">
        <f>IFERROR(__xludf.DUMMYFUNCTION("""COMPUTED_VALUE"""),932.0)</f>
        <v>932</v>
      </c>
      <c r="B706" s="53" t="str">
        <f>IFERROR(__xludf.DUMMYFUNCTION("""COMPUTED_VALUE"""),"Beautiful Array")</f>
        <v>Beautiful Array</v>
      </c>
      <c r="C706" s="6" t="str">
        <f>IFERROR(__xludf.DUMMYFUNCTION("""COMPUTED_VALUE"""),"Medium")</f>
        <v>Medium</v>
      </c>
      <c r="D706" s="6" t="str">
        <f>IFERROR(__xludf.DUMMYFUNCTION("""COMPUTED_VALUE"""),"Divide and Conquer")</f>
        <v>Divide and Conquer</v>
      </c>
      <c r="E706" s="6" t="str">
        <f>IFERROR(__xludf.DUMMYFUNCTION("""COMPUTED_VALUE"""),"Google")</f>
        <v>Google</v>
      </c>
      <c r="F706" s="6"/>
      <c r="G706" s="6"/>
      <c r="H706" s="6" t="str">
        <f>IFERROR(__xludf.DUMMYFUNCTION("""COMPUTED_VALUE"""),"Google")</f>
        <v>Google</v>
      </c>
      <c r="I706" s="6">
        <f>IFERROR(__xludf.DUMMYFUNCTION("""COMPUTED_VALUE"""),61.42)</f>
        <v>61.42</v>
      </c>
      <c r="J706" s="6" t="str">
        <f>IFERROR(__xludf.DUMMYFUNCTION("""COMPUTED_VALUE"""),"算法")</f>
        <v>算法</v>
      </c>
    </row>
    <row r="707">
      <c r="A707" s="6">
        <f>IFERROR(__xludf.DUMMYFUNCTION("""COMPUTED_VALUE"""),933.0)</f>
        <v>933</v>
      </c>
      <c r="B707" s="53" t="str">
        <f>IFERROR(__xludf.DUMMYFUNCTION("""COMPUTED_VALUE"""),"Number of Recent Calls")</f>
        <v>Number of Recent Calls</v>
      </c>
      <c r="C707" s="6" t="str">
        <f>IFERROR(__xludf.DUMMYFUNCTION("""COMPUTED_VALUE"""),"Easy")</f>
        <v>Easy</v>
      </c>
      <c r="D707" s="6" t="str">
        <f>IFERROR(__xludf.DUMMYFUNCTION("""COMPUTED_VALUE"""),"Queue")</f>
        <v>Queue</v>
      </c>
      <c r="E707" s="6" t="str">
        <f>IFERROR(__xludf.DUMMYFUNCTION("""COMPUTED_VALUE"""),"Yandex,Adobe,Bloomberg,Google")</f>
        <v>Yandex,Adobe,Bloomberg,Google</v>
      </c>
      <c r="F707" s="6"/>
      <c r="G707" s="6" t="str">
        <f>IFERROR(__xludf.DUMMYFUNCTION("""COMPUTED_VALUE"""),"Yandex")</f>
        <v>Yandex</v>
      </c>
      <c r="H707" s="6" t="str">
        <f>IFERROR(__xludf.DUMMYFUNCTION("""COMPUTED_VALUE"""),"Bloomberg,Adobe,Yandex")</f>
        <v>Bloomberg,Adobe,Yandex</v>
      </c>
      <c r="I707" s="6">
        <f>IFERROR(__xludf.DUMMYFUNCTION("""COMPUTED_VALUE"""),72.39)</f>
        <v>72.39</v>
      </c>
      <c r="J707" s="6" t="str">
        <f>IFERROR(__xludf.DUMMYFUNCTION("""COMPUTED_VALUE"""),"算法")</f>
        <v>算法</v>
      </c>
    </row>
    <row r="708">
      <c r="A708" s="6">
        <f>IFERROR(__xludf.DUMMYFUNCTION("""COMPUTED_VALUE"""),934.0)</f>
        <v>934</v>
      </c>
      <c r="B708" s="53" t="str">
        <f>IFERROR(__xludf.DUMMYFUNCTION("""COMPUTED_VALUE"""),"Shortest Bridge")</f>
        <v>Shortest Bridge</v>
      </c>
      <c r="C708" s="6" t="str">
        <f>IFERROR(__xludf.DUMMYFUNCTION("""COMPUTED_VALUE"""),"Medium")</f>
        <v>Medium</v>
      </c>
      <c r="D708" s="6" t="str">
        <f>IFERROR(__xludf.DUMMYFUNCTION("""COMPUTED_VALUE"""),"Breadth First Search,Depth First Search")</f>
        <v>Breadth First Search,Depth First Search</v>
      </c>
      <c r="E708" s="6" t="str">
        <f>IFERROR(__xludf.DUMMYFUNCTION("""COMPUTED_VALUE"""),"Atlassian,McKinsey,Uber,Facebook,Microsoft,Google")</f>
        <v>Atlassian,McKinsey,Uber,Facebook,Microsoft,Google</v>
      </c>
      <c r="F708" s="6" t="str">
        <f>IFERROR(__xludf.DUMMYFUNCTION("""COMPUTED_VALUE"""),"Google,Uber,Atlassian")</f>
        <v>Google,Uber,Atlassian</v>
      </c>
      <c r="G708" s="6" t="str">
        <f>IFERROR(__xludf.DUMMYFUNCTION("""COMPUTED_VALUE"""),"Facebook,Google,Uber,Atlassian")</f>
        <v>Facebook,Google,Uber,Atlassian</v>
      </c>
      <c r="H708" s="6" t="str">
        <f>IFERROR(__xludf.DUMMYFUNCTION("""COMPUTED_VALUE"""),"Microsoft,McKinsey,Facebook,Google,Uber,Atlassian")</f>
        <v>Microsoft,McKinsey,Facebook,Google,Uber,Atlassian</v>
      </c>
      <c r="I708" s="6">
        <f>IFERROR(__xludf.DUMMYFUNCTION("""COMPUTED_VALUE"""),49.74)</f>
        <v>49.74</v>
      </c>
      <c r="J708" s="6" t="str">
        <f>IFERROR(__xludf.DUMMYFUNCTION("""COMPUTED_VALUE"""),"算法")</f>
        <v>算法</v>
      </c>
    </row>
    <row r="709">
      <c r="A709" s="6">
        <f>IFERROR(__xludf.DUMMYFUNCTION("""COMPUTED_VALUE"""),935.0)</f>
        <v>935</v>
      </c>
      <c r="B709" s="53" t="str">
        <f>IFERROR(__xludf.DUMMYFUNCTION("""COMPUTED_VALUE"""),"Knight Dialer")</f>
        <v>Knight Dialer</v>
      </c>
      <c r="C709" s="6" t="str">
        <f>IFERROR(__xludf.DUMMYFUNCTION("""COMPUTED_VALUE"""),"Medium")</f>
        <v>Medium</v>
      </c>
      <c r="D709" s="6" t="str">
        <f>IFERROR(__xludf.DUMMYFUNCTION("""COMPUTED_VALUE"""),"Dynamic Programming")</f>
        <v>Dynamic Programming</v>
      </c>
      <c r="E709" s="6" t="str">
        <f>IFERROR(__xludf.DUMMYFUNCTION("""COMPUTED_VALUE"""),"Qualtrics,Pinterest,Twilio,Box,Citadel,Facebook,Microsoft,Google")</f>
        <v>Qualtrics,Pinterest,Twilio,Box,Citadel,Facebook,Microsoft,Google</v>
      </c>
      <c r="F709" s="6" t="str">
        <f>IFERROR(__xludf.DUMMYFUNCTION("""COMPUTED_VALUE"""),"Qualtrics")</f>
        <v>Qualtrics</v>
      </c>
      <c r="G709" s="6" t="str">
        <f>IFERROR(__xludf.DUMMYFUNCTION("""COMPUTED_VALUE"""),"Twilio,Google,Facebook,Citadel,Qualtrics")</f>
        <v>Twilio,Google,Facebook,Citadel,Qualtrics</v>
      </c>
      <c r="H709" s="6" t="str">
        <f>IFERROR(__xludf.DUMMYFUNCTION("""COMPUTED_VALUE"""),"Microsoft,Box,Twilio,Google,Facebook,Citadel,Qualtrics")</f>
        <v>Microsoft,Box,Twilio,Google,Facebook,Citadel,Qualtrics</v>
      </c>
      <c r="I709" s="6">
        <f>IFERROR(__xludf.DUMMYFUNCTION("""COMPUTED_VALUE"""),46.58)</f>
        <v>46.58</v>
      </c>
      <c r="J709" s="6" t="str">
        <f>IFERROR(__xludf.DUMMYFUNCTION("""COMPUTED_VALUE"""),"算法")</f>
        <v>算法</v>
      </c>
    </row>
    <row r="710">
      <c r="A710" s="6">
        <f>IFERROR(__xludf.DUMMYFUNCTION("""COMPUTED_VALUE"""),936.0)</f>
        <v>936</v>
      </c>
      <c r="B710" s="53" t="str">
        <f>IFERROR(__xludf.DUMMYFUNCTION("""COMPUTED_VALUE"""),"Stamping The Sequence")</f>
        <v>Stamping The Sequence</v>
      </c>
      <c r="C710" s="6" t="str">
        <f>IFERROR(__xludf.DUMMYFUNCTION("""COMPUTED_VALUE"""),"Hard")</f>
        <v>Hard</v>
      </c>
      <c r="D710" s="6" t="str">
        <f>IFERROR(__xludf.DUMMYFUNCTION("""COMPUTED_VALUE"""),"Greedy,String")</f>
        <v>Greedy,String</v>
      </c>
      <c r="E710" s="6" t="str">
        <f>IFERROR(__xludf.DUMMYFUNCTION("""COMPUTED_VALUE"""),"Uber,Facebook,Google")</f>
        <v>Uber,Facebook,Google</v>
      </c>
      <c r="F710" s="6"/>
      <c r="G710" s="6" t="str">
        <f>IFERROR(__xludf.DUMMYFUNCTION("""COMPUTED_VALUE"""),"Facebook")</f>
        <v>Facebook</v>
      </c>
      <c r="H710" s="6" t="str">
        <f>IFERROR(__xludf.DUMMYFUNCTION("""COMPUTED_VALUE"""),"Uber,Facebook")</f>
        <v>Uber,Facebook</v>
      </c>
      <c r="I710" s="6">
        <f>IFERROR(__xludf.DUMMYFUNCTION("""COMPUTED_VALUE"""),47.54)</f>
        <v>47.54</v>
      </c>
      <c r="J710" s="6" t="str">
        <f>IFERROR(__xludf.DUMMYFUNCTION("""COMPUTED_VALUE"""),"算法")</f>
        <v>算法</v>
      </c>
    </row>
    <row r="711">
      <c r="A711" s="6">
        <f>IFERROR(__xludf.DUMMYFUNCTION("""COMPUTED_VALUE"""),937.0)</f>
        <v>937</v>
      </c>
      <c r="B711" s="53" t="str">
        <f>IFERROR(__xludf.DUMMYFUNCTION("""COMPUTED_VALUE"""),"Reorder Data in Log Files")</f>
        <v>Reorder Data in Log Files</v>
      </c>
      <c r="C711" s="6" t="str">
        <f>IFERROR(__xludf.DUMMYFUNCTION("""COMPUTED_VALUE"""),"Easy")</f>
        <v>Easy</v>
      </c>
      <c r="D711" s="6" t="str">
        <f>IFERROR(__xludf.DUMMYFUNCTION("""COMPUTED_VALUE"""),"String")</f>
        <v>String</v>
      </c>
      <c r="E711" s="6" t="str">
        <f>IFERROR(__xludf.DUMMYFUNCTION("""COMPUTED_VALUE"""),"Audible,Google,Apple,Amazon")</f>
        <v>Audible,Google,Apple,Amazon</v>
      </c>
      <c r="F711" s="6" t="str">
        <f>IFERROR(__xludf.DUMMYFUNCTION("""COMPUTED_VALUE"""),"Amazon,Google")</f>
        <v>Amazon,Google</v>
      </c>
      <c r="G711" s="6" t="str">
        <f>IFERROR(__xludf.DUMMYFUNCTION("""COMPUTED_VALUE"""),"Audible,Amazon,Google")</f>
        <v>Audible,Amazon,Google</v>
      </c>
      <c r="H711" s="6" t="str">
        <f>IFERROR(__xludf.DUMMYFUNCTION("""COMPUTED_VALUE"""),"Apple,Audible,Amazon,Google")</f>
        <v>Apple,Audible,Amazon,Google</v>
      </c>
      <c r="I711" s="6">
        <f>IFERROR(__xludf.DUMMYFUNCTION("""COMPUTED_VALUE"""),54.59)</f>
        <v>54.59</v>
      </c>
      <c r="J711" s="6" t="str">
        <f>IFERROR(__xludf.DUMMYFUNCTION("""COMPUTED_VALUE"""),"算法")</f>
        <v>算法</v>
      </c>
    </row>
    <row r="712">
      <c r="A712" s="6">
        <f>IFERROR(__xludf.DUMMYFUNCTION("""COMPUTED_VALUE"""),938.0)</f>
        <v>938</v>
      </c>
      <c r="B712" s="53" t="str">
        <f>IFERROR(__xludf.DUMMYFUNCTION("""COMPUTED_VALUE"""),"Range Sum of BST")</f>
        <v>Range Sum of BST</v>
      </c>
      <c r="C712" s="6" t="str">
        <f>IFERROR(__xludf.DUMMYFUNCTION("""COMPUTED_VALUE"""),"Easy")</f>
        <v>Easy</v>
      </c>
      <c r="D712" s="6" t="str">
        <f>IFERROR(__xludf.DUMMYFUNCTION("""COMPUTED_VALUE"""),"Depth First Search,Recursion,Tree")</f>
        <v>Depth First Search,Recursion,Tree</v>
      </c>
      <c r="E712" s="6" t="str">
        <f>IFERROR(__xludf.DUMMYFUNCTION("""COMPUTED_VALUE"""),"Adobe,Oracle,Apple,Facebook,Amazon,Microsoft,Google")</f>
        <v>Adobe,Oracle,Apple,Facebook,Amazon,Microsoft,Google</v>
      </c>
      <c r="F712" s="6" t="str">
        <f>IFERROR(__xludf.DUMMYFUNCTION("""COMPUTED_VALUE"""),"Facebook,Google,Apple,Oracle")</f>
        <v>Facebook,Google,Apple,Oracle</v>
      </c>
      <c r="G712" s="6" t="str">
        <f>IFERROR(__xludf.DUMMYFUNCTION("""COMPUTED_VALUE"""),"Amazon,Facebook,Google,Apple,Oracle")</f>
        <v>Amazon,Facebook,Google,Apple,Oracle</v>
      </c>
      <c r="H712" s="6" t="str">
        <f>IFERROR(__xludf.DUMMYFUNCTION("""COMPUTED_VALUE"""),"Microsoft,Adobe,Amazon,Facebook,Google,Apple,Oracle")</f>
        <v>Microsoft,Adobe,Amazon,Facebook,Google,Apple,Oracle</v>
      </c>
      <c r="I712" s="6">
        <f>IFERROR(__xludf.DUMMYFUNCTION("""COMPUTED_VALUE"""),83.1)</f>
        <v>83.1</v>
      </c>
      <c r="J712" s="6" t="str">
        <f>IFERROR(__xludf.DUMMYFUNCTION("""COMPUTED_VALUE"""),"算法")</f>
        <v>算法</v>
      </c>
    </row>
    <row r="713">
      <c r="A713" s="6">
        <f>IFERROR(__xludf.DUMMYFUNCTION("""COMPUTED_VALUE"""),939.0)</f>
        <v>939</v>
      </c>
      <c r="B713" s="53" t="str">
        <f>IFERROR(__xludf.DUMMYFUNCTION("""COMPUTED_VALUE"""),"Minimum Area Rectangle")</f>
        <v>Minimum Area Rectangle</v>
      </c>
      <c r="C713" s="6" t="str">
        <f>IFERROR(__xludf.DUMMYFUNCTION("""COMPUTED_VALUE"""),"Medium")</f>
        <v>Medium</v>
      </c>
      <c r="D713" s="6" t="str">
        <f>IFERROR(__xludf.DUMMYFUNCTION("""COMPUTED_VALUE"""),"Hash Table")</f>
        <v>Hash Table</v>
      </c>
      <c r="E713" s="6" t="str">
        <f>IFERROR(__xludf.DUMMYFUNCTION("""COMPUTED_VALUE"""),"Snapchat,Goldman Sachs,Nvidia,Facebook,Amazon,Microsoft,Google")</f>
        <v>Snapchat,Goldman Sachs,Nvidia,Facebook,Amazon,Microsoft,Google</v>
      </c>
      <c r="F713" s="6" t="str">
        <f>IFERROR(__xludf.DUMMYFUNCTION("""COMPUTED_VALUE"""),"Facebook,Snapchat,Amazon")</f>
        <v>Facebook,Snapchat,Amazon</v>
      </c>
      <c r="G713" s="6" t="str">
        <f>IFERROR(__xludf.DUMMYFUNCTION("""COMPUTED_VALUE"""),"Google,Goldman Sachs,Facebook,Snapchat,Amazon")</f>
        <v>Google,Goldman Sachs,Facebook,Snapchat,Amazon</v>
      </c>
      <c r="H713" s="6" t="str">
        <f>IFERROR(__xludf.DUMMYFUNCTION("""COMPUTED_VALUE"""),"Microsoft,Nvidia,Google,Goldman Sachs,Facebook,Snapchat,Amazon")</f>
        <v>Microsoft,Nvidia,Google,Goldman Sachs,Facebook,Snapchat,Amazon</v>
      </c>
      <c r="I713" s="6">
        <f>IFERROR(__xludf.DUMMYFUNCTION("""COMPUTED_VALUE"""),52.0)</f>
        <v>52</v>
      </c>
      <c r="J713" s="6" t="str">
        <f>IFERROR(__xludf.DUMMYFUNCTION("""COMPUTED_VALUE"""),"算法")</f>
        <v>算法</v>
      </c>
    </row>
    <row r="714">
      <c r="A714" s="6">
        <f>IFERROR(__xludf.DUMMYFUNCTION("""COMPUTED_VALUE"""),940.0)</f>
        <v>940</v>
      </c>
      <c r="B714" s="53" t="str">
        <f>IFERROR(__xludf.DUMMYFUNCTION("""COMPUTED_VALUE"""),"Distinct Subsequences II")</f>
        <v>Distinct Subsequences II</v>
      </c>
      <c r="C714" s="6" t="str">
        <f>IFERROR(__xludf.DUMMYFUNCTION("""COMPUTED_VALUE"""),"Hard")</f>
        <v>Hard</v>
      </c>
      <c r="D714" s="6" t="str">
        <f>IFERROR(__xludf.DUMMYFUNCTION("""COMPUTED_VALUE"""),"Dynamic Programming")</f>
        <v>Dynamic Programming</v>
      </c>
      <c r="E714" s="6" t="str">
        <f>IFERROR(__xludf.DUMMYFUNCTION("""COMPUTED_VALUE"""),"Google")</f>
        <v>Google</v>
      </c>
      <c r="F714" s="6"/>
      <c r="G714" s="6"/>
      <c r="H714" s="6"/>
      <c r="I714" s="6">
        <f>IFERROR(__xludf.DUMMYFUNCTION("""COMPUTED_VALUE"""),41.55)</f>
        <v>41.55</v>
      </c>
      <c r="J714" s="6" t="str">
        <f>IFERROR(__xludf.DUMMYFUNCTION("""COMPUTED_VALUE"""),"算法")</f>
        <v>算法</v>
      </c>
    </row>
    <row r="715">
      <c r="A715" s="6">
        <f>IFERROR(__xludf.DUMMYFUNCTION("""COMPUTED_VALUE"""),941.0)</f>
        <v>941</v>
      </c>
      <c r="B715" s="53" t="str">
        <f>IFERROR(__xludf.DUMMYFUNCTION("""COMPUTED_VALUE"""),"Valid Mountain Array")</f>
        <v>Valid Mountain Array</v>
      </c>
      <c r="C715" s="6" t="str">
        <f>IFERROR(__xludf.DUMMYFUNCTION("""COMPUTED_VALUE"""),"Easy")</f>
        <v>Easy</v>
      </c>
      <c r="D715" s="6" t="str">
        <f>IFERROR(__xludf.DUMMYFUNCTION("""COMPUTED_VALUE"""),"Array")</f>
        <v>Array</v>
      </c>
      <c r="E715" s="6" t="str">
        <f>IFERROR(__xludf.DUMMYFUNCTION("""COMPUTED_VALUE"""),"Adobe,Uber,Google")</f>
        <v>Adobe,Uber,Google</v>
      </c>
      <c r="F715" s="6" t="str">
        <f>IFERROR(__xludf.DUMMYFUNCTION("""COMPUTED_VALUE"""),"Google")</f>
        <v>Google</v>
      </c>
      <c r="G715" s="6" t="str">
        <f>IFERROR(__xludf.DUMMYFUNCTION("""COMPUTED_VALUE"""),"Adobe,Google")</f>
        <v>Adobe,Google</v>
      </c>
      <c r="H715" s="6" t="str">
        <f>IFERROR(__xludf.DUMMYFUNCTION("""COMPUTED_VALUE"""),"Uber,Adobe,Google")</f>
        <v>Uber,Adobe,Google</v>
      </c>
      <c r="I715" s="6">
        <f>IFERROR(__xludf.DUMMYFUNCTION("""COMPUTED_VALUE"""),33.13)</f>
        <v>33.13</v>
      </c>
      <c r="J715" s="6" t="str">
        <f>IFERROR(__xludf.DUMMYFUNCTION("""COMPUTED_VALUE"""),"算法")</f>
        <v>算法</v>
      </c>
    </row>
    <row r="716">
      <c r="A716" s="6">
        <f>IFERROR(__xludf.DUMMYFUNCTION("""COMPUTED_VALUE"""),942.0)</f>
        <v>942</v>
      </c>
      <c r="B716" s="53" t="str">
        <f>IFERROR(__xludf.DUMMYFUNCTION("""COMPUTED_VALUE"""),"DI String Match")</f>
        <v>DI String Match</v>
      </c>
      <c r="C716" s="6" t="str">
        <f>IFERROR(__xludf.DUMMYFUNCTION("""COMPUTED_VALUE"""),"Easy")</f>
        <v>Easy</v>
      </c>
      <c r="D716" s="6" t="str">
        <f>IFERROR(__xludf.DUMMYFUNCTION("""COMPUTED_VALUE"""),"Math")</f>
        <v>Math</v>
      </c>
      <c r="E716" s="6" t="str">
        <f>IFERROR(__xludf.DUMMYFUNCTION("""COMPUTED_VALUE"""),"Uber,Bloomberg,Amazon,Goldman Sachs,Google")</f>
        <v>Uber,Bloomberg,Amazon,Goldman Sachs,Google</v>
      </c>
      <c r="F716" s="6" t="str">
        <f>IFERROR(__xludf.DUMMYFUNCTION("""COMPUTED_VALUE"""),"Uber")</f>
        <v>Uber</v>
      </c>
      <c r="G716" s="6" t="str">
        <f>IFERROR(__xludf.DUMMYFUNCTION("""COMPUTED_VALUE"""),"Goldman Sachs,Bloomberg,Uber")</f>
        <v>Goldman Sachs,Bloomberg,Uber</v>
      </c>
      <c r="H716" s="6" t="str">
        <f>IFERROR(__xludf.DUMMYFUNCTION("""COMPUTED_VALUE"""),"Google,Goldman Sachs,Bloomberg,Uber")</f>
        <v>Google,Goldman Sachs,Bloomberg,Uber</v>
      </c>
      <c r="I716" s="6">
        <f>IFERROR(__xludf.DUMMYFUNCTION("""COMPUTED_VALUE"""),73.63)</f>
        <v>73.63</v>
      </c>
      <c r="J716" s="6" t="str">
        <f>IFERROR(__xludf.DUMMYFUNCTION("""COMPUTED_VALUE"""),"算法")</f>
        <v>算法</v>
      </c>
    </row>
    <row r="717">
      <c r="A717" s="6">
        <f>IFERROR(__xludf.DUMMYFUNCTION("""COMPUTED_VALUE"""),943.0)</f>
        <v>943</v>
      </c>
      <c r="B717" s="53" t="str">
        <f>IFERROR(__xludf.DUMMYFUNCTION("""COMPUTED_VALUE"""),"Find the Shortest Superstring")</f>
        <v>Find the Shortest Superstring</v>
      </c>
      <c r="C717" s="6" t="str">
        <f>IFERROR(__xludf.DUMMYFUNCTION("""COMPUTED_VALUE"""),"Hard")</f>
        <v>Hard</v>
      </c>
      <c r="D717" s="6" t="str">
        <f>IFERROR(__xludf.DUMMYFUNCTION("""COMPUTED_VALUE"""),"Dynamic Programming")</f>
        <v>Dynamic Programming</v>
      </c>
      <c r="E717" s="6" t="str">
        <f>IFERROR(__xludf.DUMMYFUNCTION("""COMPUTED_VALUE"""),"Amazon,Google")</f>
        <v>Amazon,Google</v>
      </c>
      <c r="F717" s="6"/>
      <c r="G717" s="6"/>
      <c r="H717" s="6" t="str">
        <f>IFERROR(__xludf.DUMMYFUNCTION("""COMPUTED_VALUE"""),"Amazon,Google")</f>
        <v>Amazon,Google</v>
      </c>
      <c r="I717" s="6">
        <f>IFERROR(__xludf.DUMMYFUNCTION("""COMPUTED_VALUE"""),43.42)</f>
        <v>43.42</v>
      </c>
      <c r="J717" s="6" t="str">
        <f>IFERROR(__xludf.DUMMYFUNCTION("""COMPUTED_VALUE"""),"算法")</f>
        <v>算法</v>
      </c>
    </row>
    <row r="718">
      <c r="A718" s="6">
        <f>IFERROR(__xludf.DUMMYFUNCTION("""COMPUTED_VALUE"""),944.0)</f>
        <v>944</v>
      </c>
      <c r="B718" s="53" t="str">
        <f>IFERROR(__xludf.DUMMYFUNCTION("""COMPUTED_VALUE"""),"Delete Columns to Make Sorted")</f>
        <v>Delete Columns to Make Sorted</v>
      </c>
      <c r="C718" s="6" t="str">
        <f>IFERROR(__xludf.DUMMYFUNCTION("""COMPUTED_VALUE"""),"Easy")</f>
        <v>Easy</v>
      </c>
      <c r="D718" s="6" t="str">
        <f>IFERROR(__xludf.DUMMYFUNCTION("""COMPUTED_VALUE"""),"Greedy")</f>
        <v>Greedy</v>
      </c>
      <c r="E718" s="6" t="str">
        <f>IFERROR(__xludf.DUMMYFUNCTION("""COMPUTED_VALUE"""),"Google")</f>
        <v>Google</v>
      </c>
      <c r="F718" s="6"/>
      <c r="G718" s="6"/>
      <c r="H718" s="6" t="str">
        <f>IFERROR(__xludf.DUMMYFUNCTION("""COMPUTED_VALUE"""),"Google")</f>
        <v>Google</v>
      </c>
      <c r="I718" s="6">
        <f>IFERROR(__xludf.DUMMYFUNCTION("""COMPUTED_VALUE"""),70.88)</f>
        <v>70.88</v>
      </c>
      <c r="J718" s="6" t="str">
        <f>IFERROR(__xludf.DUMMYFUNCTION("""COMPUTED_VALUE"""),"算法")</f>
        <v>算法</v>
      </c>
    </row>
    <row r="719">
      <c r="A719" s="6">
        <f>IFERROR(__xludf.DUMMYFUNCTION("""COMPUTED_VALUE"""),945.0)</f>
        <v>945</v>
      </c>
      <c r="B719" s="53" t="str">
        <f>IFERROR(__xludf.DUMMYFUNCTION("""COMPUTED_VALUE"""),"Minimum Increment to Make Array Unique")</f>
        <v>Minimum Increment to Make Array Unique</v>
      </c>
      <c r="C719" s="6" t="str">
        <f>IFERROR(__xludf.DUMMYFUNCTION("""COMPUTED_VALUE"""),"Medium")</f>
        <v>Medium</v>
      </c>
      <c r="D719" s="6" t="str">
        <f>IFERROR(__xludf.DUMMYFUNCTION("""COMPUTED_VALUE"""),"Array")</f>
        <v>Array</v>
      </c>
      <c r="E719" s="6" t="str">
        <f>IFERROR(__xludf.DUMMYFUNCTION("""COMPUTED_VALUE"""),"Uber,Google,IXL,Coursera,Twitter")</f>
        <v>Uber,Google,IXL,Coursera,Twitter</v>
      </c>
      <c r="F719" s="6" t="str">
        <f>IFERROR(__xludf.DUMMYFUNCTION("""COMPUTED_VALUE"""),"Twitter,Uber")</f>
        <v>Twitter,Uber</v>
      </c>
      <c r="G719" s="6" t="str">
        <f>IFERROR(__xludf.DUMMYFUNCTION("""COMPUTED_VALUE"""),"Twitter,Uber")</f>
        <v>Twitter,Uber</v>
      </c>
      <c r="H719" s="6" t="str">
        <f>IFERROR(__xludf.DUMMYFUNCTION("""COMPUTED_VALUE"""),"IXL,Google,Coursera,Twitter,Uber")</f>
        <v>IXL,Google,Coursera,Twitter,Uber</v>
      </c>
      <c r="I719" s="6">
        <f>IFERROR(__xludf.DUMMYFUNCTION("""COMPUTED_VALUE"""),46.78)</f>
        <v>46.78</v>
      </c>
      <c r="J719" s="6" t="str">
        <f>IFERROR(__xludf.DUMMYFUNCTION("""COMPUTED_VALUE"""),"算法")</f>
        <v>算法</v>
      </c>
    </row>
    <row r="720">
      <c r="A720" s="6">
        <f>IFERROR(__xludf.DUMMYFUNCTION("""COMPUTED_VALUE"""),946.0)</f>
        <v>946</v>
      </c>
      <c r="B720" s="53" t="str">
        <f>IFERROR(__xludf.DUMMYFUNCTION("""COMPUTED_VALUE"""),"Validate Stack Sequences")</f>
        <v>Validate Stack Sequences</v>
      </c>
      <c r="C720" s="6" t="str">
        <f>IFERROR(__xludf.DUMMYFUNCTION("""COMPUTED_VALUE"""),"Medium")</f>
        <v>Medium</v>
      </c>
      <c r="D720" s="6" t="str">
        <f>IFERROR(__xludf.DUMMYFUNCTION("""COMPUTED_VALUE"""),"Stack")</f>
        <v>Stack</v>
      </c>
      <c r="E720" s="6" t="str">
        <f>IFERROR(__xludf.DUMMYFUNCTION("""COMPUTED_VALUE"""),"Amazon,LinkedIn,Google")</f>
        <v>Amazon,LinkedIn,Google</v>
      </c>
      <c r="F720" s="6" t="str">
        <f>IFERROR(__xludf.DUMMYFUNCTION("""COMPUTED_VALUE"""),"Google")</f>
        <v>Google</v>
      </c>
      <c r="G720" s="6" t="str">
        <f>IFERROR(__xludf.DUMMYFUNCTION("""COMPUTED_VALUE"""),"Google")</f>
        <v>Google</v>
      </c>
      <c r="H720" s="6" t="str">
        <f>IFERROR(__xludf.DUMMYFUNCTION("""COMPUTED_VALUE"""),"Amazon,LinkedIn,Google")</f>
        <v>Amazon,LinkedIn,Google</v>
      </c>
      <c r="I720" s="6">
        <f>IFERROR(__xludf.DUMMYFUNCTION("""COMPUTED_VALUE"""),64.44)</f>
        <v>64.44</v>
      </c>
      <c r="J720" s="6" t="str">
        <f>IFERROR(__xludf.DUMMYFUNCTION("""COMPUTED_VALUE"""),"算法")</f>
        <v>算法</v>
      </c>
    </row>
    <row r="721">
      <c r="A721" s="6">
        <f>IFERROR(__xludf.DUMMYFUNCTION("""COMPUTED_VALUE"""),947.0)</f>
        <v>947</v>
      </c>
      <c r="B721" s="53" t="str">
        <f>IFERROR(__xludf.DUMMYFUNCTION("""COMPUTED_VALUE"""),"Most Stones Removed with Same Row or Column")</f>
        <v>Most Stones Removed with Same Row or Column</v>
      </c>
      <c r="C721" s="6" t="str">
        <f>IFERROR(__xludf.DUMMYFUNCTION("""COMPUTED_VALUE"""),"Medium")</f>
        <v>Medium</v>
      </c>
      <c r="D721" s="6" t="str">
        <f>IFERROR(__xludf.DUMMYFUNCTION("""COMPUTED_VALUE"""),"Union Find,Depth First Search")</f>
        <v>Union Find,Depth First Search</v>
      </c>
      <c r="E721" s="6" t="str">
        <f>IFERROR(__xludf.DUMMYFUNCTION("""COMPUTED_VALUE"""),"Adobe,Amazon,Google")</f>
        <v>Adobe,Amazon,Google</v>
      </c>
      <c r="F721" s="6" t="str">
        <f>IFERROR(__xludf.DUMMYFUNCTION("""COMPUTED_VALUE"""),"Amazon")</f>
        <v>Amazon</v>
      </c>
      <c r="G721" s="6" t="str">
        <f>IFERROR(__xludf.DUMMYFUNCTION("""COMPUTED_VALUE"""),"Adobe,Amazon")</f>
        <v>Adobe,Amazon</v>
      </c>
      <c r="H721" s="6" t="str">
        <f>IFERROR(__xludf.DUMMYFUNCTION("""COMPUTED_VALUE"""),"Google,Adobe,Amazon")</f>
        <v>Google,Adobe,Amazon</v>
      </c>
      <c r="I721" s="6">
        <f>IFERROR(__xludf.DUMMYFUNCTION("""COMPUTED_VALUE"""),55.47)</f>
        <v>55.47</v>
      </c>
      <c r="J721" s="6" t="str">
        <f>IFERROR(__xludf.DUMMYFUNCTION("""COMPUTED_VALUE"""),"算法")</f>
        <v>算法</v>
      </c>
    </row>
    <row r="722">
      <c r="A722" s="6">
        <f>IFERROR(__xludf.DUMMYFUNCTION("""COMPUTED_VALUE"""),948.0)</f>
        <v>948</v>
      </c>
      <c r="B722" s="53" t="str">
        <f>IFERROR(__xludf.DUMMYFUNCTION("""COMPUTED_VALUE"""),"Bag of Tokens")</f>
        <v>Bag of Tokens</v>
      </c>
      <c r="C722" s="6" t="str">
        <f>IFERROR(__xludf.DUMMYFUNCTION("""COMPUTED_VALUE"""),"Medium")</f>
        <v>Medium</v>
      </c>
      <c r="D722" s="6" t="str">
        <f>IFERROR(__xludf.DUMMYFUNCTION("""COMPUTED_VALUE"""),"Sort,Two Pointers,Greedy")</f>
        <v>Sort,Two Pointers,Greedy</v>
      </c>
      <c r="E722" s="6" t="str">
        <f>IFERROR(__xludf.DUMMYFUNCTION("""COMPUTED_VALUE"""),"Google")</f>
        <v>Google</v>
      </c>
      <c r="F722" s="6"/>
      <c r="G722" s="6"/>
      <c r="H722" s="6" t="str">
        <f>IFERROR(__xludf.DUMMYFUNCTION("""COMPUTED_VALUE"""),"Google")</f>
        <v>Google</v>
      </c>
      <c r="I722" s="6">
        <f>IFERROR(__xludf.DUMMYFUNCTION("""COMPUTED_VALUE"""),46.13)</f>
        <v>46.13</v>
      </c>
      <c r="J722" s="6" t="str">
        <f>IFERROR(__xludf.DUMMYFUNCTION("""COMPUTED_VALUE"""),"算法")</f>
        <v>算法</v>
      </c>
    </row>
    <row r="723">
      <c r="A723" s="6">
        <f>IFERROR(__xludf.DUMMYFUNCTION("""COMPUTED_VALUE"""),949.0)</f>
        <v>949</v>
      </c>
      <c r="B723" s="53" t="str">
        <f>IFERROR(__xludf.DUMMYFUNCTION("""COMPUTED_VALUE"""),"Largest Time for Given Digits")</f>
        <v>Largest Time for Given Digits</v>
      </c>
      <c r="C723" s="6" t="str">
        <f>IFERROR(__xludf.DUMMYFUNCTION("""COMPUTED_VALUE"""),"Medium")</f>
        <v>Medium</v>
      </c>
      <c r="D723" s="6" t="str">
        <f>IFERROR(__xludf.DUMMYFUNCTION("""COMPUTED_VALUE"""),"Math")</f>
        <v>Math</v>
      </c>
      <c r="E723" s="6" t="str">
        <f>IFERROR(__xludf.DUMMYFUNCTION("""COMPUTED_VALUE"""),"LiveRamp,Google")</f>
        <v>LiveRamp,Google</v>
      </c>
      <c r="F723" s="6"/>
      <c r="G723" s="6" t="str">
        <f>IFERROR(__xludf.DUMMYFUNCTION("""COMPUTED_VALUE"""),"Google")</f>
        <v>Google</v>
      </c>
      <c r="H723" s="6" t="str">
        <f>IFERROR(__xludf.DUMMYFUNCTION("""COMPUTED_VALUE"""),"LiveRamp,Google")</f>
        <v>LiveRamp,Google</v>
      </c>
      <c r="I723" s="6">
        <f>IFERROR(__xludf.DUMMYFUNCTION("""COMPUTED_VALUE"""),36.19)</f>
        <v>36.19</v>
      </c>
      <c r="J723" s="6" t="str">
        <f>IFERROR(__xludf.DUMMYFUNCTION("""COMPUTED_VALUE"""),"算法")</f>
        <v>算法</v>
      </c>
    </row>
    <row r="724">
      <c r="A724" s="6">
        <f>IFERROR(__xludf.DUMMYFUNCTION("""COMPUTED_VALUE"""),950.0)</f>
        <v>950</v>
      </c>
      <c r="B724" s="53" t="str">
        <f>IFERROR(__xludf.DUMMYFUNCTION("""COMPUTED_VALUE"""),"Reveal Cards In Increasing Order")</f>
        <v>Reveal Cards In Increasing Order</v>
      </c>
      <c r="C724" s="6" t="str">
        <f>IFERROR(__xludf.DUMMYFUNCTION("""COMPUTED_VALUE"""),"Medium")</f>
        <v>Medium</v>
      </c>
      <c r="D724" s="6" t="str">
        <f>IFERROR(__xludf.DUMMYFUNCTION("""COMPUTED_VALUE"""),"Array")</f>
        <v>Array</v>
      </c>
      <c r="E724" s="6" t="str">
        <f>IFERROR(__xludf.DUMMYFUNCTION("""COMPUTED_VALUE"""),"Amazon,Microsoft,Google")</f>
        <v>Amazon,Microsoft,Google</v>
      </c>
      <c r="F724" s="6" t="str">
        <f>IFERROR(__xludf.DUMMYFUNCTION("""COMPUTED_VALUE"""),"Amazon")</f>
        <v>Amazon</v>
      </c>
      <c r="G724" s="6" t="str">
        <f>IFERROR(__xludf.DUMMYFUNCTION("""COMPUTED_VALUE"""),"Microsoft,Amazon")</f>
        <v>Microsoft,Amazon</v>
      </c>
      <c r="H724" s="6" t="str">
        <f>IFERROR(__xludf.DUMMYFUNCTION("""COMPUTED_VALUE"""),"Google,Microsoft,Amazon")</f>
        <v>Google,Microsoft,Amazon</v>
      </c>
      <c r="I724" s="6">
        <f>IFERROR(__xludf.DUMMYFUNCTION("""COMPUTED_VALUE"""),75.43)</f>
        <v>75.43</v>
      </c>
      <c r="J724" s="6" t="str">
        <f>IFERROR(__xludf.DUMMYFUNCTION("""COMPUTED_VALUE"""),"算法")</f>
        <v>算法</v>
      </c>
    </row>
    <row r="725">
      <c r="A725" s="6">
        <f>IFERROR(__xludf.DUMMYFUNCTION("""COMPUTED_VALUE"""),951.0)</f>
        <v>951</v>
      </c>
      <c r="B725" s="53" t="str">
        <f>IFERROR(__xludf.DUMMYFUNCTION("""COMPUTED_VALUE"""),"Flip Equivalent Binary Trees")</f>
        <v>Flip Equivalent Binary Trees</v>
      </c>
      <c r="C725" s="6" t="str">
        <f>IFERROR(__xludf.DUMMYFUNCTION("""COMPUTED_VALUE"""),"Medium")</f>
        <v>Medium</v>
      </c>
      <c r="D725" s="6" t="str">
        <f>IFERROR(__xludf.DUMMYFUNCTION("""COMPUTED_VALUE"""),"Tree")</f>
        <v>Tree</v>
      </c>
      <c r="E725" s="6" t="str">
        <f>IFERROR(__xludf.DUMMYFUNCTION("""COMPUTED_VALUE"""),"Apple,Microsoft,EBay,Amazon,Google")</f>
        <v>Apple,Microsoft,EBay,Amazon,Google</v>
      </c>
      <c r="F725" s="6" t="str">
        <f>IFERROR(__xludf.DUMMYFUNCTION("""COMPUTED_VALUE"""),"Google,Microsoft")</f>
        <v>Google,Microsoft</v>
      </c>
      <c r="G725" s="6" t="str">
        <f>IFERROR(__xludf.DUMMYFUNCTION("""COMPUTED_VALUE"""),"Amazon,eBay,Google,Microsoft")</f>
        <v>Amazon,eBay,Google,Microsoft</v>
      </c>
      <c r="H725" s="6" t="str">
        <f>IFERROR(__xludf.DUMMYFUNCTION("""COMPUTED_VALUE"""),"Apple,Amazon,eBay,Google,Microsoft")</f>
        <v>Apple,Amazon,eBay,Google,Microsoft</v>
      </c>
      <c r="I725" s="6">
        <f>IFERROR(__xludf.DUMMYFUNCTION("""COMPUTED_VALUE"""),65.72)</f>
        <v>65.72</v>
      </c>
      <c r="J725" s="6" t="str">
        <f>IFERROR(__xludf.DUMMYFUNCTION("""COMPUTED_VALUE"""),"算法")</f>
        <v>算法</v>
      </c>
    </row>
    <row r="726">
      <c r="A726" s="6">
        <f>IFERROR(__xludf.DUMMYFUNCTION("""COMPUTED_VALUE"""),952.0)</f>
        <v>952</v>
      </c>
      <c r="B726" s="53" t="str">
        <f>IFERROR(__xludf.DUMMYFUNCTION("""COMPUTED_VALUE"""),"Largest Component Size by Common Factor")</f>
        <v>Largest Component Size by Common Factor</v>
      </c>
      <c r="C726" s="6" t="str">
        <f>IFERROR(__xludf.DUMMYFUNCTION("""COMPUTED_VALUE"""),"Hard")</f>
        <v>Hard</v>
      </c>
      <c r="D726" s="6" t="str">
        <f>IFERROR(__xludf.DUMMYFUNCTION("""COMPUTED_VALUE"""),"Union Find,Math")</f>
        <v>Union Find,Math</v>
      </c>
      <c r="E726" s="6" t="str">
        <f>IFERROR(__xludf.DUMMYFUNCTION("""COMPUTED_VALUE"""),"Google")</f>
        <v>Google</v>
      </c>
      <c r="F726" s="6"/>
      <c r="G726" s="6"/>
      <c r="H726" s="6" t="str">
        <f>IFERROR(__xludf.DUMMYFUNCTION("""COMPUTED_VALUE"""),"Google")</f>
        <v>Google</v>
      </c>
      <c r="I726" s="6">
        <f>IFERROR(__xludf.DUMMYFUNCTION("""COMPUTED_VALUE"""),36.21)</f>
        <v>36.21</v>
      </c>
      <c r="J726" s="6" t="str">
        <f>IFERROR(__xludf.DUMMYFUNCTION("""COMPUTED_VALUE"""),"算法")</f>
        <v>算法</v>
      </c>
    </row>
    <row r="727">
      <c r="A727" s="6">
        <f>IFERROR(__xludf.DUMMYFUNCTION("""COMPUTED_VALUE"""),954.0)</f>
        <v>954</v>
      </c>
      <c r="B727" s="53" t="str">
        <f>IFERROR(__xludf.DUMMYFUNCTION("""COMPUTED_VALUE"""),"Array of Doubled Pairs")</f>
        <v>Array of Doubled Pairs</v>
      </c>
      <c r="C727" s="6" t="str">
        <f>IFERROR(__xludf.DUMMYFUNCTION("""COMPUTED_VALUE"""),"Medium")</f>
        <v>Medium</v>
      </c>
      <c r="D727" s="6" t="str">
        <f>IFERROR(__xludf.DUMMYFUNCTION("""COMPUTED_VALUE"""),"Hash Table,Array")</f>
        <v>Hash Table,Array</v>
      </c>
      <c r="E727" s="6" t="str">
        <f>IFERROR(__xludf.DUMMYFUNCTION("""COMPUTED_VALUE"""),"Uber,Google")</f>
        <v>Uber,Google</v>
      </c>
      <c r="F727" s="6"/>
      <c r="G727" s="6"/>
      <c r="H727" s="6" t="str">
        <f>IFERROR(__xludf.DUMMYFUNCTION("""COMPUTED_VALUE"""),"Google")</f>
        <v>Google</v>
      </c>
      <c r="I727" s="6">
        <f>IFERROR(__xludf.DUMMYFUNCTION("""COMPUTED_VALUE"""),35.12)</f>
        <v>35.12</v>
      </c>
      <c r="J727" s="6" t="str">
        <f>IFERROR(__xludf.DUMMYFUNCTION("""COMPUTED_VALUE"""),"算法")</f>
        <v>算法</v>
      </c>
    </row>
    <row r="728">
      <c r="A728" s="6">
        <f>IFERROR(__xludf.DUMMYFUNCTION("""COMPUTED_VALUE"""),955.0)</f>
        <v>955</v>
      </c>
      <c r="B728" s="53" t="str">
        <f>IFERROR(__xludf.DUMMYFUNCTION("""COMPUTED_VALUE"""),"Delete Columns to Make Sorted II")</f>
        <v>Delete Columns to Make Sorted II</v>
      </c>
      <c r="C728" s="6" t="str">
        <f>IFERROR(__xludf.DUMMYFUNCTION("""COMPUTED_VALUE"""),"Medium")</f>
        <v>Medium</v>
      </c>
      <c r="D728" s="6" t="str">
        <f>IFERROR(__xludf.DUMMYFUNCTION("""COMPUTED_VALUE"""),"Greedy")</f>
        <v>Greedy</v>
      </c>
      <c r="E728" s="6" t="str">
        <f>IFERROR(__xludf.DUMMYFUNCTION("""COMPUTED_VALUE"""),"Google")</f>
        <v>Google</v>
      </c>
      <c r="F728" s="6"/>
      <c r="G728" s="6"/>
      <c r="H728" s="6" t="str">
        <f>IFERROR(__xludf.DUMMYFUNCTION("""COMPUTED_VALUE"""),"Google")</f>
        <v>Google</v>
      </c>
      <c r="I728" s="6">
        <f>IFERROR(__xludf.DUMMYFUNCTION("""COMPUTED_VALUE"""),33.88)</f>
        <v>33.88</v>
      </c>
      <c r="J728" s="6" t="str">
        <f>IFERROR(__xludf.DUMMYFUNCTION("""COMPUTED_VALUE"""),"算法")</f>
        <v>算法</v>
      </c>
    </row>
    <row r="729">
      <c r="A729" s="6">
        <f>IFERROR(__xludf.DUMMYFUNCTION("""COMPUTED_VALUE"""),958.0)</f>
        <v>958</v>
      </c>
      <c r="B729" s="53" t="str">
        <f>IFERROR(__xludf.DUMMYFUNCTION("""COMPUTED_VALUE"""),"Check Completeness of a Binary Tree")</f>
        <v>Check Completeness of a Binary Tree</v>
      </c>
      <c r="C729" s="6" t="str">
        <f>IFERROR(__xludf.DUMMYFUNCTION("""COMPUTED_VALUE"""),"Medium")</f>
        <v>Medium</v>
      </c>
      <c r="D729" s="6" t="str">
        <f>IFERROR(__xludf.DUMMYFUNCTION("""COMPUTED_VALUE"""),"Tree")</f>
        <v>Tree</v>
      </c>
      <c r="E729" s="6" t="str">
        <f>IFERROR(__xludf.DUMMYFUNCTION("""COMPUTED_VALUE"""),"ByteDance,Oracle,Facebook,Amazon,Microsoft,Google")</f>
        <v>ByteDance,Oracle,Facebook,Amazon,Microsoft,Google</v>
      </c>
      <c r="F729" s="6" t="str">
        <f>IFERROR(__xludf.DUMMYFUNCTION("""COMPUTED_VALUE"""),"Facebook")</f>
        <v>Facebook</v>
      </c>
      <c r="G729" s="6" t="str">
        <f>IFERROR(__xludf.DUMMYFUNCTION("""COMPUTED_VALUE"""),"Facebook")</f>
        <v>Facebook</v>
      </c>
      <c r="H729" s="6" t="str">
        <f>IFERROR(__xludf.DUMMYFUNCTION("""COMPUTED_VALUE"""),"Google,Microsoft,ByteDance,Amazon,Oracle,Facebook")</f>
        <v>Google,Microsoft,ByteDance,Amazon,Oracle,Facebook</v>
      </c>
      <c r="I729" s="6">
        <f>IFERROR(__xludf.DUMMYFUNCTION("""COMPUTED_VALUE"""),52.5)</f>
        <v>52.5</v>
      </c>
      <c r="J729" s="6" t="str">
        <f>IFERROR(__xludf.DUMMYFUNCTION("""COMPUTED_VALUE"""),"算法")</f>
        <v>算法</v>
      </c>
    </row>
    <row r="730">
      <c r="A730" s="6">
        <f>IFERROR(__xludf.DUMMYFUNCTION("""COMPUTED_VALUE"""),960.0)</f>
        <v>960</v>
      </c>
      <c r="B730" s="53" t="str">
        <f>IFERROR(__xludf.DUMMYFUNCTION("""COMPUTED_VALUE"""),"Delete Columns to Make Sorted III")</f>
        <v>Delete Columns to Make Sorted III</v>
      </c>
      <c r="C730" s="6" t="str">
        <f>IFERROR(__xludf.DUMMYFUNCTION("""COMPUTED_VALUE"""),"Hard")</f>
        <v>Hard</v>
      </c>
      <c r="D730" s="6" t="str">
        <f>IFERROR(__xludf.DUMMYFUNCTION("""COMPUTED_VALUE"""),"Dynamic Programming")</f>
        <v>Dynamic Programming</v>
      </c>
      <c r="E730" s="6" t="str">
        <f>IFERROR(__xludf.DUMMYFUNCTION("""COMPUTED_VALUE"""),"Google")</f>
        <v>Google</v>
      </c>
      <c r="F730" s="6"/>
      <c r="G730" s="6"/>
      <c r="H730" s="6" t="str">
        <f>IFERROR(__xludf.DUMMYFUNCTION("""COMPUTED_VALUE"""),"Google")</f>
        <v>Google</v>
      </c>
      <c r="I730" s="6">
        <f>IFERROR(__xludf.DUMMYFUNCTION("""COMPUTED_VALUE"""),55.0)</f>
        <v>55</v>
      </c>
      <c r="J730" s="6" t="str">
        <f>IFERROR(__xludf.DUMMYFUNCTION("""COMPUTED_VALUE"""),"算法")</f>
        <v>算法</v>
      </c>
    </row>
    <row r="731">
      <c r="A731" s="6">
        <f>IFERROR(__xludf.DUMMYFUNCTION("""COMPUTED_VALUE"""),962.0)</f>
        <v>962</v>
      </c>
      <c r="B731" s="53" t="str">
        <f>IFERROR(__xludf.DUMMYFUNCTION("""COMPUTED_VALUE"""),"Maximum Width Ramp")</f>
        <v>Maximum Width Ramp</v>
      </c>
      <c r="C731" s="6" t="str">
        <f>IFERROR(__xludf.DUMMYFUNCTION("""COMPUTED_VALUE"""),"Medium")</f>
        <v>Medium</v>
      </c>
      <c r="D731" s="6" t="str">
        <f>IFERROR(__xludf.DUMMYFUNCTION("""COMPUTED_VALUE"""),"Array")</f>
        <v>Array</v>
      </c>
      <c r="E731" s="6" t="str">
        <f>IFERROR(__xludf.DUMMYFUNCTION("""COMPUTED_VALUE"""),"Facebook,EBay,Google")</f>
        <v>Facebook,EBay,Google</v>
      </c>
      <c r="F731" s="6"/>
      <c r="G731" s="6" t="str">
        <f>IFERROR(__xludf.DUMMYFUNCTION("""COMPUTED_VALUE"""),"Facebook")</f>
        <v>Facebook</v>
      </c>
      <c r="H731" s="6" t="str">
        <f>IFERROR(__xludf.DUMMYFUNCTION("""COMPUTED_VALUE"""),"eBay,Google,Facebook")</f>
        <v>eBay,Google,Facebook</v>
      </c>
      <c r="I731" s="6">
        <f>IFERROR(__xludf.DUMMYFUNCTION("""COMPUTED_VALUE"""),46.62)</f>
        <v>46.62</v>
      </c>
      <c r="J731" s="6" t="str">
        <f>IFERROR(__xludf.DUMMYFUNCTION("""COMPUTED_VALUE"""),"算法")</f>
        <v>算法</v>
      </c>
    </row>
    <row r="732">
      <c r="A732" s="6">
        <f>IFERROR(__xludf.DUMMYFUNCTION("""COMPUTED_VALUE"""),963.0)</f>
        <v>963</v>
      </c>
      <c r="B732" s="53" t="str">
        <f>IFERROR(__xludf.DUMMYFUNCTION("""COMPUTED_VALUE"""),"Minimum Area Rectangle II")</f>
        <v>Minimum Area Rectangle II</v>
      </c>
      <c r="C732" s="6" t="str">
        <f>IFERROR(__xludf.DUMMYFUNCTION("""COMPUTED_VALUE"""),"Medium")</f>
        <v>Medium</v>
      </c>
      <c r="D732" s="6" t="str">
        <f>IFERROR(__xludf.DUMMYFUNCTION("""COMPUTED_VALUE"""),"Geometry,Math")</f>
        <v>Geometry,Math</v>
      </c>
      <c r="E732" s="6" t="str">
        <f>IFERROR(__xludf.DUMMYFUNCTION("""COMPUTED_VALUE"""),"Facebook,Amazon,Google")</f>
        <v>Facebook,Amazon,Google</v>
      </c>
      <c r="F732" s="6" t="str">
        <f>IFERROR(__xludf.DUMMYFUNCTION("""COMPUTED_VALUE"""),"Google")</f>
        <v>Google</v>
      </c>
      <c r="G732" s="6" t="str">
        <f>IFERROR(__xludf.DUMMYFUNCTION("""COMPUTED_VALUE"""),"Facebook,Google")</f>
        <v>Facebook,Google</v>
      </c>
      <c r="H732" s="6" t="str">
        <f>IFERROR(__xludf.DUMMYFUNCTION("""COMPUTED_VALUE"""),"Amazon,Facebook,Google")</f>
        <v>Amazon,Facebook,Google</v>
      </c>
      <c r="I732" s="6">
        <f>IFERROR(__xludf.DUMMYFUNCTION("""COMPUTED_VALUE"""),52.06)</f>
        <v>52.06</v>
      </c>
      <c r="J732" s="6" t="str">
        <f>IFERROR(__xludf.DUMMYFUNCTION("""COMPUTED_VALUE"""),"算法")</f>
        <v>算法</v>
      </c>
    </row>
    <row r="733">
      <c r="A733" s="6">
        <f>IFERROR(__xludf.DUMMYFUNCTION("""COMPUTED_VALUE"""),965.0)</f>
        <v>965</v>
      </c>
      <c r="B733" s="53" t="str">
        <f>IFERROR(__xludf.DUMMYFUNCTION("""COMPUTED_VALUE"""),"Univalued Binary Tree")</f>
        <v>Univalued Binary Tree</v>
      </c>
      <c r="C733" s="6" t="str">
        <f>IFERROR(__xludf.DUMMYFUNCTION("""COMPUTED_VALUE"""),"Easy")</f>
        <v>Easy</v>
      </c>
      <c r="D733" s="6" t="str">
        <f>IFERROR(__xludf.DUMMYFUNCTION("""COMPUTED_VALUE"""),"Tree")</f>
        <v>Tree</v>
      </c>
      <c r="E733" s="6" t="str">
        <f>IFERROR(__xludf.DUMMYFUNCTION("""COMPUTED_VALUE"""),"Twilio,Box,Oracle,Amazon,Google")</f>
        <v>Twilio,Box,Oracle,Amazon,Google</v>
      </c>
      <c r="F733" s="6"/>
      <c r="G733" s="6" t="str">
        <f>IFERROR(__xludf.DUMMYFUNCTION("""COMPUTED_VALUE"""),"Box")</f>
        <v>Box</v>
      </c>
      <c r="H733" s="6" t="str">
        <f>IFERROR(__xludf.DUMMYFUNCTION("""COMPUTED_VALUE"""),"Google,Oracle,Amazon,Twilio,Box")</f>
        <v>Google,Oracle,Amazon,Twilio,Box</v>
      </c>
      <c r="I733" s="6">
        <f>IFERROR(__xludf.DUMMYFUNCTION("""COMPUTED_VALUE"""),67.86)</f>
        <v>67.86</v>
      </c>
      <c r="J733" s="6" t="str">
        <f>IFERROR(__xludf.DUMMYFUNCTION("""COMPUTED_VALUE"""),"算法")</f>
        <v>算法</v>
      </c>
    </row>
    <row r="734">
      <c r="A734" s="6">
        <f>IFERROR(__xludf.DUMMYFUNCTION("""COMPUTED_VALUE"""),968.0)</f>
        <v>968</v>
      </c>
      <c r="B734" s="53" t="str">
        <f>IFERROR(__xludf.DUMMYFUNCTION("""COMPUTED_VALUE"""),"Binary Tree Cameras")</f>
        <v>Binary Tree Cameras</v>
      </c>
      <c r="C734" s="6" t="str">
        <f>IFERROR(__xludf.DUMMYFUNCTION("""COMPUTED_VALUE"""),"Hard")</f>
        <v>Hard</v>
      </c>
      <c r="D734" s="6" t="str">
        <f>IFERROR(__xludf.DUMMYFUNCTION("""COMPUTED_VALUE"""),"Depth First Search,Tree,Dynamic Programming")</f>
        <v>Depth First Search,Tree,Dynamic Programming</v>
      </c>
      <c r="E734" s="6" t="str">
        <f>IFERROR(__xludf.DUMMYFUNCTION("""COMPUTED_VALUE"""),"Flipkart,FactSet,Bloomberg,Amazon,Microsoft,EBay,Uber,Facebook,Google")</f>
        <v>Flipkart,FactSet,Bloomberg,Amazon,Microsoft,EBay,Uber,Facebook,Google</v>
      </c>
      <c r="F734" s="6" t="str">
        <f>IFERROR(__xludf.DUMMYFUNCTION("""COMPUTED_VALUE"""),"Google,Flipkart,Microsoft")</f>
        <v>Google,Flipkart,Microsoft</v>
      </c>
      <c r="G734" s="6" t="str">
        <f>IFERROR(__xludf.DUMMYFUNCTION("""COMPUTED_VALUE"""),"eBay,FactSet,Google,Flipkart,Microsoft")</f>
        <v>eBay,FactSet,Google,Flipkart,Microsoft</v>
      </c>
      <c r="H734" s="6" t="str">
        <f>IFERROR(__xludf.DUMMYFUNCTION("""COMPUTED_VALUE"""),"Uber,Bloomberg,Amazon,Facebook,eBay,FactSet,Google,Flipkart,Microsoft")</f>
        <v>Uber,Bloomberg,Amazon,Facebook,eBay,FactSet,Google,Flipkart,Microsoft</v>
      </c>
      <c r="I734" s="6">
        <f>IFERROR(__xludf.DUMMYFUNCTION("""COMPUTED_VALUE"""),38.83)</f>
        <v>38.83</v>
      </c>
      <c r="J734" s="6" t="str">
        <f>IFERROR(__xludf.DUMMYFUNCTION("""COMPUTED_VALUE"""),"算法")</f>
        <v>算法</v>
      </c>
    </row>
    <row r="735">
      <c r="A735" s="6">
        <f>IFERROR(__xludf.DUMMYFUNCTION("""COMPUTED_VALUE"""),973.0)</f>
        <v>973</v>
      </c>
      <c r="B735" s="53" t="str">
        <f>IFERROR(__xludf.DUMMYFUNCTION("""COMPUTED_VALUE"""),"K Closest Points to Origin")</f>
        <v>K Closest Points to Origin</v>
      </c>
      <c r="C735" s="6" t="str">
        <f>IFERROR(__xludf.DUMMYFUNCTION("""COMPUTED_VALUE"""),"Medium")</f>
        <v>Medium</v>
      </c>
      <c r="D735" s="6" t="str">
        <f>IFERROR(__xludf.DUMMYFUNCTION("""COMPUTED_VALUE"""),"Sort,Heap,Divide and Conquer")</f>
        <v>Sort,Heap,Divide and Conquer</v>
      </c>
      <c r="E735" s="6" t="str">
        <f>IFERROR(__xludf.DUMMYFUNCTION("""COMPUTED_VALUE"""),"DoorDash,ByteDance,Spotify,Asana,Visa,Paypal,Expedia,Oracle,EBay,Apple,Uber,Yahoo,Facebook,Amazon,LinkedIn,Microsoft,Goldman Sachs,Google")</f>
        <v>DoorDash,ByteDance,Spotify,Asana,Visa,Paypal,Expedia,Oracle,EBay,Apple,Uber,Yahoo,Facebook,Amazon,LinkedIn,Microsoft,Goldman Sachs,Google</v>
      </c>
      <c r="F735" s="6" t="str">
        <f>IFERROR(__xludf.DUMMYFUNCTION("""COMPUTED_VALUE"""),"Facebook,Amazon,DoorDash,LinkedIn,Asana,Apple,Uber,ByteDance")</f>
        <v>Facebook,Amazon,DoorDash,LinkedIn,Asana,Apple,Uber,ByteDance</v>
      </c>
      <c r="G735" s="6" t="str">
        <f>IFERROR(__xludf.DUMMYFUNCTION("""COMPUTED_VALUE"""),"Google,Spotify,Facebook,Amazon,DoorDash,LinkedIn,Asana,Apple,Uber,ByteDance")</f>
        <v>Google,Spotify,Facebook,Amazon,DoorDash,LinkedIn,Asana,Apple,Uber,ByteDance</v>
      </c>
      <c r="H735" s="6" t="str">
        <f>IFERROR(__xludf.DUMMYFUNCTION("""COMPUTED_VALUE"""),"Expedia,Microsoft,Oracle,Yahoo,eBay,Visa,Paypal,Goldman Sachs,Google,Spotify,Facebook,Amazon,DoorDash,LinkedIn,Asana,Apple,Uber,ByteDance")</f>
        <v>Expedia,Microsoft,Oracle,Yahoo,eBay,Visa,Paypal,Goldman Sachs,Google,Spotify,Facebook,Amazon,DoorDash,LinkedIn,Asana,Apple,Uber,ByteDance</v>
      </c>
      <c r="I735" s="6">
        <f>IFERROR(__xludf.DUMMYFUNCTION("""COMPUTED_VALUE"""),64.56)</f>
        <v>64.56</v>
      </c>
      <c r="J735" s="6" t="str">
        <f>IFERROR(__xludf.DUMMYFUNCTION("""COMPUTED_VALUE"""),"算法")</f>
        <v>算法</v>
      </c>
    </row>
    <row r="736">
      <c r="A736" s="6">
        <f>IFERROR(__xludf.DUMMYFUNCTION("""COMPUTED_VALUE"""),975.0)</f>
        <v>975</v>
      </c>
      <c r="B736" s="53" t="str">
        <f>IFERROR(__xludf.DUMMYFUNCTION("""COMPUTED_VALUE"""),"Odd Even Jump")</f>
        <v>Odd Even Jump</v>
      </c>
      <c r="C736" s="6" t="str">
        <f>IFERROR(__xludf.DUMMYFUNCTION("""COMPUTED_VALUE"""),"Hard")</f>
        <v>Hard</v>
      </c>
      <c r="D736" s="6" t="str">
        <f>IFERROR(__xludf.DUMMYFUNCTION("""COMPUTED_VALUE"""),"Ordered Map,Stack,Dynamic Programming")</f>
        <v>Ordered Map,Stack,Dynamic Programming</v>
      </c>
      <c r="E736" s="6" t="str">
        <f>IFERROR(__xludf.DUMMYFUNCTION("""COMPUTED_VALUE"""),"Google")</f>
        <v>Google</v>
      </c>
      <c r="F736" s="6"/>
      <c r="G736" s="6"/>
      <c r="H736" s="6" t="str">
        <f>IFERROR(__xludf.DUMMYFUNCTION("""COMPUTED_VALUE"""),"Google")</f>
        <v>Google</v>
      </c>
      <c r="I736" s="6">
        <f>IFERROR(__xludf.DUMMYFUNCTION("""COMPUTED_VALUE"""),41.53)</f>
        <v>41.53</v>
      </c>
      <c r="J736" s="6" t="str">
        <f>IFERROR(__xludf.DUMMYFUNCTION("""COMPUTED_VALUE"""),"算法")</f>
        <v>算法</v>
      </c>
    </row>
    <row r="737">
      <c r="A737" s="6">
        <f>IFERROR(__xludf.DUMMYFUNCTION("""COMPUTED_VALUE"""),977.0)</f>
        <v>977</v>
      </c>
      <c r="B737" s="53" t="str">
        <f>IFERROR(__xludf.DUMMYFUNCTION("""COMPUTED_VALUE"""),"Squares of a Sorted Array")</f>
        <v>Squares of a Sorted Array</v>
      </c>
      <c r="C737" s="6" t="str">
        <f>IFERROR(__xludf.DUMMYFUNCTION("""COMPUTED_VALUE"""),"Easy")</f>
        <v>Easy</v>
      </c>
      <c r="D737" s="6" t="str">
        <f>IFERROR(__xludf.DUMMYFUNCTION("""COMPUTED_VALUE"""),"Two Pointers,Array")</f>
        <v>Two Pointers,Array</v>
      </c>
      <c r="E737" s="6" t="str">
        <f>IFERROR(__xludf.DUMMYFUNCTION("""COMPUTED_VALUE"""),"Flipkart,Yandex,Electronic Arts,Nutanix,Twitch,Splunk,ByteDance,VMware,Walmart Labs,Paypal,Oracle,EBay,Apple,Uber,Bloomberg,Adobe,Facebook,Amazon,Microsoft,Google")</f>
        <v>Flipkart,Yandex,Electronic Arts,Nutanix,Twitch,Splunk,ByteDance,VMware,Walmart Labs,Paypal,Oracle,EBay,Apple,Uber,Bloomberg,Adobe,Facebook,Amazon,Microsoft,Google</v>
      </c>
      <c r="F737" s="6" t="str">
        <f>IFERROR(__xludf.DUMMYFUNCTION("""COMPUTED_VALUE"""),"Facebook,Uber,Amazon,Apple,Yandex,Google,Microsoft,Bloomberg,ByteDance,Flipkart")</f>
        <v>Facebook,Uber,Amazon,Apple,Yandex,Google,Microsoft,Bloomberg,ByteDance,Flipkart</v>
      </c>
      <c r="G737" s="6" t="str">
        <f>IFERROR(__xludf.DUMMYFUNCTION("""COMPUTED_VALUE"""),"Paypal,Adobe,eBay,VMware,Oracle,Facebook,Uber,Amazon,Apple,Yandex,Google,Microsoft,Bloomberg,ByteDance,Flipkart")</f>
        <v>Paypal,Adobe,eBay,VMware,Oracle,Facebook,Uber,Amazon,Apple,Yandex,Google,Microsoft,Bloomberg,ByteDance,Flipkart</v>
      </c>
      <c r="H737" s="6" t="str">
        <f>IFERROR(__xludf.DUMMYFUNCTION("""COMPUTED_VALUE"""),"Twitch,Walmart Labs,Nutanix,Electronic Arts,Splunk,Paypal,Adobe,eBay,VMware,Oracle,Facebook,Uber,Amazon,Apple,Yandex,Google,Microsoft,Bloomberg,ByteDance,Flipkart")</f>
        <v>Twitch,Walmart Labs,Nutanix,Electronic Arts,Splunk,Paypal,Adobe,eBay,VMware,Oracle,Facebook,Uber,Amazon,Apple,Yandex,Google,Microsoft,Bloomberg,ByteDance,Flipkart</v>
      </c>
      <c r="I737" s="6">
        <f>IFERROR(__xludf.DUMMYFUNCTION("""COMPUTED_VALUE"""),71.93)</f>
        <v>71.93</v>
      </c>
      <c r="J737" s="6" t="str">
        <f>IFERROR(__xludf.DUMMYFUNCTION("""COMPUTED_VALUE"""),"算法")</f>
        <v>算法</v>
      </c>
    </row>
    <row r="738">
      <c r="A738" s="6">
        <f>IFERROR(__xludf.DUMMYFUNCTION("""COMPUTED_VALUE"""),979.0)</f>
        <v>979</v>
      </c>
      <c r="B738" s="53" t="str">
        <f>IFERROR(__xludf.DUMMYFUNCTION("""COMPUTED_VALUE"""),"Distribute Coins in Binary Tree")</f>
        <v>Distribute Coins in Binary Tree</v>
      </c>
      <c r="C738" s="6" t="str">
        <f>IFERROR(__xludf.DUMMYFUNCTION("""COMPUTED_VALUE"""),"Medium")</f>
        <v>Medium</v>
      </c>
      <c r="D738" s="6" t="str">
        <f>IFERROR(__xludf.DUMMYFUNCTION("""COMPUTED_VALUE"""),"Depth First Search,Tree")</f>
        <v>Depth First Search,Tree</v>
      </c>
      <c r="E738" s="6" t="str">
        <f>IFERROR(__xludf.DUMMYFUNCTION("""COMPUTED_VALUE"""),"Adobe,Uber,Facebook,Amazon,Microsoft,Google")</f>
        <v>Adobe,Uber,Facebook,Amazon,Microsoft,Google</v>
      </c>
      <c r="F738" s="6" t="str">
        <f>IFERROR(__xludf.DUMMYFUNCTION("""COMPUTED_VALUE"""),"Amazon")</f>
        <v>Amazon</v>
      </c>
      <c r="G738" s="6" t="str">
        <f>IFERROR(__xludf.DUMMYFUNCTION("""COMPUTED_VALUE"""),"Google,Microsoft,Adobe,Amazon")</f>
        <v>Google,Microsoft,Adobe,Amazon</v>
      </c>
      <c r="H738" s="6" t="str">
        <f>IFERROR(__xludf.DUMMYFUNCTION("""COMPUTED_VALUE"""),"Facebook,Uber,Google,Microsoft,Adobe,Amazon")</f>
        <v>Facebook,Uber,Google,Microsoft,Adobe,Amazon</v>
      </c>
      <c r="I738" s="6">
        <f>IFERROR(__xludf.DUMMYFUNCTION("""COMPUTED_VALUE"""),69.83)</f>
        <v>69.83</v>
      </c>
      <c r="J738" s="6" t="str">
        <f>IFERROR(__xludf.DUMMYFUNCTION("""COMPUTED_VALUE"""),"算法")</f>
        <v>算法</v>
      </c>
    </row>
    <row r="739">
      <c r="A739" s="6">
        <f>IFERROR(__xludf.DUMMYFUNCTION("""COMPUTED_VALUE"""),980.0)</f>
        <v>980</v>
      </c>
      <c r="B739" s="53" t="str">
        <f>IFERROR(__xludf.DUMMYFUNCTION("""COMPUTED_VALUE"""),"Unique Paths III")</f>
        <v>Unique Paths III</v>
      </c>
      <c r="C739" s="6" t="str">
        <f>IFERROR(__xludf.DUMMYFUNCTION("""COMPUTED_VALUE"""),"Hard")</f>
        <v>Hard</v>
      </c>
      <c r="D739" s="6" t="str">
        <f>IFERROR(__xludf.DUMMYFUNCTION("""COMPUTED_VALUE"""),"Depth First Search,Backtracking")</f>
        <v>Depth First Search,Backtracking</v>
      </c>
      <c r="E739" s="6" t="str">
        <f>IFERROR(__xludf.DUMMYFUNCTION("""COMPUTED_VALUE"""),"JPMorgan,LimeBike,Amazon,Google")</f>
        <v>JPMorgan,LimeBike,Amazon,Google</v>
      </c>
      <c r="F739" s="6" t="str">
        <f>IFERROR(__xludf.DUMMYFUNCTION("""COMPUTED_VALUE"""),"Amazon,JPMorgan")</f>
        <v>Amazon,JPMorgan</v>
      </c>
      <c r="G739" s="6" t="str">
        <f>IFERROR(__xludf.DUMMYFUNCTION("""COMPUTED_VALUE"""),"Google,Amazon,JPMorgan")</f>
        <v>Google,Amazon,JPMorgan</v>
      </c>
      <c r="H739" s="6" t="str">
        <f>IFERROR(__xludf.DUMMYFUNCTION("""COMPUTED_VALUE"""),"LimeBike,Google,Amazon,JPMorgan")</f>
        <v>LimeBike,Google,Amazon,JPMorgan</v>
      </c>
      <c r="I739" s="6">
        <f>IFERROR(__xludf.DUMMYFUNCTION("""COMPUTED_VALUE"""),77.05)</f>
        <v>77.05</v>
      </c>
      <c r="J739" s="6" t="str">
        <f>IFERROR(__xludf.DUMMYFUNCTION("""COMPUTED_VALUE"""),"算法")</f>
        <v>算法</v>
      </c>
    </row>
    <row r="740">
      <c r="A740" s="6">
        <f>IFERROR(__xludf.DUMMYFUNCTION("""COMPUTED_VALUE"""),981.0)</f>
        <v>981</v>
      </c>
      <c r="B740" s="53" t="str">
        <f>IFERROR(__xludf.DUMMYFUNCTION("""COMPUTED_VALUE"""),"Time Based Key-Value Store")</f>
        <v>Time Based Key-Value Store</v>
      </c>
      <c r="C740" s="6" t="str">
        <f>IFERROR(__xludf.DUMMYFUNCTION("""COMPUTED_VALUE"""),"Medium")</f>
        <v>Medium</v>
      </c>
      <c r="D740" s="6" t="str">
        <f>IFERROR(__xludf.DUMMYFUNCTION("""COMPUTED_VALUE"""),"Binary Search,Hash Table")</f>
        <v>Binary Search,Hash Table</v>
      </c>
      <c r="E740" s="6" t="str">
        <f>IFERROR(__xludf.DUMMYFUNCTION("""COMPUTED_VALUE"""),"Cruise Automation,ByteDance,Oracle,Yahoo,Bloomberg,Flexport,Sumologic,Netflix,Square,Databricks,Atlassian,VMware,Zillow,Twitter,Lyft,Apple,Uber,Facebook,Amazon,LinkedIn,Microsoft,Google")</f>
        <v>Cruise Automation,ByteDance,Oracle,Yahoo,Bloomberg,Flexport,Sumologic,Netflix,Square,Databricks,Atlassian,VMware,Zillow,Twitter,Lyft,Apple,Uber,Facebook,Amazon,LinkedIn,Microsoft,Google</v>
      </c>
      <c r="F740" s="6" t="str">
        <f>IFERROR(__xludf.DUMMYFUNCTION("""COMPUTED_VALUE"""),"Oracle,Lyft,Uber,ByteDance,Sumologic,Google,Microsoft,Twitter,Apple")</f>
        <v>Oracle,Lyft,Uber,ByteDance,Sumologic,Google,Microsoft,Twitter,Apple</v>
      </c>
      <c r="G740" s="6" t="str">
        <f>IFERROR(__xludf.DUMMYFUNCTION("""COMPUTED_VALUE"""),"Atlassian,VMware,Facebook,Amazon,Netflix,Oracle,Lyft,Uber,ByteDance,Sumologic,Google,Microsoft,Twitter,Apple")</f>
        <v>Atlassian,VMware,Facebook,Amazon,Netflix,Oracle,Lyft,Uber,ByteDance,Sumologic,Google,Microsoft,Twitter,Apple</v>
      </c>
      <c r="H740" s="6" t="str">
        <f>IFERROR(__xludf.DUMMYFUNCTION("""COMPUTED_VALUE"""),"Zillow,LinkedIn,Cruise Automation,Yahoo,Bloomberg,Flexport,Databricks,Atlassian,VMware,Facebook,Amazon,Netflix,Oracle,Lyft,Uber,ByteDance,Sumologic,Google,Microsoft,Twitter,Apple")</f>
        <v>Zillow,LinkedIn,Cruise Automation,Yahoo,Bloomberg,Flexport,Databricks,Atlassian,VMware,Facebook,Amazon,Netflix,Oracle,Lyft,Uber,ByteDance,Sumologic,Google,Microsoft,Twitter,Apple</v>
      </c>
      <c r="I740" s="6">
        <f>IFERROR(__xludf.DUMMYFUNCTION("""COMPUTED_VALUE"""),54.17)</f>
        <v>54.17</v>
      </c>
      <c r="J740" s="6" t="str">
        <f>IFERROR(__xludf.DUMMYFUNCTION("""COMPUTED_VALUE"""),"算法")</f>
        <v>算法</v>
      </c>
    </row>
    <row r="741">
      <c r="A741" s="6">
        <f>IFERROR(__xludf.DUMMYFUNCTION("""COMPUTED_VALUE"""),982.0)</f>
        <v>982</v>
      </c>
      <c r="B741" s="53" t="str">
        <f>IFERROR(__xludf.DUMMYFUNCTION("""COMPUTED_VALUE"""),"Triples with Bitwise AND Equal To Zero")</f>
        <v>Triples with Bitwise AND Equal To Zero</v>
      </c>
      <c r="C741" s="6" t="str">
        <f>IFERROR(__xludf.DUMMYFUNCTION("""COMPUTED_VALUE"""),"Hard")</f>
        <v>Hard</v>
      </c>
      <c r="D741" s="6" t="str">
        <f>IFERROR(__xludf.DUMMYFUNCTION("""COMPUTED_VALUE"""),"Dynamic Programming")</f>
        <v>Dynamic Programming</v>
      </c>
      <c r="E741" s="6" t="str">
        <f>IFERROR(__xludf.DUMMYFUNCTION("""COMPUTED_VALUE"""),"Flipkart,Google")</f>
        <v>Flipkart,Google</v>
      </c>
      <c r="F741" s="6"/>
      <c r="G741" s="6"/>
      <c r="H741" s="6" t="str">
        <f>IFERROR(__xludf.DUMMYFUNCTION("""COMPUTED_VALUE"""),"Flipkart")</f>
        <v>Flipkart</v>
      </c>
      <c r="I741" s="6">
        <f>IFERROR(__xludf.DUMMYFUNCTION("""COMPUTED_VALUE"""),56.33)</f>
        <v>56.33</v>
      </c>
      <c r="J741" s="6" t="str">
        <f>IFERROR(__xludf.DUMMYFUNCTION("""COMPUTED_VALUE"""),"算法")</f>
        <v>算法</v>
      </c>
    </row>
    <row r="742">
      <c r="A742" s="6">
        <f>IFERROR(__xludf.DUMMYFUNCTION("""COMPUTED_VALUE"""),983.0)</f>
        <v>983</v>
      </c>
      <c r="B742" s="53" t="str">
        <f>IFERROR(__xludf.DUMMYFUNCTION("""COMPUTED_VALUE"""),"Minimum Cost For Tickets")</f>
        <v>Minimum Cost For Tickets</v>
      </c>
      <c r="C742" s="6" t="str">
        <f>IFERROR(__xludf.DUMMYFUNCTION("""COMPUTED_VALUE"""),"Medium")</f>
        <v>Medium</v>
      </c>
      <c r="D742" s="6" t="str">
        <f>IFERROR(__xludf.DUMMYFUNCTION("""COMPUTED_VALUE"""),"Dynamic Programming")</f>
        <v>Dynamic Programming</v>
      </c>
      <c r="E742" s="6" t="str">
        <f>IFERROR(__xludf.DUMMYFUNCTION("""COMPUTED_VALUE"""),"Apple,Grab,Uber,Facebook,Amazon,Google")</f>
        <v>Apple,Grab,Uber,Facebook,Amazon,Google</v>
      </c>
      <c r="F742" s="6" t="str">
        <f>IFERROR(__xludf.DUMMYFUNCTION("""COMPUTED_VALUE"""),"Facebook,Apple")</f>
        <v>Facebook,Apple</v>
      </c>
      <c r="G742" s="6" t="str">
        <f>IFERROR(__xludf.DUMMYFUNCTION("""COMPUTED_VALUE"""),"Amazon,Google,Facebook,Apple")</f>
        <v>Amazon,Google,Facebook,Apple</v>
      </c>
      <c r="H742" s="6" t="str">
        <f>IFERROR(__xludf.DUMMYFUNCTION("""COMPUTED_VALUE"""),"Grab,Uber,Amazon,Google,Facebook,Apple")</f>
        <v>Grab,Uber,Amazon,Google,Facebook,Apple</v>
      </c>
      <c r="I742" s="6">
        <f>IFERROR(__xludf.DUMMYFUNCTION("""COMPUTED_VALUE"""),62.78)</f>
        <v>62.78</v>
      </c>
      <c r="J742" s="6" t="str">
        <f>IFERROR(__xludf.DUMMYFUNCTION("""COMPUTED_VALUE"""),"算法")</f>
        <v>算法</v>
      </c>
    </row>
    <row r="743">
      <c r="A743" s="6">
        <f>IFERROR(__xludf.DUMMYFUNCTION("""COMPUTED_VALUE"""),986.0)</f>
        <v>986</v>
      </c>
      <c r="B743" s="53" t="str">
        <f>IFERROR(__xludf.DUMMYFUNCTION("""COMPUTED_VALUE"""),"Interval List Intersections")</f>
        <v>Interval List Intersections</v>
      </c>
      <c r="C743" s="6" t="str">
        <f>IFERROR(__xludf.DUMMYFUNCTION("""COMPUTED_VALUE"""),"Medium")</f>
        <v>Medium</v>
      </c>
      <c r="D743" s="6" t="str">
        <f>IFERROR(__xludf.DUMMYFUNCTION("""COMPUTED_VALUE"""),"Two Pointers")</f>
        <v>Two Pointers</v>
      </c>
      <c r="E743" s="6" t="str">
        <f>IFERROR(__xludf.DUMMYFUNCTION("""COMPUTED_VALUE"""),"Pinterest,Intuit,EBay,Adobe,DoorDash,Cruise Automation,Snapchat,Oracle,Apple,Uber,Bloomberg,Facebook,Amazon,Google")</f>
        <v>Pinterest,Intuit,EBay,Adobe,DoorDash,Cruise Automation,Snapchat,Oracle,Apple,Uber,Bloomberg,Facebook,Amazon,Google</v>
      </c>
      <c r="F743" s="6" t="str">
        <f>IFERROR(__xludf.DUMMYFUNCTION("""COMPUTED_VALUE"""),"Facebook,Uber,Apple,Google,Amazon,Bloomberg,Adobe")</f>
        <v>Facebook,Uber,Apple,Google,Amazon,Bloomberg,Adobe</v>
      </c>
      <c r="G743" s="6" t="str">
        <f>IFERROR(__xludf.DUMMYFUNCTION("""COMPUTED_VALUE"""),"Oracle,Facebook,Uber,Apple,Google,Amazon,Bloomberg,Adobe")</f>
        <v>Oracle,Facebook,Uber,Apple,Google,Amazon,Bloomberg,Adobe</v>
      </c>
      <c r="H743" s="6" t="str">
        <f>IFERROR(__xludf.DUMMYFUNCTION("""COMPUTED_VALUE"""),"Snapchat,Cruise Automation,Pinterest,Intuit,eBay,DoorDash,Oracle,Facebook,Uber,Apple,Google,Amazon,Bloomberg,Adobe")</f>
        <v>Snapchat,Cruise Automation,Pinterest,Intuit,eBay,DoorDash,Oracle,Facebook,Uber,Apple,Google,Amazon,Bloomberg,Adobe</v>
      </c>
      <c r="I743" s="6">
        <f>IFERROR(__xludf.DUMMYFUNCTION("""COMPUTED_VALUE"""),68.4)</f>
        <v>68.4</v>
      </c>
      <c r="J743" s="6" t="str">
        <f>IFERROR(__xludf.DUMMYFUNCTION("""COMPUTED_VALUE"""),"算法")</f>
        <v>算法</v>
      </c>
    </row>
    <row r="744">
      <c r="A744" s="6">
        <f>IFERROR(__xludf.DUMMYFUNCTION("""COMPUTED_VALUE"""),987.0)</f>
        <v>987</v>
      </c>
      <c r="B744" s="53" t="str">
        <f>IFERROR(__xludf.DUMMYFUNCTION("""COMPUTED_VALUE"""),"Vertical Order Traversal of a Binary Tree")</f>
        <v>Vertical Order Traversal of a Binary Tree</v>
      </c>
      <c r="C744" s="6" t="str">
        <f>IFERROR(__xludf.DUMMYFUNCTION("""COMPUTED_VALUE"""),"Hard")</f>
        <v>Hard</v>
      </c>
      <c r="D744" s="6" t="str">
        <f>IFERROR(__xludf.DUMMYFUNCTION("""COMPUTED_VALUE"""),"Breadth First Search,Depth First Search,Tree,Hash Table")</f>
        <v>Breadth First Search,Depth First Search,Tree,Hash Table</v>
      </c>
      <c r="E744" s="6" t="str">
        <f>IFERROR(__xludf.DUMMYFUNCTION("""COMPUTED_VALUE"""),"ByteDance,Apple,Reddit,Databricks,Samsung,Bloomberg,Adobe,Facebook,Amazon,LinkedIn,Microsoft,Google")</f>
        <v>ByteDance,Apple,Reddit,Databricks,Samsung,Bloomberg,Adobe,Facebook,Amazon,LinkedIn,Microsoft,Google</v>
      </c>
      <c r="F744" s="6" t="str">
        <f>IFERROR(__xludf.DUMMYFUNCTION("""COMPUTED_VALUE"""),"Facebook,Bloomberg,Amazon,Microsoft,ByteDance,Apple")</f>
        <v>Facebook,Bloomberg,Amazon,Microsoft,ByteDance,Apple</v>
      </c>
      <c r="G744" s="6" t="str">
        <f>IFERROR(__xludf.DUMMYFUNCTION("""COMPUTED_VALUE"""),"Google,Databricks,Facebook,Bloomberg,Amazon,Microsoft,ByteDance,Apple")</f>
        <v>Google,Databricks,Facebook,Bloomberg,Amazon,Microsoft,ByteDance,Apple</v>
      </c>
      <c r="H744" s="6" t="str">
        <f>IFERROR(__xludf.DUMMYFUNCTION("""COMPUTED_VALUE"""),"Adobe,Reddit,LinkedIn,Samsung,Google,Databricks,Facebook,Bloomberg,Amazon,Microsoft,ByteDance,Apple")</f>
        <v>Adobe,Reddit,LinkedIn,Samsung,Google,Databricks,Facebook,Bloomberg,Amazon,Microsoft,ByteDance,Apple</v>
      </c>
      <c r="I744" s="6">
        <f>IFERROR(__xludf.DUMMYFUNCTION("""COMPUTED_VALUE"""),38.92)</f>
        <v>38.92</v>
      </c>
      <c r="J744" s="6" t="str">
        <f>IFERROR(__xludf.DUMMYFUNCTION("""COMPUTED_VALUE"""),"算法")</f>
        <v>算法</v>
      </c>
    </row>
    <row r="745">
      <c r="A745" s="6">
        <f>IFERROR(__xludf.DUMMYFUNCTION("""COMPUTED_VALUE"""),988.0)</f>
        <v>988</v>
      </c>
      <c r="B745" s="53" t="str">
        <f>IFERROR(__xludf.DUMMYFUNCTION("""COMPUTED_VALUE"""),"Smallest String Starting From Leaf")</f>
        <v>Smallest String Starting From Leaf</v>
      </c>
      <c r="C745" s="6" t="str">
        <f>IFERROR(__xludf.DUMMYFUNCTION("""COMPUTED_VALUE"""),"Medium")</f>
        <v>Medium</v>
      </c>
      <c r="D745" s="6" t="str">
        <f>IFERROR(__xludf.DUMMYFUNCTION("""COMPUTED_VALUE"""),"Depth First Search,Tree")</f>
        <v>Depth First Search,Tree</v>
      </c>
      <c r="E745" s="6" t="str">
        <f>IFERROR(__xludf.DUMMYFUNCTION("""COMPUTED_VALUE"""),"Google")</f>
        <v>Google</v>
      </c>
      <c r="F745" s="6"/>
      <c r="G745" s="6"/>
      <c r="H745" s="6" t="str">
        <f>IFERROR(__xludf.DUMMYFUNCTION("""COMPUTED_VALUE"""),"Google")</f>
        <v>Google</v>
      </c>
      <c r="I745" s="6">
        <f>IFERROR(__xludf.DUMMYFUNCTION("""COMPUTED_VALUE"""),46.76)</f>
        <v>46.76</v>
      </c>
      <c r="J745" s="6" t="str">
        <f>IFERROR(__xludf.DUMMYFUNCTION("""COMPUTED_VALUE"""),"算法")</f>
        <v>算法</v>
      </c>
    </row>
    <row r="746">
      <c r="A746" s="6">
        <f>IFERROR(__xludf.DUMMYFUNCTION("""COMPUTED_VALUE"""),989.0)</f>
        <v>989</v>
      </c>
      <c r="B746" s="53" t="str">
        <f>IFERROR(__xludf.DUMMYFUNCTION("""COMPUTED_VALUE"""),"Add to Array-Form of Integer")</f>
        <v>Add to Array-Form of Integer</v>
      </c>
      <c r="C746" s="6" t="str">
        <f>IFERROR(__xludf.DUMMYFUNCTION("""COMPUTED_VALUE"""),"Easy")</f>
        <v>Easy</v>
      </c>
      <c r="D746" s="6" t="str">
        <f>IFERROR(__xludf.DUMMYFUNCTION("""COMPUTED_VALUE"""),"Array")</f>
        <v>Array</v>
      </c>
      <c r="E746" s="6" t="str">
        <f>IFERROR(__xludf.DUMMYFUNCTION("""COMPUTED_VALUE"""),"Google,Facebook")</f>
        <v>Google,Facebook</v>
      </c>
      <c r="F746" s="6" t="str">
        <f>IFERROR(__xludf.DUMMYFUNCTION("""COMPUTED_VALUE"""),"Facebook")</f>
        <v>Facebook</v>
      </c>
      <c r="G746" s="6" t="str">
        <f>IFERROR(__xludf.DUMMYFUNCTION("""COMPUTED_VALUE"""),"Google,Facebook")</f>
        <v>Google,Facebook</v>
      </c>
      <c r="H746" s="6" t="str">
        <f>IFERROR(__xludf.DUMMYFUNCTION("""COMPUTED_VALUE"""),"Google,Facebook")</f>
        <v>Google,Facebook</v>
      </c>
      <c r="I746" s="6">
        <f>IFERROR(__xludf.DUMMYFUNCTION("""COMPUTED_VALUE"""),44.93)</f>
        <v>44.93</v>
      </c>
      <c r="J746" s="6" t="str">
        <f>IFERROR(__xludf.DUMMYFUNCTION("""COMPUTED_VALUE"""),"算法")</f>
        <v>算法</v>
      </c>
    </row>
    <row r="747">
      <c r="A747" s="6">
        <f>IFERROR(__xludf.DUMMYFUNCTION("""COMPUTED_VALUE"""),992.0)</f>
        <v>992</v>
      </c>
      <c r="B747" s="53" t="str">
        <f>IFERROR(__xludf.DUMMYFUNCTION("""COMPUTED_VALUE"""),"Subarrays with K Different Integers")</f>
        <v>Subarrays with K Different Integers</v>
      </c>
      <c r="C747" s="6" t="str">
        <f>IFERROR(__xludf.DUMMYFUNCTION("""COMPUTED_VALUE"""),"Hard")</f>
        <v>Hard</v>
      </c>
      <c r="D747" s="6" t="str">
        <f>IFERROR(__xludf.DUMMYFUNCTION("""COMPUTED_VALUE"""),"Sliding Window,Two Pointers,Hash Table")</f>
        <v>Sliding Window,Two Pointers,Hash Table</v>
      </c>
      <c r="E747" s="6" t="str">
        <f>IFERROR(__xludf.DUMMYFUNCTION("""COMPUTED_VALUE"""),"Bloomberg,Adobe,Facebook,Uber,Amazon,Alibaba,Goldman Sachs,Google")</f>
        <v>Bloomberg,Adobe,Facebook,Uber,Amazon,Alibaba,Goldman Sachs,Google</v>
      </c>
      <c r="F747" s="6" t="str">
        <f>IFERROR(__xludf.DUMMYFUNCTION("""COMPUTED_VALUE"""),"Amazon,Google")</f>
        <v>Amazon,Google</v>
      </c>
      <c r="G747" s="6" t="str">
        <f>IFERROR(__xludf.DUMMYFUNCTION("""COMPUTED_VALUE"""),"Bloomberg,Amazon,Google")</f>
        <v>Bloomberg,Amazon,Google</v>
      </c>
      <c r="H747" s="6" t="str">
        <f>IFERROR(__xludf.DUMMYFUNCTION("""COMPUTED_VALUE"""),"Facebook,Alibaba,Adobe,Goldman Sachs,Uber,Bloomberg,Amazon,Google")</f>
        <v>Facebook,Alibaba,Adobe,Goldman Sachs,Uber,Bloomberg,Amazon,Google</v>
      </c>
      <c r="I747" s="6">
        <f>IFERROR(__xludf.DUMMYFUNCTION("""COMPUTED_VALUE"""),50.76)</f>
        <v>50.76</v>
      </c>
      <c r="J747" s="6" t="str">
        <f>IFERROR(__xludf.DUMMYFUNCTION("""COMPUTED_VALUE"""),"算法")</f>
        <v>算法</v>
      </c>
    </row>
    <row r="748">
      <c r="A748" s="6">
        <f>IFERROR(__xludf.DUMMYFUNCTION("""COMPUTED_VALUE"""),994.0)</f>
        <v>994</v>
      </c>
      <c r="B748" s="53" t="str">
        <f>IFERROR(__xludf.DUMMYFUNCTION("""COMPUTED_VALUE"""),"Rotting Oranges")</f>
        <v>Rotting Oranges</v>
      </c>
      <c r="C748" s="6" t="str">
        <f>IFERROR(__xludf.DUMMYFUNCTION("""COMPUTED_VALUE"""),"Medium")</f>
        <v>Medium</v>
      </c>
      <c r="D748" s="6" t="str">
        <f>IFERROR(__xludf.DUMMYFUNCTION("""COMPUTED_VALUE"""),"Breadth First Search")</f>
        <v>Breadth First Search</v>
      </c>
      <c r="E748" s="6" t="str">
        <f>IFERROR(__xludf.DUMMYFUNCTION("""COMPUTED_VALUE"""),"Oracle,EBay,Apple,Bloomberg,Google,Flipkart,Adobe,Amazon,Microsoft")</f>
        <v>Oracle,EBay,Apple,Bloomberg,Google,Flipkart,Adobe,Amazon,Microsoft</v>
      </c>
      <c r="F748" s="6" t="str">
        <f>IFERROR(__xludf.DUMMYFUNCTION("""COMPUTED_VALUE"""),"Amazon,Microsoft,Bloomberg,Google,Oracle")</f>
        <v>Amazon,Microsoft,Bloomberg,Google,Oracle</v>
      </c>
      <c r="G748" s="6" t="str">
        <f>IFERROR(__xludf.DUMMYFUNCTION("""COMPUTED_VALUE"""),"Adobe,eBay,Amazon,Microsoft,Bloomberg,Google,Oracle")</f>
        <v>Adobe,eBay,Amazon,Microsoft,Bloomberg,Google,Oracle</v>
      </c>
      <c r="H748" s="6" t="str">
        <f>IFERROR(__xludf.DUMMYFUNCTION("""COMPUTED_VALUE"""),"Flipkart,Apple,Adobe,eBay,Amazon,Microsoft,Bloomberg,Google,Oracle")</f>
        <v>Flipkart,Apple,Adobe,eBay,Amazon,Microsoft,Bloomberg,Google,Oracle</v>
      </c>
      <c r="I748" s="6">
        <f>IFERROR(__xludf.DUMMYFUNCTION("""COMPUTED_VALUE"""),49.62)</f>
        <v>49.62</v>
      </c>
      <c r="J748" s="6" t="str">
        <f>IFERROR(__xludf.DUMMYFUNCTION("""COMPUTED_VALUE"""),"算法")</f>
        <v>算法</v>
      </c>
    </row>
    <row r="749">
      <c r="A749" s="6">
        <f>IFERROR(__xludf.DUMMYFUNCTION("""COMPUTED_VALUE"""),995.0)</f>
        <v>995</v>
      </c>
      <c r="B749" s="53" t="str">
        <f>IFERROR(__xludf.DUMMYFUNCTION("""COMPUTED_VALUE"""),"Minimum Number of K Consecutive Bit Flips")</f>
        <v>Minimum Number of K Consecutive Bit Flips</v>
      </c>
      <c r="C749" s="6" t="str">
        <f>IFERROR(__xludf.DUMMYFUNCTION("""COMPUTED_VALUE"""),"Hard")</f>
        <v>Hard</v>
      </c>
      <c r="D749" s="6" t="str">
        <f>IFERROR(__xludf.DUMMYFUNCTION("""COMPUTED_VALUE"""),"Sliding Window,Greedy")</f>
        <v>Sliding Window,Greedy</v>
      </c>
      <c r="E749" s="6" t="str">
        <f>IFERROR(__xludf.DUMMYFUNCTION("""COMPUTED_VALUE"""),"Google,Akuna,Akuna Capital,Facebook,Amazon")</f>
        <v>Google,Akuna,Akuna Capital,Facebook,Amazon</v>
      </c>
      <c r="F749" s="6" t="str">
        <f>IFERROR(__xludf.DUMMYFUNCTION("""COMPUTED_VALUE"""),"Google,Amazon")</f>
        <v>Google,Amazon</v>
      </c>
      <c r="G749" s="6" t="str">
        <f>IFERROR(__xludf.DUMMYFUNCTION("""COMPUTED_VALUE"""),"Facebook,Google,Amazon")</f>
        <v>Facebook,Google,Amazon</v>
      </c>
      <c r="H749" s="6" t="str">
        <f>IFERROR(__xludf.DUMMYFUNCTION("""COMPUTED_VALUE"""),"Akuna,Facebook,Google,Amazon")</f>
        <v>Akuna,Facebook,Google,Amazon</v>
      </c>
      <c r="I749" s="6">
        <f>IFERROR(__xludf.DUMMYFUNCTION("""COMPUTED_VALUE"""),50.0)</f>
        <v>50</v>
      </c>
      <c r="J749" s="6" t="str">
        <f>IFERROR(__xludf.DUMMYFUNCTION("""COMPUTED_VALUE"""),"算法")</f>
        <v>算法</v>
      </c>
    </row>
    <row r="750">
      <c r="A750" s="6">
        <f>IFERROR(__xludf.DUMMYFUNCTION("""COMPUTED_VALUE"""),997.0)</f>
        <v>997</v>
      </c>
      <c r="B750" s="53" t="str">
        <f>IFERROR(__xludf.DUMMYFUNCTION("""COMPUTED_VALUE"""),"Find the Town Judge")</f>
        <v>Find the Town Judge</v>
      </c>
      <c r="C750" s="6" t="str">
        <f>IFERROR(__xludf.DUMMYFUNCTION("""COMPUTED_VALUE"""),"Easy")</f>
        <v>Easy</v>
      </c>
      <c r="D750" s="6" t="str">
        <f>IFERROR(__xludf.DUMMYFUNCTION("""COMPUTED_VALUE"""),"Graph")</f>
        <v>Graph</v>
      </c>
      <c r="E750" s="6" t="str">
        <f>IFERROR(__xludf.DUMMYFUNCTION("""COMPUTED_VALUE"""),"Arista Networks,Microsoft,Arista,Facebook,Amazon,Google")</f>
        <v>Arista Networks,Microsoft,Arista,Facebook,Amazon,Google</v>
      </c>
      <c r="F750" s="6" t="str">
        <f>IFERROR(__xludf.DUMMYFUNCTION("""COMPUTED_VALUE"""),"Amazon")</f>
        <v>Amazon</v>
      </c>
      <c r="G750" s="6" t="str">
        <f>IFERROR(__xludf.DUMMYFUNCTION("""COMPUTED_VALUE"""),"Amazon")</f>
        <v>Amazon</v>
      </c>
      <c r="H750" s="6" t="str">
        <f>IFERROR(__xludf.DUMMYFUNCTION("""COMPUTED_VALUE"""),"Google,Facebook,Microsoft,Arista,Arista Networks,Amazon")</f>
        <v>Google,Facebook,Microsoft,Arista,Arista Networks,Amazon</v>
      </c>
      <c r="I750" s="6">
        <f>IFERROR(__xludf.DUMMYFUNCTION("""COMPUTED_VALUE"""),49.8)</f>
        <v>49.8</v>
      </c>
      <c r="J750" s="6" t="str">
        <f>IFERROR(__xludf.DUMMYFUNCTION("""COMPUTED_VALUE"""),"算法")</f>
        <v>算法</v>
      </c>
    </row>
    <row r="751">
      <c r="A751" s="6">
        <f>IFERROR(__xludf.DUMMYFUNCTION("""COMPUTED_VALUE"""),1000.0)</f>
        <v>1000</v>
      </c>
      <c r="B751" s="53" t="str">
        <f>IFERROR(__xludf.DUMMYFUNCTION("""COMPUTED_VALUE"""),"Minimum Cost to Merge Stones")</f>
        <v>Minimum Cost to Merge Stones</v>
      </c>
      <c r="C751" s="6" t="str">
        <f>IFERROR(__xludf.DUMMYFUNCTION("""COMPUTED_VALUE"""),"Hard")</f>
        <v>Hard</v>
      </c>
      <c r="D751" s="6" t="str">
        <f>IFERROR(__xludf.DUMMYFUNCTION("""COMPUTED_VALUE"""),"Dynamic Programming")</f>
        <v>Dynamic Programming</v>
      </c>
      <c r="E751" s="6" t="str">
        <f>IFERROR(__xludf.DUMMYFUNCTION("""COMPUTED_VALUE"""),"Amazon,Google")</f>
        <v>Amazon,Google</v>
      </c>
      <c r="F751" s="6" t="str">
        <f>IFERROR(__xludf.DUMMYFUNCTION("""COMPUTED_VALUE"""),"Amazon")</f>
        <v>Amazon</v>
      </c>
      <c r="G751" s="6" t="str">
        <f>IFERROR(__xludf.DUMMYFUNCTION("""COMPUTED_VALUE"""),"Amazon")</f>
        <v>Amazon</v>
      </c>
      <c r="H751" s="6" t="str">
        <f>IFERROR(__xludf.DUMMYFUNCTION("""COMPUTED_VALUE"""),"Google,Amazon")</f>
        <v>Google,Amazon</v>
      </c>
      <c r="I751" s="6">
        <f>IFERROR(__xludf.DUMMYFUNCTION("""COMPUTED_VALUE"""),40.49)</f>
        <v>40.49</v>
      </c>
      <c r="J751" s="6" t="str">
        <f>IFERROR(__xludf.DUMMYFUNCTION("""COMPUTED_VALUE"""),"算法")</f>
        <v>算法</v>
      </c>
    </row>
    <row r="752">
      <c r="A752" s="6">
        <f>IFERROR(__xludf.DUMMYFUNCTION("""COMPUTED_VALUE"""),1004.0)</f>
        <v>1004</v>
      </c>
      <c r="B752" s="53" t="str">
        <f>IFERROR(__xludf.DUMMYFUNCTION("""COMPUTED_VALUE"""),"Max Consecutive Ones III")</f>
        <v>Max Consecutive Ones III</v>
      </c>
      <c r="C752" s="6" t="str">
        <f>IFERROR(__xludf.DUMMYFUNCTION("""COMPUTED_VALUE"""),"Medium")</f>
        <v>Medium</v>
      </c>
      <c r="D752" s="6" t="str">
        <f>IFERROR(__xludf.DUMMYFUNCTION("""COMPUTED_VALUE"""),"Sliding Window,Two Pointers")</f>
        <v>Sliding Window,Two Pointers</v>
      </c>
      <c r="E752" s="6" t="str">
        <f>IFERROR(__xludf.DUMMYFUNCTION("""COMPUTED_VALUE"""),"Coupang,Oracle,EBay,Bloomberg,Google,Yandex,Facebook,Amazon,Microsoft")</f>
        <v>Coupang,Oracle,EBay,Bloomberg,Google,Yandex,Facebook,Amazon,Microsoft</v>
      </c>
      <c r="F752" s="6" t="str">
        <f>IFERROR(__xludf.DUMMYFUNCTION("""COMPUTED_VALUE"""),"Facebook,Amazon,Coupang")</f>
        <v>Facebook,Amazon,Coupang</v>
      </c>
      <c r="G752" s="6" t="str">
        <f>IFERROR(__xludf.DUMMYFUNCTION("""COMPUTED_VALUE"""),"eBay,Google,Facebook,Amazon,Coupang")</f>
        <v>eBay,Google,Facebook,Amazon,Coupang</v>
      </c>
      <c r="H752" s="6" t="str">
        <f>IFERROR(__xludf.DUMMYFUNCTION("""COMPUTED_VALUE"""),"Yandex,Microsoft,Bloomberg,Oracle,eBay,Google,Facebook,Amazon,Coupang")</f>
        <v>Yandex,Microsoft,Bloomberg,Oracle,eBay,Google,Facebook,Amazon,Coupang</v>
      </c>
      <c r="I752" s="6">
        <f>IFERROR(__xludf.DUMMYFUNCTION("""COMPUTED_VALUE"""),60.88)</f>
        <v>60.88</v>
      </c>
      <c r="J752" s="6" t="str">
        <f>IFERROR(__xludf.DUMMYFUNCTION("""COMPUTED_VALUE"""),"算法")</f>
        <v>算法</v>
      </c>
    </row>
    <row r="753">
      <c r="A753" s="6">
        <f>IFERROR(__xludf.DUMMYFUNCTION("""COMPUTED_VALUE"""),1007.0)</f>
        <v>1007</v>
      </c>
      <c r="B753" s="53" t="str">
        <f>IFERROR(__xludf.DUMMYFUNCTION("""COMPUTED_VALUE"""),"Minimum Domino Rotations For Equal Row")</f>
        <v>Minimum Domino Rotations For Equal Row</v>
      </c>
      <c r="C753" s="6" t="str">
        <f>IFERROR(__xludf.DUMMYFUNCTION("""COMPUTED_VALUE"""),"Medium")</f>
        <v>Medium</v>
      </c>
      <c r="D753" s="6" t="str">
        <f>IFERROR(__xludf.DUMMYFUNCTION("""COMPUTED_VALUE"""),"Greedy,Array")</f>
        <v>Greedy,Array</v>
      </c>
      <c r="E753" s="6" t="str">
        <f>IFERROR(__xludf.DUMMYFUNCTION("""COMPUTED_VALUE"""),"Amazon,Google")</f>
        <v>Amazon,Google</v>
      </c>
      <c r="F753" s="6" t="str">
        <f>IFERROR(__xludf.DUMMYFUNCTION("""COMPUTED_VALUE"""),"Google")</f>
        <v>Google</v>
      </c>
      <c r="G753" s="6" t="str">
        <f>IFERROR(__xludf.DUMMYFUNCTION("""COMPUTED_VALUE"""),"Google")</f>
        <v>Google</v>
      </c>
      <c r="H753" s="6" t="str">
        <f>IFERROR(__xludf.DUMMYFUNCTION("""COMPUTED_VALUE"""),"Amazon,Google")</f>
        <v>Amazon,Google</v>
      </c>
      <c r="I753" s="6">
        <f>IFERROR(__xludf.DUMMYFUNCTION("""COMPUTED_VALUE"""),50.9)</f>
        <v>50.9</v>
      </c>
      <c r="J753" s="6" t="str">
        <f>IFERROR(__xludf.DUMMYFUNCTION("""COMPUTED_VALUE"""),"算法")</f>
        <v>算法</v>
      </c>
    </row>
    <row r="754">
      <c r="A754" s="6">
        <f>IFERROR(__xludf.DUMMYFUNCTION("""COMPUTED_VALUE"""),1010.0)</f>
        <v>1010</v>
      </c>
      <c r="B754" s="53" t="str">
        <f>IFERROR(__xludf.DUMMYFUNCTION("""COMPUTED_VALUE"""),"Pairs of Songs With Total Durations Divisible by 60")</f>
        <v>Pairs of Songs With Total Durations Divisible by 60</v>
      </c>
      <c r="C754" s="6" t="str">
        <f>IFERROR(__xludf.DUMMYFUNCTION("""COMPUTED_VALUE"""),"Medium")</f>
        <v>Medium</v>
      </c>
      <c r="D754" s="6" t="str">
        <f>IFERROR(__xludf.DUMMYFUNCTION("""COMPUTED_VALUE"""),"Array")</f>
        <v>Array</v>
      </c>
      <c r="E754" s="6" t="str">
        <f>IFERROR(__xludf.DUMMYFUNCTION("""COMPUTED_VALUE"""),"FactSet,Paypal,Expedia,Citrix,IBM,Google,Pocket Gems,Visa,Dropbox,Adobe,Amazon,Goldman Sachs")</f>
        <v>FactSet,Paypal,Expedia,Citrix,IBM,Google,Pocket Gems,Visa,Dropbox,Adobe,Amazon,Goldman Sachs</v>
      </c>
      <c r="F754" s="6" t="str">
        <f>IFERROR(__xludf.DUMMYFUNCTION("""COMPUTED_VALUE"""),"Amazon,Citrix,IBM")</f>
        <v>Amazon,Citrix,IBM</v>
      </c>
      <c r="G754" s="6" t="str">
        <f>IFERROR(__xludf.DUMMYFUNCTION("""COMPUTED_VALUE"""),"Paypal,Amazon,Citrix,IBM")</f>
        <v>Paypal,Amazon,Citrix,IBM</v>
      </c>
      <c r="H754" s="6" t="str">
        <f>IFERROR(__xludf.DUMMYFUNCTION("""COMPUTED_VALUE"""),"Pocket Gems,Dropbox,Visa,Goldman Sachs,Expedia,Adobe,FactSet,Google,Paypal,Amazon,Citrix,IBM")</f>
        <v>Pocket Gems,Dropbox,Visa,Goldman Sachs,Expedia,Adobe,FactSet,Google,Paypal,Amazon,Citrix,IBM</v>
      </c>
      <c r="I754" s="6">
        <f>IFERROR(__xludf.DUMMYFUNCTION("""COMPUTED_VALUE"""),50.44)</f>
        <v>50.44</v>
      </c>
      <c r="J754" s="6" t="str">
        <f>IFERROR(__xludf.DUMMYFUNCTION("""COMPUTED_VALUE"""),"算法")</f>
        <v>算法</v>
      </c>
    </row>
    <row r="755">
      <c r="A755" s="6">
        <f>IFERROR(__xludf.DUMMYFUNCTION("""COMPUTED_VALUE"""),1011.0)</f>
        <v>1011</v>
      </c>
      <c r="B755" s="53" t="str">
        <f>IFERROR(__xludf.DUMMYFUNCTION("""COMPUTED_VALUE"""),"Capacity To Ship Packages Within D Days")</f>
        <v>Capacity To Ship Packages Within D Days</v>
      </c>
      <c r="C755" s="6" t="str">
        <f>IFERROR(__xludf.DUMMYFUNCTION("""COMPUTED_VALUE"""),"Medium")</f>
        <v>Medium</v>
      </c>
      <c r="D755" s="6" t="str">
        <f>IFERROR(__xludf.DUMMYFUNCTION("""COMPUTED_VALUE"""),"Binary Search,Array")</f>
        <v>Binary Search,Array</v>
      </c>
      <c r="E755" s="6" t="str">
        <f>IFERROR(__xludf.DUMMYFUNCTION("""COMPUTED_VALUE"""),"Flipkart,Adobe,Apple,Uber,Amazon,Google")</f>
        <v>Flipkart,Adobe,Apple,Uber,Amazon,Google</v>
      </c>
      <c r="F755" s="6" t="str">
        <f>IFERROR(__xludf.DUMMYFUNCTION("""COMPUTED_VALUE"""),"Amazon,Flipkart")</f>
        <v>Amazon,Flipkart</v>
      </c>
      <c r="G755" s="6" t="str">
        <f>IFERROR(__xludf.DUMMYFUNCTION("""COMPUTED_VALUE"""),"Google,Amazon,Flipkart")</f>
        <v>Google,Amazon,Flipkart</v>
      </c>
      <c r="H755" s="6" t="str">
        <f>IFERROR(__xludf.DUMMYFUNCTION("""COMPUTED_VALUE"""),"Apple,Uber,Adobe,Google,Amazon,Flipkart")</f>
        <v>Apple,Uber,Adobe,Google,Amazon,Flipkart</v>
      </c>
      <c r="I755" s="6">
        <f>IFERROR(__xludf.DUMMYFUNCTION("""COMPUTED_VALUE"""),59.77)</f>
        <v>59.77</v>
      </c>
      <c r="J755" s="6" t="str">
        <f>IFERROR(__xludf.DUMMYFUNCTION("""COMPUTED_VALUE"""),"算法")</f>
        <v>算法</v>
      </c>
    </row>
    <row r="756">
      <c r="A756" s="6">
        <f>IFERROR(__xludf.DUMMYFUNCTION("""COMPUTED_VALUE"""),1012.0)</f>
        <v>1012</v>
      </c>
      <c r="B756" s="53" t="str">
        <f>IFERROR(__xludf.DUMMYFUNCTION("""COMPUTED_VALUE"""),"Numbers With Repeated Digits")</f>
        <v>Numbers With Repeated Digits</v>
      </c>
      <c r="C756" s="6" t="str">
        <f>IFERROR(__xludf.DUMMYFUNCTION("""COMPUTED_VALUE"""),"Hard")</f>
        <v>Hard</v>
      </c>
      <c r="D756" s="6" t="str">
        <f>IFERROR(__xludf.DUMMYFUNCTION("""COMPUTED_VALUE"""),"Dynamic Programming,Math")</f>
        <v>Dynamic Programming,Math</v>
      </c>
      <c r="E756" s="6" t="str">
        <f>IFERROR(__xludf.DUMMYFUNCTION("""COMPUTED_VALUE"""),"Akuna Capital,IBM,Google")</f>
        <v>Akuna Capital,IBM,Google</v>
      </c>
      <c r="F756" s="6"/>
      <c r="G756" s="6" t="str">
        <f>IFERROR(__xludf.DUMMYFUNCTION("""COMPUTED_VALUE"""),"Akuna Capital,IBM")</f>
        <v>Akuna Capital,IBM</v>
      </c>
      <c r="H756" s="6" t="str">
        <f>IFERROR(__xludf.DUMMYFUNCTION("""COMPUTED_VALUE"""),"Google,Akuna Capital,IBM")</f>
        <v>Google,Akuna Capital,IBM</v>
      </c>
      <c r="I756" s="6">
        <f>IFERROR(__xludf.DUMMYFUNCTION("""COMPUTED_VALUE"""),37.82)</f>
        <v>37.82</v>
      </c>
      <c r="J756" s="6" t="str">
        <f>IFERROR(__xludf.DUMMYFUNCTION("""COMPUTED_VALUE"""),"算法")</f>
        <v>算法</v>
      </c>
    </row>
    <row r="757">
      <c r="A757" s="6">
        <f>IFERROR(__xludf.DUMMYFUNCTION("""COMPUTED_VALUE"""),1015.0)</f>
        <v>1015</v>
      </c>
      <c r="B757" s="53" t="str">
        <f>IFERROR(__xludf.DUMMYFUNCTION("""COMPUTED_VALUE"""),"Smallest Integer Divisible by K")</f>
        <v>Smallest Integer Divisible by K</v>
      </c>
      <c r="C757" s="6" t="str">
        <f>IFERROR(__xludf.DUMMYFUNCTION("""COMPUTED_VALUE"""),"Medium")</f>
        <v>Medium</v>
      </c>
      <c r="D757" s="6" t="str">
        <f>IFERROR(__xludf.DUMMYFUNCTION("""COMPUTED_VALUE"""),"Math")</f>
        <v>Math</v>
      </c>
      <c r="E757" s="6" t="str">
        <f>IFERROR(__xludf.DUMMYFUNCTION("""COMPUTED_VALUE"""),"Google")</f>
        <v>Google</v>
      </c>
      <c r="F757" s="6"/>
      <c r="G757" s="6"/>
      <c r="H757" s="6" t="str">
        <f>IFERROR(__xludf.DUMMYFUNCTION("""COMPUTED_VALUE"""),"Google")</f>
        <v>Google</v>
      </c>
      <c r="I757" s="6">
        <f>IFERROR(__xludf.DUMMYFUNCTION("""COMPUTED_VALUE"""),41.87)</f>
        <v>41.87</v>
      </c>
      <c r="J757" s="6" t="str">
        <f>IFERROR(__xludf.DUMMYFUNCTION("""COMPUTED_VALUE"""),"算法")</f>
        <v>算法</v>
      </c>
    </row>
    <row r="758">
      <c r="A758" s="6">
        <f>IFERROR(__xludf.DUMMYFUNCTION("""COMPUTED_VALUE"""),1016.0)</f>
        <v>1016</v>
      </c>
      <c r="B758" s="53" t="str">
        <f>IFERROR(__xludf.DUMMYFUNCTION("""COMPUTED_VALUE"""),"Binary String With Substrings Representing 1 To N")</f>
        <v>Binary String With Substrings Representing 1 To N</v>
      </c>
      <c r="C758" s="6" t="str">
        <f>IFERROR(__xludf.DUMMYFUNCTION("""COMPUTED_VALUE"""),"Medium")</f>
        <v>Medium</v>
      </c>
      <c r="D758" s="6" t="str">
        <f>IFERROR(__xludf.DUMMYFUNCTION("""COMPUTED_VALUE"""),"String")</f>
        <v>String</v>
      </c>
      <c r="E758" s="6" t="str">
        <f>IFERROR(__xludf.DUMMYFUNCTION("""COMPUTED_VALUE"""),"Google")</f>
        <v>Google</v>
      </c>
      <c r="F758" s="6"/>
      <c r="G758" s="6"/>
      <c r="H758" s="6" t="str">
        <f>IFERROR(__xludf.DUMMYFUNCTION("""COMPUTED_VALUE"""),"Google")</f>
        <v>Google</v>
      </c>
      <c r="I758" s="6">
        <f>IFERROR(__xludf.DUMMYFUNCTION("""COMPUTED_VALUE"""),58.85)</f>
        <v>58.85</v>
      </c>
      <c r="J758" s="6" t="str">
        <f>IFERROR(__xludf.DUMMYFUNCTION("""COMPUTED_VALUE"""),"算法")</f>
        <v>算法</v>
      </c>
    </row>
    <row r="759">
      <c r="A759" s="6">
        <f>IFERROR(__xludf.DUMMYFUNCTION("""COMPUTED_VALUE"""),1019.0)</f>
        <v>1019</v>
      </c>
      <c r="B759" s="53" t="str">
        <f>IFERROR(__xludf.DUMMYFUNCTION("""COMPUTED_VALUE"""),"Next Greater Node In Linked List")</f>
        <v>Next Greater Node In Linked List</v>
      </c>
      <c r="C759" s="6" t="str">
        <f>IFERROR(__xludf.DUMMYFUNCTION("""COMPUTED_VALUE"""),"Medium")</f>
        <v>Medium</v>
      </c>
      <c r="D759" s="6" t="str">
        <f>IFERROR(__xludf.DUMMYFUNCTION("""COMPUTED_VALUE"""),"Stack,Linked List")</f>
        <v>Stack,Linked List</v>
      </c>
      <c r="E759" s="6" t="str">
        <f>IFERROR(__xludf.DUMMYFUNCTION("""COMPUTED_VALUE"""),"Apple,Google,Uber,Facebook,Amazon,Microsoft")</f>
        <v>Apple,Google,Uber,Facebook,Amazon,Microsoft</v>
      </c>
      <c r="F759" s="6"/>
      <c r="G759" s="6" t="str">
        <f>IFERROR(__xludf.DUMMYFUNCTION("""COMPUTED_VALUE"""),"Amazon,Google,Facebook")</f>
        <v>Amazon,Google,Facebook</v>
      </c>
      <c r="H759" s="6" t="str">
        <f>IFERROR(__xludf.DUMMYFUNCTION("""COMPUTED_VALUE"""),"Uber,Apple,Microsoft,Amazon,Google,Facebook")</f>
        <v>Uber,Apple,Microsoft,Amazon,Google,Facebook</v>
      </c>
      <c r="I759" s="6">
        <f>IFERROR(__xludf.DUMMYFUNCTION("""COMPUTED_VALUE"""),58.29)</f>
        <v>58.29</v>
      </c>
      <c r="J759" s="6" t="str">
        <f>IFERROR(__xludf.DUMMYFUNCTION("""COMPUTED_VALUE"""),"算法")</f>
        <v>算法</v>
      </c>
    </row>
    <row r="760">
      <c r="A760" s="6">
        <f>IFERROR(__xludf.DUMMYFUNCTION("""COMPUTED_VALUE"""),1020.0)</f>
        <v>1020</v>
      </c>
      <c r="B760" s="53" t="str">
        <f>IFERROR(__xludf.DUMMYFUNCTION("""COMPUTED_VALUE"""),"Number of Enclaves")</f>
        <v>Number of Enclaves</v>
      </c>
      <c r="C760" s="6" t="str">
        <f>IFERROR(__xludf.DUMMYFUNCTION("""COMPUTED_VALUE"""),"Medium")</f>
        <v>Medium</v>
      </c>
      <c r="D760" s="6" t="str">
        <f>IFERROR(__xludf.DUMMYFUNCTION("""COMPUTED_VALUE"""),"Depth First Search")</f>
        <v>Depth First Search</v>
      </c>
      <c r="E760" s="6" t="str">
        <f>IFERROR(__xludf.DUMMYFUNCTION("""COMPUTED_VALUE"""),"Google")</f>
        <v>Google</v>
      </c>
      <c r="F760" s="6"/>
      <c r="G760" s="6"/>
      <c r="H760" s="6" t="str">
        <f>IFERROR(__xludf.DUMMYFUNCTION("""COMPUTED_VALUE"""),"Google")</f>
        <v>Google</v>
      </c>
      <c r="I760" s="6">
        <f>IFERROR(__xludf.DUMMYFUNCTION("""COMPUTED_VALUE"""),59.06)</f>
        <v>59.06</v>
      </c>
      <c r="J760" s="6" t="str">
        <f>IFERROR(__xludf.DUMMYFUNCTION("""COMPUTED_VALUE"""),"算法")</f>
        <v>算法</v>
      </c>
    </row>
    <row r="761">
      <c r="A761" s="6">
        <f>IFERROR(__xludf.DUMMYFUNCTION("""COMPUTED_VALUE"""),1021.0)</f>
        <v>1021</v>
      </c>
      <c r="B761" s="53" t="str">
        <f>IFERROR(__xludf.DUMMYFUNCTION("""COMPUTED_VALUE"""),"Remove Outermost Parentheses")</f>
        <v>Remove Outermost Parentheses</v>
      </c>
      <c r="C761" s="6" t="str">
        <f>IFERROR(__xludf.DUMMYFUNCTION("""COMPUTED_VALUE"""),"Easy")</f>
        <v>Easy</v>
      </c>
      <c r="D761" s="6" t="str">
        <f>IFERROR(__xludf.DUMMYFUNCTION("""COMPUTED_VALUE"""),"Stack")</f>
        <v>Stack</v>
      </c>
      <c r="E761" s="6" t="str">
        <f>IFERROR(__xludf.DUMMYFUNCTION("""COMPUTED_VALUE"""),"Apple,Facebook,Google")</f>
        <v>Apple,Facebook,Google</v>
      </c>
      <c r="F761" s="6"/>
      <c r="G761" s="6" t="str">
        <f>IFERROR(__xludf.DUMMYFUNCTION("""COMPUTED_VALUE"""),"Google")</f>
        <v>Google</v>
      </c>
      <c r="H761" s="6" t="str">
        <f>IFERROR(__xludf.DUMMYFUNCTION("""COMPUTED_VALUE"""),"Apple,Facebook,Google")</f>
        <v>Apple,Facebook,Google</v>
      </c>
      <c r="I761" s="6">
        <f>IFERROR(__xludf.DUMMYFUNCTION("""COMPUTED_VALUE"""),79.12)</f>
        <v>79.12</v>
      </c>
      <c r="J761" s="6" t="str">
        <f>IFERROR(__xludf.DUMMYFUNCTION("""COMPUTED_VALUE"""),"算法")</f>
        <v>算法</v>
      </c>
    </row>
    <row r="762">
      <c r="A762" s="6">
        <f>IFERROR(__xludf.DUMMYFUNCTION("""COMPUTED_VALUE"""),1023.0)</f>
        <v>1023</v>
      </c>
      <c r="B762" s="53" t="str">
        <f>IFERROR(__xludf.DUMMYFUNCTION("""COMPUTED_VALUE"""),"Camelcase Matching")</f>
        <v>Camelcase Matching</v>
      </c>
      <c r="C762" s="6" t="str">
        <f>IFERROR(__xludf.DUMMYFUNCTION("""COMPUTED_VALUE"""),"Medium")</f>
        <v>Medium</v>
      </c>
      <c r="D762" s="6" t="str">
        <f>IFERROR(__xludf.DUMMYFUNCTION("""COMPUTED_VALUE"""),"Trie,String")</f>
        <v>Trie,String</v>
      </c>
      <c r="E762" s="6" t="str">
        <f>IFERROR(__xludf.DUMMYFUNCTION("""COMPUTED_VALUE"""),"Amazon,Google")</f>
        <v>Amazon,Google</v>
      </c>
      <c r="F762" s="6"/>
      <c r="G762" s="6"/>
      <c r="H762" s="6" t="str">
        <f>IFERROR(__xludf.DUMMYFUNCTION("""COMPUTED_VALUE"""),"Amazon,Google")</f>
        <v>Amazon,Google</v>
      </c>
      <c r="I762" s="6">
        <f>IFERROR(__xludf.DUMMYFUNCTION("""COMPUTED_VALUE"""),57.55)</f>
        <v>57.55</v>
      </c>
      <c r="J762" s="6" t="str">
        <f>IFERROR(__xludf.DUMMYFUNCTION("""COMPUTED_VALUE"""),"算法")</f>
        <v>算法</v>
      </c>
    </row>
    <row r="763">
      <c r="A763" s="6">
        <f>IFERROR(__xludf.DUMMYFUNCTION("""COMPUTED_VALUE"""),1024.0)</f>
        <v>1024</v>
      </c>
      <c r="B763" s="53" t="str">
        <f>IFERROR(__xludf.DUMMYFUNCTION("""COMPUTED_VALUE"""),"Video Stitching")</f>
        <v>Video Stitching</v>
      </c>
      <c r="C763" s="6" t="str">
        <f>IFERROR(__xludf.DUMMYFUNCTION("""COMPUTED_VALUE"""),"Medium")</f>
        <v>Medium</v>
      </c>
      <c r="D763" s="6" t="str">
        <f>IFERROR(__xludf.DUMMYFUNCTION("""COMPUTED_VALUE"""),"Dynamic Programming")</f>
        <v>Dynamic Programming</v>
      </c>
      <c r="E763" s="6" t="str">
        <f>IFERROR(__xludf.DUMMYFUNCTION("""COMPUTED_VALUE"""),"Amazon,Google")</f>
        <v>Amazon,Google</v>
      </c>
      <c r="F763" s="6" t="str">
        <f>IFERROR(__xludf.DUMMYFUNCTION("""COMPUTED_VALUE"""),"Amazon")</f>
        <v>Amazon</v>
      </c>
      <c r="G763" s="6" t="str">
        <f>IFERROR(__xludf.DUMMYFUNCTION("""COMPUTED_VALUE"""),"Amazon")</f>
        <v>Amazon</v>
      </c>
      <c r="H763" s="6" t="str">
        <f>IFERROR(__xludf.DUMMYFUNCTION("""COMPUTED_VALUE"""),"Google,Amazon")</f>
        <v>Google,Amazon</v>
      </c>
      <c r="I763" s="6">
        <f>IFERROR(__xludf.DUMMYFUNCTION("""COMPUTED_VALUE"""),49.0)</f>
        <v>49</v>
      </c>
      <c r="J763" s="6" t="str">
        <f>IFERROR(__xludf.DUMMYFUNCTION("""COMPUTED_VALUE"""),"算法")</f>
        <v>算法</v>
      </c>
    </row>
    <row r="764">
      <c r="A764" s="6">
        <f>IFERROR(__xludf.DUMMYFUNCTION("""COMPUTED_VALUE"""),1025.0)</f>
        <v>1025</v>
      </c>
      <c r="B764" s="53" t="str">
        <f>IFERROR(__xludf.DUMMYFUNCTION("""COMPUTED_VALUE"""),"Divisor Game")</f>
        <v>Divisor Game</v>
      </c>
      <c r="C764" s="6" t="str">
        <f>IFERROR(__xludf.DUMMYFUNCTION("""COMPUTED_VALUE"""),"Easy")</f>
        <v>Easy</v>
      </c>
      <c r="D764" s="6" t="str">
        <f>IFERROR(__xludf.DUMMYFUNCTION("""COMPUTED_VALUE"""),"Dynamic Programming,Math")</f>
        <v>Dynamic Programming,Math</v>
      </c>
      <c r="E764" s="6" t="str">
        <f>IFERROR(__xludf.DUMMYFUNCTION("""COMPUTED_VALUE"""),"Yahoo,Bloomberg,Adobe,Amazon,Visa,Google")</f>
        <v>Yahoo,Bloomberg,Adobe,Amazon,Visa,Google</v>
      </c>
      <c r="F764" s="6" t="str">
        <f>IFERROR(__xludf.DUMMYFUNCTION("""COMPUTED_VALUE"""),"Amazon,Adobe,Bloomberg")</f>
        <v>Amazon,Adobe,Bloomberg</v>
      </c>
      <c r="G764" s="6" t="str">
        <f>IFERROR(__xludf.DUMMYFUNCTION("""COMPUTED_VALUE"""),"Amazon,Adobe,Bloomberg")</f>
        <v>Amazon,Adobe,Bloomberg</v>
      </c>
      <c r="H764" s="6" t="str">
        <f>IFERROR(__xludf.DUMMYFUNCTION("""COMPUTED_VALUE"""),"Yahoo,Google,Visa,Amazon,Adobe,Bloomberg")</f>
        <v>Yahoo,Google,Visa,Amazon,Adobe,Bloomberg</v>
      </c>
      <c r="I764" s="6">
        <f>IFERROR(__xludf.DUMMYFUNCTION("""COMPUTED_VALUE"""),66.1)</f>
        <v>66.1</v>
      </c>
      <c r="J764" s="6" t="str">
        <f>IFERROR(__xludf.DUMMYFUNCTION("""COMPUTED_VALUE"""),"算法")</f>
        <v>算法</v>
      </c>
    </row>
    <row r="765">
      <c r="A765" s="6">
        <f>IFERROR(__xludf.DUMMYFUNCTION("""COMPUTED_VALUE"""),1026.0)</f>
        <v>1026</v>
      </c>
      <c r="B765" s="53" t="str">
        <f>IFERROR(__xludf.DUMMYFUNCTION("""COMPUTED_VALUE"""),"Maximum Difference Between Node and Ancestor")</f>
        <v>Maximum Difference Between Node and Ancestor</v>
      </c>
      <c r="C765" s="6" t="str">
        <f>IFERROR(__xludf.DUMMYFUNCTION("""COMPUTED_VALUE"""),"Medium")</f>
        <v>Medium</v>
      </c>
      <c r="D765" s="6" t="str">
        <f>IFERROR(__xludf.DUMMYFUNCTION("""COMPUTED_VALUE"""),"Depth First Search,Tree")</f>
        <v>Depth First Search,Tree</v>
      </c>
      <c r="E765" s="6" t="str">
        <f>IFERROR(__xludf.DUMMYFUNCTION("""COMPUTED_VALUE"""),"Google,Facebook,Amazon")</f>
        <v>Google,Facebook,Amazon</v>
      </c>
      <c r="F765" s="6" t="str">
        <f>IFERROR(__xludf.DUMMYFUNCTION("""COMPUTED_VALUE"""),"Facebook")</f>
        <v>Facebook</v>
      </c>
      <c r="G765" s="6" t="str">
        <f>IFERROR(__xludf.DUMMYFUNCTION("""COMPUTED_VALUE"""),"Amazon,Google,Facebook")</f>
        <v>Amazon,Google,Facebook</v>
      </c>
      <c r="H765" s="6" t="str">
        <f>IFERROR(__xludf.DUMMYFUNCTION("""COMPUTED_VALUE"""),"Amazon,Google,Facebook")</f>
        <v>Amazon,Google,Facebook</v>
      </c>
      <c r="I765" s="6">
        <f>IFERROR(__xludf.DUMMYFUNCTION("""COMPUTED_VALUE"""),69.56)</f>
        <v>69.56</v>
      </c>
      <c r="J765" s="6" t="str">
        <f>IFERROR(__xludf.DUMMYFUNCTION("""COMPUTED_VALUE"""),"算法")</f>
        <v>算法</v>
      </c>
    </row>
    <row r="766">
      <c r="A766" s="6">
        <f>IFERROR(__xludf.DUMMYFUNCTION("""COMPUTED_VALUE"""),1027.0)</f>
        <v>1027</v>
      </c>
      <c r="B766" s="53" t="str">
        <f>IFERROR(__xludf.DUMMYFUNCTION("""COMPUTED_VALUE"""),"Longest Arithmetic Subsequence")</f>
        <v>Longest Arithmetic Subsequence</v>
      </c>
      <c r="C766" s="6" t="str">
        <f>IFERROR(__xludf.DUMMYFUNCTION("""COMPUTED_VALUE"""),"Medium")</f>
        <v>Medium</v>
      </c>
      <c r="D766" s="6" t="str">
        <f>IFERROR(__xludf.DUMMYFUNCTION("""COMPUTED_VALUE"""),"Dynamic Programming")</f>
        <v>Dynamic Programming</v>
      </c>
      <c r="E766" s="6" t="str">
        <f>IFERROR(__xludf.DUMMYFUNCTION("""COMPUTED_VALUE"""),"C3 IoT,EBay,Uber,Snapdeal,Quora,Facebook,Amazon,Microsoft,Google")</f>
        <v>C3 IoT,EBay,Uber,Snapdeal,Quora,Facebook,Amazon,Microsoft,Google</v>
      </c>
      <c r="F766" s="6" t="str">
        <f>IFERROR(__xludf.DUMMYFUNCTION("""COMPUTED_VALUE"""),"Google,eBay,C3 IoT,Facebook,Uber")</f>
        <v>Google,eBay,C3 IoT,Facebook,Uber</v>
      </c>
      <c r="G766" s="6" t="str">
        <f>IFERROR(__xludf.DUMMYFUNCTION("""COMPUTED_VALUE"""),"Google,eBay,C3 IoT,Facebook,Uber")</f>
        <v>Google,eBay,C3 IoT,Facebook,Uber</v>
      </c>
      <c r="H766" s="6" t="str">
        <f>IFERROR(__xludf.DUMMYFUNCTION("""COMPUTED_VALUE"""),"Quora,Microsoft,Amazon,Snapdeal,Google,eBay,C3 IoT,Facebook,Uber")</f>
        <v>Quora,Microsoft,Amazon,Snapdeal,Google,eBay,C3 IoT,Facebook,Uber</v>
      </c>
      <c r="I766" s="6">
        <f>IFERROR(__xludf.DUMMYFUNCTION("""COMPUTED_VALUE"""),49.76)</f>
        <v>49.76</v>
      </c>
      <c r="J766" s="6" t="str">
        <f>IFERROR(__xludf.DUMMYFUNCTION("""COMPUTED_VALUE"""),"算法")</f>
        <v>算法</v>
      </c>
    </row>
    <row r="767">
      <c r="A767" s="6">
        <f>IFERROR(__xludf.DUMMYFUNCTION("""COMPUTED_VALUE"""),1029.0)</f>
        <v>1029</v>
      </c>
      <c r="B767" s="53" t="str">
        <f>IFERROR(__xludf.DUMMYFUNCTION("""COMPUTED_VALUE"""),"Two City Scheduling")</f>
        <v>Two City Scheduling</v>
      </c>
      <c r="C767" s="6" t="str">
        <f>IFERROR(__xludf.DUMMYFUNCTION("""COMPUTED_VALUE"""),"Medium")</f>
        <v>Medium</v>
      </c>
      <c r="D767" s="6" t="str">
        <f>IFERROR(__xludf.DUMMYFUNCTION("""COMPUTED_VALUE"""),"Greedy")</f>
        <v>Greedy</v>
      </c>
      <c r="E767" s="6" t="str">
        <f>IFERROR(__xludf.DUMMYFUNCTION("""COMPUTED_VALUE"""),"Bloomberg,Amazon,Google")</f>
        <v>Bloomberg,Amazon,Google</v>
      </c>
      <c r="F767" s="6" t="str">
        <f>IFERROR(__xludf.DUMMYFUNCTION("""COMPUTED_VALUE"""),"Bloomberg")</f>
        <v>Bloomberg</v>
      </c>
      <c r="G767" s="6" t="str">
        <f>IFERROR(__xludf.DUMMYFUNCTION("""COMPUTED_VALUE"""),"Google,Bloomberg")</f>
        <v>Google,Bloomberg</v>
      </c>
      <c r="H767" s="6" t="str">
        <f>IFERROR(__xludf.DUMMYFUNCTION("""COMPUTED_VALUE"""),"Amazon,Google,Bloomberg")</f>
        <v>Amazon,Google,Bloomberg</v>
      </c>
      <c r="I767" s="6">
        <f>IFERROR(__xludf.DUMMYFUNCTION("""COMPUTED_VALUE"""),58.1)</f>
        <v>58.1</v>
      </c>
      <c r="J767" s="6" t="str">
        <f>IFERROR(__xludf.DUMMYFUNCTION("""COMPUTED_VALUE"""),"算法")</f>
        <v>算法</v>
      </c>
    </row>
    <row r="768">
      <c r="A768" s="6">
        <f>IFERROR(__xludf.DUMMYFUNCTION("""COMPUTED_VALUE"""),1031.0)</f>
        <v>1031</v>
      </c>
      <c r="B768" s="53" t="str">
        <f>IFERROR(__xludf.DUMMYFUNCTION("""COMPUTED_VALUE"""),"Maximum Sum of Two Non-Overlapping Subarrays")</f>
        <v>Maximum Sum of Two Non-Overlapping Subarrays</v>
      </c>
      <c r="C768" s="6" t="str">
        <f>IFERROR(__xludf.DUMMYFUNCTION("""COMPUTED_VALUE"""),"Medium")</f>
        <v>Medium</v>
      </c>
      <c r="D768" s="6" t="str">
        <f>IFERROR(__xludf.DUMMYFUNCTION("""COMPUTED_VALUE"""),"Array")</f>
        <v>Array</v>
      </c>
      <c r="E768" s="6" t="str">
        <f>IFERROR(__xludf.DUMMYFUNCTION("""COMPUTED_VALUE"""),"American Express,Grab,Snapchat,Facebook,Amazon,Google")</f>
        <v>American Express,Grab,Snapchat,Facebook,Amazon,Google</v>
      </c>
      <c r="F768" s="6" t="str">
        <f>IFERROR(__xludf.DUMMYFUNCTION("""COMPUTED_VALUE"""),"Amazon")</f>
        <v>Amazon</v>
      </c>
      <c r="G768" s="6" t="str">
        <f>IFERROR(__xludf.DUMMYFUNCTION("""COMPUTED_VALUE"""),"Google,Grab,Amazon")</f>
        <v>Google,Grab,Amazon</v>
      </c>
      <c r="H768" s="6" t="str">
        <f>IFERROR(__xludf.DUMMYFUNCTION("""COMPUTED_VALUE"""),"Facebook,Snapchat,American Express,Google,Grab,Amazon")</f>
        <v>Facebook,Snapchat,American Express,Google,Grab,Amazon</v>
      </c>
      <c r="I768" s="6">
        <f>IFERROR(__xludf.DUMMYFUNCTION("""COMPUTED_VALUE"""),58.97)</f>
        <v>58.97</v>
      </c>
      <c r="J768" s="6" t="str">
        <f>IFERROR(__xludf.DUMMYFUNCTION("""COMPUTED_VALUE"""),"算法")</f>
        <v>算法</v>
      </c>
    </row>
    <row r="769">
      <c r="A769" s="6">
        <f>IFERROR(__xludf.DUMMYFUNCTION("""COMPUTED_VALUE"""),1032.0)</f>
        <v>1032</v>
      </c>
      <c r="B769" s="53" t="str">
        <f>IFERROR(__xludf.DUMMYFUNCTION("""COMPUTED_VALUE"""),"Stream of Characters")</f>
        <v>Stream of Characters</v>
      </c>
      <c r="C769" s="6" t="str">
        <f>IFERROR(__xludf.DUMMYFUNCTION("""COMPUTED_VALUE"""),"Hard")</f>
        <v>Hard</v>
      </c>
      <c r="D769" s="6" t="str">
        <f>IFERROR(__xludf.DUMMYFUNCTION("""COMPUTED_VALUE"""),"Trie")</f>
        <v>Trie</v>
      </c>
      <c r="E769" s="6" t="str">
        <f>IFERROR(__xludf.DUMMYFUNCTION("""COMPUTED_VALUE"""),"Facebook,Amazon,Google")</f>
        <v>Facebook,Amazon,Google</v>
      </c>
      <c r="F769" s="6" t="str">
        <f>IFERROR(__xludf.DUMMYFUNCTION("""COMPUTED_VALUE"""),"Facebook")</f>
        <v>Facebook</v>
      </c>
      <c r="G769" s="6" t="str">
        <f>IFERROR(__xludf.DUMMYFUNCTION("""COMPUTED_VALUE"""),"Google,Facebook")</f>
        <v>Google,Facebook</v>
      </c>
      <c r="H769" s="6" t="str">
        <f>IFERROR(__xludf.DUMMYFUNCTION("""COMPUTED_VALUE"""),"Amazon,Google,Facebook")</f>
        <v>Amazon,Google,Facebook</v>
      </c>
      <c r="I769" s="6">
        <f>IFERROR(__xludf.DUMMYFUNCTION("""COMPUTED_VALUE"""),48.62)</f>
        <v>48.62</v>
      </c>
      <c r="J769" s="6" t="str">
        <f>IFERROR(__xludf.DUMMYFUNCTION("""COMPUTED_VALUE"""),"算法")</f>
        <v>算法</v>
      </c>
    </row>
    <row r="770">
      <c r="A770" s="6">
        <f>IFERROR(__xludf.DUMMYFUNCTION("""COMPUTED_VALUE"""),1036.0)</f>
        <v>1036</v>
      </c>
      <c r="B770" s="53" t="str">
        <f>IFERROR(__xludf.DUMMYFUNCTION("""COMPUTED_VALUE"""),"Escape a Large Maze")</f>
        <v>Escape a Large Maze</v>
      </c>
      <c r="C770" s="6" t="str">
        <f>IFERROR(__xludf.DUMMYFUNCTION("""COMPUTED_VALUE"""),"Hard")</f>
        <v>Hard</v>
      </c>
      <c r="D770" s="6" t="str">
        <f>IFERROR(__xludf.DUMMYFUNCTION("""COMPUTED_VALUE"""),"Breadth First Search")</f>
        <v>Breadth First Search</v>
      </c>
      <c r="E770" s="6" t="str">
        <f>IFERROR(__xludf.DUMMYFUNCTION("""COMPUTED_VALUE"""),"UiPath,Uber,Facebook,Uipath,Google")</f>
        <v>UiPath,Uber,Facebook,Uipath,Google</v>
      </c>
      <c r="F770" s="6"/>
      <c r="G770" s="6"/>
      <c r="H770" s="6" t="str">
        <f>IFERROR(__xludf.DUMMYFUNCTION("""COMPUTED_VALUE"""),"Uber,Google,Facebook,UiPath")</f>
        <v>Uber,Google,Facebook,UiPath</v>
      </c>
      <c r="I770" s="6">
        <f>IFERROR(__xludf.DUMMYFUNCTION("""COMPUTED_VALUE"""),34.4)</f>
        <v>34.4</v>
      </c>
      <c r="J770" s="6" t="str">
        <f>IFERROR(__xludf.DUMMYFUNCTION("""COMPUTED_VALUE"""),"算法")</f>
        <v>算法</v>
      </c>
    </row>
    <row r="771">
      <c r="A771" s="6">
        <f>IFERROR(__xludf.DUMMYFUNCTION("""COMPUTED_VALUE"""),1037.0)</f>
        <v>1037</v>
      </c>
      <c r="B771" s="53" t="str">
        <f>IFERROR(__xludf.DUMMYFUNCTION("""COMPUTED_VALUE"""),"Valid Boomerang")</f>
        <v>Valid Boomerang</v>
      </c>
      <c r="C771" s="6" t="str">
        <f>IFERROR(__xludf.DUMMYFUNCTION("""COMPUTED_VALUE"""),"Easy")</f>
        <v>Easy</v>
      </c>
      <c r="D771" s="6" t="str">
        <f>IFERROR(__xludf.DUMMYFUNCTION("""COMPUTED_VALUE"""),"Math")</f>
        <v>Math</v>
      </c>
      <c r="E771" s="6" t="str">
        <f>IFERROR(__xludf.DUMMYFUNCTION("""COMPUTED_VALUE"""),"Google")</f>
        <v>Google</v>
      </c>
      <c r="F771" s="6"/>
      <c r="G771" s="6"/>
      <c r="H771" s="6" t="str">
        <f>IFERROR(__xludf.DUMMYFUNCTION("""COMPUTED_VALUE"""),"Google")</f>
        <v>Google</v>
      </c>
      <c r="I771" s="6">
        <f>IFERROR(__xludf.DUMMYFUNCTION("""COMPUTED_VALUE"""),37.76)</f>
        <v>37.76</v>
      </c>
      <c r="J771" s="6" t="str">
        <f>IFERROR(__xludf.DUMMYFUNCTION("""COMPUTED_VALUE"""),"算法")</f>
        <v>算法</v>
      </c>
    </row>
    <row r="772">
      <c r="A772" s="6">
        <f>IFERROR(__xludf.DUMMYFUNCTION("""COMPUTED_VALUE"""),1041.0)</f>
        <v>1041</v>
      </c>
      <c r="B772" s="53" t="str">
        <f>IFERROR(__xludf.DUMMYFUNCTION("""COMPUTED_VALUE"""),"Robot Bounded In Circle")</f>
        <v>Robot Bounded In Circle</v>
      </c>
      <c r="C772" s="6" t="str">
        <f>IFERROR(__xludf.DUMMYFUNCTION("""COMPUTED_VALUE"""),"Medium")</f>
        <v>Medium</v>
      </c>
      <c r="D772" s="6" t="str">
        <f>IFERROR(__xludf.DUMMYFUNCTION("""COMPUTED_VALUE"""),"Math")</f>
        <v>Math</v>
      </c>
      <c r="E772" s="6" t="str">
        <f>IFERROR(__xludf.DUMMYFUNCTION("""COMPUTED_VALUE"""),"Expedia,Adobe,Amazon,LinkedIn,Goldman Sachs,Google,Qualtrics,Paypal,Twitter,Airbnb")</f>
        <v>Expedia,Adobe,Amazon,LinkedIn,Goldman Sachs,Google,Qualtrics,Paypal,Twitter,Airbnb</v>
      </c>
      <c r="F772" s="6" t="str">
        <f>IFERROR(__xludf.DUMMYFUNCTION("""COMPUTED_VALUE"""),"Amazon,Goldman Sachs,Google,Expedia")</f>
        <v>Amazon,Goldman Sachs,Google,Expedia</v>
      </c>
      <c r="G772" s="6" t="str">
        <f>IFERROR(__xludf.DUMMYFUNCTION("""COMPUTED_VALUE"""),"Adobe,Amazon,Goldman Sachs,Google,Expedia")</f>
        <v>Adobe,Amazon,Goldman Sachs,Google,Expedia</v>
      </c>
      <c r="H772" s="6" t="str">
        <f>IFERROR(__xludf.DUMMYFUNCTION("""COMPUTED_VALUE"""),"Paypal,Qualtrics,Twitter,LinkedIn,Airbnb,Adobe,Amazon,Goldman Sachs,Google,Expedia")</f>
        <v>Paypal,Qualtrics,Twitter,LinkedIn,Airbnb,Adobe,Amazon,Goldman Sachs,Google,Expedia</v>
      </c>
      <c r="I772" s="6">
        <f>IFERROR(__xludf.DUMMYFUNCTION("""COMPUTED_VALUE"""),55.08)</f>
        <v>55.08</v>
      </c>
      <c r="J772" s="6" t="str">
        <f>IFERROR(__xludf.DUMMYFUNCTION("""COMPUTED_VALUE"""),"算法")</f>
        <v>算法</v>
      </c>
    </row>
    <row r="773">
      <c r="A773" s="6">
        <f>IFERROR(__xludf.DUMMYFUNCTION("""COMPUTED_VALUE"""),1044.0)</f>
        <v>1044</v>
      </c>
      <c r="B773" s="53" t="str">
        <f>IFERROR(__xludf.DUMMYFUNCTION("""COMPUTED_VALUE"""),"Longest Duplicate Substring")</f>
        <v>Longest Duplicate Substring</v>
      </c>
      <c r="C773" s="6" t="str">
        <f>IFERROR(__xludf.DUMMYFUNCTION("""COMPUTED_VALUE"""),"Hard")</f>
        <v>Hard</v>
      </c>
      <c r="D773" s="6" t="str">
        <f>IFERROR(__xludf.DUMMYFUNCTION("""COMPUTED_VALUE"""),"Suffix Array,Binary Search,Hash Table")</f>
        <v>Suffix Array,Binary Search,Hash Table</v>
      </c>
      <c r="E773" s="6" t="str">
        <f>IFERROR(__xludf.DUMMYFUNCTION("""COMPUTED_VALUE"""),"Google,Oracle,Apple,Amazon,Microsoft")</f>
        <v>Google,Oracle,Apple,Amazon,Microsoft</v>
      </c>
      <c r="F773" s="6"/>
      <c r="G773" s="6" t="str">
        <f>IFERROR(__xludf.DUMMYFUNCTION("""COMPUTED_VALUE"""),"Microsoft,Google")</f>
        <v>Microsoft,Google</v>
      </c>
      <c r="H773" s="6" t="str">
        <f>IFERROR(__xludf.DUMMYFUNCTION("""COMPUTED_VALUE"""),"Amazon,Oracle,Apple,Microsoft,Google")</f>
        <v>Amazon,Oracle,Apple,Microsoft,Google</v>
      </c>
      <c r="I773" s="6">
        <f>IFERROR(__xludf.DUMMYFUNCTION("""COMPUTED_VALUE"""),31.4)</f>
        <v>31.4</v>
      </c>
      <c r="J773" s="6" t="str">
        <f>IFERROR(__xludf.DUMMYFUNCTION("""COMPUTED_VALUE"""),"算法")</f>
        <v>算法</v>
      </c>
    </row>
    <row r="774">
      <c r="A774" s="6">
        <f>IFERROR(__xludf.DUMMYFUNCTION("""COMPUTED_VALUE"""),1046.0)</f>
        <v>1046</v>
      </c>
      <c r="B774" s="53" t="str">
        <f>IFERROR(__xludf.DUMMYFUNCTION("""COMPUTED_VALUE"""),"Last Stone Weight")</f>
        <v>Last Stone Weight</v>
      </c>
      <c r="C774" s="6" t="str">
        <f>IFERROR(__xludf.DUMMYFUNCTION("""COMPUTED_VALUE"""),"Easy")</f>
        <v>Easy</v>
      </c>
      <c r="D774" s="6" t="str">
        <f>IFERROR(__xludf.DUMMYFUNCTION("""COMPUTED_VALUE"""),"Greedy,Heap")</f>
        <v>Greedy,Heap</v>
      </c>
      <c r="E774" s="6" t="str">
        <f>IFERROR(__xludf.DUMMYFUNCTION("""COMPUTED_VALUE"""),"Google,Amazon")</f>
        <v>Google,Amazon</v>
      </c>
      <c r="F774" s="6"/>
      <c r="G774" s="6" t="str">
        <f>IFERROR(__xludf.DUMMYFUNCTION("""COMPUTED_VALUE"""),"Amazon")</f>
        <v>Amazon</v>
      </c>
      <c r="H774" s="6" t="str">
        <f>IFERROR(__xludf.DUMMYFUNCTION("""COMPUTED_VALUE"""),"Google,Amazon")</f>
        <v>Google,Amazon</v>
      </c>
      <c r="I774" s="6">
        <f>IFERROR(__xludf.DUMMYFUNCTION("""COMPUTED_VALUE"""),62.44)</f>
        <v>62.44</v>
      </c>
      <c r="J774" s="6" t="str">
        <f>IFERROR(__xludf.DUMMYFUNCTION("""COMPUTED_VALUE"""),"算法")</f>
        <v>算法</v>
      </c>
    </row>
    <row r="775">
      <c r="A775" s="6">
        <f>IFERROR(__xludf.DUMMYFUNCTION("""COMPUTED_VALUE"""),1047.0)</f>
        <v>1047</v>
      </c>
      <c r="B775" s="53" t="str">
        <f>IFERROR(__xludf.DUMMYFUNCTION("""COMPUTED_VALUE"""),"Remove All Adjacent Duplicates In String")</f>
        <v>Remove All Adjacent Duplicates In String</v>
      </c>
      <c r="C775" s="6" t="str">
        <f>IFERROR(__xludf.DUMMYFUNCTION("""COMPUTED_VALUE"""),"Easy")</f>
        <v>Easy</v>
      </c>
      <c r="D775" s="6" t="str">
        <f>IFERROR(__xludf.DUMMYFUNCTION("""COMPUTED_VALUE"""),"Stack")</f>
        <v>Stack</v>
      </c>
      <c r="E775" s="6" t="str">
        <f>IFERROR(__xludf.DUMMYFUNCTION("""COMPUTED_VALUE"""),"ByteDance,Nvidia,Cisco,Microsoft,PayTM,Paypal,Oracle,Bloomberg,Facebook,Amazon,Google")</f>
        <v>ByteDance,Nvidia,Cisco,Microsoft,PayTM,Paypal,Oracle,Bloomberg,Facebook,Amazon,Google</v>
      </c>
      <c r="F775" s="6" t="str">
        <f>IFERROR(__xludf.DUMMYFUNCTION("""COMPUTED_VALUE"""),"Facebook,Oracle,Amazon,Bloomberg")</f>
        <v>Facebook,Oracle,Amazon,Bloomberg</v>
      </c>
      <c r="G775" s="6" t="str">
        <f>IFERROR(__xludf.DUMMYFUNCTION("""COMPUTED_VALUE"""),"Google,Nvidia,ByteDance,Facebook,Oracle,Amazon,Bloomberg")</f>
        <v>Google,Nvidia,ByteDance,Facebook,Oracle,Amazon,Bloomberg</v>
      </c>
      <c r="H775" s="6" t="str">
        <f>IFERROR(__xludf.DUMMYFUNCTION("""COMPUTED_VALUE"""),"Microsoft,Paypal,Cisco,PayTM,Google,Nvidia,ByteDance,Facebook,Oracle,Amazon,Bloomberg")</f>
        <v>Microsoft,Paypal,Cisco,PayTM,Google,Nvidia,ByteDance,Facebook,Oracle,Amazon,Bloomberg</v>
      </c>
      <c r="I775" s="6">
        <f>IFERROR(__xludf.DUMMYFUNCTION("""COMPUTED_VALUE"""),70.98)</f>
        <v>70.98</v>
      </c>
      <c r="J775" s="6" t="str">
        <f>IFERROR(__xludf.DUMMYFUNCTION("""COMPUTED_VALUE"""),"算法")</f>
        <v>算法</v>
      </c>
    </row>
    <row r="776">
      <c r="A776" s="6">
        <f>IFERROR(__xludf.DUMMYFUNCTION("""COMPUTED_VALUE"""),1048.0)</f>
        <v>1048</v>
      </c>
      <c r="B776" s="53" t="str">
        <f>IFERROR(__xludf.DUMMYFUNCTION("""COMPUTED_VALUE"""),"Longest String Chain")</f>
        <v>Longest String Chain</v>
      </c>
      <c r="C776" s="6" t="str">
        <f>IFERROR(__xludf.DUMMYFUNCTION("""COMPUTED_VALUE"""),"Medium")</f>
        <v>Medium</v>
      </c>
      <c r="D776" s="6" t="str">
        <f>IFERROR(__xludf.DUMMYFUNCTION("""COMPUTED_VALUE"""),"Dynamic Programming,Hash Table")</f>
        <v>Dynamic Programming,Hash Table</v>
      </c>
      <c r="E776" s="6" t="str">
        <f>IFERROR(__xludf.DUMMYFUNCTION("""COMPUTED_VALUE"""),"Akuna Capital,Two Sigma,VMware,Citadel,SAP,Amazon,Google")</f>
        <v>Akuna Capital,Two Sigma,VMware,Citadel,SAP,Amazon,Google</v>
      </c>
      <c r="F776" s="6" t="str">
        <f>IFERROR(__xludf.DUMMYFUNCTION("""COMPUTED_VALUE"""),"Two Sigma,Google")</f>
        <v>Two Sigma,Google</v>
      </c>
      <c r="G776" s="6" t="str">
        <f>IFERROR(__xludf.DUMMYFUNCTION("""COMPUTED_VALUE"""),"Citadel,VMware,Amazon,Two Sigma,Google")</f>
        <v>Citadel,VMware,Amazon,Two Sigma,Google</v>
      </c>
      <c r="H776" s="6" t="str">
        <f>IFERROR(__xludf.DUMMYFUNCTION("""COMPUTED_VALUE"""),"Akuna Capital,SAP,Citadel,VMware,Amazon,Two Sigma,Google")</f>
        <v>Akuna Capital,SAP,Citadel,VMware,Amazon,Two Sigma,Google</v>
      </c>
      <c r="I776" s="6">
        <f>IFERROR(__xludf.DUMMYFUNCTION("""COMPUTED_VALUE"""),55.54)</f>
        <v>55.54</v>
      </c>
      <c r="J776" s="6" t="str">
        <f>IFERROR(__xludf.DUMMYFUNCTION("""COMPUTED_VALUE"""),"算法")</f>
        <v>算法</v>
      </c>
    </row>
    <row r="777">
      <c r="A777" s="6">
        <f>IFERROR(__xludf.DUMMYFUNCTION("""COMPUTED_VALUE"""),1051.0)</f>
        <v>1051</v>
      </c>
      <c r="B777" s="53" t="str">
        <f>IFERROR(__xludf.DUMMYFUNCTION("""COMPUTED_VALUE"""),"Height Checker")</f>
        <v>Height Checker</v>
      </c>
      <c r="C777" s="6" t="str">
        <f>IFERROR(__xludf.DUMMYFUNCTION("""COMPUTED_VALUE"""),"Easy")</f>
        <v>Easy</v>
      </c>
      <c r="D777" s="6" t="str">
        <f>IFERROR(__xludf.DUMMYFUNCTION("""COMPUTED_VALUE"""),"Array")</f>
        <v>Array</v>
      </c>
      <c r="E777" s="6" t="str">
        <f>IFERROR(__xludf.DUMMYFUNCTION("""COMPUTED_VALUE"""),"Adobe,Goldman Sachs,Salesforce,Amazon,Google")</f>
        <v>Adobe,Goldman Sachs,Salesforce,Amazon,Google</v>
      </c>
      <c r="F777" s="6" t="str">
        <f>IFERROR(__xludf.DUMMYFUNCTION("""COMPUTED_VALUE"""),"Goldman Sachs")</f>
        <v>Goldman Sachs</v>
      </c>
      <c r="G777" s="6" t="str">
        <f>IFERROR(__xludf.DUMMYFUNCTION("""COMPUTED_VALUE"""),"Goldman Sachs")</f>
        <v>Goldman Sachs</v>
      </c>
      <c r="H777" s="6" t="str">
        <f>IFERROR(__xludf.DUMMYFUNCTION("""COMPUTED_VALUE"""),"Amazon,Google,Adobe,Salesforce,Goldman Sachs")</f>
        <v>Amazon,Google,Adobe,Salesforce,Goldman Sachs</v>
      </c>
      <c r="I777" s="6">
        <f>IFERROR(__xludf.DUMMYFUNCTION("""COMPUTED_VALUE"""),72.11)</f>
        <v>72.11</v>
      </c>
      <c r="J777" s="6" t="str">
        <f>IFERROR(__xludf.DUMMYFUNCTION("""COMPUTED_VALUE"""),"算法")</f>
        <v>算法</v>
      </c>
    </row>
    <row r="778">
      <c r="A778" s="6">
        <f>IFERROR(__xludf.DUMMYFUNCTION("""COMPUTED_VALUE"""),1055.0)</f>
        <v>1055</v>
      </c>
      <c r="B778" s="53" t="str">
        <f>IFERROR(__xludf.DUMMYFUNCTION("""COMPUTED_VALUE"""),"Shortest Way to Form String")</f>
        <v>Shortest Way to Form String</v>
      </c>
      <c r="C778" s="6" t="str">
        <f>IFERROR(__xludf.DUMMYFUNCTION("""COMPUTED_VALUE"""),"Medium")</f>
        <v>Medium</v>
      </c>
      <c r="D778" s="6" t="str">
        <f>IFERROR(__xludf.DUMMYFUNCTION("""COMPUTED_VALUE"""),"Greedy,Dynamic Programming")</f>
        <v>Greedy,Dynamic Programming</v>
      </c>
      <c r="E778" s="6" t="str">
        <f>IFERROR(__xludf.DUMMYFUNCTION("""COMPUTED_VALUE"""),"Facebook,Google")</f>
        <v>Facebook,Google</v>
      </c>
      <c r="F778" s="6"/>
      <c r="G778" s="6" t="str">
        <f>IFERROR(__xludf.DUMMYFUNCTION("""COMPUTED_VALUE"""),"Facebook")</f>
        <v>Facebook</v>
      </c>
      <c r="H778" s="6" t="str">
        <f>IFERROR(__xludf.DUMMYFUNCTION("""COMPUTED_VALUE"""),"Google,Facebook")</f>
        <v>Google,Facebook</v>
      </c>
      <c r="I778" s="6">
        <f>IFERROR(__xludf.DUMMYFUNCTION("""COMPUTED_VALUE"""),57.22)</f>
        <v>57.22</v>
      </c>
      <c r="J778" s="6" t="str">
        <f>IFERROR(__xludf.DUMMYFUNCTION("""COMPUTED_VALUE"""),"算法")</f>
        <v>算法</v>
      </c>
    </row>
    <row r="779">
      <c r="A779" s="6">
        <f>IFERROR(__xludf.DUMMYFUNCTION("""COMPUTED_VALUE"""),1056.0)</f>
        <v>1056</v>
      </c>
      <c r="B779" s="53" t="str">
        <f>IFERROR(__xludf.DUMMYFUNCTION("""COMPUTED_VALUE"""),"Confusing Number")</f>
        <v>Confusing Number</v>
      </c>
      <c r="C779" s="6" t="str">
        <f>IFERROR(__xludf.DUMMYFUNCTION("""COMPUTED_VALUE"""),"Easy")</f>
        <v>Easy</v>
      </c>
      <c r="D779" s="6" t="str">
        <f>IFERROR(__xludf.DUMMYFUNCTION("""COMPUTED_VALUE"""),"Math")</f>
        <v>Math</v>
      </c>
      <c r="E779" s="6" t="str">
        <f>IFERROR(__xludf.DUMMYFUNCTION("""COMPUTED_VALUE"""),"Google")</f>
        <v>Google</v>
      </c>
      <c r="F779" s="6"/>
      <c r="G779" s="6"/>
      <c r="H779" s="6" t="str">
        <f>IFERROR(__xludf.DUMMYFUNCTION("""COMPUTED_VALUE"""),"Google")</f>
        <v>Google</v>
      </c>
      <c r="I779" s="6">
        <f>IFERROR(__xludf.DUMMYFUNCTION("""COMPUTED_VALUE"""),47.01)</f>
        <v>47.01</v>
      </c>
      <c r="J779" s="6" t="str">
        <f>IFERROR(__xludf.DUMMYFUNCTION("""COMPUTED_VALUE"""),"算法")</f>
        <v>算法</v>
      </c>
    </row>
    <row r="780">
      <c r="A780" s="6">
        <f>IFERROR(__xludf.DUMMYFUNCTION("""COMPUTED_VALUE"""),1057.0)</f>
        <v>1057</v>
      </c>
      <c r="B780" s="53" t="str">
        <f>IFERROR(__xludf.DUMMYFUNCTION("""COMPUTED_VALUE"""),"Campus Bikes")</f>
        <v>Campus Bikes</v>
      </c>
      <c r="C780" s="6" t="str">
        <f>IFERROR(__xludf.DUMMYFUNCTION("""COMPUTED_VALUE"""),"Medium")</f>
        <v>Medium</v>
      </c>
      <c r="D780" s="6" t="str">
        <f>IFERROR(__xludf.DUMMYFUNCTION("""COMPUTED_VALUE"""),"Sort,Greedy")</f>
        <v>Sort,Greedy</v>
      </c>
      <c r="E780" s="6" t="str">
        <f>IFERROR(__xludf.DUMMYFUNCTION("""COMPUTED_VALUE"""),"ByteDance,Facebook,Amazon,Google")</f>
        <v>ByteDance,Facebook,Amazon,Google</v>
      </c>
      <c r="F780" s="6" t="str">
        <f>IFERROR(__xludf.DUMMYFUNCTION("""COMPUTED_VALUE"""),"Google,Amazon,ByteDance")</f>
        <v>Google,Amazon,ByteDance</v>
      </c>
      <c r="G780" s="6" t="str">
        <f>IFERROR(__xludf.DUMMYFUNCTION("""COMPUTED_VALUE"""),"Google,Amazon,ByteDance")</f>
        <v>Google,Amazon,ByteDance</v>
      </c>
      <c r="H780" s="6" t="str">
        <f>IFERROR(__xludf.DUMMYFUNCTION("""COMPUTED_VALUE"""),"Facebook,Google,Amazon,ByteDance")</f>
        <v>Facebook,Google,Amazon,ByteDance</v>
      </c>
      <c r="I780" s="6">
        <f>IFERROR(__xludf.DUMMYFUNCTION("""COMPUTED_VALUE"""),57.8)</f>
        <v>57.8</v>
      </c>
      <c r="J780" s="6" t="str">
        <f>IFERROR(__xludf.DUMMYFUNCTION("""COMPUTED_VALUE"""),"算法")</f>
        <v>算法</v>
      </c>
    </row>
    <row r="781">
      <c r="A781" s="6">
        <f>IFERROR(__xludf.DUMMYFUNCTION("""COMPUTED_VALUE"""),1059.0)</f>
        <v>1059</v>
      </c>
      <c r="B781" s="53" t="str">
        <f>IFERROR(__xludf.DUMMYFUNCTION("""COMPUTED_VALUE"""),"All Paths from Source Lead to Destination")</f>
        <v>All Paths from Source Lead to Destination</v>
      </c>
      <c r="C781" s="6" t="str">
        <f>IFERROR(__xludf.DUMMYFUNCTION("""COMPUTED_VALUE"""),"Medium")</f>
        <v>Medium</v>
      </c>
      <c r="D781" s="6" t="str">
        <f>IFERROR(__xludf.DUMMYFUNCTION("""COMPUTED_VALUE"""),"Graph,Depth First Search")</f>
        <v>Graph,Depth First Search</v>
      </c>
      <c r="E781" s="6" t="str">
        <f>IFERROR(__xludf.DUMMYFUNCTION("""COMPUTED_VALUE"""),"Bloomberg,Amazon,Google")</f>
        <v>Bloomberg,Amazon,Google</v>
      </c>
      <c r="F781" s="6" t="str">
        <f>IFERROR(__xludf.DUMMYFUNCTION("""COMPUTED_VALUE"""),"Bloomberg")</f>
        <v>Bloomberg</v>
      </c>
      <c r="G781" s="6" t="str">
        <f>IFERROR(__xludf.DUMMYFUNCTION("""COMPUTED_VALUE"""),"Amazon,Bloomberg")</f>
        <v>Amazon,Bloomberg</v>
      </c>
      <c r="H781" s="6" t="str">
        <f>IFERROR(__xludf.DUMMYFUNCTION("""COMPUTED_VALUE"""),"Google,Amazon,Bloomberg")</f>
        <v>Google,Amazon,Bloomberg</v>
      </c>
      <c r="I781" s="6">
        <f>IFERROR(__xludf.DUMMYFUNCTION("""COMPUTED_VALUE"""),42.93)</f>
        <v>42.93</v>
      </c>
      <c r="J781" s="6" t="str">
        <f>IFERROR(__xludf.DUMMYFUNCTION("""COMPUTED_VALUE"""),"算法")</f>
        <v>算法</v>
      </c>
    </row>
    <row r="782">
      <c r="A782" s="6">
        <f>IFERROR(__xludf.DUMMYFUNCTION("""COMPUTED_VALUE"""),1060.0)</f>
        <v>1060</v>
      </c>
      <c r="B782" s="53" t="str">
        <f>IFERROR(__xludf.DUMMYFUNCTION("""COMPUTED_VALUE"""),"Missing Element in Sorted Array")</f>
        <v>Missing Element in Sorted Array</v>
      </c>
      <c r="C782" s="6" t="str">
        <f>IFERROR(__xludf.DUMMYFUNCTION("""COMPUTED_VALUE"""),"Medium")</f>
        <v>Medium</v>
      </c>
      <c r="D782" s="6" t="str">
        <f>IFERROR(__xludf.DUMMYFUNCTION("""COMPUTED_VALUE"""),"Binary Search")</f>
        <v>Binary Search</v>
      </c>
      <c r="E782" s="6" t="str">
        <f>IFERROR(__xludf.DUMMYFUNCTION("""COMPUTED_VALUE"""),"Microsoft,Lyft,Apple,Bloomberg,Facebook,Amazon,Google")</f>
        <v>Microsoft,Lyft,Apple,Bloomberg,Facebook,Amazon,Google</v>
      </c>
      <c r="F782" s="6" t="str">
        <f>IFERROR(__xludf.DUMMYFUNCTION("""COMPUTED_VALUE"""),"Bloomberg,Facebook")</f>
        <v>Bloomberg,Facebook</v>
      </c>
      <c r="G782" s="6" t="str">
        <f>IFERROR(__xludf.DUMMYFUNCTION("""COMPUTED_VALUE"""),"Google,Apple,Bloomberg,Facebook")</f>
        <v>Google,Apple,Bloomberg,Facebook</v>
      </c>
      <c r="H782" s="6" t="str">
        <f>IFERROR(__xludf.DUMMYFUNCTION("""COMPUTED_VALUE"""),"Amazon,Microsoft,Lyft,Google,Apple,Bloomberg,Facebook")</f>
        <v>Amazon,Microsoft,Lyft,Google,Apple,Bloomberg,Facebook</v>
      </c>
      <c r="I782" s="6">
        <f>IFERROR(__xludf.DUMMYFUNCTION("""COMPUTED_VALUE"""),54.77)</f>
        <v>54.77</v>
      </c>
      <c r="J782" s="6" t="str">
        <f>IFERROR(__xludf.DUMMYFUNCTION("""COMPUTED_VALUE"""),"算法")</f>
        <v>算法</v>
      </c>
    </row>
    <row r="783">
      <c r="A783" s="6">
        <f>IFERROR(__xludf.DUMMYFUNCTION("""COMPUTED_VALUE"""),1062.0)</f>
        <v>1062</v>
      </c>
      <c r="B783" s="53" t="str">
        <f>IFERROR(__xludf.DUMMYFUNCTION("""COMPUTED_VALUE"""),"Longest Repeating Substring")</f>
        <v>Longest Repeating Substring</v>
      </c>
      <c r="C783" s="6" t="str">
        <f>IFERROR(__xludf.DUMMYFUNCTION("""COMPUTED_VALUE"""),"Medium")</f>
        <v>Medium</v>
      </c>
      <c r="D783" s="6" t="str">
        <f>IFERROR(__xludf.DUMMYFUNCTION("""COMPUTED_VALUE"""),"String")</f>
        <v>String</v>
      </c>
      <c r="E783" s="6" t="str">
        <f>IFERROR(__xludf.DUMMYFUNCTION("""COMPUTED_VALUE"""),"Facebook,Amazon,Microsoft,Google")</f>
        <v>Facebook,Amazon,Microsoft,Google</v>
      </c>
      <c r="F783" s="6"/>
      <c r="G783" s="6" t="str">
        <f>IFERROR(__xludf.DUMMYFUNCTION("""COMPUTED_VALUE"""),"Google,Facebook")</f>
        <v>Google,Facebook</v>
      </c>
      <c r="H783" s="6" t="str">
        <f>IFERROR(__xludf.DUMMYFUNCTION("""COMPUTED_VALUE"""),"Amazon,Microsoft,Google,Facebook")</f>
        <v>Amazon,Microsoft,Google,Facebook</v>
      </c>
      <c r="I783" s="6">
        <f>IFERROR(__xludf.DUMMYFUNCTION("""COMPUTED_VALUE"""),58.35)</f>
        <v>58.35</v>
      </c>
      <c r="J783" s="6" t="str">
        <f>IFERROR(__xludf.DUMMYFUNCTION("""COMPUTED_VALUE"""),"算法")</f>
        <v>算法</v>
      </c>
    </row>
    <row r="784">
      <c r="A784" s="6">
        <f>IFERROR(__xludf.DUMMYFUNCTION("""COMPUTED_VALUE"""),1066.0)</f>
        <v>1066</v>
      </c>
      <c r="B784" s="53" t="str">
        <f>IFERROR(__xludf.DUMMYFUNCTION("""COMPUTED_VALUE"""),"Campus Bikes II")</f>
        <v>Campus Bikes II</v>
      </c>
      <c r="C784" s="6" t="str">
        <f>IFERROR(__xludf.DUMMYFUNCTION("""COMPUTED_VALUE"""),"Medium")</f>
        <v>Medium</v>
      </c>
      <c r="D784" s="6" t="str">
        <f>IFERROR(__xludf.DUMMYFUNCTION("""COMPUTED_VALUE"""),"Backtracking,Dynamic Programming")</f>
        <v>Backtracking,Dynamic Programming</v>
      </c>
      <c r="E784" s="6" t="str">
        <f>IFERROR(__xludf.DUMMYFUNCTION("""COMPUTED_VALUE"""),"Amazon,Google")</f>
        <v>Amazon,Google</v>
      </c>
      <c r="F784" s="6" t="str">
        <f>IFERROR(__xludf.DUMMYFUNCTION("""COMPUTED_VALUE"""),"Google")</f>
        <v>Google</v>
      </c>
      <c r="G784" s="6" t="str">
        <f>IFERROR(__xludf.DUMMYFUNCTION("""COMPUTED_VALUE"""),"Google")</f>
        <v>Google</v>
      </c>
      <c r="H784" s="6" t="str">
        <f>IFERROR(__xludf.DUMMYFUNCTION("""COMPUTED_VALUE"""),"Amazon,Google")</f>
        <v>Amazon,Google</v>
      </c>
      <c r="I784" s="6">
        <f>IFERROR(__xludf.DUMMYFUNCTION("""COMPUTED_VALUE"""),54.18)</f>
        <v>54.18</v>
      </c>
      <c r="J784" s="6" t="str">
        <f>IFERROR(__xludf.DUMMYFUNCTION("""COMPUTED_VALUE"""),"算法")</f>
        <v>算法</v>
      </c>
    </row>
    <row r="785">
      <c r="A785" s="6">
        <f>IFERROR(__xludf.DUMMYFUNCTION("""COMPUTED_VALUE"""),1074.0)</f>
        <v>1074</v>
      </c>
      <c r="B785" s="53" t="str">
        <f>IFERROR(__xludf.DUMMYFUNCTION("""COMPUTED_VALUE"""),"Number of Submatrices That Sum to Target")</f>
        <v>Number of Submatrices That Sum to Target</v>
      </c>
      <c r="C785" s="6" t="str">
        <f>IFERROR(__xludf.DUMMYFUNCTION("""COMPUTED_VALUE"""),"Hard")</f>
        <v>Hard</v>
      </c>
      <c r="D785" s="6" t="str">
        <f>IFERROR(__xludf.DUMMYFUNCTION("""COMPUTED_VALUE"""),"Sliding Window,Dynamic Programming,Array")</f>
        <v>Sliding Window,Dynamic Programming,Array</v>
      </c>
      <c r="E785" s="6" t="str">
        <f>IFERROR(__xludf.DUMMYFUNCTION("""COMPUTED_VALUE"""),"Facebook,Amazon,Google")</f>
        <v>Facebook,Amazon,Google</v>
      </c>
      <c r="F785" s="6" t="str">
        <f>IFERROR(__xludf.DUMMYFUNCTION("""COMPUTED_VALUE"""),"Google")</f>
        <v>Google</v>
      </c>
      <c r="G785" s="6" t="str">
        <f>IFERROR(__xludf.DUMMYFUNCTION("""COMPUTED_VALUE"""),"Google")</f>
        <v>Google</v>
      </c>
      <c r="H785" s="6" t="str">
        <f>IFERROR(__xludf.DUMMYFUNCTION("""COMPUTED_VALUE"""),"Amazon,Facebook,Google")</f>
        <v>Amazon,Facebook,Google</v>
      </c>
      <c r="I785" s="6">
        <f>IFERROR(__xludf.DUMMYFUNCTION("""COMPUTED_VALUE"""),61.89)</f>
        <v>61.89</v>
      </c>
      <c r="J785" s="6" t="str">
        <f>IFERROR(__xludf.DUMMYFUNCTION("""COMPUTED_VALUE"""),"算法")</f>
        <v>算法</v>
      </c>
    </row>
    <row r="786">
      <c r="A786" s="6">
        <f>IFERROR(__xludf.DUMMYFUNCTION("""COMPUTED_VALUE"""),1078.0)</f>
        <v>1078</v>
      </c>
      <c r="B786" s="53" t="str">
        <f>IFERROR(__xludf.DUMMYFUNCTION("""COMPUTED_VALUE"""),"Occurrences After Bigram")</f>
        <v>Occurrences After Bigram</v>
      </c>
      <c r="C786" s="6" t="str">
        <f>IFERROR(__xludf.DUMMYFUNCTION("""COMPUTED_VALUE"""),"Easy")</f>
        <v>Easy</v>
      </c>
      <c r="D786" s="6" t="str">
        <f>IFERROR(__xludf.DUMMYFUNCTION("""COMPUTED_VALUE"""),"Hash Table")</f>
        <v>Hash Table</v>
      </c>
      <c r="E786" s="6" t="str">
        <f>IFERROR(__xludf.DUMMYFUNCTION("""COMPUTED_VALUE"""),"Google")</f>
        <v>Google</v>
      </c>
      <c r="F786" s="6"/>
      <c r="G786" s="6"/>
      <c r="H786" s="6" t="str">
        <f>IFERROR(__xludf.DUMMYFUNCTION("""COMPUTED_VALUE"""),"Google")</f>
        <v>Google</v>
      </c>
      <c r="I786" s="6">
        <f>IFERROR(__xludf.DUMMYFUNCTION("""COMPUTED_VALUE"""),64.93)</f>
        <v>64.93</v>
      </c>
      <c r="J786" s="6" t="str">
        <f>IFERROR(__xludf.DUMMYFUNCTION("""COMPUTED_VALUE"""),"算法")</f>
        <v>算法</v>
      </c>
    </row>
    <row r="787">
      <c r="A787" s="6">
        <f>IFERROR(__xludf.DUMMYFUNCTION("""COMPUTED_VALUE"""),1079.0)</f>
        <v>1079</v>
      </c>
      <c r="B787" s="53" t="str">
        <f>IFERROR(__xludf.DUMMYFUNCTION("""COMPUTED_VALUE"""),"Letter Tile Possibilities")</f>
        <v>Letter Tile Possibilities</v>
      </c>
      <c r="C787" s="6" t="str">
        <f>IFERROR(__xludf.DUMMYFUNCTION("""COMPUTED_VALUE"""),"Medium")</f>
        <v>Medium</v>
      </c>
      <c r="D787" s="6" t="str">
        <f>IFERROR(__xludf.DUMMYFUNCTION("""COMPUTED_VALUE"""),"Backtracking")</f>
        <v>Backtracking</v>
      </c>
      <c r="E787" s="6" t="str">
        <f>IFERROR(__xludf.DUMMYFUNCTION("""COMPUTED_VALUE"""),"Bloomberg,Microsoft,Google")</f>
        <v>Bloomberg,Microsoft,Google</v>
      </c>
      <c r="F787" s="6"/>
      <c r="G787" s="6" t="str">
        <f>IFERROR(__xludf.DUMMYFUNCTION("""COMPUTED_VALUE"""),"Microsoft")</f>
        <v>Microsoft</v>
      </c>
      <c r="H787" s="6" t="str">
        <f>IFERROR(__xludf.DUMMYFUNCTION("""COMPUTED_VALUE"""),"Bloomberg,Google,Microsoft")</f>
        <v>Bloomberg,Google,Microsoft</v>
      </c>
      <c r="I787" s="6">
        <f>IFERROR(__xludf.DUMMYFUNCTION("""COMPUTED_VALUE"""),75.91)</f>
        <v>75.91</v>
      </c>
      <c r="J787" s="6" t="str">
        <f>IFERROR(__xludf.DUMMYFUNCTION("""COMPUTED_VALUE"""),"算法")</f>
        <v>算法</v>
      </c>
    </row>
    <row r="788">
      <c r="A788" s="6">
        <f>IFERROR(__xludf.DUMMYFUNCTION("""COMPUTED_VALUE"""),1081.0)</f>
        <v>1081</v>
      </c>
      <c r="B788" s="53" t="str">
        <f>IFERROR(__xludf.DUMMYFUNCTION("""COMPUTED_VALUE"""),"Smallest Subsequence of Distinct Characters")</f>
        <v>Smallest Subsequence of Distinct Characters</v>
      </c>
      <c r="C788" s="6" t="str">
        <f>IFERROR(__xludf.DUMMYFUNCTION("""COMPUTED_VALUE"""),"Medium")</f>
        <v>Medium</v>
      </c>
      <c r="D788" s="6" t="str">
        <f>IFERROR(__xludf.DUMMYFUNCTION("""COMPUTED_VALUE"""),"Greedy,Stack,String")</f>
        <v>Greedy,Stack,String</v>
      </c>
      <c r="E788" s="6" t="str">
        <f>IFERROR(__xludf.DUMMYFUNCTION("""COMPUTED_VALUE"""),"ByteDance,Amazon,Google,FactSet")</f>
        <v>ByteDance,Amazon,Google,FactSet</v>
      </c>
      <c r="F788" s="6"/>
      <c r="G788" s="6"/>
      <c r="H788" s="6" t="str">
        <f>IFERROR(__xludf.DUMMYFUNCTION("""COMPUTED_VALUE"""),"Amazon,FactSet,Google,ByteDance")</f>
        <v>Amazon,FactSet,Google,ByteDance</v>
      </c>
      <c r="I788" s="6">
        <f>IFERROR(__xludf.DUMMYFUNCTION("""COMPUTED_VALUE"""),53.52)</f>
        <v>53.52</v>
      </c>
      <c r="J788" s="6" t="str">
        <f>IFERROR(__xludf.DUMMYFUNCTION("""COMPUTED_VALUE"""),"算法")</f>
        <v>算法</v>
      </c>
    </row>
    <row r="789">
      <c r="A789" s="6">
        <f>IFERROR(__xludf.DUMMYFUNCTION("""COMPUTED_VALUE"""),1087.0)</f>
        <v>1087</v>
      </c>
      <c r="B789" s="53" t="str">
        <f>IFERROR(__xludf.DUMMYFUNCTION("""COMPUTED_VALUE"""),"Brace Expansion")</f>
        <v>Brace Expansion</v>
      </c>
      <c r="C789" s="6" t="str">
        <f>IFERROR(__xludf.DUMMYFUNCTION("""COMPUTED_VALUE"""),"Medium")</f>
        <v>Medium</v>
      </c>
      <c r="D789" s="6" t="str">
        <f>IFERROR(__xludf.DUMMYFUNCTION("""COMPUTED_VALUE"""),"Backtracking")</f>
        <v>Backtracking</v>
      </c>
      <c r="E789" s="6" t="str">
        <f>IFERROR(__xludf.DUMMYFUNCTION("""COMPUTED_VALUE"""),"Google")</f>
        <v>Google</v>
      </c>
      <c r="F789" s="6"/>
      <c r="G789" s="6" t="str">
        <f>IFERROR(__xludf.DUMMYFUNCTION("""COMPUTED_VALUE"""),"Google")</f>
        <v>Google</v>
      </c>
      <c r="H789" s="6" t="str">
        <f>IFERROR(__xludf.DUMMYFUNCTION("""COMPUTED_VALUE"""),"Google")</f>
        <v>Google</v>
      </c>
      <c r="I789" s="6">
        <f>IFERROR(__xludf.DUMMYFUNCTION("""COMPUTED_VALUE"""),63.09)</f>
        <v>63.09</v>
      </c>
      <c r="J789" s="6" t="str">
        <f>IFERROR(__xludf.DUMMYFUNCTION("""COMPUTED_VALUE"""),"算法")</f>
        <v>算法</v>
      </c>
    </row>
    <row r="790">
      <c r="A790" s="6">
        <f>IFERROR(__xludf.DUMMYFUNCTION("""COMPUTED_VALUE"""),1088.0)</f>
        <v>1088</v>
      </c>
      <c r="B790" s="53" t="str">
        <f>IFERROR(__xludf.DUMMYFUNCTION("""COMPUTED_VALUE"""),"Confusing Number II")</f>
        <v>Confusing Number II</v>
      </c>
      <c r="C790" s="6" t="str">
        <f>IFERROR(__xludf.DUMMYFUNCTION("""COMPUTED_VALUE"""),"Hard")</f>
        <v>Hard</v>
      </c>
      <c r="D790" s="6" t="str">
        <f>IFERROR(__xludf.DUMMYFUNCTION("""COMPUTED_VALUE"""),"Backtracking,Math")</f>
        <v>Backtracking,Math</v>
      </c>
      <c r="E790" s="6" t="str">
        <f>IFERROR(__xludf.DUMMYFUNCTION("""COMPUTED_VALUE"""),"Google")</f>
        <v>Google</v>
      </c>
      <c r="F790" s="6" t="str">
        <f>IFERROR(__xludf.DUMMYFUNCTION("""COMPUTED_VALUE"""),"Google")</f>
        <v>Google</v>
      </c>
      <c r="G790" s="6" t="str">
        <f>IFERROR(__xludf.DUMMYFUNCTION("""COMPUTED_VALUE"""),"Google")</f>
        <v>Google</v>
      </c>
      <c r="H790" s="6" t="str">
        <f>IFERROR(__xludf.DUMMYFUNCTION("""COMPUTED_VALUE"""),"Google")</f>
        <v>Google</v>
      </c>
      <c r="I790" s="6">
        <f>IFERROR(__xludf.DUMMYFUNCTION("""COMPUTED_VALUE"""),45.56)</f>
        <v>45.56</v>
      </c>
      <c r="J790" s="6" t="str">
        <f>IFERROR(__xludf.DUMMYFUNCTION("""COMPUTED_VALUE"""),"算法")</f>
        <v>算法</v>
      </c>
    </row>
    <row r="791">
      <c r="A791" s="6">
        <f>IFERROR(__xludf.DUMMYFUNCTION("""COMPUTED_VALUE"""),1089.0)</f>
        <v>1089</v>
      </c>
      <c r="B791" s="53" t="str">
        <f>IFERROR(__xludf.DUMMYFUNCTION("""COMPUTED_VALUE"""),"Duplicate Zeros")</f>
        <v>Duplicate Zeros</v>
      </c>
      <c r="C791" s="6" t="str">
        <f>IFERROR(__xludf.DUMMYFUNCTION("""COMPUTED_VALUE"""),"Easy")</f>
        <v>Easy</v>
      </c>
      <c r="D791" s="6" t="str">
        <f>IFERROR(__xludf.DUMMYFUNCTION("""COMPUTED_VALUE"""),"Array")</f>
        <v>Array</v>
      </c>
      <c r="E791" s="6" t="str">
        <f>IFERROR(__xludf.DUMMYFUNCTION("""COMPUTED_VALUE"""),"Google")</f>
        <v>Google</v>
      </c>
      <c r="F791" s="6"/>
      <c r="G791" s="6"/>
      <c r="H791" s="6" t="str">
        <f>IFERROR(__xludf.DUMMYFUNCTION("""COMPUTED_VALUE"""),"Google")</f>
        <v>Google</v>
      </c>
      <c r="I791" s="6">
        <f>IFERROR(__xludf.DUMMYFUNCTION("""COMPUTED_VALUE"""),51.71)</f>
        <v>51.71</v>
      </c>
      <c r="J791" s="6" t="str">
        <f>IFERROR(__xludf.DUMMYFUNCTION("""COMPUTED_VALUE"""),"算法")</f>
        <v>算法</v>
      </c>
    </row>
    <row r="792">
      <c r="A792" s="6">
        <f>IFERROR(__xludf.DUMMYFUNCTION("""COMPUTED_VALUE"""),1090.0)</f>
        <v>1090</v>
      </c>
      <c r="B792" s="53" t="str">
        <f>IFERROR(__xludf.DUMMYFUNCTION("""COMPUTED_VALUE"""),"Largest Values From Labels")</f>
        <v>Largest Values From Labels</v>
      </c>
      <c r="C792" s="6" t="str">
        <f>IFERROR(__xludf.DUMMYFUNCTION("""COMPUTED_VALUE"""),"Medium")</f>
        <v>Medium</v>
      </c>
      <c r="D792" s="6" t="str">
        <f>IFERROR(__xludf.DUMMYFUNCTION("""COMPUTED_VALUE"""),"Greedy,Hash Table")</f>
        <v>Greedy,Hash Table</v>
      </c>
      <c r="E792" s="6" t="str">
        <f>IFERROR(__xludf.DUMMYFUNCTION("""COMPUTED_VALUE"""),"Google")</f>
        <v>Google</v>
      </c>
      <c r="F792" s="6"/>
      <c r="G792" s="6"/>
      <c r="H792" s="6" t="str">
        <f>IFERROR(__xludf.DUMMYFUNCTION("""COMPUTED_VALUE"""),"Google")</f>
        <v>Google</v>
      </c>
      <c r="I792" s="6">
        <f>IFERROR(__xludf.DUMMYFUNCTION("""COMPUTED_VALUE"""),60.03)</f>
        <v>60.03</v>
      </c>
      <c r="J792" s="6" t="str">
        <f>IFERROR(__xludf.DUMMYFUNCTION("""COMPUTED_VALUE"""),"算法")</f>
        <v>算法</v>
      </c>
    </row>
    <row r="793">
      <c r="A793" s="6">
        <f>IFERROR(__xludf.DUMMYFUNCTION("""COMPUTED_VALUE"""),1091.0)</f>
        <v>1091</v>
      </c>
      <c r="B793" s="53" t="str">
        <f>IFERROR(__xludf.DUMMYFUNCTION("""COMPUTED_VALUE"""),"Shortest Path in Binary Matrix")</f>
        <v>Shortest Path in Binary Matrix</v>
      </c>
      <c r="C793" s="6" t="str">
        <f>IFERROR(__xludf.DUMMYFUNCTION("""COMPUTED_VALUE"""),"Medium")</f>
        <v>Medium</v>
      </c>
      <c r="D793" s="6" t="str">
        <f>IFERROR(__xludf.DUMMYFUNCTION("""COMPUTED_VALUE"""),"Breadth First Search")</f>
        <v>Breadth First Search</v>
      </c>
      <c r="E793" s="6" t="str">
        <f>IFERROR(__xludf.DUMMYFUNCTION("""COMPUTED_VALUE"""),"Snapchat,Citadel,Paypal,Oracle,Uber,Facebook,Amazon,Microsoft,Google")</f>
        <v>Snapchat,Citadel,Paypal,Oracle,Uber,Facebook,Amazon,Microsoft,Google</v>
      </c>
      <c r="F793" s="6" t="str">
        <f>IFERROR(__xludf.DUMMYFUNCTION("""COMPUTED_VALUE"""),"Amazon,Google,Facebook,Oracle,Snapchat")</f>
        <v>Amazon,Google,Facebook,Oracle,Snapchat</v>
      </c>
      <c r="G793" s="6" t="str">
        <f>IFERROR(__xludf.DUMMYFUNCTION("""COMPUTED_VALUE"""),"Microsoft,Paypal,Amazon,Google,Facebook,Oracle,Snapchat")</f>
        <v>Microsoft,Paypal,Amazon,Google,Facebook,Oracle,Snapchat</v>
      </c>
      <c r="H793" s="6" t="str">
        <f>IFERROR(__xludf.DUMMYFUNCTION("""COMPUTED_VALUE"""),"Uber,Citadel,Microsoft,Paypal,Amazon,Google,Facebook,Oracle,Snapchat")</f>
        <v>Uber,Citadel,Microsoft,Paypal,Amazon,Google,Facebook,Oracle,Snapchat</v>
      </c>
      <c r="I793" s="6">
        <f>IFERROR(__xludf.DUMMYFUNCTION("""COMPUTED_VALUE"""),40.05)</f>
        <v>40.05</v>
      </c>
      <c r="J793" s="6" t="str">
        <f>IFERROR(__xludf.DUMMYFUNCTION("""COMPUTED_VALUE"""),"算法")</f>
        <v>算法</v>
      </c>
    </row>
    <row r="794">
      <c r="A794" s="6">
        <f>IFERROR(__xludf.DUMMYFUNCTION("""COMPUTED_VALUE"""),1095.0)</f>
        <v>1095</v>
      </c>
      <c r="B794" s="53" t="str">
        <f>IFERROR(__xludf.DUMMYFUNCTION("""COMPUTED_VALUE"""),"Find in Mountain Array")</f>
        <v>Find in Mountain Array</v>
      </c>
      <c r="C794" s="6" t="str">
        <f>IFERROR(__xludf.DUMMYFUNCTION("""COMPUTED_VALUE"""),"Hard")</f>
        <v>Hard</v>
      </c>
      <c r="D794" s="6" t="str">
        <f>IFERROR(__xludf.DUMMYFUNCTION("""COMPUTED_VALUE"""),"Binary Search")</f>
        <v>Binary Search</v>
      </c>
      <c r="E794" s="6" t="str">
        <f>IFERROR(__xludf.DUMMYFUNCTION("""COMPUTED_VALUE"""),"Quora,Bloomberg,Apple,Google")</f>
        <v>Quora,Bloomberg,Apple,Google</v>
      </c>
      <c r="F794" s="6" t="str">
        <f>IFERROR(__xludf.DUMMYFUNCTION("""COMPUTED_VALUE"""),"Bloomberg,Apple,Google,Quora")</f>
        <v>Bloomberg,Apple,Google,Quora</v>
      </c>
      <c r="G794" s="6" t="str">
        <f>IFERROR(__xludf.DUMMYFUNCTION("""COMPUTED_VALUE"""),"Bloomberg,Apple,Google,Quora")</f>
        <v>Bloomberg,Apple,Google,Quora</v>
      </c>
      <c r="H794" s="6" t="str">
        <f>IFERROR(__xludf.DUMMYFUNCTION("""COMPUTED_VALUE"""),"Bloomberg,Apple,Google,Quora")</f>
        <v>Bloomberg,Apple,Google,Quora</v>
      </c>
      <c r="I794" s="6">
        <f>IFERROR(__xludf.DUMMYFUNCTION("""COMPUTED_VALUE"""),36.09)</f>
        <v>36.09</v>
      </c>
      <c r="J794" s="6" t="str">
        <f>IFERROR(__xludf.DUMMYFUNCTION("""COMPUTED_VALUE"""),"算法")</f>
        <v>算法</v>
      </c>
    </row>
    <row r="795">
      <c r="A795" s="6">
        <f>IFERROR(__xludf.DUMMYFUNCTION("""COMPUTED_VALUE"""),1096.0)</f>
        <v>1096</v>
      </c>
      <c r="B795" s="53" t="str">
        <f>IFERROR(__xludf.DUMMYFUNCTION("""COMPUTED_VALUE"""),"Brace Expansion II")</f>
        <v>Brace Expansion II</v>
      </c>
      <c r="C795" s="6" t="str">
        <f>IFERROR(__xludf.DUMMYFUNCTION("""COMPUTED_VALUE"""),"Hard")</f>
        <v>Hard</v>
      </c>
      <c r="D795" s="6" t="str">
        <f>IFERROR(__xludf.DUMMYFUNCTION("""COMPUTED_VALUE"""),"String")</f>
        <v>String</v>
      </c>
      <c r="E795" s="6" t="str">
        <f>IFERROR(__xludf.DUMMYFUNCTION("""COMPUTED_VALUE"""),"Adobe,Google")</f>
        <v>Adobe,Google</v>
      </c>
      <c r="F795" s="6"/>
      <c r="G795" s="6"/>
      <c r="H795" s="6" t="str">
        <f>IFERROR(__xludf.DUMMYFUNCTION("""COMPUTED_VALUE"""),"Google,Adobe")</f>
        <v>Google,Adobe</v>
      </c>
      <c r="I795" s="6">
        <f>IFERROR(__xludf.DUMMYFUNCTION("""COMPUTED_VALUE"""),62.55)</f>
        <v>62.55</v>
      </c>
      <c r="J795" s="6" t="str">
        <f>IFERROR(__xludf.DUMMYFUNCTION("""COMPUTED_VALUE"""),"算法")</f>
        <v>算法</v>
      </c>
    </row>
    <row r="796">
      <c r="A796" s="6">
        <f>IFERROR(__xludf.DUMMYFUNCTION("""COMPUTED_VALUE"""),1099.0)</f>
        <v>1099</v>
      </c>
      <c r="B796" s="53" t="str">
        <f>IFERROR(__xludf.DUMMYFUNCTION("""COMPUTED_VALUE"""),"Two Sum Less Than K")</f>
        <v>Two Sum Less Than K</v>
      </c>
      <c r="C796" s="6" t="str">
        <f>IFERROR(__xludf.DUMMYFUNCTION("""COMPUTED_VALUE"""),"Easy")</f>
        <v>Easy</v>
      </c>
      <c r="D796" s="6" t="str">
        <f>IFERROR(__xludf.DUMMYFUNCTION("""COMPUTED_VALUE"""),"Sort,Two Pointers,Array")</f>
        <v>Sort,Two Pointers,Array</v>
      </c>
      <c r="E796" s="6" t="str">
        <f>IFERROR(__xludf.DUMMYFUNCTION("""COMPUTED_VALUE"""),"Amazon,Google")</f>
        <v>Amazon,Google</v>
      </c>
      <c r="F796" s="6" t="str">
        <f>IFERROR(__xludf.DUMMYFUNCTION("""COMPUTED_VALUE"""),"Amazon")</f>
        <v>Amazon</v>
      </c>
      <c r="G796" s="6" t="str">
        <f>IFERROR(__xludf.DUMMYFUNCTION("""COMPUTED_VALUE"""),"Amazon")</f>
        <v>Amazon</v>
      </c>
      <c r="H796" s="6" t="str">
        <f>IFERROR(__xludf.DUMMYFUNCTION("""COMPUTED_VALUE"""),"Google,Amazon")</f>
        <v>Google,Amazon</v>
      </c>
      <c r="I796" s="6">
        <f>IFERROR(__xludf.DUMMYFUNCTION("""COMPUTED_VALUE"""),60.83)</f>
        <v>60.83</v>
      </c>
      <c r="J796" s="6" t="str">
        <f>IFERROR(__xludf.DUMMYFUNCTION("""COMPUTED_VALUE"""),"算法")</f>
        <v>算法</v>
      </c>
    </row>
    <row r="797">
      <c r="A797" s="6">
        <f>IFERROR(__xludf.DUMMYFUNCTION("""COMPUTED_VALUE"""),1101.0)</f>
        <v>1101</v>
      </c>
      <c r="B797" s="53" t="str">
        <f>IFERROR(__xludf.DUMMYFUNCTION("""COMPUTED_VALUE"""),"The Earliest Moment When Everyone Become Friends")</f>
        <v>The Earliest Moment When Everyone Become Friends</v>
      </c>
      <c r="C797" s="6" t="str">
        <f>IFERROR(__xludf.DUMMYFUNCTION("""COMPUTED_VALUE"""),"Medium")</f>
        <v>Medium</v>
      </c>
      <c r="D797" s="6" t="str">
        <f>IFERROR(__xludf.DUMMYFUNCTION("""COMPUTED_VALUE"""),"Union Find")</f>
        <v>Union Find</v>
      </c>
      <c r="E797" s="6" t="str">
        <f>IFERROR(__xludf.DUMMYFUNCTION("""COMPUTED_VALUE"""),"Google,Expedia")</f>
        <v>Google,Expedia</v>
      </c>
      <c r="F797" s="6"/>
      <c r="G797" s="6" t="str">
        <f>IFERROR(__xludf.DUMMYFUNCTION("""COMPUTED_VALUE"""),"Google")</f>
        <v>Google</v>
      </c>
      <c r="H797" s="6" t="str">
        <f>IFERROR(__xludf.DUMMYFUNCTION("""COMPUTED_VALUE"""),"Expedia,Google")</f>
        <v>Expedia,Google</v>
      </c>
      <c r="I797" s="6">
        <f>IFERROR(__xludf.DUMMYFUNCTION("""COMPUTED_VALUE"""),67.84)</f>
        <v>67.84</v>
      </c>
      <c r="J797" s="6" t="str">
        <f>IFERROR(__xludf.DUMMYFUNCTION("""COMPUTED_VALUE"""),"算法")</f>
        <v>算法</v>
      </c>
    </row>
    <row r="798">
      <c r="A798" s="6">
        <f>IFERROR(__xludf.DUMMYFUNCTION("""COMPUTED_VALUE"""),1102.0)</f>
        <v>1102</v>
      </c>
      <c r="B798" s="53" t="str">
        <f>IFERROR(__xludf.DUMMYFUNCTION("""COMPUTED_VALUE"""),"Path With Maximum Minimum Value")</f>
        <v>Path With Maximum Minimum Value</v>
      </c>
      <c r="C798" s="6" t="str">
        <f>IFERROR(__xludf.DUMMYFUNCTION("""COMPUTED_VALUE"""),"Medium")</f>
        <v>Medium</v>
      </c>
      <c r="D798" s="6" t="str">
        <f>IFERROR(__xludf.DUMMYFUNCTION("""COMPUTED_VALUE"""),"Graph,Union Find,Depth First Search")</f>
        <v>Graph,Union Find,Depth First Search</v>
      </c>
      <c r="E798" s="6" t="str">
        <f>IFERROR(__xludf.DUMMYFUNCTION("""COMPUTED_VALUE"""),"Facebook,Amazon,Google")</f>
        <v>Facebook,Amazon,Google</v>
      </c>
      <c r="F798" s="6" t="str">
        <f>IFERROR(__xludf.DUMMYFUNCTION("""COMPUTED_VALUE"""),"Facebook,Google")</f>
        <v>Facebook,Google</v>
      </c>
      <c r="G798" s="6" t="str">
        <f>IFERROR(__xludf.DUMMYFUNCTION("""COMPUTED_VALUE"""),"Amazon,Facebook,Google")</f>
        <v>Amazon,Facebook,Google</v>
      </c>
      <c r="H798" s="6" t="str">
        <f>IFERROR(__xludf.DUMMYFUNCTION("""COMPUTED_VALUE"""),"Amazon,Facebook,Google")</f>
        <v>Amazon,Facebook,Google</v>
      </c>
      <c r="I798" s="6">
        <f>IFERROR(__xludf.DUMMYFUNCTION("""COMPUTED_VALUE"""),50.62)</f>
        <v>50.62</v>
      </c>
      <c r="J798" s="6" t="str">
        <f>IFERROR(__xludf.DUMMYFUNCTION("""COMPUTED_VALUE"""),"算法")</f>
        <v>算法</v>
      </c>
    </row>
    <row r="799">
      <c r="A799" s="6">
        <f>IFERROR(__xludf.DUMMYFUNCTION("""COMPUTED_VALUE"""),1105.0)</f>
        <v>1105</v>
      </c>
      <c r="B799" s="53" t="str">
        <f>IFERROR(__xludf.DUMMYFUNCTION("""COMPUTED_VALUE"""),"Filling Bookcase Shelves")</f>
        <v>Filling Bookcase Shelves</v>
      </c>
      <c r="C799" s="6" t="str">
        <f>IFERROR(__xludf.DUMMYFUNCTION("""COMPUTED_VALUE"""),"Medium")</f>
        <v>Medium</v>
      </c>
      <c r="D799" s="6" t="str">
        <f>IFERROR(__xludf.DUMMYFUNCTION("""COMPUTED_VALUE"""),"Dynamic Programming")</f>
        <v>Dynamic Programming</v>
      </c>
      <c r="E799" s="6" t="str">
        <f>IFERROR(__xludf.DUMMYFUNCTION("""COMPUTED_VALUE"""),"Amazon,Bloomberg,Google")</f>
        <v>Amazon,Bloomberg,Google</v>
      </c>
      <c r="F799" s="6" t="str">
        <f>IFERROR(__xludf.DUMMYFUNCTION("""COMPUTED_VALUE"""),"Amazon")</f>
        <v>Amazon</v>
      </c>
      <c r="G799" s="6" t="str">
        <f>IFERROR(__xludf.DUMMYFUNCTION("""COMPUTED_VALUE"""),"Amazon")</f>
        <v>Amazon</v>
      </c>
      <c r="H799" s="6" t="str">
        <f>IFERROR(__xludf.DUMMYFUNCTION("""COMPUTED_VALUE"""),"Bloomberg,Google,Amazon")</f>
        <v>Bloomberg,Google,Amazon</v>
      </c>
      <c r="I799" s="6">
        <f>IFERROR(__xludf.DUMMYFUNCTION("""COMPUTED_VALUE"""),57.53)</f>
        <v>57.53</v>
      </c>
      <c r="J799" s="6" t="str">
        <f>IFERROR(__xludf.DUMMYFUNCTION("""COMPUTED_VALUE"""),"算法")</f>
        <v>算法</v>
      </c>
    </row>
    <row r="800">
      <c r="A800" s="6">
        <f>IFERROR(__xludf.DUMMYFUNCTION("""COMPUTED_VALUE"""),1108.0)</f>
        <v>1108</v>
      </c>
      <c r="B800" s="53" t="str">
        <f>IFERROR(__xludf.DUMMYFUNCTION("""COMPUTED_VALUE"""),"Defanging an IP Address")</f>
        <v>Defanging an IP Address</v>
      </c>
      <c r="C800" s="6" t="str">
        <f>IFERROR(__xludf.DUMMYFUNCTION("""COMPUTED_VALUE"""),"Easy")</f>
        <v>Easy</v>
      </c>
      <c r="D800" s="6" t="str">
        <f>IFERROR(__xludf.DUMMYFUNCTION("""COMPUTED_VALUE"""),"String")</f>
        <v>String</v>
      </c>
      <c r="E800" s="6" t="str">
        <f>IFERROR(__xludf.DUMMYFUNCTION("""COMPUTED_VALUE"""),"Apple,Yahoo,Adobe,Facebook,Amazon,Google")</f>
        <v>Apple,Yahoo,Adobe,Facebook,Amazon,Google</v>
      </c>
      <c r="F800" s="6" t="str">
        <f>IFERROR(__xludf.DUMMYFUNCTION("""COMPUTED_VALUE"""),"Adobe")</f>
        <v>Adobe</v>
      </c>
      <c r="G800" s="6" t="str">
        <f>IFERROR(__xludf.DUMMYFUNCTION("""COMPUTED_VALUE"""),"Amazon,Apple,Yahoo,Adobe")</f>
        <v>Amazon,Apple,Yahoo,Adobe</v>
      </c>
      <c r="H800" s="6" t="str">
        <f>IFERROR(__xludf.DUMMYFUNCTION("""COMPUTED_VALUE"""),"Facebook,Google,Amazon,Apple,Yahoo,Adobe")</f>
        <v>Facebook,Google,Amazon,Apple,Yahoo,Adobe</v>
      </c>
      <c r="I800" s="6">
        <f>IFERROR(__xludf.DUMMYFUNCTION("""COMPUTED_VALUE"""),88.38)</f>
        <v>88.38</v>
      </c>
      <c r="J800" s="6" t="str">
        <f>IFERROR(__xludf.DUMMYFUNCTION("""COMPUTED_VALUE"""),"算法")</f>
        <v>算法</v>
      </c>
    </row>
    <row r="801">
      <c r="A801" s="6">
        <f>IFERROR(__xludf.DUMMYFUNCTION("""COMPUTED_VALUE"""),1110.0)</f>
        <v>1110</v>
      </c>
      <c r="B801" s="53" t="str">
        <f>IFERROR(__xludf.DUMMYFUNCTION("""COMPUTED_VALUE"""),"Delete Nodes And Return Forest")</f>
        <v>Delete Nodes And Return Forest</v>
      </c>
      <c r="C801" s="6" t="str">
        <f>IFERROR(__xludf.DUMMYFUNCTION("""COMPUTED_VALUE"""),"Medium")</f>
        <v>Medium</v>
      </c>
      <c r="D801" s="6" t="str">
        <f>IFERROR(__xludf.DUMMYFUNCTION("""COMPUTED_VALUE"""),"Depth First Search,Tree")</f>
        <v>Depth First Search,Tree</v>
      </c>
      <c r="E801" s="6" t="str">
        <f>IFERROR(__xludf.DUMMYFUNCTION("""COMPUTED_VALUE"""),"Salesforce,Facebook,Amazon,Google")</f>
        <v>Salesforce,Facebook,Amazon,Google</v>
      </c>
      <c r="F801" s="6" t="str">
        <f>IFERROR(__xludf.DUMMYFUNCTION("""COMPUTED_VALUE"""),"Google,Amazon,Facebook,Salesforce")</f>
        <v>Google,Amazon,Facebook,Salesforce</v>
      </c>
      <c r="G801" s="6" t="str">
        <f>IFERROR(__xludf.DUMMYFUNCTION("""COMPUTED_VALUE"""),"Google,Amazon,Facebook,Salesforce")</f>
        <v>Google,Amazon,Facebook,Salesforce</v>
      </c>
      <c r="H801" s="6" t="str">
        <f>IFERROR(__xludf.DUMMYFUNCTION("""COMPUTED_VALUE"""),"Google,Amazon,Facebook,Salesforce")</f>
        <v>Google,Amazon,Facebook,Salesforce</v>
      </c>
      <c r="I801" s="6">
        <f>IFERROR(__xludf.DUMMYFUNCTION("""COMPUTED_VALUE"""),67.79)</f>
        <v>67.79</v>
      </c>
      <c r="J801" s="6" t="str">
        <f>IFERROR(__xludf.DUMMYFUNCTION("""COMPUTED_VALUE"""),"算法")</f>
        <v>算法</v>
      </c>
    </row>
    <row r="802">
      <c r="A802" s="6">
        <f>IFERROR(__xludf.DUMMYFUNCTION("""COMPUTED_VALUE"""),1121.0)</f>
        <v>1121</v>
      </c>
      <c r="B802" s="53" t="str">
        <f>IFERROR(__xludf.DUMMYFUNCTION("""COMPUTED_VALUE"""),"Divide Array Into Increasing Sequences")</f>
        <v>Divide Array Into Increasing Sequences</v>
      </c>
      <c r="C802" s="6" t="str">
        <f>IFERROR(__xludf.DUMMYFUNCTION("""COMPUTED_VALUE"""),"Hard")</f>
        <v>Hard</v>
      </c>
      <c r="D802" s="6" t="str">
        <f>IFERROR(__xludf.DUMMYFUNCTION("""COMPUTED_VALUE"""),"Math")</f>
        <v>Math</v>
      </c>
      <c r="E802" s="6" t="str">
        <f>IFERROR(__xludf.DUMMYFUNCTION("""COMPUTED_VALUE"""),"Google")</f>
        <v>Google</v>
      </c>
      <c r="F802" s="6"/>
      <c r="G802" s="6"/>
      <c r="H802" s="6" t="str">
        <f>IFERROR(__xludf.DUMMYFUNCTION("""COMPUTED_VALUE"""),"Google")</f>
        <v>Google</v>
      </c>
      <c r="I802" s="6">
        <f>IFERROR(__xludf.DUMMYFUNCTION("""COMPUTED_VALUE"""),58.22)</f>
        <v>58.22</v>
      </c>
      <c r="J802" s="6" t="str">
        <f>IFERROR(__xludf.DUMMYFUNCTION("""COMPUTED_VALUE"""),"算法")</f>
        <v>算法</v>
      </c>
    </row>
    <row r="803">
      <c r="A803" s="6">
        <f>IFERROR(__xludf.DUMMYFUNCTION("""COMPUTED_VALUE"""),1122.0)</f>
        <v>1122</v>
      </c>
      <c r="B803" s="53" t="str">
        <f>IFERROR(__xludf.DUMMYFUNCTION("""COMPUTED_VALUE"""),"Relative Sort Array")</f>
        <v>Relative Sort Array</v>
      </c>
      <c r="C803" s="6" t="str">
        <f>IFERROR(__xludf.DUMMYFUNCTION("""COMPUTED_VALUE"""),"Easy")</f>
        <v>Easy</v>
      </c>
      <c r="D803" s="6" t="str">
        <f>IFERROR(__xludf.DUMMYFUNCTION("""COMPUTED_VALUE"""),"Sort,Array")</f>
        <v>Sort,Array</v>
      </c>
      <c r="E803" s="6" t="str">
        <f>IFERROR(__xludf.DUMMYFUNCTION("""COMPUTED_VALUE"""),"Adobe,DE Shaw,EBay,Amazon,Microsoft,Google")</f>
        <v>Adobe,DE Shaw,EBay,Amazon,Microsoft,Google</v>
      </c>
      <c r="F803" s="6"/>
      <c r="G803" s="6" t="str">
        <f>IFERROR(__xludf.DUMMYFUNCTION("""COMPUTED_VALUE"""),"Amazon")</f>
        <v>Amazon</v>
      </c>
      <c r="H803" s="6" t="str">
        <f>IFERROR(__xludf.DUMMYFUNCTION("""COMPUTED_VALUE"""),"Google,Microsoft,Adobe,eBay,DE Shaw,Amazon")</f>
        <v>Google,Microsoft,Adobe,eBay,DE Shaw,Amazon</v>
      </c>
      <c r="I803" s="6">
        <f>IFERROR(__xludf.DUMMYFUNCTION("""COMPUTED_VALUE"""),68.09)</f>
        <v>68.09</v>
      </c>
      <c r="J803" s="6" t="str">
        <f>IFERROR(__xludf.DUMMYFUNCTION("""COMPUTED_VALUE"""),"算法")</f>
        <v>算法</v>
      </c>
    </row>
    <row r="804">
      <c r="A804" s="6">
        <f>IFERROR(__xludf.DUMMYFUNCTION("""COMPUTED_VALUE"""),1123.0)</f>
        <v>1123</v>
      </c>
      <c r="B804" s="53" t="str">
        <f>IFERROR(__xludf.DUMMYFUNCTION("""COMPUTED_VALUE"""),"Lowest Common Ancestor of Deepest Leaves")</f>
        <v>Lowest Common Ancestor of Deepest Leaves</v>
      </c>
      <c r="C804" s="6" t="str">
        <f>IFERROR(__xludf.DUMMYFUNCTION("""COMPUTED_VALUE"""),"Medium")</f>
        <v>Medium</v>
      </c>
      <c r="D804" s="6" t="str">
        <f>IFERROR(__xludf.DUMMYFUNCTION("""COMPUTED_VALUE"""),"Depth First Search,Tree")</f>
        <v>Depth First Search,Tree</v>
      </c>
      <c r="E804" s="6" t="str">
        <f>IFERROR(__xludf.DUMMYFUNCTION("""COMPUTED_VALUE"""),"Bloomberg,Facebook,Google")</f>
        <v>Bloomberg,Facebook,Google</v>
      </c>
      <c r="F804" s="6" t="str">
        <f>IFERROR(__xludf.DUMMYFUNCTION("""COMPUTED_VALUE"""),"Facebook")</f>
        <v>Facebook</v>
      </c>
      <c r="G804" s="6" t="str">
        <f>IFERROR(__xludf.DUMMYFUNCTION("""COMPUTED_VALUE"""),"Bloomberg,Facebook")</f>
        <v>Bloomberg,Facebook</v>
      </c>
      <c r="H804" s="6" t="str">
        <f>IFERROR(__xludf.DUMMYFUNCTION("""COMPUTED_VALUE"""),"Google,Bloomberg,Facebook")</f>
        <v>Google,Bloomberg,Facebook</v>
      </c>
      <c r="I804" s="6">
        <f>IFERROR(__xludf.DUMMYFUNCTION("""COMPUTED_VALUE"""),67.95)</f>
        <v>67.95</v>
      </c>
      <c r="J804" s="6" t="str">
        <f>IFERROR(__xludf.DUMMYFUNCTION("""COMPUTED_VALUE"""),"算法")</f>
        <v>算法</v>
      </c>
    </row>
    <row r="805">
      <c r="A805" s="6">
        <f>IFERROR(__xludf.DUMMYFUNCTION("""COMPUTED_VALUE"""),1125.0)</f>
        <v>1125</v>
      </c>
      <c r="B805" s="53" t="str">
        <f>IFERROR(__xludf.DUMMYFUNCTION("""COMPUTED_VALUE"""),"Smallest Sufficient Team")</f>
        <v>Smallest Sufficient Team</v>
      </c>
      <c r="C805" s="6" t="str">
        <f>IFERROR(__xludf.DUMMYFUNCTION("""COMPUTED_VALUE"""),"Hard")</f>
        <v>Hard</v>
      </c>
      <c r="D805" s="6" t="str">
        <f>IFERROR(__xludf.DUMMYFUNCTION("""COMPUTED_VALUE"""),"Bit Manipulation,Dynamic Programming")</f>
        <v>Bit Manipulation,Dynamic Programming</v>
      </c>
      <c r="E805" s="6" t="str">
        <f>IFERROR(__xludf.DUMMYFUNCTION("""COMPUTED_VALUE"""),"Google")</f>
        <v>Google</v>
      </c>
      <c r="F805" s="6"/>
      <c r="G805" s="6" t="str">
        <f>IFERROR(__xludf.DUMMYFUNCTION("""COMPUTED_VALUE"""),"Google")</f>
        <v>Google</v>
      </c>
      <c r="H805" s="6" t="str">
        <f>IFERROR(__xludf.DUMMYFUNCTION("""COMPUTED_VALUE"""),"Google")</f>
        <v>Google</v>
      </c>
      <c r="I805" s="6">
        <f>IFERROR(__xludf.DUMMYFUNCTION("""COMPUTED_VALUE"""),47.02)</f>
        <v>47.02</v>
      </c>
      <c r="J805" s="6" t="str">
        <f>IFERROR(__xludf.DUMMYFUNCTION("""COMPUTED_VALUE"""),"算法")</f>
        <v>算法</v>
      </c>
    </row>
    <row r="806">
      <c r="A806" s="6">
        <f>IFERROR(__xludf.DUMMYFUNCTION("""COMPUTED_VALUE"""),1131.0)</f>
        <v>1131</v>
      </c>
      <c r="B806" s="53" t="str">
        <f>IFERROR(__xludf.DUMMYFUNCTION("""COMPUTED_VALUE"""),"Maximum of Absolute Value Expression")</f>
        <v>Maximum of Absolute Value Expression</v>
      </c>
      <c r="C806" s="6" t="str">
        <f>IFERROR(__xludf.DUMMYFUNCTION("""COMPUTED_VALUE"""),"Medium")</f>
        <v>Medium</v>
      </c>
      <c r="D806" s="6" t="str">
        <f>IFERROR(__xludf.DUMMYFUNCTION("""COMPUTED_VALUE"""),"Bit Manipulation,Math")</f>
        <v>Bit Manipulation,Math</v>
      </c>
      <c r="E806" s="6" t="str">
        <f>IFERROR(__xludf.DUMMYFUNCTION("""COMPUTED_VALUE"""),"Microsoft,Google")</f>
        <v>Microsoft,Google</v>
      </c>
      <c r="F806" s="6" t="str">
        <f>IFERROR(__xludf.DUMMYFUNCTION("""COMPUTED_VALUE"""),"Google")</f>
        <v>Google</v>
      </c>
      <c r="G806" s="6" t="str">
        <f>IFERROR(__xludf.DUMMYFUNCTION("""COMPUTED_VALUE"""),"Google")</f>
        <v>Google</v>
      </c>
      <c r="H806" s="6" t="str">
        <f>IFERROR(__xludf.DUMMYFUNCTION("""COMPUTED_VALUE"""),"Microsoft,Google")</f>
        <v>Microsoft,Google</v>
      </c>
      <c r="I806" s="6">
        <f>IFERROR(__xludf.DUMMYFUNCTION("""COMPUTED_VALUE"""),51.7)</f>
        <v>51.7</v>
      </c>
      <c r="J806" s="6" t="str">
        <f>IFERROR(__xludf.DUMMYFUNCTION("""COMPUTED_VALUE"""),"算法")</f>
        <v>算法</v>
      </c>
    </row>
    <row r="807">
      <c r="A807" s="6">
        <f>IFERROR(__xludf.DUMMYFUNCTION("""COMPUTED_VALUE"""),1135.0)</f>
        <v>1135</v>
      </c>
      <c r="B807" s="53" t="str">
        <f>IFERROR(__xludf.DUMMYFUNCTION("""COMPUTED_VALUE"""),"Connecting Cities With Minimum Cost")</f>
        <v>Connecting Cities With Minimum Cost</v>
      </c>
      <c r="C807" s="6" t="str">
        <f>IFERROR(__xludf.DUMMYFUNCTION("""COMPUTED_VALUE"""),"Medium")</f>
        <v>Medium</v>
      </c>
      <c r="D807" s="6" t="str">
        <f>IFERROR(__xludf.DUMMYFUNCTION("""COMPUTED_VALUE"""),"Graph,Union Find")</f>
        <v>Graph,Union Find</v>
      </c>
      <c r="E807" s="6" t="str">
        <f>IFERROR(__xludf.DUMMYFUNCTION("""COMPUTED_VALUE"""),"Google,Uber,Amazon")</f>
        <v>Google,Uber,Amazon</v>
      </c>
      <c r="F807" s="6" t="str">
        <f>IFERROR(__xludf.DUMMYFUNCTION("""COMPUTED_VALUE"""),"Amazon,Uber")</f>
        <v>Amazon,Uber</v>
      </c>
      <c r="G807" s="6" t="str">
        <f>IFERROR(__xludf.DUMMYFUNCTION("""COMPUTED_VALUE"""),"Amazon,Uber")</f>
        <v>Amazon,Uber</v>
      </c>
      <c r="H807" s="6" t="str">
        <f>IFERROR(__xludf.DUMMYFUNCTION("""COMPUTED_VALUE"""),"Google,Amazon,Uber")</f>
        <v>Google,Amazon,Uber</v>
      </c>
      <c r="I807" s="6">
        <f>IFERROR(__xludf.DUMMYFUNCTION("""COMPUTED_VALUE"""),59.45)</f>
        <v>59.45</v>
      </c>
      <c r="J807" s="6" t="str">
        <f>IFERROR(__xludf.DUMMYFUNCTION("""COMPUTED_VALUE"""),"算法")</f>
        <v>算法</v>
      </c>
    </row>
    <row r="808">
      <c r="A808" s="6">
        <f>IFERROR(__xludf.DUMMYFUNCTION("""COMPUTED_VALUE"""),1136.0)</f>
        <v>1136</v>
      </c>
      <c r="B808" s="53" t="str">
        <f>IFERROR(__xludf.DUMMYFUNCTION("""COMPUTED_VALUE"""),"Parallel Courses")</f>
        <v>Parallel Courses</v>
      </c>
      <c r="C808" s="6" t="str">
        <f>IFERROR(__xludf.DUMMYFUNCTION("""COMPUTED_VALUE"""),"Medium")</f>
        <v>Medium</v>
      </c>
      <c r="D808" s="6" t="str">
        <f>IFERROR(__xludf.DUMMYFUNCTION("""COMPUTED_VALUE"""),"Graph,Depth First Search,Dynamic Programming")</f>
        <v>Graph,Depth First Search,Dynamic Programming</v>
      </c>
      <c r="E808" s="6" t="str">
        <f>IFERROR(__xludf.DUMMYFUNCTION("""COMPUTED_VALUE"""),"Twitch,Uber,Microsoft,Google")</f>
        <v>Twitch,Uber,Microsoft,Google</v>
      </c>
      <c r="F808" s="6" t="str">
        <f>IFERROR(__xludf.DUMMYFUNCTION("""COMPUTED_VALUE"""),"Google,Uber")</f>
        <v>Google,Uber</v>
      </c>
      <c r="G808" s="6" t="str">
        <f>IFERROR(__xludf.DUMMYFUNCTION("""COMPUTED_VALUE"""),"Twitch,Google,Uber")</f>
        <v>Twitch,Google,Uber</v>
      </c>
      <c r="H808" s="6" t="str">
        <f>IFERROR(__xludf.DUMMYFUNCTION("""COMPUTED_VALUE"""),"Microsoft,Twitch,Google,Uber")</f>
        <v>Microsoft,Twitch,Google,Uber</v>
      </c>
      <c r="I808" s="6">
        <f>IFERROR(__xludf.DUMMYFUNCTION("""COMPUTED_VALUE"""),60.7)</f>
        <v>60.7</v>
      </c>
      <c r="J808" s="6" t="str">
        <f>IFERROR(__xludf.DUMMYFUNCTION("""COMPUTED_VALUE"""),"算法")</f>
        <v>算法</v>
      </c>
    </row>
    <row r="809">
      <c r="A809" s="6">
        <f>IFERROR(__xludf.DUMMYFUNCTION("""COMPUTED_VALUE"""),1138.0)</f>
        <v>1138</v>
      </c>
      <c r="B809" s="53" t="str">
        <f>IFERROR(__xludf.DUMMYFUNCTION("""COMPUTED_VALUE"""),"Alphabet Board Path")</f>
        <v>Alphabet Board Path</v>
      </c>
      <c r="C809" s="6" t="str">
        <f>IFERROR(__xludf.DUMMYFUNCTION("""COMPUTED_VALUE"""),"Medium")</f>
        <v>Medium</v>
      </c>
      <c r="D809" s="6" t="str">
        <f>IFERROR(__xludf.DUMMYFUNCTION("""COMPUTED_VALUE"""),"String,Hash Table")</f>
        <v>String,Hash Table</v>
      </c>
      <c r="E809" s="6" t="str">
        <f>IFERROR(__xludf.DUMMYFUNCTION("""COMPUTED_VALUE"""),"Amazon,Zulily,Google")</f>
        <v>Amazon,Zulily,Google</v>
      </c>
      <c r="F809" s="6" t="str">
        <f>IFERROR(__xludf.DUMMYFUNCTION("""COMPUTED_VALUE"""),"Google,Amazon")</f>
        <v>Google,Amazon</v>
      </c>
      <c r="G809" s="6" t="str">
        <f>IFERROR(__xludf.DUMMYFUNCTION("""COMPUTED_VALUE"""),"Google,Amazon")</f>
        <v>Google,Amazon</v>
      </c>
      <c r="H809" s="6" t="str">
        <f>IFERROR(__xludf.DUMMYFUNCTION("""COMPUTED_VALUE"""),"Zulily,Google,Amazon")</f>
        <v>Zulily,Google,Amazon</v>
      </c>
      <c r="I809" s="6">
        <f>IFERROR(__xludf.DUMMYFUNCTION("""COMPUTED_VALUE"""),51.27)</f>
        <v>51.27</v>
      </c>
      <c r="J809" s="6" t="str">
        <f>IFERROR(__xludf.DUMMYFUNCTION("""COMPUTED_VALUE"""),"算法")</f>
        <v>算法</v>
      </c>
    </row>
    <row r="810">
      <c r="A810" s="6">
        <f>IFERROR(__xludf.DUMMYFUNCTION("""COMPUTED_VALUE"""),1140.0)</f>
        <v>1140</v>
      </c>
      <c r="B810" s="53" t="str">
        <f>IFERROR(__xludf.DUMMYFUNCTION("""COMPUTED_VALUE"""),"Stone Game II")</f>
        <v>Stone Game II</v>
      </c>
      <c r="C810" s="6" t="str">
        <f>IFERROR(__xludf.DUMMYFUNCTION("""COMPUTED_VALUE"""),"Medium")</f>
        <v>Medium</v>
      </c>
      <c r="D810" s="6" t="str">
        <f>IFERROR(__xludf.DUMMYFUNCTION("""COMPUTED_VALUE"""),"Dynamic Programming")</f>
        <v>Dynamic Programming</v>
      </c>
      <c r="E810" s="6" t="str">
        <f>IFERROR(__xludf.DUMMYFUNCTION("""COMPUTED_VALUE"""),"ByteDance(Toutiao),Google")</f>
        <v>ByteDance(Toutiao),Google</v>
      </c>
      <c r="F810" s="6" t="str">
        <f>IFERROR(__xludf.DUMMYFUNCTION("""COMPUTED_VALUE"""),"Google")</f>
        <v>Google</v>
      </c>
      <c r="G810" s="6" t="str">
        <f>IFERROR(__xludf.DUMMYFUNCTION("""COMPUTED_VALUE"""),"Google")</f>
        <v>Google</v>
      </c>
      <c r="H810" s="6" t="str">
        <f>IFERROR(__xludf.DUMMYFUNCTION("""COMPUTED_VALUE"""),"ByteDance(Toutiao),Google")</f>
        <v>ByteDance(Toutiao),Google</v>
      </c>
      <c r="I810" s="6">
        <f>IFERROR(__xludf.DUMMYFUNCTION("""COMPUTED_VALUE"""),64.65)</f>
        <v>64.65</v>
      </c>
      <c r="J810" s="6" t="str">
        <f>IFERROR(__xludf.DUMMYFUNCTION("""COMPUTED_VALUE"""),"算法")</f>
        <v>算法</v>
      </c>
    </row>
    <row r="811">
      <c r="A811" s="6">
        <f>IFERROR(__xludf.DUMMYFUNCTION("""COMPUTED_VALUE"""),1143.0)</f>
        <v>1143</v>
      </c>
      <c r="B811" s="53" t="str">
        <f>IFERROR(__xludf.DUMMYFUNCTION("""COMPUTED_VALUE"""),"Longest Common Subsequence")</f>
        <v>Longest Common Subsequence</v>
      </c>
      <c r="C811" s="6" t="str">
        <f>IFERROR(__xludf.DUMMYFUNCTION("""COMPUTED_VALUE"""),"Medium")</f>
        <v>Medium</v>
      </c>
      <c r="D811" s="6" t="str">
        <f>IFERROR(__xludf.DUMMYFUNCTION("""COMPUTED_VALUE"""),"Dynamic Programming")</f>
        <v>Dynamic Programming</v>
      </c>
      <c r="E811" s="6" t="str">
        <f>IFERROR(__xludf.DUMMYFUNCTION("""COMPUTED_VALUE"""),"Indeed,EBay,Uber,Morgan Stanley,Facebook,ByteDance,Tencent,Amazon,Microsoft,Google")</f>
        <v>Indeed,EBay,Uber,Morgan Stanley,Facebook,ByteDance,Tencent,Amazon,Microsoft,Google</v>
      </c>
      <c r="F811" s="6" t="str">
        <f>IFERROR(__xludf.DUMMYFUNCTION("""COMPUTED_VALUE"""),"Amazon,Microsoft,Facebook,eBay")</f>
        <v>Amazon,Microsoft,Facebook,eBay</v>
      </c>
      <c r="G811" s="6" t="str">
        <f>IFERROR(__xludf.DUMMYFUNCTION("""COMPUTED_VALUE"""),"Google,ByteDance,Morgan Stanley,Tencent,Amazon,Microsoft,Facebook,eBay")</f>
        <v>Google,ByteDance,Morgan Stanley,Tencent,Amazon,Microsoft,Facebook,eBay</v>
      </c>
      <c r="H811" s="6" t="str">
        <f>IFERROR(__xludf.DUMMYFUNCTION("""COMPUTED_VALUE"""),"Uber,Indeed,Google,ByteDance,Morgan Stanley,Tencent,Amazon,Microsoft,Facebook,eBay")</f>
        <v>Uber,Indeed,Google,ByteDance,Morgan Stanley,Tencent,Amazon,Microsoft,Facebook,eBay</v>
      </c>
      <c r="I811" s="6">
        <f>IFERROR(__xludf.DUMMYFUNCTION("""COMPUTED_VALUE"""),58.67)</f>
        <v>58.67</v>
      </c>
      <c r="J811" s="6" t="str">
        <f>IFERROR(__xludf.DUMMYFUNCTION("""COMPUTED_VALUE"""),"算法")</f>
        <v>算法</v>
      </c>
    </row>
    <row r="812">
      <c r="A812" s="6">
        <f>IFERROR(__xludf.DUMMYFUNCTION("""COMPUTED_VALUE"""),1144.0)</f>
        <v>1144</v>
      </c>
      <c r="B812" s="53" t="str">
        <f>IFERROR(__xludf.DUMMYFUNCTION("""COMPUTED_VALUE"""),"Decrease Elements To Make Array Zigzag")</f>
        <v>Decrease Elements To Make Array Zigzag</v>
      </c>
      <c r="C812" s="6" t="str">
        <f>IFERROR(__xludf.DUMMYFUNCTION("""COMPUTED_VALUE"""),"Medium")</f>
        <v>Medium</v>
      </c>
      <c r="D812" s="6" t="str">
        <f>IFERROR(__xludf.DUMMYFUNCTION("""COMPUTED_VALUE"""),"Array")</f>
        <v>Array</v>
      </c>
      <c r="E812" s="6" t="str">
        <f>IFERROR(__xludf.DUMMYFUNCTION("""COMPUTED_VALUE"""),"Google")</f>
        <v>Google</v>
      </c>
      <c r="F812" s="6"/>
      <c r="G812" s="6"/>
      <c r="H812" s="6" t="str">
        <f>IFERROR(__xludf.DUMMYFUNCTION("""COMPUTED_VALUE"""),"Google")</f>
        <v>Google</v>
      </c>
      <c r="I812" s="6">
        <f>IFERROR(__xludf.DUMMYFUNCTION("""COMPUTED_VALUE"""),46.16)</f>
        <v>46.16</v>
      </c>
      <c r="J812" s="6" t="str">
        <f>IFERROR(__xludf.DUMMYFUNCTION("""COMPUTED_VALUE"""),"算法")</f>
        <v>算法</v>
      </c>
    </row>
    <row r="813">
      <c r="A813" s="6">
        <f>IFERROR(__xludf.DUMMYFUNCTION("""COMPUTED_VALUE"""),1145.0)</f>
        <v>1145</v>
      </c>
      <c r="B813" s="53" t="str">
        <f>IFERROR(__xludf.DUMMYFUNCTION("""COMPUTED_VALUE"""),"Binary Tree Coloring Game")</f>
        <v>Binary Tree Coloring Game</v>
      </c>
      <c r="C813" s="6" t="str">
        <f>IFERROR(__xludf.DUMMYFUNCTION("""COMPUTED_VALUE"""),"Medium")</f>
        <v>Medium</v>
      </c>
      <c r="D813" s="6" t="str">
        <f>IFERROR(__xludf.DUMMYFUNCTION("""COMPUTED_VALUE"""),"Depth First Search,Tree")</f>
        <v>Depth First Search,Tree</v>
      </c>
      <c r="E813" s="6" t="str">
        <f>IFERROR(__xludf.DUMMYFUNCTION("""COMPUTED_VALUE"""),"Bloomberg,Microsoft,Google")</f>
        <v>Bloomberg,Microsoft,Google</v>
      </c>
      <c r="F813" s="6"/>
      <c r="G813" s="6" t="str">
        <f>IFERROR(__xludf.DUMMYFUNCTION("""COMPUTED_VALUE"""),"Google,Bloomberg")</f>
        <v>Google,Bloomberg</v>
      </c>
      <c r="H813" s="6" t="str">
        <f>IFERROR(__xludf.DUMMYFUNCTION("""COMPUTED_VALUE"""),"Microsoft,Google,Bloomberg")</f>
        <v>Microsoft,Google,Bloomberg</v>
      </c>
      <c r="I813" s="6">
        <f>IFERROR(__xludf.DUMMYFUNCTION("""COMPUTED_VALUE"""),51.34)</f>
        <v>51.34</v>
      </c>
      <c r="J813" s="6" t="str">
        <f>IFERROR(__xludf.DUMMYFUNCTION("""COMPUTED_VALUE"""),"算法")</f>
        <v>算法</v>
      </c>
    </row>
    <row r="814">
      <c r="A814" s="6">
        <f>IFERROR(__xludf.DUMMYFUNCTION("""COMPUTED_VALUE"""),1146.0)</f>
        <v>1146</v>
      </c>
      <c r="B814" s="53" t="str">
        <f>IFERROR(__xludf.DUMMYFUNCTION("""COMPUTED_VALUE"""),"Snapshot Array")</f>
        <v>Snapshot Array</v>
      </c>
      <c r="C814" s="6" t="str">
        <f>IFERROR(__xludf.DUMMYFUNCTION("""COMPUTED_VALUE"""),"Medium")</f>
        <v>Medium</v>
      </c>
      <c r="D814" s="6" t="str">
        <f>IFERROR(__xludf.DUMMYFUNCTION("""COMPUTED_VALUE"""),"Array")</f>
        <v>Array</v>
      </c>
      <c r="E814" s="6" t="str">
        <f>IFERROR(__xludf.DUMMYFUNCTION("""COMPUTED_VALUE"""),"EBay,Microsoft,Snapchat,Apple,Uber,Facebook,Amazon,Google")</f>
        <v>EBay,Microsoft,Snapchat,Apple,Uber,Facebook,Amazon,Google</v>
      </c>
      <c r="F814" s="6" t="str">
        <f>IFERROR(__xludf.DUMMYFUNCTION("""COMPUTED_VALUE"""),"Google,Facebook")</f>
        <v>Google,Facebook</v>
      </c>
      <c r="G814" s="6" t="str">
        <f>IFERROR(__xludf.DUMMYFUNCTION("""COMPUTED_VALUE"""),"Amazon,Uber,eBay,Microsoft,Google,Facebook")</f>
        <v>Amazon,Uber,eBay,Microsoft,Google,Facebook</v>
      </c>
      <c r="H814" s="6" t="str">
        <f>IFERROR(__xludf.DUMMYFUNCTION("""COMPUTED_VALUE"""),"Snapchat,Apple,Amazon,Uber,eBay,Microsoft,Google,Facebook")</f>
        <v>Snapchat,Apple,Amazon,Uber,eBay,Microsoft,Google,Facebook</v>
      </c>
      <c r="I814" s="6">
        <f>IFERROR(__xludf.DUMMYFUNCTION("""COMPUTED_VALUE"""),36.8)</f>
        <v>36.8</v>
      </c>
      <c r="J814" s="6" t="str">
        <f>IFERROR(__xludf.DUMMYFUNCTION("""COMPUTED_VALUE"""),"算法")</f>
        <v>算法</v>
      </c>
    </row>
    <row r="815">
      <c r="A815" s="6">
        <f>IFERROR(__xludf.DUMMYFUNCTION("""COMPUTED_VALUE"""),1147.0)</f>
        <v>1147</v>
      </c>
      <c r="B815" s="53" t="str">
        <f>IFERROR(__xludf.DUMMYFUNCTION("""COMPUTED_VALUE"""),"Longest Chunked Palindrome Decomposition")</f>
        <v>Longest Chunked Palindrome Decomposition</v>
      </c>
      <c r="C815" s="6" t="str">
        <f>IFERROR(__xludf.DUMMYFUNCTION("""COMPUTED_VALUE"""),"Hard")</f>
        <v>Hard</v>
      </c>
      <c r="D815" s="6" t="str">
        <f>IFERROR(__xludf.DUMMYFUNCTION("""COMPUTED_VALUE"""),"Rolling Hash,Dynamic Programming")</f>
        <v>Rolling Hash,Dynamic Programming</v>
      </c>
      <c r="E815" s="6" t="str">
        <f>IFERROR(__xludf.DUMMYFUNCTION("""COMPUTED_VALUE"""),"Google")</f>
        <v>Google</v>
      </c>
      <c r="F815" s="6"/>
      <c r="G815" s="6"/>
      <c r="H815" s="6" t="str">
        <f>IFERROR(__xludf.DUMMYFUNCTION("""COMPUTED_VALUE"""),"Google")</f>
        <v>Google</v>
      </c>
      <c r="I815" s="6">
        <f>IFERROR(__xludf.DUMMYFUNCTION("""COMPUTED_VALUE"""),59.54)</f>
        <v>59.54</v>
      </c>
      <c r="J815" s="6" t="str">
        <f>IFERROR(__xludf.DUMMYFUNCTION("""COMPUTED_VALUE"""),"算法")</f>
        <v>算法</v>
      </c>
    </row>
    <row r="816">
      <c r="A816" s="6">
        <f>IFERROR(__xludf.DUMMYFUNCTION("""COMPUTED_VALUE"""),1153.0)</f>
        <v>1153</v>
      </c>
      <c r="B816" s="53" t="str">
        <f>IFERROR(__xludf.DUMMYFUNCTION("""COMPUTED_VALUE"""),"String Transforms Into Another String")</f>
        <v>String Transforms Into Another String</v>
      </c>
      <c r="C816" s="6" t="str">
        <f>IFERROR(__xludf.DUMMYFUNCTION("""COMPUTED_VALUE"""),"Hard")</f>
        <v>Hard</v>
      </c>
      <c r="D816" s="6" t="str">
        <f>IFERROR(__xludf.DUMMYFUNCTION("""COMPUTED_VALUE"""),"Graph")</f>
        <v>Graph</v>
      </c>
      <c r="E816" s="6" t="str">
        <f>IFERROR(__xludf.DUMMYFUNCTION("""COMPUTED_VALUE"""),"ByteDance,Amazon,Google")</f>
        <v>ByteDance,Amazon,Google</v>
      </c>
      <c r="F816" s="6" t="str">
        <f>IFERROR(__xludf.DUMMYFUNCTION("""COMPUTED_VALUE"""),"Google,ByteDance")</f>
        <v>Google,ByteDance</v>
      </c>
      <c r="G816" s="6" t="str">
        <f>IFERROR(__xludf.DUMMYFUNCTION("""COMPUTED_VALUE"""),"Amazon,Google,ByteDance")</f>
        <v>Amazon,Google,ByteDance</v>
      </c>
      <c r="H816" s="6" t="str">
        <f>IFERROR(__xludf.DUMMYFUNCTION("""COMPUTED_VALUE"""),"Amazon,Google,ByteDance")</f>
        <v>Amazon,Google,ByteDance</v>
      </c>
      <c r="I816" s="6">
        <f>IFERROR(__xludf.DUMMYFUNCTION("""COMPUTED_VALUE"""),35.8)</f>
        <v>35.8</v>
      </c>
      <c r="J816" s="6" t="str">
        <f>IFERROR(__xludf.DUMMYFUNCTION("""COMPUTED_VALUE"""),"算法")</f>
        <v>算法</v>
      </c>
    </row>
    <row r="817">
      <c r="A817" s="6">
        <f>IFERROR(__xludf.DUMMYFUNCTION("""COMPUTED_VALUE"""),1155.0)</f>
        <v>1155</v>
      </c>
      <c r="B817" s="53" t="str">
        <f>IFERROR(__xludf.DUMMYFUNCTION("""COMPUTED_VALUE"""),"Number of Dice Rolls With Target Sum")</f>
        <v>Number of Dice Rolls With Target Sum</v>
      </c>
      <c r="C817" s="6" t="str">
        <f>IFERROR(__xludf.DUMMYFUNCTION("""COMPUTED_VALUE"""),"Medium")</f>
        <v>Medium</v>
      </c>
      <c r="D817" s="6" t="str">
        <f>IFERROR(__xludf.DUMMYFUNCTION("""COMPUTED_VALUE"""),"Dynamic Programming")</f>
        <v>Dynamic Programming</v>
      </c>
      <c r="E817" s="6" t="str">
        <f>IFERROR(__xludf.DUMMYFUNCTION("""COMPUTED_VALUE"""),"ByteDance,Bloomberg,Amazon,Microsoft,Google")</f>
        <v>ByteDance,Bloomberg,Amazon,Microsoft,Google</v>
      </c>
      <c r="F817" s="6" t="str">
        <f>IFERROR(__xludf.DUMMYFUNCTION("""COMPUTED_VALUE"""),"Amazon,Microsoft,ByteDance")</f>
        <v>Amazon,Microsoft,ByteDance</v>
      </c>
      <c r="G817" s="6" t="str">
        <f>IFERROR(__xludf.DUMMYFUNCTION("""COMPUTED_VALUE"""),"Bloomberg,Google,Amazon,Microsoft,ByteDance")</f>
        <v>Bloomberg,Google,Amazon,Microsoft,ByteDance</v>
      </c>
      <c r="H817" s="6" t="str">
        <f>IFERROR(__xludf.DUMMYFUNCTION("""COMPUTED_VALUE"""),"Bloomberg,Google,Amazon,Microsoft,ByteDance")</f>
        <v>Bloomberg,Google,Amazon,Microsoft,ByteDance</v>
      </c>
      <c r="I817" s="6">
        <f>IFERROR(__xludf.DUMMYFUNCTION("""COMPUTED_VALUE"""),47.59)</f>
        <v>47.59</v>
      </c>
      <c r="J817" s="6" t="str">
        <f>IFERROR(__xludf.DUMMYFUNCTION("""COMPUTED_VALUE"""),"算法")</f>
        <v>算法</v>
      </c>
    </row>
    <row r="818">
      <c r="A818" s="6">
        <f>IFERROR(__xludf.DUMMYFUNCTION("""COMPUTED_VALUE"""),1157.0)</f>
        <v>1157</v>
      </c>
      <c r="B818" s="53" t="str">
        <f>IFERROR(__xludf.DUMMYFUNCTION("""COMPUTED_VALUE"""),"Online Majority Element In Subarray")</f>
        <v>Online Majority Element In Subarray</v>
      </c>
      <c r="C818" s="6" t="str">
        <f>IFERROR(__xludf.DUMMYFUNCTION("""COMPUTED_VALUE"""),"Hard")</f>
        <v>Hard</v>
      </c>
      <c r="D818" s="6" t="str">
        <f>IFERROR(__xludf.DUMMYFUNCTION("""COMPUTED_VALUE"""),"Segment Tree,Binary Search,Array")</f>
        <v>Segment Tree,Binary Search,Array</v>
      </c>
      <c r="E818" s="6" t="str">
        <f>IFERROR(__xludf.DUMMYFUNCTION("""COMPUTED_VALUE"""),"Nutanix,Google")</f>
        <v>Nutanix,Google</v>
      </c>
      <c r="F818" s="6"/>
      <c r="G818" s="6"/>
      <c r="H818" s="6" t="str">
        <f>IFERROR(__xludf.DUMMYFUNCTION("""COMPUTED_VALUE"""),"Google,Nutanix")</f>
        <v>Google,Nutanix</v>
      </c>
      <c r="I818" s="6">
        <f>IFERROR(__xludf.DUMMYFUNCTION("""COMPUTED_VALUE"""),39.82)</f>
        <v>39.82</v>
      </c>
      <c r="J818" s="6" t="str">
        <f>IFERROR(__xludf.DUMMYFUNCTION("""COMPUTED_VALUE"""),"算法")</f>
        <v>算法</v>
      </c>
    </row>
    <row r="819">
      <c r="A819" s="6">
        <f>IFERROR(__xludf.DUMMYFUNCTION("""COMPUTED_VALUE"""),1161.0)</f>
        <v>1161</v>
      </c>
      <c r="B819" s="53" t="str">
        <f>IFERROR(__xludf.DUMMYFUNCTION("""COMPUTED_VALUE"""),"Maximum Level Sum of a Binary Tree")</f>
        <v>Maximum Level Sum of a Binary Tree</v>
      </c>
      <c r="C819" s="6" t="str">
        <f>IFERROR(__xludf.DUMMYFUNCTION("""COMPUTED_VALUE"""),"Medium")</f>
        <v>Medium</v>
      </c>
      <c r="D819" s="6" t="str">
        <f>IFERROR(__xludf.DUMMYFUNCTION("""COMPUTED_VALUE"""),"Breadth First Search,Tree,Graph")</f>
        <v>Breadth First Search,Tree,Graph</v>
      </c>
      <c r="E819" s="6" t="str">
        <f>IFERROR(__xludf.DUMMYFUNCTION("""COMPUTED_VALUE"""),"Amazon,Google")</f>
        <v>Amazon,Google</v>
      </c>
      <c r="F819" s="6"/>
      <c r="G819" s="6" t="str">
        <f>IFERROR(__xludf.DUMMYFUNCTION("""COMPUTED_VALUE"""),"Amazon")</f>
        <v>Amazon</v>
      </c>
      <c r="H819" s="6" t="str">
        <f>IFERROR(__xludf.DUMMYFUNCTION("""COMPUTED_VALUE"""),"Google,Amazon")</f>
        <v>Google,Amazon</v>
      </c>
      <c r="I819" s="6">
        <f>IFERROR(__xludf.DUMMYFUNCTION("""COMPUTED_VALUE"""),69.24)</f>
        <v>69.24</v>
      </c>
      <c r="J819" s="6" t="str">
        <f>IFERROR(__xludf.DUMMYFUNCTION("""COMPUTED_VALUE"""),"算法")</f>
        <v>算法</v>
      </c>
    </row>
    <row r="820">
      <c r="A820" s="6">
        <f>IFERROR(__xludf.DUMMYFUNCTION("""COMPUTED_VALUE"""),1162.0)</f>
        <v>1162</v>
      </c>
      <c r="B820" s="53" t="str">
        <f>IFERROR(__xludf.DUMMYFUNCTION("""COMPUTED_VALUE"""),"As Far from Land as Possible")</f>
        <v>As Far from Land as Possible</v>
      </c>
      <c r="C820" s="6" t="str">
        <f>IFERROR(__xludf.DUMMYFUNCTION("""COMPUTED_VALUE"""),"Medium")</f>
        <v>Medium</v>
      </c>
      <c r="D820" s="6" t="str">
        <f>IFERROR(__xludf.DUMMYFUNCTION("""COMPUTED_VALUE"""),"Graph,Breadth First Search")</f>
        <v>Graph,Breadth First Search</v>
      </c>
      <c r="E820" s="6" t="str">
        <f>IFERROR(__xludf.DUMMYFUNCTION("""COMPUTED_VALUE"""),"UiPath,Facebook,Google,Uipath,Amazon")</f>
        <v>UiPath,Facebook,Google,Uipath,Amazon</v>
      </c>
      <c r="F820" s="6"/>
      <c r="G820" s="6" t="str">
        <f>IFERROR(__xludf.DUMMYFUNCTION("""COMPUTED_VALUE"""),"Facebook,Google")</f>
        <v>Facebook,Google</v>
      </c>
      <c r="H820" s="6" t="str">
        <f>IFERROR(__xludf.DUMMYFUNCTION("""COMPUTED_VALUE"""),"Amazon,UiPath,Facebook,Google")</f>
        <v>Amazon,UiPath,Facebook,Google</v>
      </c>
      <c r="I820" s="6">
        <f>IFERROR(__xludf.DUMMYFUNCTION("""COMPUTED_VALUE"""),45.5)</f>
        <v>45.5</v>
      </c>
      <c r="J820" s="6" t="str">
        <f>IFERROR(__xludf.DUMMYFUNCTION("""COMPUTED_VALUE"""),"算法")</f>
        <v>算法</v>
      </c>
    </row>
    <row r="821">
      <c r="A821" s="6">
        <f>IFERROR(__xludf.DUMMYFUNCTION("""COMPUTED_VALUE"""),1165.0)</f>
        <v>1165</v>
      </c>
      <c r="B821" s="53" t="str">
        <f>IFERROR(__xludf.DUMMYFUNCTION("""COMPUTED_VALUE"""),"Single-Row Keyboard")</f>
        <v>Single-Row Keyboard</v>
      </c>
      <c r="C821" s="6" t="str">
        <f>IFERROR(__xludf.DUMMYFUNCTION("""COMPUTED_VALUE"""),"Easy")</f>
        <v>Easy</v>
      </c>
      <c r="D821" s="6" t="str">
        <f>IFERROR(__xludf.DUMMYFUNCTION("""COMPUTED_VALUE"""),"String")</f>
        <v>String</v>
      </c>
      <c r="E821" s="6" t="str">
        <f>IFERROR(__xludf.DUMMYFUNCTION("""COMPUTED_VALUE"""),"Google")</f>
        <v>Google</v>
      </c>
      <c r="F821" s="6"/>
      <c r="G821" s="6"/>
      <c r="H821" s="6" t="str">
        <f>IFERROR(__xludf.DUMMYFUNCTION("""COMPUTED_VALUE"""),"Google")</f>
        <v>Google</v>
      </c>
      <c r="I821" s="6">
        <f>IFERROR(__xludf.DUMMYFUNCTION("""COMPUTED_VALUE"""),85.47)</f>
        <v>85.47</v>
      </c>
      <c r="J821" s="6" t="str">
        <f>IFERROR(__xludf.DUMMYFUNCTION("""COMPUTED_VALUE"""),"算法")</f>
        <v>算法</v>
      </c>
    </row>
    <row r="822">
      <c r="A822" s="6">
        <f>IFERROR(__xludf.DUMMYFUNCTION("""COMPUTED_VALUE"""),1166.0)</f>
        <v>1166</v>
      </c>
      <c r="B822" s="53" t="str">
        <f>IFERROR(__xludf.DUMMYFUNCTION("""COMPUTED_VALUE"""),"Design File System")</f>
        <v>Design File System</v>
      </c>
      <c r="C822" s="6" t="str">
        <f>IFERROR(__xludf.DUMMYFUNCTION("""COMPUTED_VALUE"""),"Medium")</f>
        <v>Medium</v>
      </c>
      <c r="D822" s="6" t="str">
        <f>IFERROR(__xludf.DUMMYFUNCTION("""COMPUTED_VALUE"""),"Design,Hash Table")</f>
        <v>Design,Hash Table</v>
      </c>
      <c r="E822" s="6" t="str">
        <f>IFERROR(__xludf.DUMMYFUNCTION("""COMPUTED_VALUE"""),"Google,Airbnb,Amazon")</f>
        <v>Google,Airbnb,Amazon</v>
      </c>
      <c r="F822" s="6" t="str">
        <f>IFERROR(__xludf.DUMMYFUNCTION("""COMPUTED_VALUE"""),"Amazon")</f>
        <v>Amazon</v>
      </c>
      <c r="G822" s="6" t="str">
        <f>IFERROR(__xludf.DUMMYFUNCTION("""COMPUTED_VALUE"""),"Amazon")</f>
        <v>Amazon</v>
      </c>
      <c r="H822" s="6" t="str">
        <f>IFERROR(__xludf.DUMMYFUNCTION("""COMPUTED_VALUE"""),"Airbnb,Google,Amazon")</f>
        <v>Airbnb,Google,Amazon</v>
      </c>
      <c r="I822" s="6">
        <f>IFERROR(__xludf.DUMMYFUNCTION("""COMPUTED_VALUE"""),58.4)</f>
        <v>58.4</v>
      </c>
      <c r="J822" s="6" t="str">
        <f>IFERROR(__xludf.DUMMYFUNCTION("""COMPUTED_VALUE"""),"算法")</f>
        <v>算法</v>
      </c>
    </row>
    <row r="823">
      <c r="A823" s="6">
        <f>IFERROR(__xludf.DUMMYFUNCTION("""COMPUTED_VALUE"""),1167.0)</f>
        <v>1167</v>
      </c>
      <c r="B823" s="53" t="str">
        <f>IFERROR(__xludf.DUMMYFUNCTION("""COMPUTED_VALUE"""),"Minimum Cost to Connect Sticks")</f>
        <v>Minimum Cost to Connect Sticks</v>
      </c>
      <c r="C823" s="6" t="str">
        <f>IFERROR(__xludf.DUMMYFUNCTION("""COMPUTED_VALUE"""),"Medium")</f>
        <v>Medium</v>
      </c>
      <c r="D823" s="6" t="str">
        <f>IFERROR(__xludf.DUMMYFUNCTION("""COMPUTED_VALUE"""),"Greedy")</f>
        <v>Greedy</v>
      </c>
      <c r="E823" s="6" t="str">
        <f>IFERROR(__xludf.DUMMYFUNCTION("""COMPUTED_VALUE"""),"Amazon,Google")</f>
        <v>Amazon,Google</v>
      </c>
      <c r="F823" s="6" t="str">
        <f>IFERROR(__xludf.DUMMYFUNCTION("""COMPUTED_VALUE"""),"Amazon")</f>
        <v>Amazon</v>
      </c>
      <c r="G823" s="6" t="str">
        <f>IFERROR(__xludf.DUMMYFUNCTION("""COMPUTED_VALUE"""),"Amazon")</f>
        <v>Amazon</v>
      </c>
      <c r="H823" s="6" t="str">
        <f>IFERROR(__xludf.DUMMYFUNCTION("""COMPUTED_VALUE"""),"Google,Amazon")</f>
        <v>Google,Amazon</v>
      </c>
      <c r="I823" s="6">
        <f>IFERROR(__xludf.DUMMYFUNCTION("""COMPUTED_VALUE"""),64.56)</f>
        <v>64.56</v>
      </c>
      <c r="J823" s="6" t="str">
        <f>IFERROR(__xludf.DUMMYFUNCTION("""COMPUTED_VALUE"""),"算法")</f>
        <v>算法</v>
      </c>
    </row>
    <row r="824">
      <c r="A824" s="6">
        <f>IFERROR(__xludf.DUMMYFUNCTION("""COMPUTED_VALUE"""),1168.0)</f>
        <v>1168</v>
      </c>
      <c r="B824" s="53" t="str">
        <f>IFERROR(__xludf.DUMMYFUNCTION("""COMPUTED_VALUE"""),"Optimize Water Distribution in a Village")</f>
        <v>Optimize Water Distribution in a Village</v>
      </c>
      <c r="C824" s="6" t="str">
        <f>IFERROR(__xludf.DUMMYFUNCTION("""COMPUTED_VALUE"""),"Hard")</f>
        <v>Hard</v>
      </c>
      <c r="D824" s="6" t="str">
        <f>IFERROR(__xludf.DUMMYFUNCTION("""COMPUTED_VALUE"""),"Graph,Union Find")</f>
        <v>Graph,Union Find</v>
      </c>
      <c r="E824" s="6" t="str">
        <f>IFERROR(__xludf.DUMMYFUNCTION("""COMPUTED_VALUE"""),"Facebook,Yahoo,Google")</f>
        <v>Facebook,Yahoo,Google</v>
      </c>
      <c r="F824" s="6"/>
      <c r="G824" s="6"/>
      <c r="H824" s="6" t="str">
        <f>IFERROR(__xludf.DUMMYFUNCTION("""COMPUTED_VALUE"""),"Google,Facebook,Yahoo")</f>
        <v>Google,Facebook,Yahoo</v>
      </c>
      <c r="I824" s="6">
        <f>IFERROR(__xludf.DUMMYFUNCTION("""COMPUTED_VALUE"""),61.08)</f>
        <v>61.08</v>
      </c>
      <c r="J824" s="6" t="str">
        <f>IFERROR(__xludf.DUMMYFUNCTION("""COMPUTED_VALUE"""),"算法")</f>
        <v>算法</v>
      </c>
    </row>
    <row r="825">
      <c r="A825" s="6">
        <f>IFERROR(__xludf.DUMMYFUNCTION("""COMPUTED_VALUE"""),1170.0)</f>
        <v>1170</v>
      </c>
      <c r="B825" s="53" t="str">
        <f>IFERROR(__xludf.DUMMYFUNCTION("""COMPUTED_VALUE"""),"Compare Strings by Frequency of the Smallest Character")</f>
        <v>Compare Strings by Frequency of the Smallest Character</v>
      </c>
      <c r="C825" s="6" t="str">
        <f>IFERROR(__xludf.DUMMYFUNCTION("""COMPUTED_VALUE"""),"Medium")</f>
        <v>Medium</v>
      </c>
      <c r="D825" s="6" t="str">
        <f>IFERROR(__xludf.DUMMYFUNCTION("""COMPUTED_VALUE"""),"Binary Search,String,Array")</f>
        <v>Binary Search,String,Array</v>
      </c>
      <c r="E825" s="6" t="str">
        <f>IFERROR(__xludf.DUMMYFUNCTION("""COMPUTED_VALUE"""),"Amazon,Oracle,Google")</f>
        <v>Amazon,Oracle,Google</v>
      </c>
      <c r="F825" s="6"/>
      <c r="G825" s="6" t="str">
        <f>IFERROR(__xludf.DUMMYFUNCTION("""COMPUTED_VALUE"""),"Google")</f>
        <v>Google</v>
      </c>
      <c r="H825" s="6" t="str">
        <f>IFERROR(__xludf.DUMMYFUNCTION("""COMPUTED_VALUE"""),"Oracle,Amazon,Google")</f>
        <v>Oracle,Amazon,Google</v>
      </c>
      <c r="I825" s="6">
        <f>IFERROR(__xludf.DUMMYFUNCTION("""COMPUTED_VALUE"""),60.08)</f>
        <v>60.08</v>
      </c>
      <c r="J825" s="6" t="str">
        <f>IFERROR(__xludf.DUMMYFUNCTION("""COMPUTED_VALUE"""),"算法")</f>
        <v>算法</v>
      </c>
    </row>
    <row r="826">
      <c r="A826" s="6">
        <f>IFERROR(__xludf.DUMMYFUNCTION("""COMPUTED_VALUE"""),1179.0)</f>
        <v>1179</v>
      </c>
      <c r="B826" s="53" t="str">
        <f>IFERROR(__xludf.DUMMYFUNCTION("""COMPUTED_VALUE"""),"Reformat Department Table")</f>
        <v>Reformat Department Table</v>
      </c>
      <c r="C826" s="6" t="str">
        <f>IFERROR(__xludf.DUMMYFUNCTION("""COMPUTED_VALUE"""),"Easy")</f>
        <v>Easy</v>
      </c>
      <c r="D826" s="6"/>
      <c r="E826" s="6" t="str">
        <f>IFERROR(__xludf.DUMMYFUNCTION("""COMPUTED_VALUE"""),"Amazon,Google")</f>
        <v>Amazon,Google</v>
      </c>
      <c r="F826" s="6" t="str">
        <f>IFERROR(__xludf.DUMMYFUNCTION("""COMPUTED_VALUE"""),"Amazon")</f>
        <v>Amazon</v>
      </c>
      <c r="G826" s="6" t="str">
        <f>IFERROR(__xludf.DUMMYFUNCTION("""COMPUTED_VALUE"""),"Amazon")</f>
        <v>Amazon</v>
      </c>
      <c r="H826" s="6" t="str">
        <f>IFERROR(__xludf.DUMMYFUNCTION("""COMPUTED_VALUE"""),"Google,Amazon")</f>
        <v>Google,Amazon</v>
      </c>
      <c r="I826" s="6">
        <f>IFERROR(__xludf.DUMMYFUNCTION("""COMPUTED_VALUE"""),81.97)</f>
        <v>81.97</v>
      </c>
      <c r="J826" s="6" t="str">
        <f>IFERROR(__xludf.DUMMYFUNCTION("""COMPUTED_VALUE"""),"数据库")</f>
        <v>数据库</v>
      </c>
    </row>
    <row r="827">
      <c r="A827" s="6">
        <f>IFERROR(__xludf.DUMMYFUNCTION("""COMPUTED_VALUE"""),1182.0)</f>
        <v>1182</v>
      </c>
      <c r="B827" s="53" t="str">
        <f>IFERROR(__xludf.DUMMYFUNCTION("""COMPUTED_VALUE"""),"Shortest Distance to Target Color")</f>
        <v>Shortest Distance to Target Color</v>
      </c>
      <c r="C827" s="6" t="str">
        <f>IFERROR(__xludf.DUMMYFUNCTION("""COMPUTED_VALUE"""),"Medium")</f>
        <v>Medium</v>
      </c>
      <c r="D827" s="6" t="str">
        <f>IFERROR(__xludf.DUMMYFUNCTION("""COMPUTED_VALUE"""),"Binary Search")</f>
        <v>Binary Search</v>
      </c>
      <c r="E827" s="6" t="str">
        <f>IFERROR(__xludf.DUMMYFUNCTION("""COMPUTED_VALUE"""),"Google")</f>
        <v>Google</v>
      </c>
      <c r="F827" s="6"/>
      <c r="G827" s="6"/>
      <c r="H827" s="6" t="str">
        <f>IFERROR(__xludf.DUMMYFUNCTION("""COMPUTED_VALUE"""),"Google")</f>
        <v>Google</v>
      </c>
      <c r="I827" s="6">
        <f>IFERROR(__xludf.DUMMYFUNCTION("""COMPUTED_VALUE"""),53.45)</f>
        <v>53.45</v>
      </c>
      <c r="J827" s="6" t="str">
        <f>IFERROR(__xludf.DUMMYFUNCTION("""COMPUTED_VALUE"""),"算法")</f>
        <v>算法</v>
      </c>
    </row>
    <row r="828">
      <c r="A828" s="6">
        <f>IFERROR(__xludf.DUMMYFUNCTION("""COMPUTED_VALUE"""),1184.0)</f>
        <v>1184</v>
      </c>
      <c r="B828" s="53" t="str">
        <f>IFERROR(__xludf.DUMMYFUNCTION("""COMPUTED_VALUE"""),"Distance Between Bus Stops")</f>
        <v>Distance Between Bus Stops</v>
      </c>
      <c r="C828" s="6" t="str">
        <f>IFERROR(__xludf.DUMMYFUNCTION("""COMPUTED_VALUE"""),"Easy")</f>
        <v>Easy</v>
      </c>
      <c r="D828" s="6" t="str">
        <f>IFERROR(__xludf.DUMMYFUNCTION("""COMPUTED_VALUE"""),"Array")</f>
        <v>Array</v>
      </c>
      <c r="E828" s="6" t="str">
        <f>IFERROR(__xludf.DUMMYFUNCTION("""COMPUTED_VALUE"""),"Google")</f>
        <v>Google</v>
      </c>
      <c r="F828" s="6"/>
      <c r="G828" s="6"/>
      <c r="H828" s="6" t="str">
        <f>IFERROR(__xludf.DUMMYFUNCTION("""COMPUTED_VALUE"""),"Google")</f>
        <v>Google</v>
      </c>
      <c r="I828" s="6">
        <f>IFERROR(__xludf.DUMMYFUNCTION("""COMPUTED_VALUE"""),53.98)</f>
        <v>53.98</v>
      </c>
      <c r="J828" s="6" t="str">
        <f>IFERROR(__xludf.DUMMYFUNCTION("""COMPUTED_VALUE"""),"算法")</f>
        <v>算法</v>
      </c>
    </row>
    <row r="829">
      <c r="A829" s="6">
        <f>IFERROR(__xludf.DUMMYFUNCTION("""COMPUTED_VALUE"""),1192.0)</f>
        <v>1192</v>
      </c>
      <c r="B829" s="53" t="str">
        <f>IFERROR(__xludf.DUMMYFUNCTION("""COMPUTED_VALUE"""),"Critical Connections in a Network")</f>
        <v>Critical Connections in a Network</v>
      </c>
      <c r="C829" s="6" t="str">
        <f>IFERROR(__xludf.DUMMYFUNCTION("""COMPUTED_VALUE"""),"Hard")</f>
        <v>Hard</v>
      </c>
      <c r="D829" s="6" t="str">
        <f>IFERROR(__xludf.DUMMYFUNCTION("""COMPUTED_VALUE"""),"Depth First Search")</f>
        <v>Depth First Search</v>
      </c>
      <c r="E829" s="6" t="str">
        <f>IFERROR(__xludf.DUMMYFUNCTION("""COMPUTED_VALUE"""),"VMware,Adobe,Amazon,Microsoft,Google")</f>
        <v>VMware,Adobe,Amazon,Microsoft,Google</v>
      </c>
      <c r="F829" s="6" t="str">
        <f>IFERROR(__xludf.DUMMYFUNCTION("""COMPUTED_VALUE"""),"Amazon,Adobe")</f>
        <v>Amazon,Adobe</v>
      </c>
      <c r="G829" s="6" t="str">
        <f>IFERROR(__xludf.DUMMYFUNCTION("""COMPUTED_VALUE"""),"Google,VMware,Amazon,Adobe")</f>
        <v>Google,VMware,Amazon,Adobe</v>
      </c>
      <c r="H829" s="6" t="str">
        <f>IFERROR(__xludf.DUMMYFUNCTION("""COMPUTED_VALUE"""),"Microsoft,Google,VMware,Amazon,Adobe")</f>
        <v>Microsoft,Google,VMware,Amazon,Adobe</v>
      </c>
      <c r="I829" s="6">
        <f>IFERROR(__xludf.DUMMYFUNCTION("""COMPUTED_VALUE"""),50.2)</f>
        <v>50.2</v>
      </c>
      <c r="J829" s="6" t="str">
        <f>IFERROR(__xludf.DUMMYFUNCTION("""COMPUTED_VALUE"""),"算法")</f>
        <v>算法</v>
      </c>
    </row>
    <row r="830">
      <c r="A830" s="6">
        <f>IFERROR(__xludf.DUMMYFUNCTION("""COMPUTED_VALUE"""),1197.0)</f>
        <v>1197</v>
      </c>
      <c r="B830" s="53" t="str">
        <f>IFERROR(__xludf.DUMMYFUNCTION("""COMPUTED_VALUE"""),"Minimum Knight Moves")</f>
        <v>Minimum Knight Moves</v>
      </c>
      <c r="C830" s="6" t="str">
        <f>IFERROR(__xludf.DUMMYFUNCTION("""COMPUTED_VALUE"""),"Medium")</f>
        <v>Medium</v>
      </c>
      <c r="D830" s="6" t="str">
        <f>IFERROR(__xludf.DUMMYFUNCTION("""COMPUTED_VALUE"""),"Breadth First Search")</f>
        <v>Breadth First Search</v>
      </c>
      <c r="E830" s="6" t="str">
        <f>IFERROR(__xludf.DUMMYFUNCTION("""COMPUTED_VALUE"""),"Indeed,DoorDash,Qualtrics,ByteDance,Expedia,Cisco,Mathworks,Oracle,Apple,Facebook,Amazon,Microsoft,Google")</f>
        <v>Indeed,DoorDash,Qualtrics,ByteDance,Expedia,Cisco,Mathworks,Oracle,Apple,Facebook,Amazon,Microsoft,Google</v>
      </c>
      <c r="F830" s="6" t="str">
        <f>IFERROR(__xludf.DUMMYFUNCTION("""COMPUTED_VALUE"""),"Expedia,DoorDash,Facebook,Mathworks,Amazon,Google,Indeed,Microsoft,ByteDance,Qualtrics,Cisco")</f>
        <v>Expedia,DoorDash,Facebook,Mathworks,Amazon,Google,Indeed,Microsoft,ByteDance,Qualtrics,Cisco</v>
      </c>
      <c r="G830" s="6" t="str">
        <f>IFERROR(__xludf.DUMMYFUNCTION("""COMPUTED_VALUE"""),"Apple,Expedia,DoorDash,Facebook,Mathworks,Amazon,Google,Indeed,Microsoft,ByteDance,Qualtrics,Cisco")</f>
        <v>Apple,Expedia,DoorDash,Facebook,Mathworks,Amazon,Google,Indeed,Microsoft,ByteDance,Qualtrics,Cisco</v>
      </c>
      <c r="H830" s="6" t="str">
        <f>IFERROR(__xludf.DUMMYFUNCTION("""COMPUTED_VALUE"""),"Oracle,Apple,Expedia,DoorDash,Facebook,Mathworks,Amazon,Google,Indeed,Microsoft,ByteDance,Qualtrics,Cisco")</f>
        <v>Oracle,Apple,Expedia,DoorDash,Facebook,Mathworks,Amazon,Google,Indeed,Microsoft,ByteDance,Qualtrics,Cisco</v>
      </c>
      <c r="I830" s="6">
        <f>IFERROR(__xludf.DUMMYFUNCTION("""COMPUTED_VALUE"""),37.33)</f>
        <v>37.33</v>
      </c>
      <c r="J830" s="6" t="str">
        <f>IFERROR(__xludf.DUMMYFUNCTION("""COMPUTED_VALUE"""),"算法")</f>
        <v>算法</v>
      </c>
    </row>
    <row r="831">
      <c r="A831" s="6">
        <f>IFERROR(__xludf.DUMMYFUNCTION("""COMPUTED_VALUE"""),1199.0)</f>
        <v>1199</v>
      </c>
      <c r="B831" s="53" t="str">
        <f>IFERROR(__xludf.DUMMYFUNCTION("""COMPUTED_VALUE"""),"Minimum Time to Build Blocks")</f>
        <v>Minimum Time to Build Blocks</v>
      </c>
      <c r="C831" s="6" t="str">
        <f>IFERROR(__xludf.DUMMYFUNCTION("""COMPUTED_VALUE"""),"Hard")</f>
        <v>Hard</v>
      </c>
      <c r="D831" s="6" t="str">
        <f>IFERROR(__xludf.DUMMYFUNCTION("""COMPUTED_VALUE"""),"Dynamic Programming,Math")</f>
        <v>Dynamic Programming,Math</v>
      </c>
      <c r="E831" s="6" t="str">
        <f>IFERROR(__xludf.DUMMYFUNCTION("""COMPUTED_VALUE"""),"Google")</f>
        <v>Google</v>
      </c>
      <c r="F831" s="6"/>
      <c r="G831" s="6"/>
      <c r="H831" s="6" t="str">
        <f>IFERROR(__xludf.DUMMYFUNCTION("""COMPUTED_VALUE"""),"Google")</f>
        <v>Google</v>
      </c>
      <c r="I831" s="6">
        <f>IFERROR(__xludf.DUMMYFUNCTION("""COMPUTED_VALUE"""),38.75)</f>
        <v>38.75</v>
      </c>
      <c r="J831" s="6" t="str">
        <f>IFERROR(__xludf.DUMMYFUNCTION("""COMPUTED_VALUE"""),"算法")</f>
        <v>算法</v>
      </c>
    </row>
    <row r="832">
      <c r="A832" s="6">
        <f>IFERROR(__xludf.DUMMYFUNCTION("""COMPUTED_VALUE"""),1203.0)</f>
        <v>1203</v>
      </c>
      <c r="B832" s="53" t="str">
        <f>IFERROR(__xludf.DUMMYFUNCTION("""COMPUTED_VALUE"""),"Sort Items by Groups Respecting Dependencies")</f>
        <v>Sort Items by Groups Respecting Dependencies</v>
      </c>
      <c r="C832" s="6" t="str">
        <f>IFERROR(__xludf.DUMMYFUNCTION("""COMPUTED_VALUE"""),"Hard")</f>
        <v>Hard</v>
      </c>
      <c r="D832" s="6" t="str">
        <f>IFERROR(__xludf.DUMMYFUNCTION("""COMPUTED_VALUE"""),"Topological Sort,Graph,Depth First Search")</f>
        <v>Topological Sort,Graph,Depth First Search</v>
      </c>
      <c r="E832" s="6" t="str">
        <f>IFERROR(__xludf.DUMMYFUNCTION("""COMPUTED_VALUE"""),"Google")</f>
        <v>Google</v>
      </c>
      <c r="F832" s="6"/>
      <c r="G832" s="6" t="str">
        <f>IFERROR(__xludf.DUMMYFUNCTION("""COMPUTED_VALUE"""),"Google")</f>
        <v>Google</v>
      </c>
      <c r="H832" s="6" t="str">
        <f>IFERROR(__xludf.DUMMYFUNCTION("""COMPUTED_VALUE"""),"Google")</f>
        <v>Google</v>
      </c>
      <c r="I832" s="6">
        <f>IFERROR(__xludf.DUMMYFUNCTION("""COMPUTED_VALUE"""),48.29)</f>
        <v>48.29</v>
      </c>
      <c r="J832" s="6" t="str">
        <f>IFERROR(__xludf.DUMMYFUNCTION("""COMPUTED_VALUE"""),"算法")</f>
        <v>算法</v>
      </c>
    </row>
    <row r="833">
      <c r="A833" s="6">
        <f>IFERROR(__xludf.DUMMYFUNCTION("""COMPUTED_VALUE"""),1206.0)</f>
        <v>1206</v>
      </c>
      <c r="B833" s="53" t="str">
        <f>IFERROR(__xludf.DUMMYFUNCTION("""COMPUTED_VALUE"""),"Design Skiplist")</f>
        <v>Design Skiplist</v>
      </c>
      <c r="C833" s="6" t="str">
        <f>IFERROR(__xludf.DUMMYFUNCTION("""COMPUTED_VALUE"""),"Hard")</f>
        <v>Hard</v>
      </c>
      <c r="D833" s="6" t="str">
        <f>IFERROR(__xludf.DUMMYFUNCTION("""COMPUTED_VALUE"""),"Design")</f>
        <v>Design</v>
      </c>
      <c r="E833" s="6" t="str">
        <f>IFERROR(__xludf.DUMMYFUNCTION("""COMPUTED_VALUE"""),"Pure Storage,Twitter,EBay,Microsoft,Google")</f>
        <v>Pure Storage,Twitter,EBay,Microsoft,Google</v>
      </c>
      <c r="F833" s="6"/>
      <c r="G833" s="6" t="str">
        <f>IFERROR(__xludf.DUMMYFUNCTION("""COMPUTED_VALUE"""),"Microsoft")</f>
        <v>Microsoft</v>
      </c>
      <c r="H833" s="6" t="str">
        <f>IFERROR(__xludf.DUMMYFUNCTION("""COMPUTED_VALUE"""),"Google,Twitter,Pure Storage,eBay,Microsoft")</f>
        <v>Google,Twitter,Pure Storage,eBay,Microsoft</v>
      </c>
      <c r="I833" s="6">
        <f>IFERROR(__xludf.DUMMYFUNCTION("""COMPUTED_VALUE"""),58.88)</f>
        <v>58.88</v>
      </c>
      <c r="J833" s="6" t="str">
        <f>IFERROR(__xludf.DUMMYFUNCTION("""COMPUTED_VALUE"""),"算法")</f>
        <v>算法</v>
      </c>
    </row>
    <row r="834">
      <c r="A834" s="6">
        <f>IFERROR(__xludf.DUMMYFUNCTION("""COMPUTED_VALUE"""),1207.0)</f>
        <v>1207</v>
      </c>
      <c r="B834" s="53" t="str">
        <f>IFERROR(__xludf.DUMMYFUNCTION("""COMPUTED_VALUE"""),"Unique Number of Occurrences")</f>
        <v>Unique Number of Occurrences</v>
      </c>
      <c r="C834" s="6" t="str">
        <f>IFERROR(__xludf.DUMMYFUNCTION("""COMPUTED_VALUE"""),"Easy")</f>
        <v>Easy</v>
      </c>
      <c r="D834" s="6" t="str">
        <f>IFERROR(__xludf.DUMMYFUNCTION("""COMPUTED_VALUE"""),"Hash Table")</f>
        <v>Hash Table</v>
      </c>
      <c r="E834" s="6" t="str">
        <f>IFERROR(__xludf.DUMMYFUNCTION("""COMPUTED_VALUE"""),"Google")</f>
        <v>Google</v>
      </c>
      <c r="F834" s="6"/>
      <c r="G834" s="6"/>
      <c r="H834" s="6" t="str">
        <f>IFERROR(__xludf.DUMMYFUNCTION("""COMPUTED_VALUE"""),"Google")</f>
        <v>Google</v>
      </c>
      <c r="I834" s="6">
        <f>IFERROR(__xludf.DUMMYFUNCTION("""COMPUTED_VALUE"""),71.84)</f>
        <v>71.84</v>
      </c>
      <c r="J834" s="6" t="str">
        <f>IFERROR(__xludf.DUMMYFUNCTION("""COMPUTED_VALUE"""),"算法")</f>
        <v>算法</v>
      </c>
    </row>
    <row r="835">
      <c r="A835" s="6">
        <f>IFERROR(__xludf.DUMMYFUNCTION("""COMPUTED_VALUE"""),1209.0)</f>
        <v>1209</v>
      </c>
      <c r="B835" s="53" t="str">
        <f>IFERROR(__xludf.DUMMYFUNCTION("""COMPUTED_VALUE"""),"Remove All Adjacent Duplicates in String II")</f>
        <v>Remove All Adjacent Duplicates in String II</v>
      </c>
      <c r="C835" s="6" t="str">
        <f>IFERROR(__xludf.DUMMYFUNCTION("""COMPUTED_VALUE"""),"Medium")</f>
        <v>Medium</v>
      </c>
      <c r="D835" s="6" t="str">
        <f>IFERROR(__xludf.DUMMYFUNCTION("""COMPUTED_VALUE"""),"Stack")</f>
        <v>Stack</v>
      </c>
      <c r="E835" s="6" t="str">
        <f>IFERROR(__xludf.DUMMYFUNCTION("""COMPUTED_VALUE"""),"Roblox,Amazon,Microsoft,Goldman Sachs,FactSet,VMware,Bloomberg,Facebook,Google")</f>
        <v>Roblox,Amazon,Microsoft,Goldman Sachs,FactSet,VMware,Bloomberg,Facebook,Google</v>
      </c>
      <c r="F835" s="6" t="str">
        <f>IFERROR(__xludf.DUMMYFUNCTION("""COMPUTED_VALUE"""),"Bloomberg,Roblox,Facebook,Amazon,Google,Microsoft")</f>
        <v>Bloomberg,Roblox,Facebook,Amazon,Google,Microsoft</v>
      </c>
      <c r="G835" s="6" t="str">
        <f>IFERROR(__xludf.DUMMYFUNCTION("""COMPUTED_VALUE"""),"Goldman Sachs,Bloomberg,Roblox,Facebook,Amazon,Google,Microsoft")</f>
        <v>Goldman Sachs,Bloomberg,Roblox,Facebook,Amazon,Google,Microsoft</v>
      </c>
      <c r="H835" s="6" t="str">
        <f>IFERROR(__xludf.DUMMYFUNCTION("""COMPUTED_VALUE"""),"VMware,FactSet,Goldman Sachs,Bloomberg,Roblox,Facebook,Amazon,Google,Microsoft")</f>
        <v>VMware,FactSet,Goldman Sachs,Bloomberg,Roblox,Facebook,Amazon,Google,Microsoft</v>
      </c>
      <c r="I835" s="6">
        <f>IFERROR(__xludf.DUMMYFUNCTION("""COMPUTED_VALUE"""),57.62)</f>
        <v>57.62</v>
      </c>
      <c r="J835" s="6" t="str">
        <f>IFERROR(__xludf.DUMMYFUNCTION("""COMPUTED_VALUE"""),"算法")</f>
        <v>算法</v>
      </c>
    </row>
    <row r="836">
      <c r="A836" s="6">
        <f>IFERROR(__xludf.DUMMYFUNCTION("""COMPUTED_VALUE"""),1218.0)</f>
        <v>1218</v>
      </c>
      <c r="B836" s="53" t="str">
        <f>IFERROR(__xludf.DUMMYFUNCTION("""COMPUTED_VALUE"""),"Longest Arithmetic Subsequence of Given Difference")</f>
        <v>Longest Arithmetic Subsequence of Given Difference</v>
      </c>
      <c r="C836" s="6" t="str">
        <f>IFERROR(__xludf.DUMMYFUNCTION("""COMPUTED_VALUE"""),"Medium")</f>
        <v>Medium</v>
      </c>
      <c r="D836" s="6" t="str">
        <f>IFERROR(__xludf.DUMMYFUNCTION("""COMPUTED_VALUE"""),"Hash Table,Dynamic Programming,Math")</f>
        <v>Hash Table,Dynamic Programming,Math</v>
      </c>
      <c r="E836" s="6" t="str">
        <f>IFERROR(__xludf.DUMMYFUNCTION("""COMPUTED_VALUE"""),"Google")</f>
        <v>Google</v>
      </c>
      <c r="F836" s="6"/>
      <c r="G836" s="6" t="str">
        <f>IFERROR(__xludf.DUMMYFUNCTION("""COMPUTED_VALUE"""),"Google")</f>
        <v>Google</v>
      </c>
      <c r="H836" s="6" t="str">
        <f>IFERROR(__xludf.DUMMYFUNCTION("""COMPUTED_VALUE"""),"Google")</f>
        <v>Google</v>
      </c>
      <c r="I836" s="6">
        <f>IFERROR(__xludf.DUMMYFUNCTION("""COMPUTED_VALUE"""),46.76)</f>
        <v>46.76</v>
      </c>
      <c r="J836" s="6" t="str">
        <f>IFERROR(__xludf.DUMMYFUNCTION("""COMPUTED_VALUE"""),"算法")</f>
        <v>算法</v>
      </c>
    </row>
    <row r="837">
      <c r="A837" s="6">
        <f>IFERROR(__xludf.DUMMYFUNCTION("""COMPUTED_VALUE"""),1219.0)</f>
        <v>1219</v>
      </c>
      <c r="B837" s="53" t="str">
        <f>IFERROR(__xludf.DUMMYFUNCTION("""COMPUTED_VALUE"""),"Path with Maximum Gold")</f>
        <v>Path with Maximum Gold</v>
      </c>
      <c r="C837" s="6" t="str">
        <f>IFERROR(__xludf.DUMMYFUNCTION("""COMPUTED_VALUE"""),"Medium")</f>
        <v>Medium</v>
      </c>
      <c r="D837" s="6" t="str">
        <f>IFERROR(__xludf.DUMMYFUNCTION("""COMPUTED_VALUE"""),"Backtracking")</f>
        <v>Backtracking</v>
      </c>
      <c r="E837" s="6" t="str">
        <f>IFERROR(__xludf.DUMMYFUNCTION("""COMPUTED_VALUE"""),"Goldman Sachs,Facebook,Amazon,Google")</f>
        <v>Goldman Sachs,Facebook,Amazon,Google</v>
      </c>
      <c r="F837" s="6" t="str">
        <f>IFERROR(__xludf.DUMMYFUNCTION("""COMPUTED_VALUE"""),"Google,Goldman Sachs")</f>
        <v>Google,Goldman Sachs</v>
      </c>
      <c r="G837" s="6" t="str">
        <f>IFERROR(__xludf.DUMMYFUNCTION("""COMPUTED_VALUE"""),"Amazon,Google,Goldman Sachs")</f>
        <v>Amazon,Google,Goldman Sachs</v>
      </c>
      <c r="H837" s="6" t="str">
        <f>IFERROR(__xludf.DUMMYFUNCTION("""COMPUTED_VALUE"""),"Facebook,Amazon,Google,Goldman Sachs")</f>
        <v>Facebook,Amazon,Google,Goldman Sachs</v>
      </c>
      <c r="I837" s="6">
        <f>IFERROR(__xludf.DUMMYFUNCTION("""COMPUTED_VALUE"""),65.81)</f>
        <v>65.81</v>
      </c>
      <c r="J837" s="6" t="str">
        <f>IFERROR(__xludf.DUMMYFUNCTION("""COMPUTED_VALUE"""),"算法")</f>
        <v>算法</v>
      </c>
    </row>
    <row r="838">
      <c r="A838" s="6">
        <f>IFERROR(__xludf.DUMMYFUNCTION("""COMPUTED_VALUE"""),1223.0)</f>
        <v>1223</v>
      </c>
      <c r="B838" s="53" t="str">
        <f>IFERROR(__xludf.DUMMYFUNCTION("""COMPUTED_VALUE"""),"Dice Roll Simulation")</f>
        <v>Dice Roll Simulation</v>
      </c>
      <c r="C838" s="6" t="str">
        <f>IFERROR(__xludf.DUMMYFUNCTION("""COMPUTED_VALUE"""),"Hard")</f>
        <v>Hard</v>
      </c>
      <c r="D838" s="6" t="str">
        <f>IFERROR(__xludf.DUMMYFUNCTION("""COMPUTED_VALUE"""),"Dynamic Programming")</f>
        <v>Dynamic Programming</v>
      </c>
      <c r="E838" s="6" t="str">
        <f>IFERROR(__xludf.DUMMYFUNCTION("""COMPUTED_VALUE"""),"Codenation,Citrix,Adobe,Akuna Capital,Atlassian,Bloomberg,Google")</f>
        <v>Codenation,Citrix,Adobe,Akuna Capital,Atlassian,Bloomberg,Google</v>
      </c>
      <c r="F838" s="6" t="str">
        <f>IFERROR(__xludf.DUMMYFUNCTION("""COMPUTED_VALUE"""),"Codenation")</f>
        <v>Codenation</v>
      </c>
      <c r="G838" s="6" t="str">
        <f>IFERROR(__xludf.DUMMYFUNCTION("""COMPUTED_VALUE"""),"Google,Akuna Capital,Atlassian,Adobe,Citrix,Codenation")</f>
        <v>Google,Akuna Capital,Atlassian,Adobe,Citrix,Codenation</v>
      </c>
      <c r="H838" s="6" t="str">
        <f>IFERROR(__xludf.DUMMYFUNCTION("""COMPUTED_VALUE"""),"Bloomberg,Google,Akuna Capital,Atlassian,Adobe,Citrix,Codenation")</f>
        <v>Bloomberg,Google,Akuna Capital,Atlassian,Adobe,Citrix,Codenation</v>
      </c>
      <c r="I838" s="6">
        <f>IFERROR(__xludf.DUMMYFUNCTION("""COMPUTED_VALUE"""),46.67)</f>
        <v>46.67</v>
      </c>
      <c r="J838" s="6" t="str">
        <f>IFERROR(__xludf.DUMMYFUNCTION("""COMPUTED_VALUE"""),"算法")</f>
        <v>算法</v>
      </c>
    </row>
    <row r="839">
      <c r="A839" s="6">
        <f>IFERROR(__xludf.DUMMYFUNCTION("""COMPUTED_VALUE"""),1229.0)</f>
        <v>1229</v>
      </c>
      <c r="B839" s="53" t="str">
        <f>IFERROR(__xludf.DUMMYFUNCTION("""COMPUTED_VALUE"""),"Meeting Scheduler")</f>
        <v>Meeting Scheduler</v>
      </c>
      <c r="C839" s="6" t="str">
        <f>IFERROR(__xludf.DUMMYFUNCTION("""COMPUTED_VALUE"""),"Medium")</f>
        <v>Medium</v>
      </c>
      <c r="D839" s="6" t="str">
        <f>IFERROR(__xludf.DUMMYFUNCTION("""COMPUTED_VALUE"""),"Sort,Two Pointers,Line Sweep")</f>
        <v>Sort,Two Pointers,Line Sweep</v>
      </c>
      <c r="E839" s="6" t="str">
        <f>IFERROR(__xludf.DUMMYFUNCTION("""COMPUTED_VALUE"""),"Oracle,Bloomberg,Microsoft,Pramp,DoorDash,Paypal,Apple,Uber,Amazon,Google")</f>
        <v>Oracle,Bloomberg,Microsoft,Pramp,DoorDash,Paypal,Apple,Uber,Amazon,Google</v>
      </c>
      <c r="F839" s="6" t="str">
        <f>IFERROR(__xludf.DUMMYFUNCTION("""COMPUTED_VALUE"""),"Amazon,DoorDash,Apple")</f>
        <v>Amazon,DoorDash,Apple</v>
      </c>
      <c r="G839" s="6" t="str">
        <f>IFERROR(__xludf.DUMMYFUNCTION("""COMPUTED_VALUE"""),"Google,Microsoft,Amazon,DoorDash,Apple")</f>
        <v>Google,Microsoft,Amazon,DoorDash,Apple</v>
      </c>
      <c r="H839" s="6" t="str">
        <f>IFERROR(__xludf.DUMMYFUNCTION("""COMPUTED_VALUE"""),"Uber,Oracle,Bloomberg,Paypal,Pramp,Google,Microsoft,Amazon,DoorDash,Apple")</f>
        <v>Uber,Oracle,Bloomberg,Paypal,Pramp,Google,Microsoft,Amazon,DoorDash,Apple</v>
      </c>
      <c r="I839" s="6">
        <f>IFERROR(__xludf.DUMMYFUNCTION("""COMPUTED_VALUE"""),54.34)</f>
        <v>54.34</v>
      </c>
      <c r="J839" s="6" t="str">
        <f>IFERROR(__xludf.DUMMYFUNCTION("""COMPUTED_VALUE"""),"算法")</f>
        <v>算法</v>
      </c>
    </row>
    <row r="840">
      <c r="A840" s="6">
        <f>IFERROR(__xludf.DUMMYFUNCTION("""COMPUTED_VALUE"""),1231.0)</f>
        <v>1231</v>
      </c>
      <c r="B840" s="53" t="str">
        <f>IFERROR(__xludf.DUMMYFUNCTION("""COMPUTED_VALUE"""),"Divide Chocolate")</f>
        <v>Divide Chocolate</v>
      </c>
      <c r="C840" s="6" t="str">
        <f>IFERROR(__xludf.DUMMYFUNCTION("""COMPUTED_VALUE"""),"Hard")</f>
        <v>Hard</v>
      </c>
      <c r="D840" s="6" t="str">
        <f>IFERROR(__xludf.DUMMYFUNCTION("""COMPUTED_VALUE"""),"Greedy,Binary Search")</f>
        <v>Greedy,Binary Search</v>
      </c>
      <c r="E840" s="6" t="str">
        <f>IFERROR(__xludf.DUMMYFUNCTION("""COMPUTED_VALUE"""),"Google")</f>
        <v>Google</v>
      </c>
      <c r="F840" s="6"/>
      <c r="G840" s="6" t="str">
        <f>IFERROR(__xludf.DUMMYFUNCTION("""COMPUTED_VALUE"""),"Google")</f>
        <v>Google</v>
      </c>
      <c r="H840" s="6" t="str">
        <f>IFERROR(__xludf.DUMMYFUNCTION("""COMPUTED_VALUE"""),"Google")</f>
        <v>Google</v>
      </c>
      <c r="I840" s="6">
        <f>IFERROR(__xludf.DUMMYFUNCTION("""COMPUTED_VALUE"""),53.59)</f>
        <v>53.59</v>
      </c>
      <c r="J840" s="6" t="str">
        <f>IFERROR(__xludf.DUMMYFUNCTION("""COMPUTED_VALUE"""),"算法")</f>
        <v>算法</v>
      </c>
    </row>
    <row r="841">
      <c r="A841" s="6">
        <f>IFERROR(__xludf.DUMMYFUNCTION("""COMPUTED_VALUE"""),1233.0)</f>
        <v>1233</v>
      </c>
      <c r="B841" s="53" t="str">
        <f>IFERROR(__xludf.DUMMYFUNCTION("""COMPUTED_VALUE"""),"Remove Sub-Folders from the Filesystem")</f>
        <v>Remove Sub-Folders from the Filesystem</v>
      </c>
      <c r="C841" s="6" t="str">
        <f>IFERROR(__xludf.DUMMYFUNCTION("""COMPUTED_VALUE"""),"Medium")</f>
        <v>Medium</v>
      </c>
      <c r="D841" s="6" t="str">
        <f>IFERROR(__xludf.DUMMYFUNCTION("""COMPUTED_VALUE"""),"String,Array")</f>
        <v>String,Array</v>
      </c>
      <c r="E841" s="6" t="str">
        <f>IFERROR(__xludf.DUMMYFUNCTION("""COMPUTED_VALUE"""),"Apple,Facebook,Amazon,Google")</f>
        <v>Apple,Facebook,Amazon,Google</v>
      </c>
      <c r="F841" s="6" t="str">
        <f>IFERROR(__xludf.DUMMYFUNCTION("""COMPUTED_VALUE"""),"Facebook")</f>
        <v>Facebook</v>
      </c>
      <c r="G841" s="6" t="str">
        <f>IFERROR(__xludf.DUMMYFUNCTION("""COMPUTED_VALUE"""),"Amazon,Apple,Facebook")</f>
        <v>Amazon,Apple,Facebook</v>
      </c>
      <c r="H841" s="6" t="str">
        <f>IFERROR(__xludf.DUMMYFUNCTION("""COMPUTED_VALUE"""),"Google,Amazon,Apple,Facebook")</f>
        <v>Google,Amazon,Apple,Facebook</v>
      </c>
      <c r="I841" s="6">
        <f>IFERROR(__xludf.DUMMYFUNCTION("""COMPUTED_VALUE"""),62.21)</f>
        <v>62.21</v>
      </c>
      <c r="J841" s="6" t="str">
        <f>IFERROR(__xludf.DUMMYFUNCTION("""COMPUTED_VALUE"""),"算法")</f>
        <v>算法</v>
      </c>
    </row>
    <row r="842">
      <c r="A842" s="6">
        <f>IFERROR(__xludf.DUMMYFUNCTION("""COMPUTED_VALUE"""),1235.0)</f>
        <v>1235</v>
      </c>
      <c r="B842" s="53" t="str">
        <f>IFERROR(__xludf.DUMMYFUNCTION("""COMPUTED_VALUE"""),"Maximum Profit in Job Scheduling")</f>
        <v>Maximum Profit in Job Scheduling</v>
      </c>
      <c r="C842" s="6" t="str">
        <f>IFERROR(__xludf.DUMMYFUNCTION("""COMPUTED_VALUE"""),"Hard")</f>
        <v>Hard</v>
      </c>
      <c r="D842" s="6" t="str">
        <f>IFERROR(__xludf.DUMMYFUNCTION("""COMPUTED_VALUE"""),"Sort,Dynamic Programming,Binary Search")</f>
        <v>Sort,Dynamic Programming,Binary Search</v>
      </c>
      <c r="E842" s="6" t="str">
        <f>IFERROR(__xludf.DUMMYFUNCTION("""COMPUTED_VALUE"""),"Dunzo,Arista Networks,DoorDash,Atlassian,ByteDance,Cisco,Bloomberg,Amazon,LinkedIn,Microsoft,Goldman Sachs,Pony.ai,Airbnb,Google")</f>
        <v>Dunzo,Arista Networks,DoorDash,Atlassian,ByteDance,Cisco,Bloomberg,Amazon,LinkedIn,Microsoft,Goldman Sachs,Pony.ai,Airbnb,Google</v>
      </c>
      <c r="F842" s="6" t="str">
        <f>IFERROR(__xludf.DUMMYFUNCTION("""COMPUTED_VALUE"""),"LinkedIn,Amazon,DoorDash,ByteDance,Cisco,Arista Networks,Bloomberg,Dunzo")</f>
        <v>LinkedIn,Amazon,DoorDash,ByteDance,Cisco,Arista Networks,Bloomberg,Dunzo</v>
      </c>
      <c r="G842" s="6" t="str">
        <f>IFERROR(__xludf.DUMMYFUNCTION("""COMPUTED_VALUE"""),"Google,Goldman Sachs,Atlassian,LinkedIn,Amazon,DoorDash,ByteDance,Cisco,Arista Networks,Bloomberg,Dunzo")</f>
        <v>Google,Goldman Sachs,Atlassian,LinkedIn,Amazon,DoorDash,ByteDance,Cisco,Arista Networks,Bloomberg,Dunzo</v>
      </c>
      <c r="H842" s="6" t="str">
        <f>IFERROR(__xludf.DUMMYFUNCTION("""COMPUTED_VALUE"""),"Airbnb,Microsoft,Pony.ai,Google,Goldman Sachs,Atlassian,LinkedIn,Amazon,DoorDash,ByteDance,Cisco,Arista Networks,Bloomberg,Dunzo")</f>
        <v>Airbnb,Microsoft,Pony.ai,Google,Goldman Sachs,Atlassian,LinkedIn,Amazon,DoorDash,ByteDance,Cisco,Arista Networks,Bloomberg,Dunzo</v>
      </c>
      <c r="I842" s="6">
        <f>IFERROR(__xludf.DUMMYFUNCTION("""COMPUTED_VALUE"""),47.46)</f>
        <v>47.46</v>
      </c>
      <c r="J842" s="6" t="str">
        <f>IFERROR(__xludf.DUMMYFUNCTION("""COMPUTED_VALUE"""),"算法")</f>
        <v>算法</v>
      </c>
    </row>
    <row r="843">
      <c r="A843" s="6">
        <f>IFERROR(__xludf.DUMMYFUNCTION("""COMPUTED_VALUE"""),1236.0)</f>
        <v>1236</v>
      </c>
      <c r="B843" s="53" t="str">
        <f>IFERROR(__xludf.DUMMYFUNCTION("""COMPUTED_VALUE"""),"Web Crawler")</f>
        <v>Web Crawler</v>
      </c>
      <c r="C843" s="6" t="str">
        <f>IFERROR(__xludf.DUMMYFUNCTION("""COMPUTED_VALUE"""),"Medium")</f>
        <v>Medium</v>
      </c>
      <c r="D843" s="6" t="str">
        <f>IFERROR(__xludf.DUMMYFUNCTION("""COMPUTED_VALUE"""),"Breadth First Search,Depth First Search")</f>
        <v>Breadth First Search,Depth First Search</v>
      </c>
      <c r="E843" s="6" t="str">
        <f>IFERROR(__xludf.DUMMYFUNCTION("""COMPUTED_VALUE"""),"GoDaddy,Google,Dropbox,Oracle,Facebook,Amazon,Microsoft")</f>
        <v>GoDaddy,Google,Dropbox,Oracle,Facebook,Amazon,Microsoft</v>
      </c>
      <c r="F843" s="6" t="str">
        <f>IFERROR(__xludf.DUMMYFUNCTION("""COMPUTED_VALUE"""),"Amazon")</f>
        <v>Amazon</v>
      </c>
      <c r="G843" s="6" t="str">
        <f>IFERROR(__xludf.DUMMYFUNCTION("""COMPUTED_VALUE"""),"Microsoft,Google,GoDaddy,Amazon")</f>
        <v>Microsoft,Google,GoDaddy,Amazon</v>
      </c>
      <c r="H843" s="6" t="str">
        <f>IFERROR(__xludf.DUMMYFUNCTION("""COMPUTED_VALUE"""),"Oracle,Dropbox,Facebook,Microsoft,Google,GoDaddy,Amazon")</f>
        <v>Oracle,Dropbox,Facebook,Microsoft,Google,GoDaddy,Amazon</v>
      </c>
      <c r="I843" s="6">
        <f>IFERROR(__xludf.DUMMYFUNCTION("""COMPUTED_VALUE"""),64.64)</f>
        <v>64.64</v>
      </c>
      <c r="J843" s="6" t="str">
        <f>IFERROR(__xludf.DUMMYFUNCTION("""COMPUTED_VALUE"""),"算法")</f>
        <v>算法</v>
      </c>
    </row>
    <row r="844">
      <c r="A844" s="6">
        <f>IFERROR(__xludf.DUMMYFUNCTION("""COMPUTED_VALUE"""),1237.0)</f>
        <v>1237</v>
      </c>
      <c r="B844" s="53" t="str">
        <f>IFERROR(__xludf.DUMMYFUNCTION("""COMPUTED_VALUE"""),"Find Positive Integer Solution for a Given Equation")</f>
        <v>Find Positive Integer Solution for a Given Equation</v>
      </c>
      <c r="C844" s="6" t="str">
        <f>IFERROR(__xludf.DUMMYFUNCTION("""COMPUTED_VALUE"""),"Medium")</f>
        <v>Medium</v>
      </c>
      <c r="D844" s="6" t="str">
        <f>IFERROR(__xludf.DUMMYFUNCTION("""COMPUTED_VALUE"""),"Binary Search,Math")</f>
        <v>Binary Search,Math</v>
      </c>
      <c r="E844" s="6" t="str">
        <f>IFERROR(__xludf.DUMMYFUNCTION("""COMPUTED_VALUE"""),"Google")</f>
        <v>Google</v>
      </c>
      <c r="F844" s="6"/>
      <c r="G844" s="6" t="str">
        <f>IFERROR(__xludf.DUMMYFUNCTION("""COMPUTED_VALUE"""),"Google")</f>
        <v>Google</v>
      </c>
      <c r="H844" s="6" t="str">
        <f>IFERROR(__xludf.DUMMYFUNCTION("""COMPUTED_VALUE"""),"Google")</f>
        <v>Google</v>
      </c>
      <c r="I844" s="6">
        <f>IFERROR(__xludf.DUMMYFUNCTION("""COMPUTED_VALUE"""),69.41)</f>
        <v>69.41</v>
      </c>
      <c r="J844" s="6" t="str">
        <f>IFERROR(__xludf.DUMMYFUNCTION("""COMPUTED_VALUE"""),"算法")</f>
        <v>算法</v>
      </c>
    </row>
    <row r="845">
      <c r="A845" s="6">
        <f>IFERROR(__xludf.DUMMYFUNCTION("""COMPUTED_VALUE"""),1240.0)</f>
        <v>1240</v>
      </c>
      <c r="B845" s="53" t="str">
        <f>IFERROR(__xludf.DUMMYFUNCTION("""COMPUTED_VALUE"""),"Tiling a Rectangle with the Fewest Squares")</f>
        <v>Tiling a Rectangle with the Fewest Squares</v>
      </c>
      <c r="C845" s="6" t="str">
        <f>IFERROR(__xludf.DUMMYFUNCTION("""COMPUTED_VALUE"""),"Hard")</f>
        <v>Hard</v>
      </c>
      <c r="D845" s="6" t="str">
        <f>IFERROR(__xludf.DUMMYFUNCTION("""COMPUTED_VALUE"""),"Backtracking,Dynamic Programming")</f>
        <v>Backtracking,Dynamic Programming</v>
      </c>
      <c r="E845" s="6" t="str">
        <f>IFERROR(__xludf.DUMMYFUNCTION("""COMPUTED_VALUE"""),"Google")</f>
        <v>Google</v>
      </c>
      <c r="F845" s="6" t="str">
        <f>IFERROR(__xludf.DUMMYFUNCTION("""COMPUTED_VALUE"""),"Google")</f>
        <v>Google</v>
      </c>
      <c r="G845" s="6" t="str">
        <f>IFERROR(__xludf.DUMMYFUNCTION("""COMPUTED_VALUE"""),"Google")</f>
        <v>Google</v>
      </c>
      <c r="H845" s="6" t="str">
        <f>IFERROR(__xludf.DUMMYFUNCTION("""COMPUTED_VALUE"""),"Google")</f>
        <v>Google</v>
      </c>
      <c r="I845" s="6">
        <f>IFERROR(__xludf.DUMMYFUNCTION("""COMPUTED_VALUE"""),52.61)</f>
        <v>52.61</v>
      </c>
      <c r="J845" s="6" t="str">
        <f>IFERROR(__xludf.DUMMYFUNCTION("""COMPUTED_VALUE"""),"算法")</f>
        <v>算法</v>
      </c>
    </row>
    <row r="846">
      <c r="A846" s="6">
        <f>IFERROR(__xludf.DUMMYFUNCTION("""COMPUTED_VALUE"""),1244.0)</f>
        <v>1244</v>
      </c>
      <c r="B846" s="53" t="str">
        <f>IFERROR(__xludf.DUMMYFUNCTION("""COMPUTED_VALUE"""),"Design A Leaderboard")</f>
        <v>Design A Leaderboard</v>
      </c>
      <c r="C846" s="6" t="str">
        <f>IFERROR(__xludf.DUMMYFUNCTION("""COMPUTED_VALUE"""),"Medium")</f>
        <v>Medium</v>
      </c>
      <c r="D846" s="6" t="str">
        <f>IFERROR(__xludf.DUMMYFUNCTION("""COMPUTED_VALUE"""),"Design,Sort,Hash Table")</f>
        <v>Design,Sort,Hash Table</v>
      </c>
      <c r="E846" s="6" t="str">
        <f>IFERROR(__xludf.DUMMYFUNCTION("""COMPUTED_VALUE"""),"Oracle,Amazon,Google,Wayfair,Bloomberg")</f>
        <v>Oracle,Amazon,Google,Wayfair,Bloomberg</v>
      </c>
      <c r="F846" s="6" t="str">
        <f>IFERROR(__xludf.DUMMYFUNCTION("""COMPUTED_VALUE"""),"Bloomberg,Google")</f>
        <v>Bloomberg,Google</v>
      </c>
      <c r="G846" s="6" t="str">
        <f>IFERROR(__xludf.DUMMYFUNCTION("""COMPUTED_VALUE"""),"Amazon,Bloomberg,Google")</f>
        <v>Amazon,Bloomberg,Google</v>
      </c>
      <c r="H846" s="6" t="str">
        <f>IFERROR(__xludf.DUMMYFUNCTION("""COMPUTED_VALUE"""),"Oracle,Wayfair,Amazon,Bloomberg,Google")</f>
        <v>Oracle,Wayfair,Amazon,Bloomberg,Google</v>
      </c>
      <c r="I846" s="6">
        <f>IFERROR(__xludf.DUMMYFUNCTION("""COMPUTED_VALUE"""),66.2)</f>
        <v>66.2</v>
      </c>
      <c r="J846" s="6" t="str">
        <f>IFERROR(__xludf.DUMMYFUNCTION("""COMPUTED_VALUE"""),"算法")</f>
        <v>算法</v>
      </c>
    </row>
    <row r="847">
      <c r="A847" s="6">
        <f>IFERROR(__xludf.DUMMYFUNCTION("""COMPUTED_VALUE"""),1245.0)</f>
        <v>1245</v>
      </c>
      <c r="B847" s="53" t="str">
        <f>IFERROR(__xludf.DUMMYFUNCTION("""COMPUTED_VALUE"""),"Tree Diameter")</f>
        <v>Tree Diameter</v>
      </c>
      <c r="C847" s="6" t="str">
        <f>IFERROR(__xludf.DUMMYFUNCTION("""COMPUTED_VALUE"""),"Medium")</f>
        <v>Medium</v>
      </c>
      <c r="D847" s="6" t="str">
        <f>IFERROR(__xludf.DUMMYFUNCTION("""COMPUTED_VALUE"""),"Breadth First Search,Depth First Search,Tree")</f>
        <v>Breadth First Search,Depth First Search,Tree</v>
      </c>
      <c r="E847" s="6" t="str">
        <f>IFERROR(__xludf.DUMMYFUNCTION("""COMPUTED_VALUE"""),"Amazon,Facebook,Google")</f>
        <v>Amazon,Facebook,Google</v>
      </c>
      <c r="F847" s="6"/>
      <c r="G847" s="6" t="str">
        <f>IFERROR(__xludf.DUMMYFUNCTION("""COMPUTED_VALUE"""),"Facebook,Google,Amazon")</f>
        <v>Facebook,Google,Amazon</v>
      </c>
      <c r="H847" s="6" t="str">
        <f>IFERROR(__xludf.DUMMYFUNCTION("""COMPUTED_VALUE"""),"Facebook,Google,Amazon")</f>
        <v>Facebook,Google,Amazon</v>
      </c>
      <c r="I847" s="6">
        <f>IFERROR(__xludf.DUMMYFUNCTION("""COMPUTED_VALUE"""),61.11)</f>
        <v>61.11</v>
      </c>
      <c r="J847" s="6" t="str">
        <f>IFERROR(__xludf.DUMMYFUNCTION("""COMPUTED_VALUE"""),"算法")</f>
        <v>算法</v>
      </c>
    </row>
    <row r="848">
      <c r="A848" s="6">
        <f>IFERROR(__xludf.DUMMYFUNCTION("""COMPUTED_VALUE"""),1254.0)</f>
        <v>1254</v>
      </c>
      <c r="B848" s="53" t="str">
        <f>IFERROR(__xludf.DUMMYFUNCTION("""COMPUTED_VALUE"""),"Number of Closed Islands")</f>
        <v>Number of Closed Islands</v>
      </c>
      <c r="C848" s="6" t="str">
        <f>IFERROR(__xludf.DUMMYFUNCTION("""COMPUTED_VALUE"""),"Medium")</f>
        <v>Medium</v>
      </c>
      <c r="D848" s="6" t="str">
        <f>IFERROR(__xludf.DUMMYFUNCTION("""COMPUTED_VALUE"""),"Depth First Search")</f>
        <v>Depth First Search</v>
      </c>
      <c r="E848" s="6" t="str">
        <f>IFERROR(__xludf.DUMMYFUNCTION("""COMPUTED_VALUE"""),"Coupang,Oracle,Apple,Uber,Facebook,Amazon,Google")</f>
        <v>Coupang,Oracle,Apple,Uber,Facebook,Amazon,Google</v>
      </c>
      <c r="F848" s="6" t="str">
        <f>IFERROR(__xludf.DUMMYFUNCTION("""COMPUTED_VALUE"""),"Google,Amazon,Oracle,Coupang,Uber")</f>
        <v>Google,Amazon,Oracle,Coupang,Uber</v>
      </c>
      <c r="G848" s="6" t="str">
        <f>IFERROR(__xludf.DUMMYFUNCTION("""COMPUTED_VALUE"""),"Facebook,Apple,Google,Amazon,Oracle,Coupang,Uber")</f>
        <v>Facebook,Apple,Google,Amazon,Oracle,Coupang,Uber</v>
      </c>
      <c r="H848" s="6" t="str">
        <f>IFERROR(__xludf.DUMMYFUNCTION("""COMPUTED_VALUE"""),"Facebook,Apple,Google,Amazon,Oracle,Coupang,Uber")</f>
        <v>Facebook,Apple,Google,Amazon,Oracle,Coupang,Uber</v>
      </c>
      <c r="I848" s="6">
        <f>IFERROR(__xludf.DUMMYFUNCTION("""COMPUTED_VALUE"""),61.7)</f>
        <v>61.7</v>
      </c>
      <c r="J848" s="6" t="str">
        <f>IFERROR(__xludf.DUMMYFUNCTION("""COMPUTED_VALUE"""),"算法")</f>
        <v>算法</v>
      </c>
    </row>
    <row r="849">
      <c r="A849" s="6">
        <f>IFERROR(__xludf.DUMMYFUNCTION("""COMPUTED_VALUE"""),1255.0)</f>
        <v>1255</v>
      </c>
      <c r="B849" s="53" t="str">
        <f>IFERROR(__xludf.DUMMYFUNCTION("""COMPUTED_VALUE"""),"Maximum Score Words Formed by Letters")</f>
        <v>Maximum Score Words Formed by Letters</v>
      </c>
      <c r="C849" s="6" t="str">
        <f>IFERROR(__xludf.DUMMYFUNCTION("""COMPUTED_VALUE"""),"Hard")</f>
        <v>Hard</v>
      </c>
      <c r="D849" s="6" t="str">
        <f>IFERROR(__xludf.DUMMYFUNCTION("""COMPUTED_VALUE"""),"Bit Manipulation")</f>
        <v>Bit Manipulation</v>
      </c>
      <c r="E849" s="6" t="str">
        <f>IFERROR(__xludf.DUMMYFUNCTION("""COMPUTED_VALUE"""),"Google,Amazon")</f>
        <v>Google,Amazon</v>
      </c>
      <c r="F849" s="6"/>
      <c r="G849" s="6" t="str">
        <f>IFERROR(__xludf.DUMMYFUNCTION("""COMPUTED_VALUE"""),"Google")</f>
        <v>Google</v>
      </c>
      <c r="H849" s="6" t="str">
        <f>IFERROR(__xludf.DUMMYFUNCTION("""COMPUTED_VALUE"""),"Amazon,Google")</f>
        <v>Amazon,Google</v>
      </c>
      <c r="I849" s="6">
        <f>IFERROR(__xludf.DUMMYFUNCTION("""COMPUTED_VALUE"""),70.02)</f>
        <v>70.02</v>
      </c>
      <c r="J849" s="6" t="str">
        <f>IFERROR(__xludf.DUMMYFUNCTION("""COMPUTED_VALUE"""),"算法")</f>
        <v>算法</v>
      </c>
    </row>
    <row r="850">
      <c r="A850" s="6">
        <f>IFERROR(__xludf.DUMMYFUNCTION("""COMPUTED_VALUE"""),1261.0)</f>
        <v>1261</v>
      </c>
      <c r="B850" s="53" t="str">
        <f>IFERROR(__xludf.DUMMYFUNCTION("""COMPUTED_VALUE"""),"Find Elements in a Contaminated Binary Tree")</f>
        <v>Find Elements in a Contaminated Binary Tree</v>
      </c>
      <c r="C850" s="6" t="str">
        <f>IFERROR(__xludf.DUMMYFUNCTION("""COMPUTED_VALUE"""),"Medium")</f>
        <v>Medium</v>
      </c>
      <c r="D850" s="6" t="str">
        <f>IFERROR(__xludf.DUMMYFUNCTION("""COMPUTED_VALUE"""),"Tree,Hash Table")</f>
        <v>Tree,Hash Table</v>
      </c>
      <c r="E850" s="6" t="str">
        <f>IFERROR(__xludf.DUMMYFUNCTION("""COMPUTED_VALUE"""),"Google")</f>
        <v>Google</v>
      </c>
      <c r="F850" s="6"/>
      <c r="G850" s="6"/>
      <c r="H850" s="6" t="str">
        <f>IFERROR(__xludf.DUMMYFUNCTION("""COMPUTED_VALUE"""),"Google")</f>
        <v>Google</v>
      </c>
      <c r="I850" s="6">
        <f>IFERROR(__xludf.DUMMYFUNCTION("""COMPUTED_VALUE"""),74.49)</f>
        <v>74.49</v>
      </c>
      <c r="J850" s="6" t="str">
        <f>IFERROR(__xludf.DUMMYFUNCTION("""COMPUTED_VALUE"""),"算法")</f>
        <v>算法</v>
      </c>
    </row>
    <row r="851">
      <c r="A851" s="6">
        <f>IFERROR(__xludf.DUMMYFUNCTION("""COMPUTED_VALUE"""),1265.0)</f>
        <v>1265</v>
      </c>
      <c r="B851" s="53" t="str">
        <f>IFERROR(__xludf.DUMMYFUNCTION("""COMPUTED_VALUE"""),"Print Immutable Linked List in Reverse")</f>
        <v>Print Immutable Linked List in Reverse</v>
      </c>
      <c r="C851" s="6" t="str">
        <f>IFERROR(__xludf.DUMMYFUNCTION("""COMPUTED_VALUE"""),"Medium")</f>
        <v>Medium</v>
      </c>
      <c r="D851" s="6"/>
      <c r="E851" s="6" t="str">
        <f>IFERROR(__xludf.DUMMYFUNCTION("""COMPUTED_VALUE"""),"Facebook,Google")</f>
        <v>Facebook,Google</v>
      </c>
      <c r="F851" s="6"/>
      <c r="G851" s="6" t="str">
        <f>IFERROR(__xludf.DUMMYFUNCTION("""COMPUTED_VALUE"""),"Google,Facebook")</f>
        <v>Google,Facebook</v>
      </c>
      <c r="H851" s="6" t="str">
        <f>IFERROR(__xludf.DUMMYFUNCTION("""COMPUTED_VALUE"""),"Google,Facebook")</f>
        <v>Google,Facebook</v>
      </c>
      <c r="I851" s="6">
        <f>IFERROR(__xludf.DUMMYFUNCTION("""COMPUTED_VALUE"""),94.29)</f>
        <v>94.29</v>
      </c>
      <c r="J851" s="6" t="str">
        <f>IFERROR(__xludf.DUMMYFUNCTION("""COMPUTED_VALUE"""),"算法")</f>
        <v>算法</v>
      </c>
    </row>
    <row r="852">
      <c r="A852" s="6">
        <f>IFERROR(__xludf.DUMMYFUNCTION("""COMPUTED_VALUE"""),1267.0)</f>
        <v>1267</v>
      </c>
      <c r="B852" s="53" t="str">
        <f>IFERROR(__xludf.DUMMYFUNCTION("""COMPUTED_VALUE"""),"Count Servers that Communicate")</f>
        <v>Count Servers that Communicate</v>
      </c>
      <c r="C852" s="6" t="str">
        <f>IFERROR(__xludf.DUMMYFUNCTION("""COMPUTED_VALUE"""),"Medium")</f>
        <v>Medium</v>
      </c>
      <c r="D852" s="6" t="str">
        <f>IFERROR(__xludf.DUMMYFUNCTION("""COMPUTED_VALUE"""),"Graph,Array")</f>
        <v>Graph,Array</v>
      </c>
      <c r="E852" s="6" t="str">
        <f>IFERROR(__xludf.DUMMYFUNCTION("""COMPUTED_VALUE"""),"Amazon,Google")</f>
        <v>Amazon,Google</v>
      </c>
      <c r="F852" s="6"/>
      <c r="G852" s="6"/>
      <c r="H852" s="6" t="str">
        <f>IFERROR(__xludf.DUMMYFUNCTION("""COMPUTED_VALUE"""),"Google,Amazon")</f>
        <v>Google,Amazon</v>
      </c>
      <c r="I852" s="6">
        <f>IFERROR(__xludf.DUMMYFUNCTION("""COMPUTED_VALUE"""),57.76)</f>
        <v>57.76</v>
      </c>
      <c r="J852" s="6" t="str">
        <f>IFERROR(__xludf.DUMMYFUNCTION("""COMPUTED_VALUE"""),"算法")</f>
        <v>算法</v>
      </c>
    </row>
    <row r="853">
      <c r="A853" s="6">
        <f>IFERROR(__xludf.DUMMYFUNCTION("""COMPUTED_VALUE"""),1268.0)</f>
        <v>1268</v>
      </c>
      <c r="B853" s="53" t="str">
        <f>IFERROR(__xludf.DUMMYFUNCTION("""COMPUTED_VALUE"""),"Search Suggestions System")</f>
        <v>Search Suggestions System</v>
      </c>
      <c r="C853" s="6" t="str">
        <f>IFERROR(__xludf.DUMMYFUNCTION("""COMPUTED_VALUE"""),"Medium")</f>
        <v>Medium</v>
      </c>
      <c r="D853" s="6" t="str">
        <f>IFERROR(__xludf.DUMMYFUNCTION("""COMPUTED_VALUE"""),"String")</f>
        <v>String</v>
      </c>
      <c r="E853" s="6" t="str">
        <f>IFERROR(__xludf.DUMMYFUNCTION("""COMPUTED_VALUE"""),"Google,Amazon")</f>
        <v>Google,Amazon</v>
      </c>
      <c r="F853" s="6" t="str">
        <f>IFERROR(__xludf.DUMMYFUNCTION("""COMPUTED_VALUE"""),"Amazon")</f>
        <v>Amazon</v>
      </c>
      <c r="G853" s="6" t="str">
        <f>IFERROR(__xludf.DUMMYFUNCTION("""COMPUTED_VALUE"""),"Amazon")</f>
        <v>Amazon</v>
      </c>
      <c r="H853" s="6" t="str">
        <f>IFERROR(__xludf.DUMMYFUNCTION("""COMPUTED_VALUE"""),"Google,Amazon")</f>
        <v>Google,Amazon</v>
      </c>
      <c r="I853" s="6">
        <f>IFERROR(__xludf.DUMMYFUNCTION("""COMPUTED_VALUE"""),64.68)</f>
        <v>64.68</v>
      </c>
      <c r="J853" s="6" t="str">
        <f>IFERROR(__xludf.DUMMYFUNCTION("""COMPUTED_VALUE"""),"算法")</f>
        <v>算法</v>
      </c>
    </row>
    <row r="854">
      <c r="A854" s="6">
        <f>IFERROR(__xludf.DUMMYFUNCTION("""COMPUTED_VALUE"""),1269.0)</f>
        <v>1269</v>
      </c>
      <c r="B854" s="53" t="str">
        <f>IFERROR(__xludf.DUMMYFUNCTION("""COMPUTED_VALUE"""),"Number of Ways to Stay in the Same Place After Some Steps")</f>
        <v>Number of Ways to Stay in the Same Place After Some Steps</v>
      </c>
      <c r="C854" s="6" t="str">
        <f>IFERROR(__xludf.DUMMYFUNCTION("""COMPUTED_VALUE"""),"Hard")</f>
        <v>Hard</v>
      </c>
      <c r="D854" s="6" t="str">
        <f>IFERROR(__xludf.DUMMYFUNCTION("""COMPUTED_VALUE"""),"Dynamic Programming")</f>
        <v>Dynamic Programming</v>
      </c>
      <c r="E854" s="6" t="str">
        <f>IFERROR(__xludf.DUMMYFUNCTION("""COMPUTED_VALUE"""),"Facebook,Google")</f>
        <v>Facebook,Google</v>
      </c>
      <c r="F854" s="6"/>
      <c r="G854" s="6" t="str">
        <f>IFERROR(__xludf.DUMMYFUNCTION("""COMPUTED_VALUE"""),"Facebook")</f>
        <v>Facebook</v>
      </c>
      <c r="H854" s="6" t="str">
        <f>IFERROR(__xludf.DUMMYFUNCTION("""COMPUTED_VALUE"""),"Google,Facebook")</f>
        <v>Google,Facebook</v>
      </c>
      <c r="I854" s="6">
        <f>IFERROR(__xludf.DUMMYFUNCTION("""COMPUTED_VALUE"""),43.22)</f>
        <v>43.22</v>
      </c>
      <c r="J854" s="6" t="str">
        <f>IFERROR(__xludf.DUMMYFUNCTION("""COMPUTED_VALUE"""),"算法")</f>
        <v>算法</v>
      </c>
    </row>
    <row r="855">
      <c r="A855" s="6">
        <f>IFERROR(__xludf.DUMMYFUNCTION("""COMPUTED_VALUE"""),1270.0)</f>
        <v>1270</v>
      </c>
      <c r="B855" s="53" t="str">
        <f>IFERROR(__xludf.DUMMYFUNCTION("""COMPUTED_VALUE"""),"All People Report to the Given Manager")</f>
        <v>All People Report to the Given Manager</v>
      </c>
      <c r="C855" s="6" t="str">
        <f>IFERROR(__xludf.DUMMYFUNCTION("""COMPUTED_VALUE"""),"Medium")</f>
        <v>Medium</v>
      </c>
      <c r="D855" s="6"/>
      <c r="E855" s="6" t="str">
        <f>IFERROR(__xludf.DUMMYFUNCTION("""COMPUTED_VALUE"""),"Amazon,Google")</f>
        <v>Amazon,Google</v>
      </c>
      <c r="F855" s="6" t="str">
        <f>IFERROR(__xludf.DUMMYFUNCTION("""COMPUTED_VALUE"""),"Amazon")</f>
        <v>Amazon</v>
      </c>
      <c r="G855" s="6" t="str">
        <f>IFERROR(__xludf.DUMMYFUNCTION("""COMPUTED_VALUE"""),"Google,Amazon")</f>
        <v>Google,Amazon</v>
      </c>
      <c r="H855" s="6" t="str">
        <f>IFERROR(__xludf.DUMMYFUNCTION("""COMPUTED_VALUE"""),"Google,Amazon")</f>
        <v>Google,Amazon</v>
      </c>
      <c r="I855" s="6">
        <f>IFERROR(__xludf.DUMMYFUNCTION("""COMPUTED_VALUE"""),88.25)</f>
        <v>88.25</v>
      </c>
      <c r="J855" s="6" t="str">
        <f>IFERROR(__xludf.DUMMYFUNCTION("""COMPUTED_VALUE"""),"数据库")</f>
        <v>数据库</v>
      </c>
    </row>
    <row r="856">
      <c r="A856" s="6">
        <f>IFERROR(__xludf.DUMMYFUNCTION("""COMPUTED_VALUE"""),1272.0)</f>
        <v>1272</v>
      </c>
      <c r="B856" s="53" t="str">
        <f>IFERROR(__xludf.DUMMYFUNCTION("""COMPUTED_VALUE"""),"Remove Interval")</f>
        <v>Remove Interval</v>
      </c>
      <c r="C856" s="6" t="str">
        <f>IFERROR(__xludf.DUMMYFUNCTION("""COMPUTED_VALUE"""),"Medium")</f>
        <v>Medium</v>
      </c>
      <c r="D856" s="6" t="str">
        <f>IFERROR(__xludf.DUMMYFUNCTION("""COMPUTED_VALUE"""),"Line Sweep,Math")</f>
        <v>Line Sweep,Math</v>
      </c>
      <c r="E856" s="6" t="str">
        <f>IFERROR(__xludf.DUMMYFUNCTION("""COMPUTED_VALUE"""),"Google")</f>
        <v>Google</v>
      </c>
      <c r="F856" s="6"/>
      <c r="G856" s="6"/>
      <c r="H856" s="6" t="str">
        <f>IFERROR(__xludf.DUMMYFUNCTION("""COMPUTED_VALUE"""),"Google")</f>
        <v>Google</v>
      </c>
      <c r="I856" s="6">
        <f>IFERROR(__xludf.DUMMYFUNCTION("""COMPUTED_VALUE"""),58.3)</f>
        <v>58.3</v>
      </c>
      <c r="J856" s="6" t="str">
        <f>IFERROR(__xludf.DUMMYFUNCTION("""COMPUTED_VALUE"""),"算法")</f>
        <v>算法</v>
      </c>
    </row>
    <row r="857">
      <c r="A857" s="6">
        <f>IFERROR(__xludf.DUMMYFUNCTION("""COMPUTED_VALUE"""),1277.0)</f>
        <v>1277</v>
      </c>
      <c r="B857" s="53" t="str">
        <f>IFERROR(__xludf.DUMMYFUNCTION("""COMPUTED_VALUE"""),"Count Square Submatrices with All Ones")</f>
        <v>Count Square Submatrices with All Ones</v>
      </c>
      <c r="C857" s="6" t="str">
        <f>IFERROR(__xludf.DUMMYFUNCTION("""COMPUTED_VALUE"""),"Medium")</f>
        <v>Medium</v>
      </c>
      <c r="D857" s="6" t="str">
        <f>IFERROR(__xludf.DUMMYFUNCTION("""COMPUTED_VALUE"""),"Dynamic Programming,Array")</f>
        <v>Dynamic Programming,Array</v>
      </c>
      <c r="E857" s="6" t="str">
        <f>IFERROR(__xludf.DUMMYFUNCTION("""COMPUTED_VALUE"""),"Amazon,Google")</f>
        <v>Amazon,Google</v>
      </c>
      <c r="F857" s="6" t="str">
        <f>IFERROR(__xludf.DUMMYFUNCTION("""COMPUTED_VALUE"""),"Google,Amazon")</f>
        <v>Google,Amazon</v>
      </c>
      <c r="G857" s="6" t="str">
        <f>IFERROR(__xludf.DUMMYFUNCTION("""COMPUTED_VALUE"""),"Google,Amazon")</f>
        <v>Google,Amazon</v>
      </c>
      <c r="H857" s="6" t="str">
        <f>IFERROR(__xludf.DUMMYFUNCTION("""COMPUTED_VALUE"""),"Google,Amazon")</f>
        <v>Google,Amazon</v>
      </c>
      <c r="I857" s="6">
        <f>IFERROR(__xludf.DUMMYFUNCTION("""COMPUTED_VALUE"""),72.79)</f>
        <v>72.79</v>
      </c>
      <c r="J857" s="6" t="str">
        <f>IFERROR(__xludf.DUMMYFUNCTION("""COMPUTED_VALUE"""),"算法")</f>
        <v>算法</v>
      </c>
    </row>
    <row r="858">
      <c r="A858" s="6">
        <f>IFERROR(__xludf.DUMMYFUNCTION("""COMPUTED_VALUE"""),1281.0)</f>
        <v>1281</v>
      </c>
      <c r="B858" s="53" t="str">
        <f>IFERROR(__xludf.DUMMYFUNCTION("""COMPUTED_VALUE"""),"Subtract the Product and Sum of Digits of an Integer")</f>
        <v>Subtract the Product and Sum of Digits of an Integer</v>
      </c>
      <c r="C858" s="6" t="str">
        <f>IFERROR(__xludf.DUMMYFUNCTION("""COMPUTED_VALUE"""),"Easy")</f>
        <v>Easy</v>
      </c>
      <c r="D858" s="6" t="str">
        <f>IFERROR(__xludf.DUMMYFUNCTION("""COMPUTED_VALUE"""),"Math")</f>
        <v>Math</v>
      </c>
      <c r="E858" s="6" t="str">
        <f>IFERROR(__xludf.DUMMYFUNCTION("""COMPUTED_VALUE"""),"Quora,Uber,Google")</f>
        <v>Quora,Uber,Google</v>
      </c>
      <c r="F858" s="6" t="str">
        <f>IFERROR(__xludf.DUMMYFUNCTION("""COMPUTED_VALUE"""),"Quora,Uber")</f>
        <v>Quora,Uber</v>
      </c>
      <c r="G858" s="6" t="str">
        <f>IFERROR(__xludf.DUMMYFUNCTION("""COMPUTED_VALUE"""),"Quora,Uber")</f>
        <v>Quora,Uber</v>
      </c>
      <c r="H858" s="6" t="str">
        <f>IFERROR(__xludf.DUMMYFUNCTION("""COMPUTED_VALUE"""),"Google,Quora,Uber")</f>
        <v>Google,Quora,Uber</v>
      </c>
      <c r="I858" s="6">
        <f>IFERROR(__xludf.DUMMYFUNCTION("""COMPUTED_VALUE"""),85.6)</f>
        <v>85.6</v>
      </c>
      <c r="J858" s="6" t="str">
        <f>IFERROR(__xludf.DUMMYFUNCTION("""COMPUTED_VALUE"""),"算法")</f>
        <v>算法</v>
      </c>
    </row>
    <row r="859">
      <c r="A859" s="6">
        <f>IFERROR(__xludf.DUMMYFUNCTION("""COMPUTED_VALUE"""),1283.0)</f>
        <v>1283</v>
      </c>
      <c r="B859" s="53" t="str">
        <f>IFERROR(__xludf.DUMMYFUNCTION("""COMPUTED_VALUE"""),"Find the Smallest Divisor Given a Threshold")</f>
        <v>Find the Smallest Divisor Given a Threshold</v>
      </c>
      <c r="C859" s="6" t="str">
        <f>IFERROR(__xludf.DUMMYFUNCTION("""COMPUTED_VALUE"""),"Medium")</f>
        <v>Medium</v>
      </c>
      <c r="D859" s="6" t="str">
        <f>IFERROR(__xludf.DUMMYFUNCTION("""COMPUTED_VALUE"""),"Binary Search")</f>
        <v>Binary Search</v>
      </c>
      <c r="E859" s="6" t="str">
        <f>IFERROR(__xludf.DUMMYFUNCTION("""COMPUTED_VALUE"""),"AppDynamics,Walmart Labs,SAP,Amazon,Google,ByteDance,Salesforce,Expedia")</f>
        <v>AppDynamics,Walmart Labs,SAP,Amazon,Google,ByteDance,Salesforce,Expedia</v>
      </c>
      <c r="F859" s="6" t="str">
        <f>IFERROR(__xludf.DUMMYFUNCTION("""COMPUTED_VALUE"""),"SAP,Salesforce,Google")</f>
        <v>SAP,Salesforce,Google</v>
      </c>
      <c r="G859" s="6" t="str">
        <f>IFERROR(__xludf.DUMMYFUNCTION("""COMPUTED_VALUE"""),"Walmart Labs,Amazon,ByteDance,AppDynamics,SAP,Salesforce,Google")</f>
        <v>Walmart Labs,Amazon,ByteDance,AppDynamics,SAP,Salesforce,Google</v>
      </c>
      <c r="H859" s="6" t="str">
        <f>IFERROR(__xludf.DUMMYFUNCTION("""COMPUTED_VALUE"""),"Expedia,Walmart Labs,Amazon,ByteDance,AppDynamics,SAP,Salesforce,Google")</f>
        <v>Expedia,Walmart Labs,Amazon,ByteDance,AppDynamics,SAP,Salesforce,Google</v>
      </c>
      <c r="I859" s="6">
        <f>IFERROR(__xludf.DUMMYFUNCTION("""COMPUTED_VALUE"""),49.69)</f>
        <v>49.69</v>
      </c>
      <c r="J859" s="6" t="str">
        <f>IFERROR(__xludf.DUMMYFUNCTION("""COMPUTED_VALUE"""),"算法")</f>
        <v>算法</v>
      </c>
    </row>
    <row r="860">
      <c r="A860" s="6">
        <f>IFERROR(__xludf.DUMMYFUNCTION("""COMPUTED_VALUE"""),1284.0)</f>
        <v>1284</v>
      </c>
      <c r="B860" s="53" t="str">
        <f>IFERROR(__xludf.DUMMYFUNCTION("""COMPUTED_VALUE"""),"Minimum Number of Flips to Convert Binary Matrix to Zero Matrix")</f>
        <v>Minimum Number of Flips to Convert Binary Matrix to Zero Matrix</v>
      </c>
      <c r="C860" s="6" t="str">
        <f>IFERROR(__xludf.DUMMYFUNCTION("""COMPUTED_VALUE"""),"Hard")</f>
        <v>Hard</v>
      </c>
      <c r="D860" s="6" t="str">
        <f>IFERROR(__xludf.DUMMYFUNCTION("""COMPUTED_VALUE"""),"Breadth First Search")</f>
        <v>Breadth First Search</v>
      </c>
      <c r="E860" s="6" t="str">
        <f>IFERROR(__xludf.DUMMYFUNCTION("""COMPUTED_VALUE"""),"Airbnb,Google")</f>
        <v>Airbnb,Google</v>
      </c>
      <c r="F860" s="6"/>
      <c r="G860" s="6"/>
      <c r="H860" s="6" t="str">
        <f>IFERROR(__xludf.DUMMYFUNCTION("""COMPUTED_VALUE"""),"Google,Airbnb")</f>
        <v>Google,Airbnb</v>
      </c>
      <c r="I860" s="6">
        <f>IFERROR(__xludf.DUMMYFUNCTION("""COMPUTED_VALUE"""),70.09)</f>
        <v>70.09</v>
      </c>
      <c r="J860" s="6" t="str">
        <f>IFERROR(__xludf.DUMMYFUNCTION("""COMPUTED_VALUE"""),"算法")</f>
        <v>算法</v>
      </c>
    </row>
    <row r="861">
      <c r="A861" s="6">
        <f>IFERROR(__xludf.DUMMYFUNCTION("""COMPUTED_VALUE"""),1286.0)</f>
        <v>1286</v>
      </c>
      <c r="B861" s="53" t="str">
        <f>IFERROR(__xludf.DUMMYFUNCTION("""COMPUTED_VALUE"""),"Iterator for Combination")</f>
        <v>Iterator for Combination</v>
      </c>
      <c r="C861" s="6" t="str">
        <f>IFERROR(__xludf.DUMMYFUNCTION("""COMPUTED_VALUE"""),"Medium")</f>
        <v>Medium</v>
      </c>
      <c r="D861" s="6" t="str">
        <f>IFERROR(__xludf.DUMMYFUNCTION("""COMPUTED_VALUE"""),"Design,Backtracking")</f>
        <v>Design,Backtracking</v>
      </c>
      <c r="E861" s="6" t="str">
        <f>IFERROR(__xludf.DUMMYFUNCTION("""COMPUTED_VALUE"""),"Amazon,Google")</f>
        <v>Amazon,Google</v>
      </c>
      <c r="F861" s="6"/>
      <c r="G861" s="6"/>
      <c r="H861" s="6" t="str">
        <f>IFERROR(__xludf.DUMMYFUNCTION("""COMPUTED_VALUE"""),"Amazon,Google")</f>
        <v>Amazon,Google</v>
      </c>
      <c r="I861" s="6">
        <f>IFERROR(__xludf.DUMMYFUNCTION("""COMPUTED_VALUE"""),70.92)</f>
        <v>70.92</v>
      </c>
      <c r="J861" s="6" t="str">
        <f>IFERROR(__xludf.DUMMYFUNCTION("""COMPUTED_VALUE"""),"算法")</f>
        <v>算法</v>
      </c>
    </row>
    <row r="862">
      <c r="A862" s="6">
        <f>IFERROR(__xludf.DUMMYFUNCTION("""COMPUTED_VALUE"""),1287.0)</f>
        <v>1287</v>
      </c>
      <c r="B862" s="53" t="str">
        <f>IFERROR(__xludf.DUMMYFUNCTION("""COMPUTED_VALUE"""),"Element Appearing More Than 25% In Sorted Array")</f>
        <v>Element Appearing More Than 25% In Sorted Array</v>
      </c>
      <c r="C862" s="6" t="str">
        <f>IFERROR(__xludf.DUMMYFUNCTION("""COMPUTED_VALUE"""),"Easy")</f>
        <v>Easy</v>
      </c>
      <c r="D862" s="6" t="str">
        <f>IFERROR(__xludf.DUMMYFUNCTION("""COMPUTED_VALUE"""),"Array")</f>
        <v>Array</v>
      </c>
      <c r="E862" s="6" t="str">
        <f>IFERROR(__xludf.DUMMYFUNCTION("""COMPUTED_VALUE"""),"Facebook,Google")</f>
        <v>Facebook,Google</v>
      </c>
      <c r="F862" s="6" t="str">
        <f>IFERROR(__xludf.DUMMYFUNCTION("""COMPUTED_VALUE"""),"Facebook")</f>
        <v>Facebook</v>
      </c>
      <c r="G862" s="6" t="str">
        <f>IFERROR(__xludf.DUMMYFUNCTION("""COMPUTED_VALUE"""),"Facebook")</f>
        <v>Facebook</v>
      </c>
      <c r="H862" s="6" t="str">
        <f>IFERROR(__xludf.DUMMYFUNCTION("""COMPUTED_VALUE"""),"Google,Facebook")</f>
        <v>Google,Facebook</v>
      </c>
      <c r="I862" s="6">
        <f>IFERROR(__xludf.DUMMYFUNCTION("""COMPUTED_VALUE"""),60.13)</f>
        <v>60.13</v>
      </c>
      <c r="J862" s="6" t="str">
        <f>IFERROR(__xludf.DUMMYFUNCTION("""COMPUTED_VALUE"""),"算法")</f>
        <v>算法</v>
      </c>
    </row>
    <row r="863">
      <c r="A863" s="6">
        <f>IFERROR(__xludf.DUMMYFUNCTION("""COMPUTED_VALUE"""),1289.0)</f>
        <v>1289</v>
      </c>
      <c r="B863" s="53" t="str">
        <f>IFERROR(__xludf.DUMMYFUNCTION("""COMPUTED_VALUE"""),"Minimum Falling Path Sum II")</f>
        <v>Minimum Falling Path Sum II</v>
      </c>
      <c r="C863" s="6" t="str">
        <f>IFERROR(__xludf.DUMMYFUNCTION("""COMPUTED_VALUE"""),"Hard")</f>
        <v>Hard</v>
      </c>
      <c r="D863" s="6" t="str">
        <f>IFERROR(__xludf.DUMMYFUNCTION("""COMPUTED_VALUE"""),"Dynamic Programming")</f>
        <v>Dynamic Programming</v>
      </c>
      <c r="E863" s="6" t="str">
        <f>IFERROR(__xludf.DUMMYFUNCTION("""COMPUTED_VALUE"""),"Roblox,Google")</f>
        <v>Roblox,Google</v>
      </c>
      <c r="F863" s="6" t="str">
        <f>IFERROR(__xludf.DUMMYFUNCTION("""COMPUTED_VALUE"""),"Roblox")</f>
        <v>Roblox</v>
      </c>
      <c r="G863" s="6" t="str">
        <f>IFERROR(__xludf.DUMMYFUNCTION("""COMPUTED_VALUE"""),"Roblox")</f>
        <v>Roblox</v>
      </c>
      <c r="H863" s="6" t="str">
        <f>IFERROR(__xludf.DUMMYFUNCTION("""COMPUTED_VALUE"""),"Google,Roblox")</f>
        <v>Google,Roblox</v>
      </c>
      <c r="I863" s="6">
        <f>IFERROR(__xludf.DUMMYFUNCTION("""COMPUTED_VALUE"""),62.54)</f>
        <v>62.54</v>
      </c>
      <c r="J863" s="6" t="str">
        <f>IFERROR(__xludf.DUMMYFUNCTION("""COMPUTED_VALUE"""),"算法")</f>
        <v>算法</v>
      </c>
    </row>
    <row r="864">
      <c r="A864" s="6">
        <f>IFERROR(__xludf.DUMMYFUNCTION("""COMPUTED_VALUE"""),1292.0)</f>
        <v>1292</v>
      </c>
      <c r="B864" s="53" t="str">
        <f>IFERROR(__xludf.DUMMYFUNCTION("""COMPUTED_VALUE"""),"Maximum Side Length of a Square with Sum Less than or Equal to Threshold")</f>
        <v>Maximum Side Length of a Square with Sum Less than or Equal to Threshold</v>
      </c>
      <c r="C864" s="6" t="str">
        <f>IFERROR(__xludf.DUMMYFUNCTION("""COMPUTED_VALUE"""),"Medium")</f>
        <v>Medium</v>
      </c>
      <c r="D864" s="6" t="str">
        <f>IFERROR(__xludf.DUMMYFUNCTION("""COMPUTED_VALUE"""),"Binary Search,Array")</f>
        <v>Binary Search,Array</v>
      </c>
      <c r="E864" s="6" t="str">
        <f>IFERROR(__xludf.DUMMYFUNCTION("""COMPUTED_VALUE"""),"Roblox,Google")</f>
        <v>Roblox,Google</v>
      </c>
      <c r="F864" s="6" t="str">
        <f>IFERROR(__xludf.DUMMYFUNCTION("""COMPUTED_VALUE"""),"Roblox")</f>
        <v>Roblox</v>
      </c>
      <c r="G864" s="6" t="str">
        <f>IFERROR(__xludf.DUMMYFUNCTION("""COMPUTED_VALUE"""),"Google,Roblox")</f>
        <v>Google,Roblox</v>
      </c>
      <c r="H864" s="6" t="str">
        <f>IFERROR(__xludf.DUMMYFUNCTION("""COMPUTED_VALUE"""),"Google,Roblox")</f>
        <v>Google,Roblox</v>
      </c>
      <c r="I864" s="6">
        <f>IFERROR(__xludf.DUMMYFUNCTION("""COMPUTED_VALUE"""),50.84)</f>
        <v>50.84</v>
      </c>
      <c r="J864" s="6" t="str">
        <f>IFERROR(__xludf.DUMMYFUNCTION("""COMPUTED_VALUE"""),"算法")</f>
        <v>算法</v>
      </c>
    </row>
    <row r="865">
      <c r="A865" s="6">
        <f>IFERROR(__xludf.DUMMYFUNCTION("""COMPUTED_VALUE"""),1293.0)</f>
        <v>1293</v>
      </c>
      <c r="B865" s="53" t="str">
        <f>IFERROR(__xludf.DUMMYFUNCTION("""COMPUTED_VALUE"""),"Shortest Path in a Grid with Obstacles Elimination")</f>
        <v>Shortest Path in a Grid with Obstacles Elimination</v>
      </c>
      <c r="C865" s="6" t="str">
        <f>IFERROR(__xludf.DUMMYFUNCTION("""COMPUTED_VALUE"""),"Hard")</f>
        <v>Hard</v>
      </c>
      <c r="D865" s="6" t="str">
        <f>IFERROR(__xludf.DUMMYFUNCTION("""COMPUTED_VALUE"""),"Breadth First Search")</f>
        <v>Breadth First Search</v>
      </c>
      <c r="E865" s="6" t="str">
        <f>IFERROR(__xludf.DUMMYFUNCTION("""COMPUTED_VALUE"""),"ByteDance,Amazon,DiDi,Google")</f>
        <v>ByteDance,Amazon,DiDi,Google</v>
      </c>
      <c r="F865" s="6" t="str">
        <f>IFERROR(__xludf.DUMMYFUNCTION("""COMPUTED_VALUE"""),"Amazon,Google")</f>
        <v>Amazon,Google</v>
      </c>
      <c r="G865" s="6" t="str">
        <f>IFERROR(__xludf.DUMMYFUNCTION("""COMPUTED_VALUE"""),"DiDi,Amazon,Google")</f>
        <v>DiDi,Amazon,Google</v>
      </c>
      <c r="H865" s="6" t="str">
        <f>IFERROR(__xludf.DUMMYFUNCTION("""COMPUTED_VALUE"""),"ByteDance,DiDi,Amazon,Google")</f>
        <v>ByteDance,DiDi,Amazon,Google</v>
      </c>
      <c r="I865" s="6">
        <f>IFERROR(__xludf.DUMMYFUNCTION("""COMPUTED_VALUE"""),43.06)</f>
        <v>43.06</v>
      </c>
      <c r="J865" s="6" t="str">
        <f>IFERROR(__xludf.DUMMYFUNCTION("""COMPUTED_VALUE"""),"算法")</f>
        <v>算法</v>
      </c>
    </row>
    <row r="866">
      <c r="A866" s="6">
        <f>IFERROR(__xludf.DUMMYFUNCTION("""COMPUTED_VALUE"""),1296.0)</f>
        <v>1296</v>
      </c>
      <c r="B866" s="53" t="str">
        <f>IFERROR(__xludf.DUMMYFUNCTION("""COMPUTED_VALUE"""),"Divide Array in Sets of K Consecutive Numbers")</f>
        <v>Divide Array in Sets of K Consecutive Numbers</v>
      </c>
      <c r="C866" s="6" t="str">
        <f>IFERROR(__xludf.DUMMYFUNCTION("""COMPUTED_VALUE"""),"Medium")</f>
        <v>Medium</v>
      </c>
      <c r="D866" s="6" t="str">
        <f>IFERROR(__xludf.DUMMYFUNCTION("""COMPUTED_VALUE"""),"Greedy,Array")</f>
        <v>Greedy,Array</v>
      </c>
      <c r="E866" s="6" t="str">
        <f>IFERROR(__xludf.DUMMYFUNCTION("""COMPUTED_VALUE"""),"Coupang,ByteDance,Goldman Sachs,Google")</f>
        <v>Coupang,ByteDance,Goldman Sachs,Google</v>
      </c>
      <c r="F866" s="6" t="str">
        <f>IFERROR(__xludf.DUMMYFUNCTION("""COMPUTED_VALUE"""),"Goldman Sachs,Google,ByteDance")</f>
        <v>Goldman Sachs,Google,ByteDance</v>
      </c>
      <c r="G866" s="6" t="str">
        <f>IFERROR(__xludf.DUMMYFUNCTION("""COMPUTED_VALUE"""),"Coupang,Goldman Sachs,Google,ByteDance")</f>
        <v>Coupang,Goldman Sachs,Google,ByteDance</v>
      </c>
      <c r="H866" s="6" t="str">
        <f>IFERROR(__xludf.DUMMYFUNCTION("""COMPUTED_VALUE"""),"Coupang,Goldman Sachs,Google,ByteDance")</f>
        <v>Coupang,Goldman Sachs,Google,ByteDance</v>
      </c>
      <c r="I866" s="6">
        <f>IFERROR(__xludf.DUMMYFUNCTION("""COMPUTED_VALUE"""),55.58)</f>
        <v>55.58</v>
      </c>
      <c r="J866" s="6" t="str">
        <f>IFERROR(__xludf.DUMMYFUNCTION("""COMPUTED_VALUE"""),"算法")</f>
        <v>算法</v>
      </c>
    </row>
    <row r="867">
      <c r="A867" s="6">
        <f>IFERROR(__xludf.DUMMYFUNCTION("""COMPUTED_VALUE"""),1300.0)</f>
        <v>1300</v>
      </c>
      <c r="B867" s="53" t="str">
        <f>IFERROR(__xludf.DUMMYFUNCTION("""COMPUTED_VALUE"""),"Sum of Mutated Array Closest to Target")</f>
        <v>Sum of Mutated Array Closest to Target</v>
      </c>
      <c r="C867" s="6" t="str">
        <f>IFERROR(__xludf.DUMMYFUNCTION("""COMPUTED_VALUE"""),"Medium")</f>
        <v>Medium</v>
      </c>
      <c r="D867" s="6" t="str">
        <f>IFERROR(__xludf.DUMMYFUNCTION("""COMPUTED_VALUE"""),"Binary Search,Array")</f>
        <v>Binary Search,Array</v>
      </c>
      <c r="E867" s="6" t="str">
        <f>IFERROR(__xludf.DUMMYFUNCTION("""COMPUTED_VALUE"""),"Bloomberg,Google")</f>
        <v>Bloomberg,Google</v>
      </c>
      <c r="F867" s="6"/>
      <c r="G867" s="6" t="str">
        <f>IFERROR(__xludf.DUMMYFUNCTION("""COMPUTED_VALUE"""),"Bloomberg")</f>
        <v>Bloomberg</v>
      </c>
      <c r="H867" s="6" t="str">
        <f>IFERROR(__xludf.DUMMYFUNCTION("""COMPUTED_VALUE"""),"Google,Bloomberg")</f>
        <v>Google,Bloomberg</v>
      </c>
      <c r="I867" s="6">
        <f>IFERROR(__xludf.DUMMYFUNCTION("""COMPUTED_VALUE"""),43.02)</f>
        <v>43.02</v>
      </c>
      <c r="J867" s="6" t="str">
        <f>IFERROR(__xludf.DUMMYFUNCTION("""COMPUTED_VALUE"""),"算法")</f>
        <v>算法</v>
      </c>
    </row>
    <row r="868">
      <c r="A868" s="6">
        <f>IFERROR(__xludf.DUMMYFUNCTION("""COMPUTED_VALUE"""),1302.0)</f>
        <v>1302</v>
      </c>
      <c r="B868" s="53" t="str">
        <f>IFERROR(__xludf.DUMMYFUNCTION("""COMPUTED_VALUE"""),"Deepest Leaves Sum")</f>
        <v>Deepest Leaves Sum</v>
      </c>
      <c r="C868" s="6" t="str">
        <f>IFERROR(__xludf.DUMMYFUNCTION("""COMPUTED_VALUE"""),"Medium")</f>
        <v>Medium</v>
      </c>
      <c r="D868" s="6" t="str">
        <f>IFERROR(__xludf.DUMMYFUNCTION("""COMPUTED_VALUE"""),"Depth First Search,Tree")</f>
        <v>Depth First Search,Tree</v>
      </c>
      <c r="E868" s="6" t="str">
        <f>IFERROR(__xludf.DUMMYFUNCTION("""COMPUTED_VALUE"""),"Google")</f>
        <v>Google</v>
      </c>
      <c r="F868" s="6"/>
      <c r="G868" s="6"/>
      <c r="H868" s="6" t="str">
        <f>IFERROR(__xludf.DUMMYFUNCTION("""COMPUTED_VALUE"""),"Google")</f>
        <v>Google</v>
      </c>
      <c r="I868" s="6">
        <f>IFERROR(__xludf.DUMMYFUNCTION("""COMPUTED_VALUE"""),84.18)</f>
        <v>84.18</v>
      </c>
      <c r="J868" s="6" t="str">
        <f>IFERROR(__xludf.DUMMYFUNCTION("""COMPUTED_VALUE"""),"算法")</f>
        <v>算法</v>
      </c>
    </row>
    <row r="869">
      <c r="A869" s="6">
        <f>IFERROR(__xludf.DUMMYFUNCTION("""COMPUTED_VALUE"""),1312.0)</f>
        <v>1312</v>
      </c>
      <c r="B869" s="53" t="str">
        <f>IFERROR(__xludf.DUMMYFUNCTION("""COMPUTED_VALUE"""),"Minimum Insertion Steps to Make a String Palindrome")</f>
        <v>Minimum Insertion Steps to Make a String Palindrome</v>
      </c>
      <c r="C869" s="6" t="str">
        <f>IFERROR(__xludf.DUMMYFUNCTION("""COMPUTED_VALUE"""),"Hard")</f>
        <v>Hard</v>
      </c>
      <c r="D869" s="6" t="str">
        <f>IFERROR(__xludf.DUMMYFUNCTION("""COMPUTED_VALUE"""),"Dynamic Programming")</f>
        <v>Dynamic Programming</v>
      </c>
      <c r="E869" s="6" t="str">
        <f>IFERROR(__xludf.DUMMYFUNCTION("""COMPUTED_VALUE"""),"Apple,SAP,Bloomberg,Amazon,LinkedIn,Google")</f>
        <v>Apple,SAP,Bloomberg,Amazon,LinkedIn,Google</v>
      </c>
      <c r="F869" s="6" t="str">
        <f>IFERROR(__xludf.DUMMYFUNCTION("""COMPUTED_VALUE"""),"Amazon,LinkedIn")</f>
        <v>Amazon,LinkedIn</v>
      </c>
      <c r="G869" s="6" t="str">
        <f>IFERROR(__xludf.DUMMYFUNCTION("""COMPUTED_VALUE"""),"Google,SAP,Bloomberg,Amazon,LinkedIn")</f>
        <v>Google,SAP,Bloomberg,Amazon,LinkedIn</v>
      </c>
      <c r="H869" s="6" t="str">
        <f>IFERROR(__xludf.DUMMYFUNCTION("""COMPUTED_VALUE"""),"Apple,Google,SAP,Bloomberg,Amazon,LinkedIn")</f>
        <v>Apple,Google,SAP,Bloomberg,Amazon,LinkedIn</v>
      </c>
      <c r="I869" s="6">
        <f>IFERROR(__xludf.DUMMYFUNCTION("""COMPUTED_VALUE"""),59.81)</f>
        <v>59.81</v>
      </c>
      <c r="J869" s="6" t="str">
        <f>IFERROR(__xludf.DUMMYFUNCTION("""COMPUTED_VALUE"""),"算法")</f>
        <v>算法</v>
      </c>
    </row>
    <row r="870">
      <c r="A870" s="6">
        <f>IFERROR(__xludf.DUMMYFUNCTION("""COMPUTED_VALUE"""),1313.0)</f>
        <v>1313</v>
      </c>
      <c r="B870" s="53" t="str">
        <f>IFERROR(__xludf.DUMMYFUNCTION("""COMPUTED_VALUE"""),"Decompress Run-Length Encoded List")</f>
        <v>Decompress Run-Length Encoded List</v>
      </c>
      <c r="C870" s="6" t="str">
        <f>IFERROR(__xludf.DUMMYFUNCTION("""COMPUTED_VALUE"""),"Easy")</f>
        <v>Easy</v>
      </c>
      <c r="D870" s="6" t="str">
        <f>IFERROR(__xludf.DUMMYFUNCTION("""COMPUTED_VALUE"""),"Array")</f>
        <v>Array</v>
      </c>
      <c r="E870" s="6" t="str">
        <f>IFERROR(__xludf.DUMMYFUNCTION("""COMPUTED_VALUE"""),"Apple,Amazon,Google")</f>
        <v>Apple,Amazon,Google</v>
      </c>
      <c r="F870" s="6" t="str">
        <f>IFERROR(__xludf.DUMMYFUNCTION("""COMPUTED_VALUE"""),"Amazon,Apple")</f>
        <v>Amazon,Apple</v>
      </c>
      <c r="G870" s="6" t="str">
        <f>IFERROR(__xludf.DUMMYFUNCTION("""COMPUTED_VALUE"""),"Google,Amazon,Apple")</f>
        <v>Google,Amazon,Apple</v>
      </c>
      <c r="H870" s="6" t="str">
        <f>IFERROR(__xludf.DUMMYFUNCTION("""COMPUTED_VALUE"""),"Google,Amazon,Apple")</f>
        <v>Google,Amazon,Apple</v>
      </c>
      <c r="I870" s="6">
        <f>IFERROR(__xludf.DUMMYFUNCTION("""COMPUTED_VALUE"""),85.39)</f>
        <v>85.39</v>
      </c>
      <c r="J870" s="6" t="str">
        <f>IFERROR(__xludf.DUMMYFUNCTION("""COMPUTED_VALUE"""),"算法")</f>
        <v>算法</v>
      </c>
    </row>
    <row r="871">
      <c r="A871" s="6">
        <f>IFERROR(__xludf.DUMMYFUNCTION("""COMPUTED_VALUE"""),1314.0)</f>
        <v>1314</v>
      </c>
      <c r="B871" s="53" t="str">
        <f>IFERROR(__xludf.DUMMYFUNCTION("""COMPUTED_VALUE"""),"Matrix Block Sum")</f>
        <v>Matrix Block Sum</v>
      </c>
      <c r="C871" s="6" t="str">
        <f>IFERROR(__xludf.DUMMYFUNCTION("""COMPUTED_VALUE"""),"Medium")</f>
        <v>Medium</v>
      </c>
      <c r="D871" s="6" t="str">
        <f>IFERROR(__xludf.DUMMYFUNCTION("""COMPUTED_VALUE"""),"Dynamic Programming")</f>
        <v>Dynamic Programming</v>
      </c>
      <c r="E871" s="6" t="str">
        <f>IFERROR(__xludf.DUMMYFUNCTION("""COMPUTED_VALUE"""),"Apple,Bloomberg,Facebook,Google")</f>
        <v>Apple,Bloomberg,Facebook,Google</v>
      </c>
      <c r="F871" s="6" t="str">
        <f>IFERROR(__xludf.DUMMYFUNCTION("""COMPUTED_VALUE"""),"Google,Facebook,Bloomberg")</f>
        <v>Google,Facebook,Bloomberg</v>
      </c>
      <c r="G871" s="6" t="str">
        <f>IFERROR(__xludf.DUMMYFUNCTION("""COMPUTED_VALUE"""),"Google,Facebook,Bloomberg")</f>
        <v>Google,Facebook,Bloomberg</v>
      </c>
      <c r="H871" s="6" t="str">
        <f>IFERROR(__xludf.DUMMYFUNCTION("""COMPUTED_VALUE"""),"Apple,Google,Facebook,Bloomberg")</f>
        <v>Apple,Google,Facebook,Bloomberg</v>
      </c>
      <c r="I871" s="6">
        <f>IFERROR(__xludf.DUMMYFUNCTION("""COMPUTED_VALUE"""),73.65)</f>
        <v>73.65</v>
      </c>
      <c r="J871" s="6" t="str">
        <f>IFERROR(__xludf.DUMMYFUNCTION("""COMPUTED_VALUE"""),"算法")</f>
        <v>算法</v>
      </c>
    </row>
    <row r="872">
      <c r="A872" s="6">
        <f>IFERROR(__xludf.DUMMYFUNCTION("""COMPUTED_VALUE"""),1316.0)</f>
        <v>1316</v>
      </c>
      <c r="B872" s="53" t="str">
        <f>IFERROR(__xludf.DUMMYFUNCTION("""COMPUTED_VALUE"""),"Distinct Echo Substrings")</f>
        <v>Distinct Echo Substrings</v>
      </c>
      <c r="C872" s="6" t="str">
        <f>IFERROR(__xludf.DUMMYFUNCTION("""COMPUTED_VALUE"""),"Hard")</f>
        <v>Hard</v>
      </c>
      <c r="D872" s="6" t="str">
        <f>IFERROR(__xludf.DUMMYFUNCTION("""COMPUTED_VALUE"""),"Rolling Hash,String")</f>
        <v>Rolling Hash,String</v>
      </c>
      <c r="E872" s="6" t="str">
        <f>IFERROR(__xludf.DUMMYFUNCTION("""COMPUTED_VALUE"""),"Google")</f>
        <v>Google</v>
      </c>
      <c r="F872" s="6"/>
      <c r="G872" s="6"/>
      <c r="H872" s="6" t="str">
        <f>IFERROR(__xludf.DUMMYFUNCTION("""COMPUTED_VALUE"""),"Google")</f>
        <v>Google</v>
      </c>
      <c r="I872" s="6">
        <f>IFERROR(__xludf.DUMMYFUNCTION("""COMPUTED_VALUE"""),49.72)</f>
        <v>49.72</v>
      </c>
      <c r="J872" s="6" t="str">
        <f>IFERROR(__xludf.DUMMYFUNCTION("""COMPUTED_VALUE"""),"算法")</f>
        <v>算法</v>
      </c>
    </row>
    <row r="873">
      <c r="A873" s="6">
        <f>IFERROR(__xludf.DUMMYFUNCTION("""COMPUTED_VALUE"""),1320.0)</f>
        <v>1320</v>
      </c>
      <c r="B873" s="53" t="str">
        <f>IFERROR(__xludf.DUMMYFUNCTION("""COMPUTED_VALUE"""),"Minimum Distance to Type a Word Using Two Fingers")</f>
        <v>Minimum Distance to Type a Word Using Two Fingers</v>
      </c>
      <c r="C873" s="6" t="str">
        <f>IFERROR(__xludf.DUMMYFUNCTION("""COMPUTED_VALUE"""),"Hard")</f>
        <v>Hard</v>
      </c>
      <c r="D873" s="6" t="str">
        <f>IFERROR(__xludf.DUMMYFUNCTION("""COMPUTED_VALUE"""),"Dynamic Programming")</f>
        <v>Dynamic Programming</v>
      </c>
      <c r="E873" s="6" t="str">
        <f>IFERROR(__xludf.DUMMYFUNCTION("""COMPUTED_VALUE"""),"Google")</f>
        <v>Google</v>
      </c>
      <c r="F873" s="6"/>
      <c r="G873" s="6" t="str">
        <f>IFERROR(__xludf.DUMMYFUNCTION("""COMPUTED_VALUE"""),"Google")</f>
        <v>Google</v>
      </c>
      <c r="H873" s="6" t="str">
        <f>IFERROR(__xludf.DUMMYFUNCTION("""COMPUTED_VALUE"""),"Google")</f>
        <v>Google</v>
      </c>
      <c r="I873" s="6">
        <f>IFERROR(__xludf.DUMMYFUNCTION("""COMPUTED_VALUE"""),61.78)</f>
        <v>61.78</v>
      </c>
      <c r="J873" s="6" t="str">
        <f>IFERROR(__xludf.DUMMYFUNCTION("""COMPUTED_VALUE"""),"算法")</f>
        <v>算法</v>
      </c>
    </row>
    <row r="874">
      <c r="A874" s="6">
        <f>IFERROR(__xludf.DUMMYFUNCTION("""COMPUTED_VALUE"""),1325.0)</f>
        <v>1325</v>
      </c>
      <c r="B874" s="53" t="str">
        <f>IFERROR(__xludf.DUMMYFUNCTION("""COMPUTED_VALUE"""),"Delete Leaves With a Given Value")</f>
        <v>Delete Leaves With a Given Value</v>
      </c>
      <c r="C874" s="6" t="str">
        <f>IFERROR(__xludf.DUMMYFUNCTION("""COMPUTED_VALUE"""),"Medium")</f>
        <v>Medium</v>
      </c>
      <c r="D874" s="6" t="str">
        <f>IFERROR(__xludf.DUMMYFUNCTION("""COMPUTED_VALUE"""),"Tree")</f>
        <v>Tree</v>
      </c>
      <c r="E874" s="6" t="str">
        <f>IFERROR(__xludf.DUMMYFUNCTION("""COMPUTED_VALUE"""),"Amazon,Google")</f>
        <v>Amazon,Google</v>
      </c>
      <c r="F874" s="6"/>
      <c r="G874" s="6" t="str">
        <f>IFERROR(__xludf.DUMMYFUNCTION("""COMPUTED_VALUE"""),"Amazon")</f>
        <v>Amazon</v>
      </c>
      <c r="H874" s="6" t="str">
        <f>IFERROR(__xludf.DUMMYFUNCTION("""COMPUTED_VALUE"""),"Google,Amazon")</f>
        <v>Google,Amazon</v>
      </c>
      <c r="I874" s="6">
        <f>IFERROR(__xludf.DUMMYFUNCTION("""COMPUTED_VALUE"""),73.78)</f>
        <v>73.78</v>
      </c>
      <c r="J874" s="6" t="str">
        <f>IFERROR(__xludf.DUMMYFUNCTION("""COMPUTED_VALUE"""),"算法")</f>
        <v>算法</v>
      </c>
    </row>
    <row r="875">
      <c r="A875" s="6">
        <f>IFERROR(__xludf.DUMMYFUNCTION("""COMPUTED_VALUE"""),1326.0)</f>
        <v>1326</v>
      </c>
      <c r="B875" s="53" t="str">
        <f>IFERROR(__xludf.DUMMYFUNCTION("""COMPUTED_VALUE"""),"Minimum Number of Taps to Open to Water a Garden")</f>
        <v>Minimum Number of Taps to Open to Water a Garden</v>
      </c>
      <c r="C875" s="6" t="str">
        <f>IFERROR(__xludf.DUMMYFUNCTION("""COMPUTED_VALUE"""),"Hard")</f>
        <v>Hard</v>
      </c>
      <c r="D875" s="6" t="str">
        <f>IFERROR(__xludf.DUMMYFUNCTION("""COMPUTED_VALUE"""),"Greedy,Dynamic Programming")</f>
        <v>Greedy,Dynamic Programming</v>
      </c>
      <c r="E875" s="6" t="str">
        <f>IFERROR(__xludf.DUMMYFUNCTION("""COMPUTED_VALUE"""),"DE Shaw,Atlassian,Docusign,Apple,Morgan Stanley,Adobe,Amazon,Akuna Capital,Twitter,Google")</f>
        <v>DE Shaw,Atlassian,Docusign,Apple,Morgan Stanley,Adobe,Amazon,Akuna Capital,Twitter,Google</v>
      </c>
      <c r="F875" s="6" t="str">
        <f>IFERROR(__xludf.DUMMYFUNCTION("""COMPUTED_VALUE"""),"Apple,Twitter,Adobe,Docusign,Morgan Stanley")</f>
        <v>Apple,Twitter,Adobe,Docusign,Morgan Stanley</v>
      </c>
      <c r="G875" s="6" t="str">
        <f>IFERROR(__xludf.DUMMYFUNCTION("""COMPUTED_VALUE"""),"Google,Atlassian,DE Shaw,Amazon,Apple,Twitter,Adobe,Docusign,Morgan Stanley")</f>
        <v>Google,Atlassian,DE Shaw,Amazon,Apple,Twitter,Adobe,Docusign,Morgan Stanley</v>
      </c>
      <c r="H875" s="6" t="str">
        <f>IFERROR(__xludf.DUMMYFUNCTION("""COMPUTED_VALUE"""),"Akuna Capital,Google,Atlassian,DE Shaw,Amazon,Apple,Twitter,Adobe,Docusign,Morgan Stanley")</f>
        <v>Akuna Capital,Google,Atlassian,DE Shaw,Amazon,Apple,Twitter,Adobe,Docusign,Morgan Stanley</v>
      </c>
      <c r="I875" s="6">
        <f>IFERROR(__xludf.DUMMYFUNCTION("""COMPUTED_VALUE"""),47.58)</f>
        <v>47.58</v>
      </c>
      <c r="J875" s="6" t="str">
        <f>IFERROR(__xludf.DUMMYFUNCTION("""COMPUTED_VALUE"""),"算法")</f>
        <v>算法</v>
      </c>
    </row>
    <row r="876">
      <c r="A876" s="6">
        <f>IFERROR(__xludf.DUMMYFUNCTION("""COMPUTED_VALUE"""),1329.0)</f>
        <v>1329</v>
      </c>
      <c r="B876" s="53" t="str">
        <f>IFERROR(__xludf.DUMMYFUNCTION("""COMPUTED_VALUE"""),"Sort the Matrix Diagonally")</f>
        <v>Sort the Matrix Diagonally</v>
      </c>
      <c r="C876" s="6" t="str">
        <f>IFERROR(__xludf.DUMMYFUNCTION("""COMPUTED_VALUE"""),"Medium")</f>
        <v>Medium</v>
      </c>
      <c r="D876" s="6" t="str">
        <f>IFERROR(__xludf.DUMMYFUNCTION("""COMPUTED_VALUE"""),"Sort,Array")</f>
        <v>Sort,Array</v>
      </c>
      <c r="E876" s="6" t="str">
        <f>IFERROR(__xludf.DUMMYFUNCTION("""COMPUTED_VALUE"""),"Databricks,Robinhood,ServiceNow,Zoho,Facebook,Google,Quora")</f>
        <v>Databricks,Robinhood,ServiceNow,Zoho,Facebook,Google,Quora</v>
      </c>
      <c r="F876" s="6" t="str">
        <f>IFERROR(__xludf.DUMMYFUNCTION("""COMPUTED_VALUE"""),"Facebook")</f>
        <v>Facebook</v>
      </c>
      <c r="G876" s="6" t="str">
        <f>IFERROR(__xludf.DUMMYFUNCTION("""COMPUTED_VALUE"""),"Databricks,Google,Robinhood,ServiceNow,Facebook")</f>
        <v>Databricks,Google,Robinhood,ServiceNow,Facebook</v>
      </c>
      <c r="H876" s="6" t="str">
        <f>IFERROR(__xludf.DUMMYFUNCTION("""COMPUTED_VALUE"""),"Quora,Zoho,Databricks,Google,Robinhood,ServiceNow,Facebook")</f>
        <v>Quora,Zoho,Databricks,Google,Robinhood,ServiceNow,Facebook</v>
      </c>
      <c r="I876" s="6">
        <f>IFERROR(__xludf.DUMMYFUNCTION("""COMPUTED_VALUE"""),81.75)</f>
        <v>81.75</v>
      </c>
      <c r="J876" s="6" t="str">
        <f>IFERROR(__xludf.DUMMYFUNCTION("""COMPUTED_VALUE"""),"算法")</f>
        <v>算法</v>
      </c>
    </row>
    <row r="877">
      <c r="A877" s="6">
        <f>IFERROR(__xludf.DUMMYFUNCTION("""COMPUTED_VALUE"""),1331.0)</f>
        <v>1331</v>
      </c>
      <c r="B877" s="53" t="str">
        <f>IFERROR(__xludf.DUMMYFUNCTION("""COMPUTED_VALUE"""),"Rank Transform of an Array")</f>
        <v>Rank Transform of an Array</v>
      </c>
      <c r="C877" s="6" t="str">
        <f>IFERROR(__xludf.DUMMYFUNCTION("""COMPUTED_VALUE"""),"Easy")</f>
        <v>Easy</v>
      </c>
      <c r="D877" s="6" t="str">
        <f>IFERROR(__xludf.DUMMYFUNCTION("""COMPUTED_VALUE"""),"Array")</f>
        <v>Array</v>
      </c>
      <c r="E877" s="6" t="str">
        <f>IFERROR(__xludf.DUMMYFUNCTION("""COMPUTED_VALUE"""),"Facebook,Amazon,Google")</f>
        <v>Facebook,Amazon,Google</v>
      </c>
      <c r="F877" s="6" t="str">
        <f>IFERROR(__xludf.DUMMYFUNCTION("""COMPUTED_VALUE"""),"Amazon")</f>
        <v>Amazon</v>
      </c>
      <c r="G877" s="6" t="str">
        <f>IFERROR(__xludf.DUMMYFUNCTION("""COMPUTED_VALUE"""),"Facebook,Amazon")</f>
        <v>Facebook,Amazon</v>
      </c>
      <c r="H877" s="6" t="str">
        <f>IFERROR(__xludf.DUMMYFUNCTION("""COMPUTED_VALUE"""),"Google,Facebook,Amazon")</f>
        <v>Google,Facebook,Amazon</v>
      </c>
      <c r="I877" s="6">
        <f>IFERROR(__xludf.DUMMYFUNCTION("""COMPUTED_VALUE"""),57.43)</f>
        <v>57.43</v>
      </c>
      <c r="J877" s="6" t="str">
        <f>IFERROR(__xludf.DUMMYFUNCTION("""COMPUTED_VALUE"""),"算法")</f>
        <v>算法</v>
      </c>
    </row>
    <row r="878">
      <c r="A878" s="6">
        <f>IFERROR(__xludf.DUMMYFUNCTION("""COMPUTED_VALUE"""),1342.0)</f>
        <v>1342</v>
      </c>
      <c r="B878" s="53" t="str">
        <f>IFERROR(__xludf.DUMMYFUNCTION("""COMPUTED_VALUE"""),"Number of Steps to Reduce a Number to Zero")</f>
        <v>Number of Steps to Reduce a Number to Zero</v>
      </c>
      <c r="C878" s="6" t="str">
        <f>IFERROR(__xludf.DUMMYFUNCTION("""COMPUTED_VALUE"""),"Easy")</f>
        <v>Easy</v>
      </c>
      <c r="D878" s="6" t="str">
        <f>IFERROR(__xludf.DUMMYFUNCTION("""COMPUTED_VALUE"""),"Bit Manipulation")</f>
        <v>Bit Manipulation</v>
      </c>
      <c r="E878" s="6" t="str">
        <f>IFERROR(__xludf.DUMMYFUNCTION("""COMPUTED_VALUE"""),"Amazon,Microsoft,HRT,Google")</f>
        <v>Amazon,Microsoft,HRT,Google</v>
      </c>
      <c r="F878" s="6"/>
      <c r="G878" s="6" t="str">
        <f>IFERROR(__xludf.DUMMYFUNCTION("""COMPUTED_VALUE"""),"Amazon,Microsoft")</f>
        <v>Amazon,Microsoft</v>
      </c>
      <c r="H878" s="6" t="str">
        <f>IFERROR(__xludf.DUMMYFUNCTION("""COMPUTED_VALUE"""),"Google,HRT,Amazon,Microsoft")</f>
        <v>Google,HRT,Amazon,Microsoft</v>
      </c>
      <c r="I878" s="6">
        <f>IFERROR(__xludf.DUMMYFUNCTION("""COMPUTED_VALUE"""),85.75)</f>
        <v>85.75</v>
      </c>
      <c r="J878" s="6" t="str">
        <f>IFERROR(__xludf.DUMMYFUNCTION("""COMPUTED_VALUE"""),"算法")</f>
        <v>算法</v>
      </c>
    </row>
    <row r="879">
      <c r="A879" s="6">
        <f>IFERROR(__xludf.DUMMYFUNCTION("""COMPUTED_VALUE"""),1345.0)</f>
        <v>1345</v>
      </c>
      <c r="B879" s="53" t="str">
        <f>IFERROR(__xludf.DUMMYFUNCTION("""COMPUTED_VALUE"""),"Jump Game IV")</f>
        <v>Jump Game IV</v>
      </c>
      <c r="C879" s="6" t="str">
        <f>IFERROR(__xludf.DUMMYFUNCTION("""COMPUTED_VALUE"""),"Hard")</f>
        <v>Hard</v>
      </c>
      <c r="D879" s="6" t="str">
        <f>IFERROR(__xludf.DUMMYFUNCTION("""COMPUTED_VALUE"""),"Breadth First Search")</f>
        <v>Breadth First Search</v>
      </c>
      <c r="E879" s="6" t="str">
        <f>IFERROR(__xludf.DUMMYFUNCTION("""COMPUTED_VALUE"""),"Amazon,Google")</f>
        <v>Amazon,Google</v>
      </c>
      <c r="F879" s="6" t="str">
        <f>IFERROR(__xludf.DUMMYFUNCTION("""COMPUTED_VALUE"""),"Google,Amazon")</f>
        <v>Google,Amazon</v>
      </c>
      <c r="G879" s="6" t="str">
        <f>IFERROR(__xludf.DUMMYFUNCTION("""COMPUTED_VALUE"""),"Google,Amazon")</f>
        <v>Google,Amazon</v>
      </c>
      <c r="H879" s="6" t="str">
        <f>IFERROR(__xludf.DUMMYFUNCTION("""COMPUTED_VALUE"""),"Google,Amazon")</f>
        <v>Google,Amazon</v>
      </c>
      <c r="I879" s="6">
        <f>IFERROR(__xludf.DUMMYFUNCTION("""COMPUTED_VALUE"""),41.96)</f>
        <v>41.96</v>
      </c>
      <c r="J879" s="6" t="str">
        <f>IFERROR(__xludf.DUMMYFUNCTION("""COMPUTED_VALUE"""),"算法")</f>
        <v>算法</v>
      </c>
    </row>
    <row r="880">
      <c r="A880" s="6">
        <f>IFERROR(__xludf.DUMMYFUNCTION("""COMPUTED_VALUE"""),1346.0)</f>
        <v>1346</v>
      </c>
      <c r="B880" s="53" t="str">
        <f>IFERROR(__xludf.DUMMYFUNCTION("""COMPUTED_VALUE"""),"Check If N and Its Double Exist")</f>
        <v>Check If N and Its Double Exist</v>
      </c>
      <c r="C880" s="6" t="str">
        <f>IFERROR(__xludf.DUMMYFUNCTION("""COMPUTED_VALUE"""),"Easy")</f>
        <v>Easy</v>
      </c>
      <c r="D880" s="6" t="str">
        <f>IFERROR(__xludf.DUMMYFUNCTION("""COMPUTED_VALUE"""),"Array")</f>
        <v>Array</v>
      </c>
      <c r="E880" s="6" t="str">
        <f>IFERROR(__xludf.DUMMYFUNCTION("""COMPUTED_VALUE"""),"Google")</f>
        <v>Google</v>
      </c>
      <c r="F880" s="6"/>
      <c r="G880" s="6"/>
      <c r="H880" s="6" t="str">
        <f>IFERROR(__xludf.DUMMYFUNCTION("""COMPUTED_VALUE"""),"Google")</f>
        <v>Google</v>
      </c>
      <c r="I880" s="6">
        <f>IFERROR(__xludf.DUMMYFUNCTION("""COMPUTED_VALUE"""),36.08)</f>
        <v>36.08</v>
      </c>
      <c r="J880" s="6" t="str">
        <f>IFERROR(__xludf.DUMMYFUNCTION("""COMPUTED_VALUE"""),"算法")</f>
        <v>算法</v>
      </c>
    </row>
    <row r="881">
      <c r="A881" s="6">
        <f>IFERROR(__xludf.DUMMYFUNCTION("""COMPUTED_VALUE"""),1352.0)</f>
        <v>1352</v>
      </c>
      <c r="B881" s="53" t="str">
        <f>IFERROR(__xludf.DUMMYFUNCTION("""COMPUTED_VALUE"""),"Product of the Last K Numbers")</f>
        <v>Product of the Last K Numbers</v>
      </c>
      <c r="C881" s="6" t="str">
        <f>IFERROR(__xludf.DUMMYFUNCTION("""COMPUTED_VALUE"""),"Medium")</f>
        <v>Medium</v>
      </c>
      <c r="D881" s="6" t="str">
        <f>IFERROR(__xludf.DUMMYFUNCTION("""COMPUTED_VALUE"""),"Design,Array")</f>
        <v>Design,Array</v>
      </c>
      <c r="E881" s="6" t="str">
        <f>IFERROR(__xludf.DUMMYFUNCTION("""COMPUTED_VALUE"""),"ByteDance,Apple,Uber,Microsoft,Google")</f>
        <v>ByteDance,Apple,Uber,Microsoft,Google</v>
      </c>
      <c r="F881" s="6" t="str">
        <f>IFERROR(__xludf.DUMMYFUNCTION("""COMPUTED_VALUE"""),"ByteDance,Google,Uber")</f>
        <v>ByteDance,Google,Uber</v>
      </c>
      <c r="G881" s="6" t="str">
        <f>IFERROR(__xludf.DUMMYFUNCTION("""COMPUTED_VALUE"""),"Apple,ByteDance,Google,Uber")</f>
        <v>Apple,ByteDance,Google,Uber</v>
      </c>
      <c r="H881" s="6" t="str">
        <f>IFERROR(__xludf.DUMMYFUNCTION("""COMPUTED_VALUE"""),"Microsoft,Apple,ByteDance,Google,Uber")</f>
        <v>Microsoft,Apple,ByteDance,Google,Uber</v>
      </c>
      <c r="I881" s="6">
        <f>IFERROR(__xludf.DUMMYFUNCTION("""COMPUTED_VALUE"""),44.81)</f>
        <v>44.81</v>
      </c>
      <c r="J881" s="6" t="str">
        <f>IFERROR(__xludf.DUMMYFUNCTION("""COMPUTED_VALUE"""),"算法")</f>
        <v>算法</v>
      </c>
    </row>
    <row r="882">
      <c r="A882" s="6">
        <f>IFERROR(__xludf.DUMMYFUNCTION("""COMPUTED_VALUE"""),1365.0)</f>
        <v>1365</v>
      </c>
      <c r="B882" s="53" t="str">
        <f>IFERROR(__xludf.DUMMYFUNCTION("""COMPUTED_VALUE"""),"How Many Numbers Are Smaller Than the Current Number")</f>
        <v>How Many Numbers Are Smaller Than the Current Number</v>
      </c>
      <c r="C882" s="6" t="str">
        <f>IFERROR(__xludf.DUMMYFUNCTION("""COMPUTED_VALUE"""),"Easy")</f>
        <v>Easy</v>
      </c>
      <c r="D882" s="6" t="str">
        <f>IFERROR(__xludf.DUMMYFUNCTION("""COMPUTED_VALUE"""),"Hash Table,Array")</f>
        <v>Hash Table,Array</v>
      </c>
      <c r="E882" s="6" t="str">
        <f>IFERROR(__xludf.DUMMYFUNCTION("""COMPUTED_VALUE"""),"Bloomberg,Adobe,Amazon,Google")</f>
        <v>Bloomberg,Adobe,Amazon,Google</v>
      </c>
      <c r="F882" s="6" t="str">
        <f>IFERROR(__xludf.DUMMYFUNCTION("""COMPUTED_VALUE"""),"Amazon")</f>
        <v>Amazon</v>
      </c>
      <c r="G882" s="6" t="str">
        <f>IFERROR(__xludf.DUMMYFUNCTION("""COMPUTED_VALUE"""),"Bloomberg,Amazon")</f>
        <v>Bloomberg,Amazon</v>
      </c>
      <c r="H882" s="6" t="str">
        <f>IFERROR(__xludf.DUMMYFUNCTION("""COMPUTED_VALUE"""),"Adobe,Google,Bloomberg,Amazon")</f>
        <v>Adobe,Google,Bloomberg,Amazon</v>
      </c>
      <c r="I882" s="6">
        <f>IFERROR(__xludf.DUMMYFUNCTION("""COMPUTED_VALUE"""),85.95)</f>
        <v>85.95</v>
      </c>
      <c r="J882" s="6" t="str">
        <f>IFERROR(__xludf.DUMMYFUNCTION("""COMPUTED_VALUE"""),"算法")</f>
        <v>算法</v>
      </c>
    </row>
    <row r="883">
      <c r="A883" s="6">
        <f>IFERROR(__xludf.DUMMYFUNCTION("""COMPUTED_VALUE"""),1366.0)</f>
        <v>1366</v>
      </c>
      <c r="B883" s="53" t="str">
        <f>IFERROR(__xludf.DUMMYFUNCTION("""COMPUTED_VALUE"""),"Rank Teams by Votes")</f>
        <v>Rank Teams by Votes</v>
      </c>
      <c r="C883" s="6" t="str">
        <f>IFERROR(__xludf.DUMMYFUNCTION("""COMPUTED_VALUE"""),"Medium")</f>
        <v>Medium</v>
      </c>
      <c r="D883" s="6" t="str">
        <f>IFERROR(__xludf.DUMMYFUNCTION("""COMPUTED_VALUE"""),"Sort,Array")</f>
        <v>Sort,Array</v>
      </c>
      <c r="E883" s="6" t="str">
        <f>IFERROR(__xludf.DUMMYFUNCTION("""COMPUTED_VALUE"""),"Zoom,Atlassian,Bloomberg,Google")</f>
        <v>Zoom,Atlassian,Bloomberg,Google</v>
      </c>
      <c r="F883" s="6" t="str">
        <f>IFERROR(__xludf.DUMMYFUNCTION("""COMPUTED_VALUE"""),"Atlassian,Bloomberg,Zoom")</f>
        <v>Atlassian,Bloomberg,Zoom</v>
      </c>
      <c r="G883" s="6" t="str">
        <f>IFERROR(__xludf.DUMMYFUNCTION("""COMPUTED_VALUE"""),"Google,Atlassian,Bloomberg,Zoom")</f>
        <v>Google,Atlassian,Bloomberg,Zoom</v>
      </c>
      <c r="H883" s="6" t="str">
        <f>IFERROR(__xludf.DUMMYFUNCTION("""COMPUTED_VALUE"""),"Google,Atlassian,Bloomberg,Zoom")</f>
        <v>Google,Atlassian,Bloomberg,Zoom</v>
      </c>
      <c r="I883" s="6">
        <f>IFERROR(__xludf.DUMMYFUNCTION("""COMPUTED_VALUE"""),55.38)</f>
        <v>55.38</v>
      </c>
      <c r="J883" s="6" t="str">
        <f>IFERROR(__xludf.DUMMYFUNCTION("""COMPUTED_VALUE"""),"算法")</f>
        <v>算法</v>
      </c>
    </row>
    <row r="884">
      <c r="A884" s="6">
        <f>IFERROR(__xludf.DUMMYFUNCTION("""COMPUTED_VALUE"""),1368.0)</f>
        <v>1368</v>
      </c>
      <c r="B884" s="53" t="str">
        <f>IFERROR(__xludf.DUMMYFUNCTION("""COMPUTED_VALUE"""),"Minimum Cost to Make at Least One Valid Path in a Grid")</f>
        <v>Minimum Cost to Make at Least One Valid Path in a Grid</v>
      </c>
      <c r="C884" s="6" t="str">
        <f>IFERROR(__xludf.DUMMYFUNCTION("""COMPUTED_VALUE"""),"Hard")</f>
        <v>Hard</v>
      </c>
      <c r="D884" s="6" t="str">
        <f>IFERROR(__xludf.DUMMYFUNCTION("""COMPUTED_VALUE"""),"Breadth First Search")</f>
        <v>Breadth First Search</v>
      </c>
      <c r="E884" s="6" t="str">
        <f>IFERROR(__xludf.DUMMYFUNCTION("""COMPUTED_VALUE"""),"Uber,Google")</f>
        <v>Uber,Google</v>
      </c>
      <c r="F884" s="6" t="str">
        <f>IFERROR(__xludf.DUMMYFUNCTION("""COMPUTED_VALUE"""),"Google")</f>
        <v>Google</v>
      </c>
      <c r="G884" s="6" t="str">
        <f>IFERROR(__xludf.DUMMYFUNCTION("""COMPUTED_VALUE"""),"Uber,Google")</f>
        <v>Uber,Google</v>
      </c>
      <c r="H884" s="6" t="str">
        <f>IFERROR(__xludf.DUMMYFUNCTION("""COMPUTED_VALUE"""),"Uber,Google")</f>
        <v>Uber,Google</v>
      </c>
      <c r="I884" s="6">
        <f>IFERROR(__xludf.DUMMYFUNCTION("""COMPUTED_VALUE"""),57.47)</f>
        <v>57.47</v>
      </c>
      <c r="J884" s="6" t="str">
        <f>IFERROR(__xludf.DUMMYFUNCTION("""COMPUTED_VALUE"""),"算法")</f>
        <v>算法</v>
      </c>
    </row>
    <row r="885">
      <c r="A885" s="6">
        <f>IFERROR(__xludf.DUMMYFUNCTION("""COMPUTED_VALUE"""),1376.0)</f>
        <v>1376</v>
      </c>
      <c r="B885" s="53" t="str">
        <f>IFERROR(__xludf.DUMMYFUNCTION("""COMPUTED_VALUE"""),"Time Needed to Inform All Employees")</f>
        <v>Time Needed to Inform All Employees</v>
      </c>
      <c r="C885" s="6" t="str">
        <f>IFERROR(__xludf.DUMMYFUNCTION("""COMPUTED_VALUE"""),"Medium")</f>
        <v>Medium</v>
      </c>
      <c r="D885" s="6" t="str">
        <f>IFERROR(__xludf.DUMMYFUNCTION("""COMPUTED_VALUE"""),"Depth First Search")</f>
        <v>Depth First Search</v>
      </c>
      <c r="E885" s="6" t="str">
        <f>IFERROR(__xludf.DUMMYFUNCTION("""COMPUTED_VALUE"""),"Microsoft,Google")</f>
        <v>Microsoft,Google</v>
      </c>
      <c r="F885" s="6" t="str">
        <f>IFERROR(__xludf.DUMMYFUNCTION("""COMPUTED_VALUE"""),"Google,Microsoft")</f>
        <v>Google,Microsoft</v>
      </c>
      <c r="G885" s="6" t="str">
        <f>IFERROR(__xludf.DUMMYFUNCTION("""COMPUTED_VALUE"""),"Google,Microsoft")</f>
        <v>Google,Microsoft</v>
      </c>
      <c r="H885" s="6" t="str">
        <f>IFERROR(__xludf.DUMMYFUNCTION("""COMPUTED_VALUE"""),"Google,Microsoft")</f>
        <v>Google,Microsoft</v>
      </c>
      <c r="I885" s="6">
        <f>IFERROR(__xludf.DUMMYFUNCTION("""COMPUTED_VALUE"""),56.57)</f>
        <v>56.57</v>
      </c>
      <c r="J885" s="6" t="str">
        <f>IFERROR(__xludf.DUMMYFUNCTION("""COMPUTED_VALUE"""),"算法")</f>
        <v>算法</v>
      </c>
    </row>
    <row r="886">
      <c r="A886" s="6">
        <f>IFERROR(__xludf.DUMMYFUNCTION("""COMPUTED_VALUE"""),1377.0)</f>
        <v>1377</v>
      </c>
      <c r="B886" s="53" t="str">
        <f>IFERROR(__xludf.DUMMYFUNCTION("""COMPUTED_VALUE"""),"Frog Position After T Seconds")</f>
        <v>Frog Position After T Seconds</v>
      </c>
      <c r="C886" s="6" t="str">
        <f>IFERROR(__xludf.DUMMYFUNCTION("""COMPUTED_VALUE"""),"Hard")</f>
        <v>Hard</v>
      </c>
      <c r="D886" s="6" t="str">
        <f>IFERROR(__xludf.DUMMYFUNCTION("""COMPUTED_VALUE"""),"Depth First Search")</f>
        <v>Depth First Search</v>
      </c>
      <c r="E886" s="6" t="str">
        <f>IFERROR(__xludf.DUMMYFUNCTION("""COMPUTED_VALUE"""),"Google")</f>
        <v>Google</v>
      </c>
      <c r="F886" s="6" t="str">
        <f>IFERROR(__xludf.DUMMYFUNCTION("""COMPUTED_VALUE"""),"Google")</f>
        <v>Google</v>
      </c>
      <c r="G886" s="6" t="str">
        <f>IFERROR(__xludf.DUMMYFUNCTION("""COMPUTED_VALUE"""),"Google")</f>
        <v>Google</v>
      </c>
      <c r="H886" s="6" t="str">
        <f>IFERROR(__xludf.DUMMYFUNCTION("""COMPUTED_VALUE"""),"Google")</f>
        <v>Google</v>
      </c>
      <c r="I886" s="6">
        <f>IFERROR(__xludf.DUMMYFUNCTION("""COMPUTED_VALUE"""),35.22)</f>
        <v>35.22</v>
      </c>
      <c r="J886" s="6" t="str">
        <f>IFERROR(__xludf.DUMMYFUNCTION("""COMPUTED_VALUE"""),"算法")</f>
        <v>算法</v>
      </c>
    </row>
    <row r="887">
      <c r="A887" s="6">
        <f>IFERROR(__xludf.DUMMYFUNCTION("""COMPUTED_VALUE"""),1387.0)</f>
        <v>1387</v>
      </c>
      <c r="B887" s="53" t="str">
        <f>IFERROR(__xludf.DUMMYFUNCTION("""COMPUTED_VALUE"""),"Sort Integers by The Power Value")</f>
        <v>Sort Integers by The Power Value</v>
      </c>
      <c r="C887" s="6" t="str">
        <f>IFERROR(__xludf.DUMMYFUNCTION("""COMPUTED_VALUE"""),"Medium")</f>
        <v>Medium</v>
      </c>
      <c r="D887" s="6" t="str">
        <f>IFERROR(__xludf.DUMMYFUNCTION("""COMPUTED_VALUE"""),"Graph,Sort")</f>
        <v>Graph,Sort</v>
      </c>
      <c r="E887" s="6" t="str">
        <f>IFERROR(__xludf.DUMMYFUNCTION("""COMPUTED_VALUE"""),"Google")</f>
        <v>Google</v>
      </c>
      <c r="F887" s="6"/>
      <c r="G887" s="6"/>
      <c r="H887" s="6" t="str">
        <f>IFERROR(__xludf.DUMMYFUNCTION("""COMPUTED_VALUE"""),"Google")</f>
        <v>Google</v>
      </c>
      <c r="I887" s="6">
        <f>IFERROR(__xludf.DUMMYFUNCTION("""COMPUTED_VALUE"""),70.52)</f>
        <v>70.52</v>
      </c>
      <c r="J887" s="6" t="str">
        <f>IFERROR(__xludf.DUMMYFUNCTION("""COMPUTED_VALUE"""),"算法")</f>
        <v>算法</v>
      </c>
    </row>
    <row r="888">
      <c r="A888" s="6">
        <f>IFERROR(__xludf.DUMMYFUNCTION("""COMPUTED_VALUE"""),1388.0)</f>
        <v>1388</v>
      </c>
      <c r="B888" s="53" t="str">
        <f>IFERROR(__xludf.DUMMYFUNCTION("""COMPUTED_VALUE"""),"Pizza With 3n Slices")</f>
        <v>Pizza With 3n Slices</v>
      </c>
      <c r="C888" s="6" t="str">
        <f>IFERROR(__xludf.DUMMYFUNCTION("""COMPUTED_VALUE"""),"Hard")</f>
        <v>Hard</v>
      </c>
      <c r="D888" s="6" t="str">
        <f>IFERROR(__xludf.DUMMYFUNCTION("""COMPUTED_VALUE"""),"Dynamic Programming")</f>
        <v>Dynamic Programming</v>
      </c>
      <c r="E888" s="6" t="str">
        <f>IFERROR(__xludf.DUMMYFUNCTION("""COMPUTED_VALUE"""),"Google")</f>
        <v>Google</v>
      </c>
      <c r="F888" s="6"/>
      <c r="G888" s="6"/>
      <c r="H888" s="6" t="str">
        <f>IFERROR(__xludf.DUMMYFUNCTION("""COMPUTED_VALUE"""),"Google")</f>
        <v>Google</v>
      </c>
      <c r="I888" s="6">
        <f>IFERROR(__xludf.DUMMYFUNCTION("""COMPUTED_VALUE"""),45.94)</f>
        <v>45.94</v>
      </c>
      <c r="J888" s="6" t="str">
        <f>IFERROR(__xludf.DUMMYFUNCTION("""COMPUTED_VALUE"""),"算法")</f>
        <v>算法</v>
      </c>
    </row>
    <row r="889">
      <c r="A889" s="6">
        <f>IFERROR(__xludf.DUMMYFUNCTION("""COMPUTED_VALUE"""),1392.0)</f>
        <v>1392</v>
      </c>
      <c r="B889" s="53" t="str">
        <f>IFERROR(__xludf.DUMMYFUNCTION("""COMPUTED_VALUE"""),"Longest Happy Prefix")</f>
        <v>Longest Happy Prefix</v>
      </c>
      <c r="C889" s="6" t="str">
        <f>IFERROR(__xludf.DUMMYFUNCTION("""COMPUTED_VALUE"""),"Hard")</f>
        <v>Hard</v>
      </c>
      <c r="D889" s="6" t="str">
        <f>IFERROR(__xludf.DUMMYFUNCTION("""COMPUTED_VALUE"""),"String")</f>
        <v>String</v>
      </c>
      <c r="E889" s="6" t="str">
        <f>IFERROR(__xludf.DUMMYFUNCTION("""COMPUTED_VALUE"""),"Google")</f>
        <v>Google</v>
      </c>
      <c r="F889" s="6"/>
      <c r="G889" s="6"/>
      <c r="H889" s="6" t="str">
        <f>IFERROR(__xludf.DUMMYFUNCTION("""COMPUTED_VALUE"""),"Google")</f>
        <v>Google</v>
      </c>
      <c r="I889" s="6">
        <f>IFERROR(__xludf.DUMMYFUNCTION("""COMPUTED_VALUE"""),41.96)</f>
        <v>41.96</v>
      </c>
      <c r="J889" s="6" t="str">
        <f>IFERROR(__xludf.DUMMYFUNCTION("""COMPUTED_VALUE"""),"算法")</f>
        <v>算法</v>
      </c>
    </row>
    <row r="890">
      <c r="A890" s="6">
        <f>IFERROR(__xludf.DUMMYFUNCTION("""COMPUTED_VALUE"""),1395.0)</f>
        <v>1395</v>
      </c>
      <c r="B890" s="53" t="str">
        <f>IFERROR(__xludf.DUMMYFUNCTION("""COMPUTED_VALUE"""),"Count Number of Teams")</f>
        <v>Count Number of Teams</v>
      </c>
      <c r="C890" s="6" t="str">
        <f>IFERROR(__xludf.DUMMYFUNCTION("""COMPUTED_VALUE"""),"Medium")</f>
        <v>Medium</v>
      </c>
      <c r="D890" s="6" t="str">
        <f>IFERROR(__xludf.DUMMYFUNCTION("""COMPUTED_VALUE"""),"Array")</f>
        <v>Array</v>
      </c>
      <c r="E890" s="6" t="str">
        <f>IFERROR(__xludf.DUMMYFUNCTION("""COMPUTED_VALUE"""),"Google,Amazon,Goldman Sachs")</f>
        <v>Google,Amazon,Goldman Sachs</v>
      </c>
      <c r="F890" s="6" t="str">
        <f>IFERROR(__xludf.DUMMYFUNCTION("""COMPUTED_VALUE"""),"Goldman Sachs,Amazon")</f>
        <v>Goldman Sachs,Amazon</v>
      </c>
      <c r="G890" s="6" t="str">
        <f>IFERROR(__xludf.DUMMYFUNCTION("""COMPUTED_VALUE"""),"Google,Goldman Sachs,Amazon")</f>
        <v>Google,Goldman Sachs,Amazon</v>
      </c>
      <c r="H890" s="6" t="str">
        <f>IFERROR(__xludf.DUMMYFUNCTION("""COMPUTED_VALUE"""),"Google,Goldman Sachs,Amazon")</f>
        <v>Google,Goldman Sachs,Amazon</v>
      </c>
      <c r="I890" s="6">
        <f>IFERROR(__xludf.DUMMYFUNCTION("""COMPUTED_VALUE"""),76.1)</f>
        <v>76.1</v>
      </c>
      <c r="J890" s="6" t="str">
        <f>IFERROR(__xludf.DUMMYFUNCTION("""COMPUTED_VALUE"""),"算法")</f>
        <v>算法</v>
      </c>
    </row>
    <row r="891">
      <c r="A891" s="6">
        <f>IFERROR(__xludf.DUMMYFUNCTION("""COMPUTED_VALUE"""),1401.0)</f>
        <v>1401</v>
      </c>
      <c r="B891" s="53" t="str">
        <f>IFERROR(__xludf.DUMMYFUNCTION("""COMPUTED_VALUE"""),"Circle and Rectangle Overlapping")</f>
        <v>Circle and Rectangle Overlapping</v>
      </c>
      <c r="C891" s="6" t="str">
        <f>IFERROR(__xludf.DUMMYFUNCTION("""COMPUTED_VALUE"""),"Medium")</f>
        <v>Medium</v>
      </c>
      <c r="D891" s="6" t="str">
        <f>IFERROR(__xludf.DUMMYFUNCTION("""COMPUTED_VALUE"""),"Geometry")</f>
        <v>Geometry</v>
      </c>
      <c r="E891" s="6" t="str">
        <f>IFERROR(__xludf.DUMMYFUNCTION("""COMPUTED_VALUE"""),"Google")</f>
        <v>Google</v>
      </c>
      <c r="F891" s="6"/>
      <c r="G891" s="6"/>
      <c r="H891" s="6" t="str">
        <f>IFERROR(__xludf.DUMMYFUNCTION("""COMPUTED_VALUE"""),"Google")</f>
        <v>Google</v>
      </c>
      <c r="I891" s="6">
        <f>IFERROR(__xludf.DUMMYFUNCTION("""COMPUTED_VALUE"""),42.44)</f>
        <v>42.44</v>
      </c>
      <c r="J891" s="6" t="str">
        <f>IFERROR(__xludf.DUMMYFUNCTION("""COMPUTED_VALUE"""),"算法")</f>
        <v>算法</v>
      </c>
    </row>
    <row r="892">
      <c r="A892" s="6">
        <f>IFERROR(__xludf.DUMMYFUNCTION("""COMPUTED_VALUE"""),1406.0)</f>
        <v>1406</v>
      </c>
      <c r="B892" s="53" t="str">
        <f>IFERROR(__xludf.DUMMYFUNCTION("""COMPUTED_VALUE"""),"Stone Game III")</f>
        <v>Stone Game III</v>
      </c>
      <c r="C892" s="6" t="str">
        <f>IFERROR(__xludf.DUMMYFUNCTION("""COMPUTED_VALUE"""),"Hard")</f>
        <v>Hard</v>
      </c>
      <c r="D892" s="6" t="str">
        <f>IFERROR(__xludf.DUMMYFUNCTION("""COMPUTED_VALUE"""),"Dynamic Programming")</f>
        <v>Dynamic Programming</v>
      </c>
      <c r="E892" s="6" t="str">
        <f>IFERROR(__xludf.DUMMYFUNCTION("""COMPUTED_VALUE"""),"Google")</f>
        <v>Google</v>
      </c>
      <c r="F892" s="6" t="str">
        <f>IFERROR(__xludf.DUMMYFUNCTION("""COMPUTED_VALUE"""),"Google")</f>
        <v>Google</v>
      </c>
      <c r="G892" s="6" t="str">
        <f>IFERROR(__xludf.DUMMYFUNCTION("""COMPUTED_VALUE"""),"Google")</f>
        <v>Google</v>
      </c>
      <c r="H892" s="6" t="str">
        <f>IFERROR(__xludf.DUMMYFUNCTION("""COMPUTED_VALUE"""),"Google")</f>
        <v>Google</v>
      </c>
      <c r="I892" s="6">
        <f>IFERROR(__xludf.DUMMYFUNCTION("""COMPUTED_VALUE"""),57.55)</f>
        <v>57.55</v>
      </c>
      <c r="J892" s="6" t="str">
        <f>IFERROR(__xludf.DUMMYFUNCTION("""COMPUTED_VALUE"""),"算法")</f>
        <v>算法</v>
      </c>
    </row>
    <row r="893">
      <c r="A893" s="6">
        <f>IFERROR(__xludf.DUMMYFUNCTION("""COMPUTED_VALUE"""),1414.0)</f>
        <v>1414</v>
      </c>
      <c r="B893" s="53" t="str">
        <f>IFERROR(__xludf.DUMMYFUNCTION("""COMPUTED_VALUE"""),"Find the Minimum Number of Fibonacci Numbers Whose Sum Is K")</f>
        <v>Find the Minimum Number of Fibonacci Numbers Whose Sum Is K</v>
      </c>
      <c r="C893" s="6" t="str">
        <f>IFERROR(__xludf.DUMMYFUNCTION("""COMPUTED_VALUE"""),"Medium")</f>
        <v>Medium</v>
      </c>
      <c r="D893" s="6" t="str">
        <f>IFERROR(__xludf.DUMMYFUNCTION("""COMPUTED_VALUE"""),"Greedy,Array")</f>
        <v>Greedy,Array</v>
      </c>
      <c r="E893" s="6" t="str">
        <f>IFERROR(__xludf.DUMMYFUNCTION("""COMPUTED_VALUE"""),"Google")</f>
        <v>Google</v>
      </c>
      <c r="F893" s="6"/>
      <c r="G893" s="6"/>
      <c r="H893" s="6" t="str">
        <f>IFERROR(__xludf.DUMMYFUNCTION("""COMPUTED_VALUE"""),"Google")</f>
        <v>Google</v>
      </c>
      <c r="I893" s="6">
        <f>IFERROR(__xludf.DUMMYFUNCTION("""COMPUTED_VALUE"""),63.21)</f>
        <v>63.21</v>
      </c>
      <c r="J893" s="6" t="str">
        <f>IFERROR(__xludf.DUMMYFUNCTION("""COMPUTED_VALUE"""),"算法")</f>
        <v>算法</v>
      </c>
    </row>
    <row r="894">
      <c r="A894" s="6">
        <f>IFERROR(__xludf.DUMMYFUNCTION("""COMPUTED_VALUE"""),1422.0)</f>
        <v>1422</v>
      </c>
      <c r="B894" s="53" t="str">
        <f>IFERROR(__xludf.DUMMYFUNCTION("""COMPUTED_VALUE"""),"Maximum Score After Splitting a String")</f>
        <v>Maximum Score After Splitting a String</v>
      </c>
      <c r="C894" s="6" t="str">
        <f>IFERROR(__xludf.DUMMYFUNCTION("""COMPUTED_VALUE"""),"Easy")</f>
        <v>Easy</v>
      </c>
      <c r="D894" s="6" t="str">
        <f>IFERROR(__xludf.DUMMYFUNCTION("""COMPUTED_VALUE"""),"String")</f>
        <v>String</v>
      </c>
      <c r="E894" s="6" t="str">
        <f>IFERROR(__xludf.DUMMYFUNCTION("""COMPUTED_VALUE"""),"Google")</f>
        <v>Google</v>
      </c>
      <c r="F894" s="6"/>
      <c r="G894" s="6"/>
      <c r="H894" s="6" t="str">
        <f>IFERROR(__xludf.DUMMYFUNCTION("""COMPUTED_VALUE"""),"Google")</f>
        <v>Google</v>
      </c>
      <c r="I894" s="6">
        <f>IFERROR(__xludf.DUMMYFUNCTION("""COMPUTED_VALUE"""),56.69)</f>
        <v>56.69</v>
      </c>
      <c r="J894" s="6" t="str">
        <f>IFERROR(__xludf.DUMMYFUNCTION("""COMPUTED_VALUE"""),"算法")</f>
        <v>算法</v>
      </c>
    </row>
    <row r="895">
      <c r="A895" s="6">
        <f>IFERROR(__xludf.DUMMYFUNCTION("""COMPUTED_VALUE"""),1423.0)</f>
        <v>1423</v>
      </c>
      <c r="B895" s="53" t="str">
        <f>IFERROR(__xludf.DUMMYFUNCTION("""COMPUTED_VALUE"""),"Maximum Points You Can Obtain from Cards")</f>
        <v>Maximum Points You Can Obtain from Cards</v>
      </c>
      <c r="C895" s="6" t="str">
        <f>IFERROR(__xludf.DUMMYFUNCTION("""COMPUTED_VALUE"""),"Medium")</f>
        <v>Medium</v>
      </c>
      <c r="D895" s="6" t="str">
        <f>IFERROR(__xludf.DUMMYFUNCTION("""COMPUTED_VALUE"""),"Sliding Window,Dynamic Programming,Array")</f>
        <v>Sliding Window,Dynamic Programming,Array</v>
      </c>
      <c r="E895" s="6" t="str">
        <f>IFERROR(__xludf.DUMMYFUNCTION("""COMPUTED_VALUE"""),"Flipkart,Google")</f>
        <v>Flipkart,Google</v>
      </c>
      <c r="F895" s="6" t="str">
        <f>IFERROR(__xludf.DUMMYFUNCTION("""COMPUTED_VALUE"""),"Google")</f>
        <v>Google</v>
      </c>
      <c r="G895" s="6" t="str">
        <f>IFERROR(__xludf.DUMMYFUNCTION("""COMPUTED_VALUE"""),"Google")</f>
        <v>Google</v>
      </c>
      <c r="H895" s="6" t="str">
        <f>IFERROR(__xludf.DUMMYFUNCTION("""COMPUTED_VALUE"""),"Flipkart,Google")</f>
        <v>Flipkart,Google</v>
      </c>
      <c r="I895" s="6">
        <f>IFERROR(__xludf.DUMMYFUNCTION("""COMPUTED_VALUE"""),46.77)</f>
        <v>46.77</v>
      </c>
      <c r="J895" s="6" t="str">
        <f>IFERROR(__xludf.DUMMYFUNCTION("""COMPUTED_VALUE"""),"算法")</f>
        <v>算法</v>
      </c>
    </row>
    <row r="896">
      <c r="A896" s="6">
        <f>IFERROR(__xludf.DUMMYFUNCTION("""COMPUTED_VALUE"""),1424.0)</f>
        <v>1424</v>
      </c>
      <c r="B896" s="53" t="str">
        <f>IFERROR(__xludf.DUMMYFUNCTION("""COMPUTED_VALUE"""),"Diagonal Traverse II")</f>
        <v>Diagonal Traverse II</v>
      </c>
      <c r="C896" s="6" t="str">
        <f>IFERROR(__xludf.DUMMYFUNCTION("""COMPUTED_VALUE"""),"Medium")</f>
        <v>Medium</v>
      </c>
      <c r="D896" s="6" t="str">
        <f>IFERROR(__xludf.DUMMYFUNCTION("""COMPUTED_VALUE"""),"Sort,Array")</f>
        <v>Sort,Array</v>
      </c>
      <c r="E896" s="6" t="str">
        <f>IFERROR(__xludf.DUMMYFUNCTION("""COMPUTED_VALUE"""),"Visa,EBay,Facebook,Google")</f>
        <v>Visa,EBay,Facebook,Google</v>
      </c>
      <c r="F896" s="6" t="str">
        <f>IFERROR(__xludf.DUMMYFUNCTION("""COMPUTED_VALUE"""),"eBay")</f>
        <v>eBay</v>
      </c>
      <c r="G896" s="6" t="str">
        <f>IFERROR(__xludf.DUMMYFUNCTION("""COMPUTED_VALUE"""),"Facebook,Visa,eBay")</f>
        <v>Facebook,Visa,eBay</v>
      </c>
      <c r="H896" s="6" t="str">
        <f>IFERROR(__xludf.DUMMYFUNCTION("""COMPUTED_VALUE"""),"Google,Facebook,Visa,eBay")</f>
        <v>Google,Facebook,Visa,eBay</v>
      </c>
      <c r="I896" s="6">
        <f>IFERROR(__xludf.DUMMYFUNCTION("""COMPUTED_VALUE"""),46.11)</f>
        <v>46.11</v>
      </c>
      <c r="J896" s="6" t="str">
        <f>IFERROR(__xludf.DUMMYFUNCTION("""COMPUTED_VALUE"""),"算法")</f>
        <v>算法</v>
      </c>
    </row>
    <row r="897">
      <c r="A897" s="6">
        <f>IFERROR(__xludf.DUMMYFUNCTION("""COMPUTED_VALUE"""),1438.0)</f>
        <v>1438</v>
      </c>
      <c r="B897" s="53" t="str">
        <f>IFERROR(__xludf.DUMMYFUNCTION("""COMPUTED_VALUE"""),"Longest Continuous Subarray With Absolute Diff Less Than or Equal to Limit")</f>
        <v>Longest Continuous Subarray With Absolute Diff Less Than or Equal to Limit</v>
      </c>
      <c r="C897" s="6" t="str">
        <f>IFERROR(__xludf.DUMMYFUNCTION("""COMPUTED_VALUE"""),"Medium")</f>
        <v>Medium</v>
      </c>
      <c r="D897" s="6" t="str">
        <f>IFERROR(__xludf.DUMMYFUNCTION("""COMPUTED_VALUE"""),"Sliding Window,Array")</f>
        <v>Sliding Window,Array</v>
      </c>
      <c r="E897" s="6" t="str">
        <f>IFERROR(__xludf.DUMMYFUNCTION("""COMPUTED_VALUE"""),"EBay,Google")</f>
        <v>EBay,Google</v>
      </c>
      <c r="F897" s="6" t="str">
        <f>IFERROR(__xludf.DUMMYFUNCTION("""COMPUTED_VALUE"""),"Google")</f>
        <v>Google</v>
      </c>
      <c r="G897" s="6" t="str">
        <f>IFERROR(__xludf.DUMMYFUNCTION("""COMPUTED_VALUE"""),"eBay,Google")</f>
        <v>eBay,Google</v>
      </c>
      <c r="H897" s="6" t="str">
        <f>IFERROR(__xludf.DUMMYFUNCTION("""COMPUTED_VALUE"""),"eBay,Google")</f>
        <v>eBay,Google</v>
      </c>
      <c r="I897" s="6">
        <f>IFERROR(__xludf.DUMMYFUNCTION("""COMPUTED_VALUE"""),44.41)</f>
        <v>44.41</v>
      </c>
      <c r="J897" s="6" t="str">
        <f>IFERROR(__xludf.DUMMYFUNCTION("""COMPUTED_VALUE"""),"算法")</f>
        <v>算法</v>
      </c>
    </row>
    <row r="898">
      <c r="A898" s="6">
        <f>IFERROR(__xludf.DUMMYFUNCTION("""COMPUTED_VALUE"""),1441.0)</f>
        <v>1441</v>
      </c>
      <c r="B898" s="53" t="str">
        <f>IFERROR(__xludf.DUMMYFUNCTION("""COMPUTED_VALUE"""),"Build an Array With Stack Operations")</f>
        <v>Build an Array With Stack Operations</v>
      </c>
      <c r="C898" s="6" t="str">
        <f>IFERROR(__xludf.DUMMYFUNCTION("""COMPUTED_VALUE"""),"Easy")</f>
        <v>Easy</v>
      </c>
      <c r="D898" s="6" t="str">
        <f>IFERROR(__xludf.DUMMYFUNCTION("""COMPUTED_VALUE"""),"Stack")</f>
        <v>Stack</v>
      </c>
      <c r="E898" s="6" t="str">
        <f>IFERROR(__xludf.DUMMYFUNCTION("""COMPUTED_VALUE"""),"Google")</f>
        <v>Google</v>
      </c>
      <c r="F898" s="6"/>
      <c r="G898" s="6" t="str">
        <f>IFERROR(__xludf.DUMMYFUNCTION("""COMPUTED_VALUE"""),"Google")</f>
        <v>Google</v>
      </c>
      <c r="H898" s="6" t="str">
        <f>IFERROR(__xludf.DUMMYFUNCTION("""COMPUTED_VALUE"""),"Google")</f>
        <v>Google</v>
      </c>
      <c r="I898" s="6">
        <f>IFERROR(__xludf.DUMMYFUNCTION("""COMPUTED_VALUE"""),70.34)</f>
        <v>70.34</v>
      </c>
      <c r="J898" s="6" t="str">
        <f>IFERROR(__xludf.DUMMYFUNCTION("""COMPUTED_VALUE"""),"算法")</f>
        <v>算法</v>
      </c>
    </row>
    <row r="899">
      <c r="A899" s="6">
        <f>IFERROR(__xludf.DUMMYFUNCTION("""COMPUTED_VALUE"""),1444.0)</f>
        <v>1444</v>
      </c>
      <c r="B899" s="53" t="str">
        <f>IFERROR(__xludf.DUMMYFUNCTION("""COMPUTED_VALUE"""),"Number of Ways of Cutting a Pizza")</f>
        <v>Number of Ways of Cutting a Pizza</v>
      </c>
      <c r="C899" s="6" t="str">
        <f>IFERROR(__xludf.DUMMYFUNCTION("""COMPUTED_VALUE"""),"Hard")</f>
        <v>Hard</v>
      </c>
      <c r="D899" s="6" t="str">
        <f>IFERROR(__xludf.DUMMYFUNCTION("""COMPUTED_VALUE"""),"Dynamic Programming")</f>
        <v>Dynamic Programming</v>
      </c>
      <c r="E899" s="6" t="str">
        <f>IFERROR(__xludf.DUMMYFUNCTION("""COMPUTED_VALUE"""),"Google")</f>
        <v>Google</v>
      </c>
      <c r="F899" s="6"/>
      <c r="G899" s="6" t="str">
        <f>IFERROR(__xludf.DUMMYFUNCTION("""COMPUTED_VALUE"""),"Google")</f>
        <v>Google</v>
      </c>
      <c r="H899" s="6" t="str">
        <f>IFERROR(__xludf.DUMMYFUNCTION("""COMPUTED_VALUE"""),"Google")</f>
        <v>Google</v>
      </c>
      <c r="I899" s="6">
        <f>IFERROR(__xludf.DUMMYFUNCTION("""COMPUTED_VALUE"""),53.88)</f>
        <v>53.88</v>
      </c>
      <c r="J899" s="6" t="str">
        <f>IFERROR(__xludf.DUMMYFUNCTION("""COMPUTED_VALUE"""),"算法")</f>
        <v>算法</v>
      </c>
    </row>
    <row r="900">
      <c r="A900" s="6">
        <f>IFERROR(__xludf.DUMMYFUNCTION("""COMPUTED_VALUE"""),1447.0)</f>
        <v>1447</v>
      </c>
      <c r="B900" s="53" t="str">
        <f>IFERROR(__xludf.DUMMYFUNCTION("""COMPUTED_VALUE"""),"Simplified Fractions")</f>
        <v>Simplified Fractions</v>
      </c>
      <c r="C900" s="6" t="str">
        <f>IFERROR(__xludf.DUMMYFUNCTION("""COMPUTED_VALUE"""),"Medium")</f>
        <v>Medium</v>
      </c>
      <c r="D900" s="6" t="str">
        <f>IFERROR(__xludf.DUMMYFUNCTION("""COMPUTED_VALUE"""),"Math")</f>
        <v>Math</v>
      </c>
      <c r="E900" s="6" t="str">
        <f>IFERROR(__xludf.DUMMYFUNCTION("""COMPUTED_VALUE"""),"Google")</f>
        <v>Google</v>
      </c>
      <c r="F900" s="6"/>
      <c r="G900" s="6"/>
      <c r="H900" s="6" t="str">
        <f>IFERROR(__xludf.DUMMYFUNCTION("""COMPUTED_VALUE"""),"Google")</f>
        <v>Google</v>
      </c>
      <c r="I900" s="6">
        <f>IFERROR(__xludf.DUMMYFUNCTION("""COMPUTED_VALUE"""),62.15)</f>
        <v>62.15</v>
      </c>
      <c r="J900" s="6" t="str">
        <f>IFERROR(__xludf.DUMMYFUNCTION("""COMPUTED_VALUE"""),"算法")</f>
        <v>算法</v>
      </c>
    </row>
    <row r="901">
      <c r="A901" s="6">
        <f>IFERROR(__xludf.DUMMYFUNCTION("""COMPUTED_VALUE"""),1449.0)</f>
        <v>1449</v>
      </c>
      <c r="B901" s="53" t="str">
        <f>IFERROR(__xludf.DUMMYFUNCTION("""COMPUTED_VALUE"""),"Form Largest Integer With Digits That Add up to Target")</f>
        <v>Form Largest Integer With Digits That Add up to Target</v>
      </c>
      <c r="C901" s="6" t="str">
        <f>IFERROR(__xludf.DUMMYFUNCTION("""COMPUTED_VALUE"""),"Hard")</f>
        <v>Hard</v>
      </c>
      <c r="D901" s="6" t="str">
        <f>IFERROR(__xludf.DUMMYFUNCTION("""COMPUTED_VALUE"""),"Dynamic Programming,String")</f>
        <v>Dynamic Programming,String</v>
      </c>
      <c r="E901" s="6" t="str">
        <f>IFERROR(__xludf.DUMMYFUNCTION("""COMPUTED_VALUE"""),"Google")</f>
        <v>Google</v>
      </c>
      <c r="F901" s="6"/>
      <c r="G901" s="6"/>
      <c r="H901" s="6" t="str">
        <f>IFERROR(__xludf.DUMMYFUNCTION("""COMPUTED_VALUE"""),"Google")</f>
        <v>Google</v>
      </c>
      <c r="I901" s="6">
        <f>IFERROR(__xludf.DUMMYFUNCTION("""COMPUTED_VALUE"""),44.21)</f>
        <v>44.21</v>
      </c>
      <c r="J901" s="6" t="str">
        <f>IFERROR(__xludf.DUMMYFUNCTION("""COMPUTED_VALUE"""),"算法")</f>
        <v>算法</v>
      </c>
    </row>
    <row r="902">
      <c r="A902" s="6">
        <f>IFERROR(__xludf.DUMMYFUNCTION("""COMPUTED_VALUE"""),1452.0)</f>
        <v>1452</v>
      </c>
      <c r="B902" s="53" t="str">
        <f>IFERROR(__xludf.DUMMYFUNCTION("""COMPUTED_VALUE"""),"People Whose List of Favorite Companies Is Not a Subset of Another List")</f>
        <v>People Whose List of Favorite Companies Is Not a Subset of Another List</v>
      </c>
      <c r="C902" s="6" t="str">
        <f>IFERROR(__xludf.DUMMYFUNCTION("""COMPUTED_VALUE"""),"Medium")</f>
        <v>Medium</v>
      </c>
      <c r="D902" s="6" t="str">
        <f>IFERROR(__xludf.DUMMYFUNCTION("""COMPUTED_VALUE"""),"Sort,String")</f>
        <v>Sort,String</v>
      </c>
      <c r="E902" s="6" t="str">
        <f>IFERROR(__xludf.DUMMYFUNCTION("""COMPUTED_VALUE"""),"Google")</f>
        <v>Google</v>
      </c>
      <c r="F902" s="6"/>
      <c r="G902" s="6"/>
      <c r="H902" s="6" t="str">
        <f>IFERROR(__xludf.DUMMYFUNCTION("""COMPUTED_VALUE"""),"Google")</f>
        <v>Google</v>
      </c>
      <c r="I902" s="6">
        <f>IFERROR(__xludf.DUMMYFUNCTION("""COMPUTED_VALUE"""),55.04)</f>
        <v>55.04</v>
      </c>
      <c r="J902" s="6" t="str">
        <f>IFERROR(__xludf.DUMMYFUNCTION("""COMPUTED_VALUE"""),"算法")</f>
        <v>算法</v>
      </c>
    </row>
    <row r="903">
      <c r="A903" s="6">
        <f>IFERROR(__xludf.DUMMYFUNCTION("""COMPUTED_VALUE"""),1461.0)</f>
        <v>1461</v>
      </c>
      <c r="B903" s="53" t="str">
        <f>IFERROR(__xludf.DUMMYFUNCTION("""COMPUTED_VALUE"""),"Check If a String Contains All Binary Codes of Size K")</f>
        <v>Check If a String Contains All Binary Codes of Size K</v>
      </c>
      <c r="C903" s="6" t="str">
        <f>IFERROR(__xludf.DUMMYFUNCTION("""COMPUTED_VALUE"""),"Medium")</f>
        <v>Medium</v>
      </c>
      <c r="D903" s="6" t="str">
        <f>IFERROR(__xludf.DUMMYFUNCTION("""COMPUTED_VALUE"""),"Bit Manipulation,String")</f>
        <v>Bit Manipulation,String</v>
      </c>
      <c r="E903" s="6" t="str">
        <f>IFERROR(__xludf.DUMMYFUNCTION("""COMPUTED_VALUE"""),"Google")</f>
        <v>Google</v>
      </c>
      <c r="F903" s="6"/>
      <c r="G903" s="6"/>
      <c r="H903" s="6" t="str">
        <f>IFERROR(__xludf.DUMMYFUNCTION("""COMPUTED_VALUE"""),"Google")</f>
        <v>Google</v>
      </c>
      <c r="I903" s="6">
        <f>IFERROR(__xludf.DUMMYFUNCTION("""COMPUTED_VALUE"""),54.31)</f>
        <v>54.31</v>
      </c>
      <c r="J903" s="6" t="str">
        <f>IFERROR(__xludf.DUMMYFUNCTION("""COMPUTED_VALUE"""),"算法")</f>
        <v>算法</v>
      </c>
    </row>
    <row r="904">
      <c r="A904" s="6">
        <f>IFERROR(__xludf.DUMMYFUNCTION("""COMPUTED_VALUE"""),1463.0)</f>
        <v>1463</v>
      </c>
      <c r="B904" s="53" t="str">
        <f>IFERROR(__xludf.DUMMYFUNCTION("""COMPUTED_VALUE"""),"Cherry Pickup II")</f>
        <v>Cherry Pickup II</v>
      </c>
      <c r="C904" s="6" t="str">
        <f>IFERROR(__xludf.DUMMYFUNCTION("""COMPUTED_VALUE"""),"Hard")</f>
        <v>Hard</v>
      </c>
      <c r="D904" s="6" t="str">
        <f>IFERROR(__xludf.DUMMYFUNCTION("""COMPUTED_VALUE"""),"Dynamic Programming")</f>
        <v>Dynamic Programming</v>
      </c>
      <c r="E904" s="6" t="str">
        <f>IFERROR(__xludf.DUMMYFUNCTION("""COMPUTED_VALUE"""),"Google")</f>
        <v>Google</v>
      </c>
      <c r="F904" s="6"/>
      <c r="G904" s="6" t="str">
        <f>IFERROR(__xludf.DUMMYFUNCTION("""COMPUTED_VALUE"""),"Google")</f>
        <v>Google</v>
      </c>
      <c r="H904" s="6" t="str">
        <f>IFERROR(__xludf.DUMMYFUNCTION("""COMPUTED_VALUE"""),"Google")</f>
        <v>Google</v>
      </c>
      <c r="I904" s="6">
        <f>IFERROR(__xludf.DUMMYFUNCTION("""COMPUTED_VALUE"""),68.99)</f>
        <v>68.99</v>
      </c>
      <c r="J904" s="6" t="str">
        <f>IFERROR(__xludf.DUMMYFUNCTION("""COMPUTED_VALUE"""),"算法")</f>
        <v>算法</v>
      </c>
    </row>
    <row r="905">
      <c r="A905" s="6">
        <f>IFERROR(__xludf.DUMMYFUNCTION("""COMPUTED_VALUE"""),1466.0)</f>
        <v>1466</v>
      </c>
      <c r="B905" s="53" t="str">
        <f>IFERROR(__xludf.DUMMYFUNCTION("""COMPUTED_VALUE"""),"Reorder Routes to Make All Paths Lead to the City Zero")</f>
        <v>Reorder Routes to Make All Paths Lead to the City Zero</v>
      </c>
      <c r="C905" s="6" t="str">
        <f>IFERROR(__xludf.DUMMYFUNCTION("""COMPUTED_VALUE"""),"Medium")</f>
        <v>Medium</v>
      </c>
      <c r="D905" s="6" t="str">
        <f>IFERROR(__xludf.DUMMYFUNCTION("""COMPUTED_VALUE"""),"Depth First Search,Tree")</f>
        <v>Depth First Search,Tree</v>
      </c>
      <c r="E905" s="6" t="str">
        <f>IFERROR(__xludf.DUMMYFUNCTION("""COMPUTED_VALUE"""),"Amazon,Microsoft,Google")</f>
        <v>Amazon,Microsoft,Google</v>
      </c>
      <c r="F905" s="6" t="str">
        <f>IFERROR(__xludf.DUMMYFUNCTION("""COMPUTED_VALUE"""),"Microsoft")</f>
        <v>Microsoft</v>
      </c>
      <c r="G905" s="6" t="str">
        <f>IFERROR(__xludf.DUMMYFUNCTION("""COMPUTED_VALUE"""),"Google,Amazon,Microsoft")</f>
        <v>Google,Amazon,Microsoft</v>
      </c>
      <c r="H905" s="6" t="str">
        <f>IFERROR(__xludf.DUMMYFUNCTION("""COMPUTED_VALUE"""),"Google,Amazon,Microsoft")</f>
        <v>Google,Amazon,Microsoft</v>
      </c>
      <c r="I905" s="6">
        <f>IFERROR(__xludf.DUMMYFUNCTION("""COMPUTED_VALUE"""),61.9)</f>
        <v>61.9</v>
      </c>
      <c r="J905" s="6" t="str">
        <f>IFERROR(__xludf.DUMMYFUNCTION("""COMPUTED_VALUE"""),"算法")</f>
        <v>算法</v>
      </c>
    </row>
    <row r="906">
      <c r="A906" s="6">
        <f>IFERROR(__xludf.DUMMYFUNCTION("""COMPUTED_VALUE"""),1470.0)</f>
        <v>1470</v>
      </c>
      <c r="B906" s="53" t="str">
        <f>IFERROR(__xludf.DUMMYFUNCTION("""COMPUTED_VALUE"""),"Shuffle the Array")</f>
        <v>Shuffle the Array</v>
      </c>
      <c r="C906" s="6" t="str">
        <f>IFERROR(__xludf.DUMMYFUNCTION("""COMPUTED_VALUE"""),"Easy")</f>
        <v>Easy</v>
      </c>
      <c r="D906" s="6" t="str">
        <f>IFERROR(__xludf.DUMMYFUNCTION("""COMPUTED_VALUE"""),"Array")</f>
        <v>Array</v>
      </c>
      <c r="E906" s="6" t="str">
        <f>IFERROR(__xludf.DUMMYFUNCTION("""COMPUTED_VALUE"""),"Apple,Bloomberg,Adobe,Google,Microsoft")</f>
        <v>Apple,Bloomberg,Adobe,Google,Microsoft</v>
      </c>
      <c r="F906" s="6" t="str">
        <f>IFERROR(__xludf.DUMMYFUNCTION("""COMPUTED_VALUE"""),"Apple,Bloomberg")</f>
        <v>Apple,Bloomberg</v>
      </c>
      <c r="G906" s="6" t="str">
        <f>IFERROR(__xludf.DUMMYFUNCTION("""COMPUTED_VALUE"""),"Microsoft,Adobe,Google,Apple,Bloomberg")</f>
        <v>Microsoft,Adobe,Google,Apple,Bloomberg</v>
      </c>
      <c r="H906" s="6" t="str">
        <f>IFERROR(__xludf.DUMMYFUNCTION("""COMPUTED_VALUE"""),"Microsoft,Adobe,Google,Apple,Bloomberg")</f>
        <v>Microsoft,Adobe,Google,Apple,Bloomberg</v>
      </c>
      <c r="I906" s="6">
        <f>IFERROR(__xludf.DUMMYFUNCTION("""COMPUTED_VALUE"""),88.17)</f>
        <v>88.17</v>
      </c>
      <c r="J906" s="6" t="str">
        <f>IFERROR(__xludf.DUMMYFUNCTION("""COMPUTED_VALUE"""),"算法")</f>
        <v>算法</v>
      </c>
    </row>
    <row r="907">
      <c r="A907" s="6">
        <f>IFERROR(__xludf.DUMMYFUNCTION("""COMPUTED_VALUE"""),1471.0)</f>
        <v>1471</v>
      </c>
      <c r="B907" s="53" t="str">
        <f>IFERROR(__xludf.DUMMYFUNCTION("""COMPUTED_VALUE"""),"The k Strongest Values in an Array")</f>
        <v>The k Strongest Values in an Array</v>
      </c>
      <c r="C907" s="6" t="str">
        <f>IFERROR(__xludf.DUMMYFUNCTION("""COMPUTED_VALUE"""),"Medium")</f>
        <v>Medium</v>
      </c>
      <c r="D907" s="6" t="str">
        <f>IFERROR(__xludf.DUMMYFUNCTION("""COMPUTED_VALUE"""),"Sort,Array")</f>
        <v>Sort,Array</v>
      </c>
      <c r="E907" s="6" t="str">
        <f>IFERROR(__xludf.DUMMYFUNCTION("""COMPUTED_VALUE"""),"Google")</f>
        <v>Google</v>
      </c>
      <c r="F907" s="6"/>
      <c r="G907" s="6"/>
      <c r="H907" s="6" t="str">
        <f>IFERROR(__xludf.DUMMYFUNCTION("""COMPUTED_VALUE"""),"Google")</f>
        <v>Google</v>
      </c>
      <c r="I907" s="6">
        <f>IFERROR(__xludf.DUMMYFUNCTION("""COMPUTED_VALUE"""),58.46)</f>
        <v>58.46</v>
      </c>
      <c r="J907" s="6" t="str">
        <f>IFERROR(__xludf.DUMMYFUNCTION("""COMPUTED_VALUE"""),"算法")</f>
        <v>算法</v>
      </c>
    </row>
    <row r="908">
      <c r="A908" s="6">
        <f>IFERROR(__xludf.DUMMYFUNCTION("""COMPUTED_VALUE"""),1477.0)</f>
        <v>1477</v>
      </c>
      <c r="B908" s="53" t="str">
        <f>IFERROR(__xludf.DUMMYFUNCTION("""COMPUTED_VALUE"""),"Find Two Non-overlapping Sub-arrays Each With Target Sum")</f>
        <v>Find Two Non-overlapping Sub-arrays Each With Target Sum</v>
      </c>
      <c r="C908" s="6" t="str">
        <f>IFERROR(__xludf.DUMMYFUNCTION("""COMPUTED_VALUE"""),"Medium")</f>
        <v>Medium</v>
      </c>
      <c r="D908" s="6" t="str">
        <f>IFERROR(__xludf.DUMMYFUNCTION("""COMPUTED_VALUE"""),"Dynamic Programming")</f>
        <v>Dynamic Programming</v>
      </c>
      <c r="E908" s="6" t="str">
        <f>IFERROR(__xludf.DUMMYFUNCTION("""COMPUTED_VALUE"""),"ByteDance,Google")</f>
        <v>ByteDance,Google</v>
      </c>
      <c r="F908" s="6" t="str">
        <f>IFERROR(__xludf.DUMMYFUNCTION("""COMPUTED_VALUE"""),"Google,ByteDance")</f>
        <v>Google,ByteDance</v>
      </c>
      <c r="G908" s="6" t="str">
        <f>IFERROR(__xludf.DUMMYFUNCTION("""COMPUTED_VALUE"""),"Google,ByteDance")</f>
        <v>Google,ByteDance</v>
      </c>
      <c r="H908" s="6" t="str">
        <f>IFERROR(__xludf.DUMMYFUNCTION("""COMPUTED_VALUE"""),"Google,ByteDance")</f>
        <v>Google,ByteDance</v>
      </c>
      <c r="I908" s="6">
        <f>IFERROR(__xludf.DUMMYFUNCTION("""COMPUTED_VALUE"""),34.72)</f>
        <v>34.72</v>
      </c>
      <c r="J908" s="6" t="str">
        <f>IFERROR(__xludf.DUMMYFUNCTION("""COMPUTED_VALUE"""),"算法")</f>
        <v>算法</v>
      </c>
    </row>
    <row r="909">
      <c r="A909" s="6">
        <f>IFERROR(__xludf.DUMMYFUNCTION("""COMPUTED_VALUE"""),1480.0)</f>
        <v>1480</v>
      </c>
      <c r="B909" s="53" t="str">
        <f>IFERROR(__xludf.DUMMYFUNCTION("""COMPUTED_VALUE"""),"Running Sum of 1d Array")</f>
        <v>Running Sum of 1d Array</v>
      </c>
      <c r="C909" s="6" t="str">
        <f>IFERROR(__xludf.DUMMYFUNCTION("""COMPUTED_VALUE"""),"Easy")</f>
        <v>Easy</v>
      </c>
      <c r="D909" s="6" t="str">
        <f>IFERROR(__xludf.DUMMYFUNCTION("""COMPUTED_VALUE"""),"Array")</f>
        <v>Array</v>
      </c>
      <c r="E909" s="6" t="str">
        <f>IFERROR(__xludf.DUMMYFUNCTION("""COMPUTED_VALUE"""),"Apple,Uber,Bloomberg,Adobe,Amazon,Google")</f>
        <v>Apple,Uber,Bloomberg,Adobe,Amazon,Google</v>
      </c>
      <c r="F909" s="6" t="str">
        <f>IFERROR(__xludf.DUMMYFUNCTION("""COMPUTED_VALUE"""),"Apple,Amazon,Adobe")</f>
        <v>Apple,Amazon,Adobe</v>
      </c>
      <c r="G909" s="6" t="str">
        <f>IFERROR(__xludf.DUMMYFUNCTION("""COMPUTED_VALUE"""),"Bloomberg,Uber,Apple,Amazon,Adobe")</f>
        <v>Bloomberg,Uber,Apple,Amazon,Adobe</v>
      </c>
      <c r="H909" s="6" t="str">
        <f>IFERROR(__xludf.DUMMYFUNCTION("""COMPUTED_VALUE"""),"Google,Bloomberg,Uber,Apple,Amazon,Adobe")</f>
        <v>Google,Bloomberg,Uber,Apple,Amazon,Adobe</v>
      </c>
      <c r="I909" s="6">
        <f>IFERROR(__xludf.DUMMYFUNCTION("""COMPUTED_VALUE"""),88.8)</f>
        <v>88.8</v>
      </c>
      <c r="J909" s="6" t="str">
        <f>IFERROR(__xludf.DUMMYFUNCTION("""COMPUTED_VALUE"""),"算法")</f>
        <v>算法</v>
      </c>
    </row>
    <row r="910">
      <c r="A910" s="6">
        <f>IFERROR(__xludf.DUMMYFUNCTION("""COMPUTED_VALUE"""),1482.0)</f>
        <v>1482</v>
      </c>
      <c r="B910" s="53" t="str">
        <f>IFERROR(__xludf.DUMMYFUNCTION("""COMPUTED_VALUE"""),"Minimum Number of Days to Make m Bouquets")</f>
        <v>Minimum Number of Days to Make m Bouquets</v>
      </c>
      <c r="C910" s="6" t="str">
        <f>IFERROR(__xludf.DUMMYFUNCTION("""COMPUTED_VALUE"""),"Medium")</f>
        <v>Medium</v>
      </c>
      <c r="D910" s="6" t="str">
        <f>IFERROR(__xludf.DUMMYFUNCTION("""COMPUTED_VALUE"""),"Binary Search,Array")</f>
        <v>Binary Search,Array</v>
      </c>
      <c r="E910" s="6" t="str">
        <f>IFERROR(__xludf.DUMMYFUNCTION("""COMPUTED_VALUE"""),"Google")</f>
        <v>Google</v>
      </c>
      <c r="F910" s="6"/>
      <c r="G910" s="6"/>
      <c r="H910" s="6" t="str">
        <f>IFERROR(__xludf.DUMMYFUNCTION("""COMPUTED_VALUE"""),"Google")</f>
        <v>Google</v>
      </c>
      <c r="I910" s="6">
        <f>IFERROR(__xludf.DUMMYFUNCTION("""COMPUTED_VALUE"""),50.36)</f>
        <v>50.36</v>
      </c>
      <c r="J910" s="6" t="str">
        <f>IFERROR(__xludf.DUMMYFUNCTION("""COMPUTED_VALUE"""),"算法")</f>
        <v>算法</v>
      </c>
    </row>
    <row r="911">
      <c r="A911" s="6">
        <f>IFERROR(__xludf.DUMMYFUNCTION("""COMPUTED_VALUE"""),1483.0)</f>
        <v>1483</v>
      </c>
      <c r="B911" s="53" t="str">
        <f>IFERROR(__xludf.DUMMYFUNCTION("""COMPUTED_VALUE"""),"Kth Ancestor of a Tree Node")</f>
        <v>Kth Ancestor of a Tree Node</v>
      </c>
      <c r="C911" s="6" t="str">
        <f>IFERROR(__xludf.DUMMYFUNCTION("""COMPUTED_VALUE"""),"Hard")</f>
        <v>Hard</v>
      </c>
      <c r="D911" s="6" t="str">
        <f>IFERROR(__xludf.DUMMYFUNCTION("""COMPUTED_VALUE"""),"Dynamic Programming")</f>
        <v>Dynamic Programming</v>
      </c>
      <c r="E911" s="6" t="str">
        <f>IFERROR(__xludf.DUMMYFUNCTION("""COMPUTED_VALUE"""),"Google")</f>
        <v>Google</v>
      </c>
      <c r="F911" s="6" t="str">
        <f>IFERROR(__xludf.DUMMYFUNCTION("""COMPUTED_VALUE"""),"Google")</f>
        <v>Google</v>
      </c>
      <c r="G911" s="6" t="str">
        <f>IFERROR(__xludf.DUMMYFUNCTION("""COMPUTED_VALUE"""),"Google")</f>
        <v>Google</v>
      </c>
      <c r="H911" s="6" t="str">
        <f>IFERROR(__xludf.DUMMYFUNCTION("""COMPUTED_VALUE"""),"Google")</f>
        <v>Google</v>
      </c>
      <c r="I911" s="6">
        <f>IFERROR(__xludf.DUMMYFUNCTION("""COMPUTED_VALUE"""),30.75)</f>
        <v>30.75</v>
      </c>
      <c r="J911" s="6" t="str">
        <f>IFERROR(__xludf.DUMMYFUNCTION("""COMPUTED_VALUE"""),"算法")</f>
        <v>算法</v>
      </c>
    </row>
    <row r="912">
      <c r="A912" s="6">
        <f>IFERROR(__xludf.DUMMYFUNCTION("""COMPUTED_VALUE"""),1488.0)</f>
        <v>1488</v>
      </c>
      <c r="B912" s="53" t="str">
        <f>IFERROR(__xludf.DUMMYFUNCTION("""COMPUTED_VALUE"""),"Avoid Flood in The City")</f>
        <v>Avoid Flood in The City</v>
      </c>
      <c r="C912" s="6" t="str">
        <f>IFERROR(__xludf.DUMMYFUNCTION("""COMPUTED_VALUE"""),"Medium")</f>
        <v>Medium</v>
      </c>
      <c r="D912" s="6" t="str">
        <f>IFERROR(__xludf.DUMMYFUNCTION("""COMPUTED_VALUE"""),"Hash Table,Array")</f>
        <v>Hash Table,Array</v>
      </c>
      <c r="E912" s="6" t="str">
        <f>IFERROR(__xludf.DUMMYFUNCTION("""COMPUTED_VALUE"""),"Google")</f>
        <v>Google</v>
      </c>
      <c r="F912" s="6"/>
      <c r="G912" s="6"/>
      <c r="H912" s="6" t="str">
        <f>IFERROR(__xludf.DUMMYFUNCTION("""COMPUTED_VALUE"""),"Google")</f>
        <v>Google</v>
      </c>
      <c r="I912" s="6">
        <f>IFERROR(__xludf.DUMMYFUNCTION("""COMPUTED_VALUE"""),24.48)</f>
        <v>24.48</v>
      </c>
      <c r="J912" s="6" t="str">
        <f>IFERROR(__xludf.DUMMYFUNCTION("""COMPUTED_VALUE"""),"算法")</f>
        <v>算法</v>
      </c>
    </row>
    <row r="913">
      <c r="A913" s="6">
        <f>IFERROR(__xludf.DUMMYFUNCTION("""COMPUTED_VALUE"""),1494.0)</f>
        <v>1494</v>
      </c>
      <c r="B913" s="53" t="str">
        <f>IFERROR(__xludf.DUMMYFUNCTION("""COMPUTED_VALUE"""),"Parallel Courses II")</f>
        <v>Parallel Courses II</v>
      </c>
      <c r="C913" s="6" t="str">
        <f>IFERROR(__xludf.DUMMYFUNCTION("""COMPUTED_VALUE"""),"Hard")</f>
        <v>Hard</v>
      </c>
      <c r="D913" s="6" t="str">
        <f>IFERROR(__xludf.DUMMYFUNCTION("""COMPUTED_VALUE"""),"Graph")</f>
        <v>Graph</v>
      </c>
      <c r="E913" s="6" t="str">
        <f>IFERROR(__xludf.DUMMYFUNCTION("""COMPUTED_VALUE"""),"Microsoft,Google")</f>
        <v>Microsoft,Google</v>
      </c>
      <c r="F913" s="6"/>
      <c r="G913" s="6" t="str">
        <f>IFERROR(__xludf.DUMMYFUNCTION("""COMPUTED_VALUE"""),"Microsoft")</f>
        <v>Microsoft</v>
      </c>
      <c r="H913" s="6" t="str">
        <f>IFERROR(__xludf.DUMMYFUNCTION("""COMPUTED_VALUE"""),"Google,Microsoft")</f>
        <v>Google,Microsoft</v>
      </c>
      <c r="I913" s="6">
        <f>IFERROR(__xludf.DUMMYFUNCTION("""COMPUTED_VALUE"""),31.13)</f>
        <v>31.13</v>
      </c>
      <c r="J913" s="6" t="str">
        <f>IFERROR(__xludf.DUMMYFUNCTION("""COMPUTED_VALUE"""),"算法")</f>
        <v>算法</v>
      </c>
    </row>
    <row r="914">
      <c r="A914" s="6">
        <f>IFERROR(__xludf.DUMMYFUNCTION("""COMPUTED_VALUE"""),1498.0)</f>
        <v>1498</v>
      </c>
      <c r="B914" s="53" t="str">
        <f>IFERROR(__xludf.DUMMYFUNCTION("""COMPUTED_VALUE"""),"Number of Subsequences That Satisfy the Given Sum Condition")</f>
        <v>Number of Subsequences That Satisfy the Given Sum Condition</v>
      </c>
      <c r="C914" s="6" t="str">
        <f>IFERROR(__xludf.DUMMYFUNCTION("""COMPUTED_VALUE"""),"Medium")</f>
        <v>Medium</v>
      </c>
      <c r="D914" s="6" t="str">
        <f>IFERROR(__xludf.DUMMYFUNCTION("""COMPUTED_VALUE"""),"Sliding Window,Sort")</f>
        <v>Sliding Window,Sort</v>
      </c>
      <c r="E914" s="6" t="str">
        <f>IFERROR(__xludf.DUMMYFUNCTION("""COMPUTED_VALUE"""),"Facebook,Google")</f>
        <v>Facebook,Google</v>
      </c>
      <c r="F914" s="6" t="str">
        <f>IFERROR(__xludf.DUMMYFUNCTION("""COMPUTED_VALUE"""),"Facebook")</f>
        <v>Facebook</v>
      </c>
      <c r="G914" s="6" t="str">
        <f>IFERROR(__xludf.DUMMYFUNCTION("""COMPUTED_VALUE"""),"Facebook")</f>
        <v>Facebook</v>
      </c>
      <c r="H914" s="6" t="str">
        <f>IFERROR(__xludf.DUMMYFUNCTION("""COMPUTED_VALUE"""),"Google,Facebook")</f>
        <v>Google,Facebook</v>
      </c>
      <c r="I914" s="6">
        <f>IFERROR(__xludf.DUMMYFUNCTION("""COMPUTED_VALUE"""),38.51)</f>
        <v>38.51</v>
      </c>
      <c r="J914" s="6" t="str">
        <f>IFERROR(__xludf.DUMMYFUNCTION("""COMPUTED_VALUE"""),"算法")</f>
        <v>算法</v>
      </c>
    </row>
    <row r="915">
      <c r="A915" s="6">
        <f>IFERROR(__xludf.DUMMYFUNCTION("""COMPUTED_VALUE"""),1499.0)</f>
        <v>1499</v>
      </c>
      <c r="B915" s="53" t="str">
        <f>IFERROR(__xludf.DUMMYFUNCTION("""COMPUTED_VALUE"""),"Max Value of Equation")</f>
        <v>Max Value of Equation</v>
      </c>
      <c r="C915" s="6" t="str">
        <f>IFERROR(__xludf.DUMMYFUNCTION("""COMPUTED_VALUE"""),"Hard")</f>
        <v>Hard</v>
      </c>
      <c r="D915" s="6" t="str">
        <f>IFERROR(__xludf.DUMMYFUNCTION("""COMPUTED_VALUE"""),"Sliding Window,Array")</f>
        <v>Sliding Window,Array</v>
      </c>
      <c r="E915" s="6" t="str">
        <f>IFERROR(__xludf.DUMMYFUNCTION("""COMPUTED_VALUE"""),"Google")</f>
        <v>Google</v>
      </c>
      <c r="F915" s="6" t="str">
        <f>IFERROR(__xludf.DUMMYFUNCTION("""COMPUTED_VALUE"""),"Google")</f>
        <v>Google</v>
      </c>
      <c r="G915" s="6" t="str">
        <f>IFERROR(__xludf.DUMMYFUNCTION("""COMPUTED_VALUE"""),"Google")</f>
        <v>Google</v>
      </c>
      <c r="H915" s="6" t="str">
        <f>IFERROR(__xludf.DUMMYFUNCTION("""COMPUTED_VALUE"""),"Google")</f>
        <v>Google</v>
      </c>
      <c r="I915" s="6">
        <f>IFERROR(__xludf.DUMMYFUNCTION("""COMPUTED_VALUE"""),44.88)</f>
        <v>44.88</v>
      </c>
      <c r="J915" s="6" t="str">
        <f>IFERROR(__xludf.DUMMYFUNCTION("""COMPUTED_VALUE"""),"算法")</f>
        <v>算法</v>
      </c>
    </row>
    <row r="916">
      <c r="A916" s="6">
        <f>IFERROR(__xludf.DUMMYFUNCTION("""COMPUTED_VALUE"""),1503.0)</f>
        <v>1503</v>
      </c>
      <c r="B916" s="53" t="str">
        <f>IFERROR(__xludf.DUMMYFUNCTION("""COMPUTED_VALUE"""),"Last Moment Before All Ants Fall Out of a Plank")</f>
        <v>Last Moment Before All Ants Fall Out of a Plank</v>
      </c>
      <c r="C916" s="6" t="str">
        <f>IFERROR(__xludf.DUMMYFUNCTION("""COMPUTED_VALUE"""),"Medium")</f>
        <v>Medium</v>
      </c>
      <c r="D916" s="6" t="str">
        <f>IFERROR(__xludf.DUMMYFUNCTION("""COMPUTED_VALUE"""),"Brainteaser,Array")</f>
        <v>Brainteaser,Array</v>
      </c>
      <c r="E916" s="6" t="str">
        <f>IFERROR(__xludf.DUMMYFUNCTION("""COMPUTED_VALUE"""),"Google")</f>
        <v>Google</v>
      </c>
      <c r="F916" s="6"/>
      <c r="G916" s="6"/>
      <c r="H916" s="6" t="str">
        <f>IFERROR(__xludf.DUMMYFUNCTION("""COMPUTED_VALUE"""),"Google")</f>
        <v>Google</v>
      </c>
      <c r="I916" s="6">
        <f>IFERROR(__xludf.DUMMYFUNCTION("""COMPUTED_VALUE"""),53.21)</f>
        <v>53.21</v>
      </c>
      <c r="J916" s="6" t="str">
        <f>IFERROR(__xludf.DUMMYFUNCTION("""COMPUTED_VALUE"""),"算法")</f>
        <v>算法</v>
      </c>
    </row>
    <row r="917">
      <c r="A917" s="6">
        <f>IFERROR(__xludf.DUMMYFUNCTION("""COMPUTED_VALUE"""),1504.0)</f>
        <v>1504</v>
      </c>
      <c r="B917" s="53" t="str">
        <f>IFERROR(__xludf.DUMMYFUNCTION("""COMPUTED_VALUE"""),"Count Submatrices With All Ones")</f>
        <v>Count Submatrices With All Ones</v>
      </c>
      <c r="C917" s="6" t="str">
        <f>IFERROR(__xludf.DUMMYFUNCTION("""COMPUTED_VALUE"""),"Medium")</f>
        <v>Medium</v>
      </c>
      <c r="D917" s="6" t="str">
        <f>IFERROR(__xludf.DUMMYFUNCTION("""COMPUTED_VALUE"""),"Dynamic Programming")</f>
        <v>Dynamic Programming</v>
      </c>
      <c r="E917" s="6" t="str">
        <f>IFERROR(__xludf.DUMMYFUNCTION("""COMPUTED_VALUE"""),"Google")</f>
        <v>Google</v>
      </c>
      <c r="F917" s="6" t="str">
        <f>IFERROR(__xludf.DUMMYFUNCTION("""COMPUTED_VALUE"""),"Google")</f>
        <v>Google</v>
      </c>
      <c r="G917" s="6" t="str">
        <f>IFERROR(__xludf.DUMMYFUNCTION("""COMPUTED_VALUE"""),"Google")</f>
        <v>Google</v>
      </c>
      <c r="H917" s="6" t="str">
        <f>IFERROR(__xludf.DUMMYFUNCTION("""COMPUTED_VALUE"""),"Google")</f>
        <v>Google</v>
      </c>
      <c r="I917" s="6">
        <f>IFERROR(__xludf.DUMMYFUNCTION("""COMPUTED_VALUE"""),60.82)</f>
        <v>60.82</v>
      </c>
      <c r="J917" s="6" t="str">
        <f>IFERROR(__xludf.DUMMYFUNCTION("""COMPUTED_VALUE"""),"算法")</f>
        <v>算法</v>
      </c>
    </row>
    <row r="918">
      <c r="A918" s="6">
        <f>IFERROR(__xludf.DUMMYFUNCTION("""COMPUTED_VALUE"""),1506.0)</f>
        <v>1506</v>
      </c>
      <c r="B918" s="53" t="str">
        <f>IFERROR(__xludf.DUMMYFUNCTION("""COMPUTED_VALUE"""),"Find Root of N-Ary Tree")</f>
        <v>Find Root of N-Ary Tree</v>
      </c>
      <c r="C918" s="6" t="str">
        <f>IFERROR(__xludf.DUMMYFUNCTION("""COMPUTED_VALUE"""),"Medium")</f>
        <v>Medium</v>
      </c>
      <c r="D918" s="6"/>
      <c r="E918" s="6" t="str">
        <f>IFERROR(__xludf.DUMMYFUNCTION("""COMPUTED_VALUE"""),"Google")</f>
        <v>Google</v>
      </c>
      <c r="F918" s="6"/>
      <c r="G918" s="6"/>
      <c r="H918" s="6" t="str">
        <f>IFERROR(__xludf.DUMMYFUNCTION("""COMPUTED_VALUE"""),"Google")</f>
        <v>Google</v>
      </c>
      <c r="I918" s="6">
        <f>IFERROR(__xludf.DUMMYFUNCTION("""COMPUTED_VALUE"""),80.36)</f>
        <v>80.36</v>
      </c>
      <c r="J918" s="6" t="str">
        <f>IFERROR(__xludf.DUMMYFUNCTION("""COMPUTED_VALUE"""),"算法")</f>
        <v>算法</v>
      </c>
    </row>
    <row r="919">
      <c r="A919" s="6">
        <f>IFERROR(__xludf.DUMMYFUNCTION("""COMPUTED_VALUE"""),1508.0)</f>
        <v>1508</v>
      </c>
      <c r="B919" s="53" t="str">
        <f>IFERROR(__xludf.DUMMYFUNCTION("""COMPUTED_VALUE"""),"Range Sum of Sorted Subarray Sums")</f>
        <v>Range Sum of Sorted Subarray Sums</v>
      </c>
      <c r="C919" s="6" t="str">
        <f>IFERROR(__xludf.DUMMYFUNCTION("""COMPUTED_VALUE"""),"Medium")</f>
        <v>Medium</v>
      </c>
      <c r="D919" s="6" t="str">
        <f>IFERROR(__xludf.DUMMYFUNCTION("""COMPUTED_VALUE"""),"Sort,Array")</f>
        <v>Sort,Array</v>
      </c>
      <c r="E919" s="6" t="str">
        <f>IFERROR(__xludf.DUMMYFUNCTION("""COMPUTED_VALUE"""),"Google")</f>
        <v>Google</v>
      </c>
      <c r="F919" s="6"/>
      <c r="G919" s="6"/>
      <c r="H919" s="6" t="str">
        <f>IFERROR(__xludf.DUMMYFUNCTION("""COMPUTED_VALUE"""),"Google")</f>
        <v>Google</v>
      </c>
      <c r="I919" s="6">
        <f>IFERROR(__xludf.DUMMYFUNCTION("""COMPUTED_VALUE"""),60.66)</f>
        <v>60.66</v>
      </c>
      <c r="J919" s="6" t="str">
        <f>IFERROR(__xludf.DUMMYFUNCTION("""COMPUTED_VALUE"""),"算法")</f>
        <v>算法</v>
      </c>
    </row>
    <row r="920">
      <c r="A920" s="6">
        <f>IFERROR(__xludf.DUMMYFUNCTION("""COMPUTED_VALUE"""),1509.0)</f>
        <v>1509</v>
      </c>
      <c r="B920" s="53" t="str">
        <f>IFERROR(__xludf.DUMMYFUNCTION("""COMPUTED_VALUE"""),"Minimum Difference Between Largest and Smallest Value in Three Moves")</f>
        <v>Minimum Difference Between Largest and Smallest Value in Three Moves</v>
      </c>
      <c r="C920" s="6" t="str">
        <f>IFERROR(__xludf.DUMMYFUNCTION("""COMPUTED_VALUE"""),"Medium")</f>
        <v>Medium</v>
      </c>
      <c r="D920" s="6" t="str">
        <f>IFERROR(__xludf.DUMMYFUNCTION("""COMPUTED_VALUE"""),"Sort,Array")</f>
        <v>Sort,Array</v>
      </c>
      <c r="E920" s="6" t="str">
        <f>IFERROR(__xludf.DUMMYFUNCTION("""COMPUTED_VALUE"""),"Google")</f>
        <v>Google</v>
      </c>
      <c r="F920" s="6"/>
      <c r="G920" s="6"/>
      <c r="H920" s="6" t="str">
        <f>IFERROR(__xludf.DUMMYFUNCTION("""COMPUTED_VALUE"""),"Google")</f>
        <v>Google</v>
      </c>
      <c r="I920" s="6">
        <f>IFERROR(__xludf.DUMMYFUNCTION("""COMPUTED_VALUE"""),52.4)</f>
        <v>52.4</v>
      </c>
      <c r="J920" s="6" t="str">
        <f>IFERROR(__xludf.DUMMYFUNCTION("""COMPUTED_VALUE"""),"算法")</f>
        <v>算法</v>
      </c>
    </row>
    <row r="921">
      <c r="A921" s="6">
        <f>IFERROR(__xludf.DUMMYFUNCTION("""COMPUTED_VALUE"""),1513.0)</f>
        <v>1513</v>
      </c>
      <c r="B921" s="53" t="str">
        <f>IFERROR(__xludf.DUMMYFUNCTION("""COMPUTED_VALUE"""),"Number of Substrings With Only 1s")</f>
        <v>Number of Substrings With Only 1s</v>
      </c>
      <c r="C921" s="6" t="str">
        <f>IFERROR(__xludf.DUMMYFUNCTION("""COMPUTED_VALUE"""),"Medium")</f>
        <v>Medium</v>
      </c>
      <c r="D921" s="6" t="str">
        <f>IFERROR(__xludf.DUMMYFUNCTION("""COMPUTED_VALUE"""),"String,Math")</f>
        <v>String,Math</v>
      </c>
      <c r="E921" s="6" t="str">
        <f>IFERROR(__xludf.DUMMYFUNCTION("""COMPUTED_VALUE"""),"Google")</f>
        <v>Google</v>
      </c>
      <c r="F921" s="6"/>
      <c r="G921" s="6"/>
      <c r="H921" s="6" t="str">
        <f>IFERROR(__xludf.DUMMYFUNCTION("""COMPUTED_VALUE"""),"Google")</f>
        <v>Google</v>
      </c>
      <c r="I921" s="6">
        <f>IFERROR(__xludf.DUMMYFUNCTION("""COMPUTED_VALUE"""),41.95)</f>
        <v>41.95</v>
      </c>
      <c r="J921" s="6" t="str">
        <f>IFERROR(__xludf.DUMMYFUNCTION("""COMPUTED_VALUE"""),"算法")</f>
        <v>算法</v>
      </c>
    </row>
    <row r="922">
      <c r="A922" s="6">
        <f>IFERROR(__xludf.DUMMYFUNCTION("""COMPUTED_VALUE"""),1514.0)</f>
        <v>1514</v>
      </c>
      <c r="B922" s="53" t="str">
        <f>IFERROR(__xludf.DUMMYFUNCTION("""COMPUTED_VALUE"""),"Path with Maximum Probability")</f>
        <v>Path with Maximum Probability</v>
      </c>
      <c r="C922" s="6" t="str">
        <f>IFERROR(__xludf.DUMMYFUNCTION("""COMPUTED_VALUE"""),"Medium")</f>
        <v>Medium</v>
      </c>
      <c r="D922" s="6" t="str">
        <f>IFERROR(__xludf.DUMMYFUNCTION("""COMPUTED_VALUE"""),"Graph")</f>
        <v>Graph</v>
      </c>
      <c r="E922" s="6" t="str">
        <f>IFERROR(__xludf.DUMMYFUNCTION("""COMPUTED_VALUE"""),"Google")</f>
        <v>Google</v>
      </c>
      <c r="F922" s="6" t="str">
        <f>IFERROR(__xludf.DUMMYFUNCTION("""COMPUTED_VALUE"""),"Google")</f>
        <v>Google</v>
      </c>
      <c r="G922" s="6" t="str">
        <f>IFERROR(__xludf.DUMMYFUNCTION("""COMPUTED_VALUE"""),"Google")</f>
        <v>Google</v>
      </c>
      <c r="H922" s="6" t="str">
        <f>IFERROR(__xludf.DUMMYFUNCTION("""COMPUTED_VALUE"""),"Google")</f>
        <v>Google</v>
      </c>
      <c r="I922" s="6">
        <f>IFERROR(__xludf.DUMMYFUNCTION("""COMPUTED_VALUE"""),40.69)</f>
        <v>40.69</v>
      </c>
      <c r="J922" s="6" t="str">
        <f>IFERROR(__xludf.DUMMYFUNCTION("""COMPUTED_VALUE"""),"算法")</f>
        <v>算法</v>
      </c>
    </row>
    <row r="923">
      <c r="A923" s="6">
        <f>IFERROR(__xludf.DUMMYFUNCTION("""COMPUTED_VALUE"""),1516.0)</f>
        <v>1516</v>
      </c>
      <c r="B923" s="53" t="str">
        <f>IFERROR(__xludf.DUMMYFUNCTION("""COMPUTED_VALUE"""),"Move Sub-Tree of N-Ary Tree")</f>
        <v>Move Sub-Tree of N-Ary Tree</v>
      </c>
      <c r="C923" s="6" t="str">
        <f>IFERROR(__xludf.DUMMYFUNCTION("""COMPUTED_VALUE"""),"Hard")</f>
        <v>Hard</v>
      </c>
      <c r="D923" s="6" t="str">
        <f>IFERROR(__xludf.DUMMYFUNCTION("""COMPUTED_VALUE"""),"Tree")</f>
        <v>Tree</v>
      </c>
      <c r="E923" s="6" t="str">
        <f>IFERROR(__xludf.DUMMYFUNCTION("""COMPUTED_VALUE"""),"Google")</f>
        <v>Google</v>
      </c>
      <c r="F923" s="6"/>
      <c r="G923" s="6"/>
      <c r="H923" s="6" t="str">
        <f>IFERROR(__xludf.DUMMYFUNCTION("""COMPUTED_VALUE"""),"Google")</f>
        <v>Google</v>
      </c>
      <c r="I923" s="6">
        <f>IFERROR(__xludf.DUMMYFUNCTION("""COMPUTED_VALUE"""),63.93)</f>
        <v>63.93</v>
      </c>
      <c r="J923" s="6" t="str">
        <f>IFERROR(__xludf.DUMMYFUNCTION("""COMPUTED_VALUE"""),"算法")</f>
        <v>算法</v>
      </c>
    </row>
    <row r="924">
      <c r="A924" s="6">
        <f>IFERROR(__xludf.DUMMYFUNCTION("""COMPUTED_VALUE"""),1525.0)</f>
        <v>1525</v>
      </c>
      <c r="B924" s="53" t="str">
        <f>IFERROR(__xludf.DUMMYFUNCTION("""COMPUTED_VALUE"""),"Number of Good Ways to Split a String")</f>
        <v>Number of Good Ways to Split a String</v>
      </c>
      <c r="C924" s="6" t="str">
        <f>IFERROR(__xludf.DUMMYFUNCTION("""COMPUTED_VALUE"""),"Medium")</f>
        <v>Medium</v>
      </c>
      <c r="D924" s="6" t="str">
        <f>IFERROR(__xludf.DUMMYFUNCTION("""COMPUTED_VALUE"""),"Bit Manipulation,String")</f>
        <v>Bit Manipulation,String</v>
      </c>
      <c r="E924" s="6" t="str">
        <f>IFERROR(__xludf.DUMMYFUNCTION("""COMPUTED_VALUE"""),"Google")</f>
        <v>Google</v>
      </c>
      <c r="F924" s="6" t="str">
        <f>IFERROR(__xludf.DUMMYFUNCTION("""COMPUTED_VALUE"""),"Google")</f>
        <v>Google</v>
      </c>
      <c r="G924" s="6" t="str">
        <f>IFERROR(__xludf.DUMMYFUNCTION("""COMPUTED_VALUE"""),"Google")</f>
        <v>Google</v>
      </c>
      <c r="H924" s="6" t="str">
        <f>IFERROR(__xludf.DUMMYFUNCTION("""COMPUTED_VALUE"""),"Google")</f>
        <v>Google</v>
      </c>
      <c r="I924" s="6">
        <f>IFERROR(__xludf.DUMMYFUNCTION("""COMPUTED_VALUE"""),66.63)</f>
        <v>66.63</v>
      </c>
      <c r="J924" s="6" t="str">
        <f>IFERROR(__xludf.DUMMYFUNCTION("""COMPUTED_VALUE"""),"算法")</f>
        <v>算法</v>
      </c>
    </row>
    <row r="925">
      <c r="A925" s="6">
        <f>IFERROR(__xludf.DUMMYFUNCTION("""COMPUTED_VALUE"""),1526.0)</f>
        <v>1526</v>
      </c>
      <c r="B925" s="53" t="str">
        <f>IFERROR(__xludf.DUMMYFUNCTION("""COMPUTED_VALUE"""),"Minimum Number of Increments on Subarrays to Form a Target Array")</f>
        <v>Minimum Number of Increments on Subarrays to Form a Target Array</v>
      </c>
      <c r="C925" s="6" t="str">
        <f>IFERROR(__xludf.DUMMYFUNCTION("""COMPUTED_VALUE"""),"Hard")</f>
        <v>Hard</v>
      </c>
      <c r="D925" s="6" t="str">
        <f>IFERROR(__xludf.DUMMYFUNCTION("""COMPUTED_VALUE"""),"Segment Tree")</f>
        <v>Segment Tree</v>
      </c>
      <c r="E925" s="6" t="str">
        <f>IFERROR(__xludf.DUMMYFUNCTION("""COMPUTED_VALUE"""),"Google")</f>
        <v>Google</v>
      </c>
      <c r="F925" s="6"/>
      <c r="G925" s="6"/>
      <c r="H925" s="6" t="str">
        <f>IFERROR(__xludf.DUMMYFUNCTION("""COMPUTED_VALUE"""),"Google")</f>
        <v>Google</v>
      </c>
      <c r="I925" s="6">
        <f>IFERROR(__xludf.DUMMYFUNCTION("""COMPUTED_VALUE"""),60.01)</f>
        <v>60.01</v>
      </c>
      <c r="J925" s="6" t="str">
        <f>IFERROR(__xludf.DUMMYFUNCTION("""COMPUTED_VALUE"""),"算法")</f>
        <v>算法</v>
      </c>
    </row>
    <row r="926">
      <c r="A926" s="6">
        <f>IFERROR(__xludf.DUMMYFUNCTION("""COMPUTED_VALUE"""),1530.0)</f>
        <v>1530</v>
      </c>
      <c r="B926" s="53" t="str">
        <f>IFERROR(__xludf.DUMMYFUNCTION("""COMPUTED_VALUE"""),"Number of Good Leaf Nodes Pairs")</f>
        <v>Number of Good Leaf Nodes Pairs</v>
      </c>
      <c r="C926" s="6" t="str">
        <f>IFERROR(__xludf.DUMMYFUNCTION("""COMPUTED_VALUE"""),"Medium")</f>
        <v>Medium</v>
      </c>
      <c r="D926" s="6" t="str">
        <f>IFERROR(__xludf.DUMMYFUNCTION("""COMPUTED_VALUE"""),"Depth First Search,Tree")</f>
        <v>Depth First Search,Tree</v>
      </c>
      <c r="E926" s="6" t="str">
        <f>IFERROR(__xludf.DUMMYFUNCTION("""COMPUTED_VALUE"""),"Google")</f>
        <v>Google</v>
      </c>
      <c r="F926" s="6"/>
      <c r="G926" s="6"/>
      <c r="H926" s="6" t="str">
        <f>IFERROR(__xludf.DUMMYFUNCTION("""COMPUTED_VALUE"""),"Google")</f>
        <v>Google</v>
      </c>
      <c r="I926" s="6">
        <f>IFERROR(__xludf.DUMMYFUNCTION("""COMPUTED_VALUE"""),56.27)</f>
        <v>56.27</v>
      </c>
      <c r="J926" s="6" t="str">
        <f>IFERROR(__xludf.DUMMYFUNCTION("""COMPUTED_VALUE"""),"算法")</f>
        <v>算法</v>
      </c>
    </row>
    <row r="927">
      <c r="A927" s="6">
        <f>IFERROR(__xludf.DUMMYFUNCTION("""COMPUTED_VALUE"""),1538.0)</f>
        <v>1538</v>
      </c>
      <c r="B927" s="53" t="str">
        <f>IFERROR(__xludf.DUMMYFUNCTION("""COMPUTED_VALUE"""),"Guess the Majority in a Hidden Array")</f>
        <v>Guess the Majority in a Hidden Array</v>
      </c>
      <c r="C927" s="6" t="str">
        <f>IFERROR(__xludf.DUMMYFUNCTION("""COMPUTED_VALUE"""),"Medium")</f>
        <v>Medium</v>
      </c>
      <c r="D927" s="6"/>
      <c r="E927" s="6" t="str">
        <f>IFERROR(__xludf.DUMMYFUNCTION("""COMPUTED_VALUE"""),"Google")</f>
        <v>Google</v>
      </c>
      <c r="F927" s="6"/>
      <c r="G927" s="6"/>
      <c r="H927" s="6" t="str">
        <f>IFERROR(__xludf.DUMMYFUNCTION("""COMPUTED_VALUE"""),"Google")</f>
        <v>Google</v>
      </c>
      <c r="I927" s="6">
        <f>IFERROR(__xludf.DUMMYFUNCTION("""COMPUTED_VALUE"""),61.14)</f>
        <v>61.14</v>
      </c>
      <c r="J927" s="6" t="str">
        <f>IFERROR(__xludf.DUMMYFUNCTION("""COMPUTED_VALUE"""),"算法")</f>
        <v>算法</v>
      </c>
    </row>
    <row r="928">
      <c r="A928" s="6">
        <f>IFERROR(__xludf.DUMMYFUNCTION("""COMPUTED_VALUE"""),1544.0)</f>
        <v>1544</v>
      </c>
      <c r="B928" s="53" t="str">
        <f>IFERROR(__xludf.DUMMYFUNCTION("""COMPUTED_VALUE"""),"Make The String Great")</f>
        <v>Make The String Great</v>
      </c>
      <c r="C928" s="6" t="str">
        <f>IFERROR(__xludf.DUMMYFUNCTION("""COMPUTED_VALUE"""),"Easy")</f>
        <v>Easy</v>
      </c>
      <c r="D928" s="6" t="str">
        <f>IFERROR(__xludf.DUMMYFUNCTION("""COMPUTED_VALUE"""),"Stack,String")</f>
        <v>Stack,String</v>
      </c>
      <c r="E928" s="6" t="str">
        <f>IFERROR(__xludf.DUMMYFUNCTION("""COMPUTED_VALUE"""),"Google")</f>
        <v>Google</v>
      </c>
      <c r="F928" s="6"/>
      <c r="G928" s="6"/>
      <c r="H928" s="6" t="str">
        <f>IFERROR(__xludf.DUMMYFUNCTION("""COMPUTED_VALUE"""),"Google")</f>
        <v>Google</v>
      </c>
      <c r="I928" s="6">
        <f>IFERROR(__xludf.DUMMYFUNCTION("""COMPUTED_VALUE"""),55.46)</f>
        <v>55.46</v>
      </c>
      <c r="J928" s="6" t="str">
        <f>IFERROR(__xludf.DUMMYFUNCTION("""COMPUTED_VALUE"""),"算法")</f>
        <v>算法</v>
      </c>
    </row>
    <row r="929">
      <c r="A929" s="6">
        <f>IFERROR(__xludf.DUMMYFUNCTION("""COMPUTED_VALUE"""),1546.0)</f>
        <v>1546</v>
      </c>
      <c r="B929" s="53" t="str">
        <f>IFERROR(__xludf.DUMMYFUNCTION("""COMPUTED_VALUE"""),"Maximum Number of Non-Overlapping Subarrays With Sum Equals Target")</f>
        <v>Maximum Number of Non-Overlapping Subarrays With Sum Equals Target</v>
      </c>
      <c r="C929" s="6" t="str">
        <f>IFERROR(__xludf.DUMMYFUNCTION("""COMPUTED_VALUE"""),"Medium")</f>
        <v>Medium</v>
      </c>
      <c r="D929" s="6" t="str">
        <f>IFERROR(__xludf.DUMMYFUNCTION("""COMPUTED_VALUE"""),"Dynamic Programming")</f>
        <v>Dynamic Programming</v>
      </c>
      <c r="E929" s="6" t="str">
        <f>IFERROR(__xludf.DUMMYFUNCTION("""COMPUTED_VALUE"""),"Google")</f>
        <v>Google</v>
      </c>
      <c r="F929" s="6"/>
      <c r="G929" s="6"/>
      <c r="H929" s="6" t="str">
        <f>IFERROR(__xludf.DUMMYFUNCTION("""COMPUTED_VALUE"""),"Google")</f>
        <v>Google</v>
      </c>
      <c r="I929" s="6">
        <f>IFERROR(__xludf.DUMMYFUNCTION("""COMPUTED_VALUE"""),43.84)</f>
        <v>43.84</v>
      </c>
      <c r="J929" s="6" t="str">
        <f>IFERROR(__xludf.DUMMYFUNCTION("""COMPUTED_VALUE"""),"算法")</f>
        <v>算法</v>
      </c>
    </row>
    <row r="930">
      <c r="A930" s="6">
        <f>IFERROR(__xludf.DUMMYFUNCTION("""COMPUTED_VALUE"""),1547.0)</f>
        <v>1547</v>
      </c>
      <c r="B930" s="53" t="str">
        <f>IFERROR(__xludf.DUMMYFUNCTION("""COMPUTED_VALUE"""),"Minimum Cost to Cut a Stick")</f>
        <v>Minimum Cost to Cut a Stick</v>
      </c>
      <c r="C930" s="6" t="str">
        <f>IFERROR(__xludf.DUMMYFUNCTION("""COMPUTED_VALUE"""),"Hard")</f>
        <v>Hard</v>
      </c>
      <c r="D930" s="6" t="str">
        <f>IFERROR(__xludf.DUMMYFUNCTION("""COMPUTED_VALUE"""),"Dynamic Programming")</f>
        <v>Dynamic Programming</v>
      </c>
      <c r="E930" s="6" t="str">
        <f>IFERROR(__xludf.DUMMYFUNCTION("""COMPUTED_VALUE"""),"Google")</f>
        <v>Google</v>
      </c>
      <c r="F930" s="6"/>
      <c r="G930" s="6"/>
      <c r="H930" s="6" t="str">
        <f>IFERROR(__xludf.DUMMYFUNCTION("""COMPUTED_VALUE"""),"Google")</f>
        <v>Google</v>
      </c>
      <c r="I930" s="6">
        <f>IFERROR(__xludf.DUMMYFUNCTION("""COMPUTED_VALUE"""),52.9)</f>
        <v>52.9</v>
      </c>
      <c r="J930" s="6" t="str">
        <f>IFERROR(__xludf.DUMMYFUNCTION("""COMPUTED_VALUE"""),"算法")</f>
        <v>算法</v>
      </c>
    </row>
    <row r="931">
      <c r="A931" s="6">
        <f>IFERROR(__xludf.DUMMYFUNCTION("""COMPUTED_VALUE"""),1548.0)</f>
        <v>1548</v>
      </c>
      <c r="B931" s="53" t="str">
        <f>IFERROR(__xludf.DUMMYFUNCTION("""COMPUTED_VALUE"""),"The Most Similar Path in a Graph")</f>
        <v>The Most Similar Path in a Graph</v>
      </c>
      <c r="C931" s="6" t="str">
        <f>IFERROR(__xludf.DUMMYFUNCTION("""COMPUTED_VALUE"""),"Hard")</f>
        <v>Hard</v>
      </c>
      <c r="D931" s="6" t="str">
        <f>IFERROR(__xludf.DUMMYFUNCTION("""COMPUTED_VALUE"""),"Graph,Dynamic Programming")</f>
        <v>Graph,Dynamic Programming</v>
      </c>
      <c r="E931" s="6" t="str">
        <f>IFERROR(__xludf.DUMMYFUNCTION("""COMPUTED_VALUE"""),"Google")</f>
        <v>Google</v>
      </c>
      <c r="F931" s="6" t="str">
        <f>IFERROR(__xludf.DUMMYFUNCTION("""COMPUTED_VALUE"""),"Google")</f>
        <v>Google</v>
      </c>
      <c r="G931" s="6" t="str">
        <f>IFERROR(__xludf.DUMMYFUNCTION("""COMPUTED_VALUE"""),"Google")</f>
        <v>Google</v>
      </c>
      <c r="H931" s="6" t="str">
        <f>IFERROR(__xludf.DUMMYFUNCTION("""COMPUTED_VALUE"""),"Google")</f>
        <v>Google</v>
      </c>
      <c r="I931" s="6">
        <f>IFERROR(__xludf.DUMMYFUNCTION("""COMPUTED_VALUE"""),54.36)</f>
        <v>54.36</v>
      </c>
      <c r="J931" s="6" t="str">
        <f>IFERROR(__xludf.DUMMYFUNCTION("""COMPUTED_VALUE"""),"算法")</f>
        <v>算法</v>
      </c>
    </row>
    <row r="932">
      <c r="A932" s="6">
        <f>IFERROR(__xludf.DUMMYFUNCTION("""COMPUTED_VALUE"""),1553.0)</f>
        <v>1553</v>
      </c>
      <c r="B932" s="53" t="str">
        <f>IFERROR(__xludf.DUMMYFUNCTION("""COMPUTED_VALUE"""),"Minimum Number of Days to Eat N Oranges")</f>
        <v>Minimum Number of Days to Eat N Oranges</v>
      </c>
      <c r="C932" s="6" t="str">
        <f>IFERROR(__xludf.DUMMYFUNCTION("""COMPUTED_VALUE"""),"Hard")</f>
        <v>Hard</v>
      </c>
      <c r="D932" s="6" t="str">
        <f>IFERROR(__xludf.DUMMYFUNCTION("""COMPUTED_VALUE"""),"Dynamic Programming")</f>
        <v>Dynamic Programming</v>
      </c>
      <c r="E932" s="6" t="str">
        <f>IFERROR(__xludf.DUMMYFUNCTION("""COMPUTED_VALUE"""),"Google")</f>
        <v>Google</v>
      </c>
      <c r="F932" s="6"/>
      <c r="G932" s="6" t="str">
        <f>IFERROR(__xludf.DUMMYFUNCTION("""COMPUTED_VALUE"""),"Google")</f>
        <v>Google</v>
      </c>
      <c r="H932" s="6" t="str">
        <f>IFERROR(__xludf.DUMMYFUNCTION("""COMPUTED_VALUE"""),"Google")</f>
        <v>Google</v>
      </c>
      <c r="I932" s="6">
        <f>IFERROR(__xludf.DUMMYFUNCTION("""COMPUTED_VALUE"""),29.81)</f>
        <v>29.81</v>
      </c>
      <c r="J932" s="6" t="str">
        <f>IFERROR(__xludf.DUMMYFUNCTION("""COMPUTED_VALUE"""),"算法")</f>
        <v>算法</v>
      </c>
    </row>
    <row r="933">
      <c r="A933" s="6">
        <f>IFERROR(__xludf.DUMMYFUNCTION("""COMPUTED_VALUE"""),1557.0)</f>
        <v>1557</v>
      </c>
      <c r="B933" s="53" t="str">
        <f>IFERROR(__xludf.DUMMYFUNCTION("""COMPUTED_VALUE"""),"Minimum Number of Vertices to Reach All Nodes")</f>
        <v>Minimum Number of Vertices to Reach All Nodes</v>
      </c>
      <c r="C933" s="6" t="str">
        <f>IFERROR(__xludf.DUMMYFUNCTION("""COMPUTED_VALUE"""),"Medium")</f>
        <v>Medium</v>
      </c>
      <c r="D933" s="6" t="str">
        <f>IFERROR(__xludf.DUMMYFUNCTION("""COMPUTED_VALUE"""),"Graph")</f>
        <v>Graph</v>
      </c>
      <c r="E933" s="6" t="str">
        <f>IFERROR(__xludf.DUMMYFUNCTION("""COMPUTED_VALUE"""),"Airbnb,Google")</f>
        <v>Airbnb,Google</v>
      </c>
      <c r="F933" s="6"/>
      <c r="G933" s="6"/>
      <c r="H933" s="6" t="str">
        <f>IFERROR(__xludf.DUMMYFUNCTION("""COMPUTED_VALUE"""),"Google,Airbnb")</f>
        <v>Google,Airbnb</v>
      </c>
      <c r="I933" s="6">
        <f>IFERROR(__xludf.DUMMYFUNCTION("""COMPUTED_VALUE"""),75.57)</f>
        <v>75.57</v>
      </c>
      <c r="J933" s="6" t="str">
        <f>IFERROR(__xludf.DUMMYFUNCTION("""COMPUTED_VALUE"""),"算法")</f>
        <v>算法</v>
      </c>
    </row>
    <row r="934">
      <c r="A934" s="6">
        <f>IFERROR(__xludf.DUMMYFUNCTION("""COMPUTED_VALUE"""),1562.0)</f>
        <v>1562</v>
      </c>
      <c r="B934" s="53" t="str">
        <f>IFERROR(__xludf.DUMMYFUNCTION("""COMPUTED_VALUE"""),"Find Latest Group of Size M")</f>
        <v>Find Latest Group of Size M</v>
      </c>
      <c r="C934" s="6" t="str">
        <f>IFERROR(__xludf.DUMMYFUNCTION("""COMPUTED_VALUE"""),"Medium")</f>
        <v>Medium</v>
      </c>
      <c r="D934" s="6" t="str">
        <f>IFERROR(__xludf.DUMMYFUNCTION("""COMPUTED_VALUE"""),"Binary Search")</f>
        <v>Binary Search</v>
      </c>
      <c r="E934" s="6" t="str">
        <f>IFERROR(__xludf.DUMMYFUNCTION("""COMPUTED_VALUE"""),"Google")</f>
        <v>Google</v>
      </c>
      <c r="F934" s="6"/>
      <c r="G934" s="6"/>
      <c r="H934" s="6" t="str">
        <f>IFERROR(__xludf.DUMMYFUNCTION("""COMPUTED_VALUE"""),"Google")</f>
        <v>Google</v>
      </c>
      <c r="I934" s="6">
        <f>IFERROR(__xludf.DUMMYFUNCTION("""COMPUTED_VALUE"""),39.59)</f>
        <v>39.59</v>
      </c>
      <c r="J934" s="6" t="str">
        <f>IFERROR(__xludf.DUMMYFUNCTION("""COMPUTED_VALUE"""),"算法")</f>
        <v>算法</v>
      </c>
    </row>
    <row r="935">
      <c r="A935" s="6">
        <f>IFERROR(__xludf.DUMMYFUNCTION("""COMPUTED_VALUE"""),1564.0)</f>
        <v>1564</v>
      </c>
      <c r="B935" s="53" t="str">
        <f>IFERROR(__xludf.DUMMYFUNCTION("""COMPUTED_VALUE"""),"Put Boxes Into the Warehouse I")</f>
        <v>Put Boxes Into the Warehouse I</v>
      </c>
      <c r="C935" s="6" t="str">
        <f>IFERROR(__xludf.DUMMYFUNCTION("""COMPUTED_VALUE"""),"Medium")</f>
        <v>Medium</v>
      </c>
      <c r="D935" s="6" t="str">
        <f>IFERROR(__xludf.DUMMYFUNCTION("""COMPUTED_VALUE"""),"Greedy")</f>
        <v>Greedy</v>
      </c>
      <c r="E935" s="6" t="str">
        <f>IFERROR(__xludf.DUMMYFUNCTION("""COMPUTED_VALUE"""),"Google")</f>
        <v>Google</v>
      </c>
      <c r="F935" s="6"/>
      <c r="G935" s="6"/>
      <c r="H935" s="6" t="str">
        <f>IFERROR(__xludf.DUMMYFUNCTION("""COMPUTED_VALUE"""),"Google")</f>
        <v>Google</v>
      </c>
      <c r="I935" s="6">
        <f>IFERROR(__xludf.DUMMYFUNCTION("""COMPUTED_VALUE"""),66.07)</f>
        <v>66.07</v>
      </c>
      <c r="J935" s="6" t="str">
        <f>IFERROR(__xludf.DUMMYFUNCTION("""COMPUTED_VALUE"""),"算法")</f>
        <v>算法</v>
      </c>
    </row>
    <row r="936">
      <c r="A936" s="6">
        <f>IFERROR(__xludf.DUMMYFUNCTION("""COMPUTED_VALUE"""),1569.0)</f>
        <v>1569</v>
      </c>
      <c r="B936" s="53" t="str">
        <f>IFERROR(__xludf.DUMMYFUNCTION("""COMPUTED_VALUE"""),"Number of Ways to Reorder Array to Get Same BST")</f>
        <v>Number of Ways to Reorder Array to Get Same BST</v>
      </c>
      <c r="C936" s="6" t="str">
        <f>IFERROR(__xludf.DUMMYFUNCTION("""COMPUTED_VALUE"""),"Hard")</f>
        <v>Hard</v>
      </c>
      <c r="D936" s="6" t="str">
        <f>IFERROR(__xludf.DUMMYFUNCTION("""COMPUTED_VALUE"""),"Dynamic Programming")</f>
        <v>Dynamic Programming</v>
      </c>
      <c r="E936" s="6" t="str">
        <f>IFERROR(__xludf.DUMMYFUNCTION("""COMPUTED_VALUE"""),"Google")</f>
        <v>Google</v>
      </c>
      <c r="F936" s="6"/>
      <c r="G936" s="6"/>
      <c r="H936" s="6" t="str">
        <f>IFERROR(__xludf.DUMMYFUNCTION("""COMPUTED_VALUE"""),"Google")</f>
        <v>Google</v>
      </c>
      <c r="I936" s="6">
        <f>IFERROR(__xludf.DUMMYFUNCTION("""COMPUTED_VALUE"""),50.01)</f>
        <v>50.01</v>
      </c>
      <c r="J936" s="6" t="str">
        <f>IFERROR(__xludf.DUMMYFUNCTION("""COMPUTED_VALUE"""),"算法")</f>
        <v>算法</v>
      </c>
    </row>
    <row r="937">
      <c r="A937" s="6">
        <f>IFERROR(__xludf.DUMMYFUNCTION("""COMPUTED_VALUE"""),1576.0)</f>
        <v>1576</v>
      </c>
      <c r="B937" s="53" t="str">
        <f>IFERROR(__xludf.DUMMYFUNCTION("""COMPUTED_VALUE"""),"Replace All ?'s to Avoid Consecutive Repeating Characters")</f>
        <v>Replace All ?'s to Avoid Consecutive Repeating Characters</v>
      </c>
      <c r="C937" s="6" t="str">
        <f>IFERROR(__xludf.DUMMYFUNCTION("""COMPUTED_VALUE"""),"Easy")</f>
        <v>Easy</v>
      </c>
      <c r="D937" s="6" t="str">
        <f>IFERROR(__xludf.DUMMYFUNCTION("""COMPUTED_VALUE"""),"String")</f>
        <v>String</v>
      </c>
      <c r="E937" s="6" t="str">
        <f>IFERROR(__xludf.DUMMYFUNCTION("""COMPUTED_VALUE"""),"Microsoft,Google")</f>
        <v>Microsoft,Google</v>
      </c>
      <c r="F937" s="6" t="str">
        <f>IFERROR(__xludf.DUMMYFUNCTION("""COMPUTED_VALUE"""),"Microsoft,Google")</f>
        <v>Microsoft,Google</v>
      </c>
      <c r="G937" s="6" t="str">
        <f>IFERROR(__xludf.DUMMYFUNCTION("""COMPUTED_VALUE"""),"Microsoft,Google")</f>
        <v>Microsoft,Google</v>
      </c>
      <c r="H937" s="6" t="str">
        <f>IFERROR(__xludf.DUMMYFUNCTION("""COMPUTED_VALUE"""),"Microsoft,Google")</f>
        <v>Microsoft,Google</v>
      </c>
      <c r="I937" s="6">
        <f>IFERROR(__xludf.DUMMYFUNCTION("""COMPUTED_VALUE"""),49.02)</f>
        <v>49.02</v>
      </c>
      <c r="J937" s="6" t="str">
        <f>IFERROR(__xludf.DUMMYFUNCTION("""COMPUTED_VALUE"""),"算法")</f>
        <v>算法</v>
      </c>
    </row>
    <row r="938">
      <c r="A938" s="6">
        <f>IFERROR(__xludf.DUMMYFUNCTION("""COMPUTED_VALUE"""),1580.0)</f>
        <v>1580</v>
      </c>
      <c r="B938" s="53" t="str">
        <f>IFERROR(__xludf.DUMMYFUNCTION("""COMPUTED_VALUE"""),"Put Boxes Into the Warehouse II")</f>
        <v>Put Boxes Into the Warehouse II</v>
      </c>
      <c r="C938" s="6" t="str">
        <f>IFERROR(__xludf.DUMMYFUNCTION("""COMPUTED_VALUE"""),"Medium")</f>
        <v>Medium</v>
      </c>
      <c r="D938" s="6" t="str">
        <f>IFERROR(__xludf.DUMMYFUNCTION("""COMPUTED_VALUE"""),"Greedy")</f>
        <v>Greedy</v>
      </c>
      <c r="E938" s="6" t="str">
        <f>IFERROR(__xludf.DUMMYFUNCTION("""COMPUTED_VALUE"""),"Google")</f>
        <v>Google</v>
      </c>
      <c r="F938" s="6"/>
      <c r="G938" s="6"/>
      <c r="H938" s="6" t="str">
        <f>IFERROR(__xludf.DUMMYFUNCTION("""COMPUTED_VALUE"""),"Google")</f>
        <v>Google</v>
      </c>
      <c r="I938" s="6">
        <f>IFERROR(__xludf.DUMMYFUNCTION("""COMPUTED_VALUE"""),62.09)</f>
        <v>62.09</v>
      </c>
      <c r="J938" s="6" t="str">
        <f>IFERROR(__xludf.DUMMYFUNCTION("""COMPUTED_VALUE"""),"算法")</f>
        <v>算法</v>
      </c>
    </row>
    <row r="939">
      <c r="A939" s="6">
        <f>IFERROR(__xludf.DUMMYFUNCTION("""COMPUTED_VALUE"""),1582.0)</f>
        <v>1582</v>
      </c>
      <c r="B939" s="53" t="str">
        <f>IFERROR(__xludf.DUMMYFUNCTION("""COMPUTED_VALUE"""),"Special Positions in a Binary Matrix")</f>
        <v>Special Positions in a Binary Matrix</v>
      </c>
      <c r="C939" s="6" t="str">
        <f>IFERROR(__xludf.DUMMYFUNCTION("""COMPUTED_VALUE"""),"Easy")</f>
        <v>Easy</v>
      </c>
      <c r="D939" s="6" t="str">
        <f>IFERROR(__xludf.DUMMYFUNCTION("""COMPUTED_VALUE"""),"Array")</f>
        <v>Array</v>
      </c>
      <c r="E939" s="6" t="str">
        <f>IFERROR(__xludf.DUMMYFUNCTION("""COMPUTED_VALUE"""),"Google")</f>
        <v>Google</v>
      </c>
      <c r="F939" s="6"/>
      <c r="G939" s="6"/>
      <c r="H939" s="6" t="str">
        <f>IFERROR(__xludf.DUMMYFUNCTION("""COMPUTED_VALUE"""),"Google")</f>
        <v>Google</v>
      </c>
      <c r="I939" s="6">
        <f>IFERROR(__xludf.DUMMYFUNCTION("""COMPUTED_VALUE"""),64.31)</f>
        <v>64.31</v>
      </c>
      <c r="J939" s="6" t="str">
        <f>IFERROR(__xludf.DUMMYFUNCTION("""COMPUTED_VALUE"""),"算法")</f>
        <v>算法</v>
      </c>
    </row>
    <row r="940">
      <c r="A940" s="6">
        <f>IFERROR(__xludf.DUMMYFUNCTION("""COMPUTED_VALUE"""),1585.0)</f>
        <v>1585</v>
      </c>
      <c r="B940" s="53" t="str">
        <f>IFERROR(__xludf.DUMMYFUNCTION("""COMPUTED_VALUE"""),"Check If String Is Transformable With Substring Sort Operations")</f>
        <v>Check If String Is Transformable With Substring Sort Operations</v>
      </c>
      <c r="C940" s="6" t="str">
        <f>IFERROR(__xludf.DUMMYFUNCTION("""COMPUTED_VALUE"""),"Hard")</f>
        <v>Hard</v>
      </c>
      <c r="D940" s="6" t="str">
        <f>IFERROR(__xludf.DUMMYFUNCTION("""COMPUTED_VALUE"""),"Greedy,String")</f>
        <v>Greedy,String</v>
      </c>
      <c r="E940" s="6" t="str">
        <f>IFERROR(__xludf.DUMMYFUNCTION("""COMPUTED_VALUE"""),"Google")</f>
        <v>Google</v>
      </c>
      <c r="F940" s="6"/>
      <c r="G940" s="6"/>
      <c r="H940" s="6" t="str">
        <f>IFERROR(__xludf.DUMMYFUNCTION("""COMPUTED_VALUE"""),"Google")</f>
        <v>Google</v>
      </c>
      <c r="I940" s="6">
        <f>IFERROR(__xludf.DUMMYFUNCTION("""COMPUTED_VALUE"""),48.45)</f>
        <v>48.45</v>
      </c>
      <c r="J940" s="6" t="str">
        <f>IFERROR(__xludf.DUMMYFUNCTION("""COMPUTED_VALUE"""),"算法")</f>
        <v>算法</v>
      </c>
    </row>
    <row r="941">
      <c r="A941" s="6">
        <f>IFERROR(__xludf.DUMMYFUNCTION("""COMPUTED_VALUE"""),1591.0)</f>
        <v>1591</v>
      </c>
      <c r="B941" s="53" t="str">
        <f>IFERROR(__xludf.DUMMYFUNCTION("""COMPUTED_VALUE"""),"Strange Printer II")</f>
        <v>Strange Printer II</v>
      </c>
      <c r="C941" s="6" t="str">
        <f>IFERROR(__xludf.DUMMYFUNCTION("""COMPUTED_VALUE"""),"Hard")</f>
        <v>Hard</v>
      </c>
      <c r="D941" s="6" t="str">
        <f>IFERROR(__xludf.DUMMYFUNCTION("""COMPUTED_VALUE"""),"Greedy")</f>
        <v>Greedy</v>
      </c>
      <c r="E941" s="6" t="str">
        <f>IFERROR(__xludf.DUMMYFUNCTION("""COMPUTED_VALUE"""),"Google")</f>
        <v>Google</v>
      </c>
      <c r="F941" s="6"/>
      <c r="G941" s="6"/>
      <c r="H941" s="6" t="str">
        <f>IFERROR(__xludf.DUMMYFUNCTION("""COMPUTED_VALUE"""),"Google")</f>
        <v>Google</v>
      </c>
      <c r="I941" s="6">
        <f>IFERROR(__xludf.DUMMYFUNCTION("""COMPUTED_VALUE"""),55.11)</f>
        <v>55.11</v>
      </c>
      <c r="J941" s="6" t="str">
        <f>IFERROR(__xludf.DUMMYFUNCTION("""COMPUTED_VALUE"""),"算法")</f>
        <v>算法</v>
      </c>
    </row>
    <row r="942">
      <c r="A942" s="6">
        <f>IFERROR(__xludf.DUMMYFUNCTION("""COMPUTED_VALUE"""),1592.0)</f>
        <v>1592</v>
      </c>
      <c r="B942" s="53" t="str">
        <f>IFERROR(__xludf.DUMMYFUNCTION("""COMPUTED_VALUE"""),"Rearrange Spaces Between Words")</f>
        <v>Rearrange Spaces Between Words</v>
      </c>
      <c r="C942" s="6" t="str">
        <f>IFERROR(__xludf.DUMMYFUNCTION("""COMPUTED_VALUE"""),"Easy")</f>
        <v>Easy</v>
      </c>
      <c r="D942" s="6" t="str">
        <f>IFERROR(__xludf.DUMMYFUNCTION("""COMPUTED_VALUE"""),"String")</f>
        <v>String</v>
      </c>
      <c r="E942" s="6" t="str">
        <f>IFERROR(__xludf.DUMMYFUNCTION("""COMPUTED_VALUE"""),"Google")</f>
        <v>Google</v>
      </c>
      <c r="F942" s="6" t="str">
        <f>IFERROR(__xludf.DUMMYFUNCTION("""COMPUTED_VALUE"""),"Google")</f>
        <v>Google</v>
      </c>
      <c r="G942" s="6" t="str">
        <f>IFERROR(__xludf.DUMMYFUNCTION("""COMPUTED_VALUE"""),"Google")</f>
        <v>Google</v>
      </c>
      <c r="H942" s="6" t="str">
        <f>IFERROR(__xludf.DUMMYFUNCTION("""COMPUTED_VALUE"""),"Google")</f>
        <v>Google</v>
      </c>
      <c r="I942" s="6">
        <f>IFERROR(__xludf.DUMMYFUNCTION("""COMPUTED_VALUE"""),43.72)</f>
        <v>43.72</v>
      </c>
      <c r="J942" s="6" t="str">
        <f>IFERROR(__xludf.DUMMYFUNCTION("""COMPUTED_VALUE"""),"算法")</f>
        <v>算法</v>
      </c>
    </row>
    <row r="943">
      <c r="A943" s="6">
        <f>IFERROR(__xludf.DUMMYFUNCTION("""COMPUTED_VALUE"""),1593.0)</f>
        <v>1593</v>
      </c>
      <c r="B943" s="53" t="str">
        <f>IFERROR(__xludf.DUMMYFUNCTION("""COMPUTED_VALUE"""),"Split a String Into the Max Number of Unique Substrings")</f>
        <v>Split a String Into the Max Number of Unique Substrings</v>
      </c>
      <c r="C943" s="6" t="str">
        <f>IFERROR(__xludf.DUMMYFUNCTION("""COMPUTED_VALUE"""),"Medium")</f>
        <v>Medium</v>
      </c>
      <c r="D943" s="6" t="str">
        <f>IFERROR(__xludf.DUMMYFUNCTION("""COMPUTED_VALUE"""),"Backtracking")</f>
        <v>Backtracking</v>
      </c>
      <c r="E943" s="6" t="str">
        <f>IFERROR(__xludf.DUMMYFUNCTION("""COMPUTED_VALUE"""),"Google")</f>
        <v>Google</v>
      </c>
      <c r="F943" s="6"/>
      <c r="G943" s="6"/>
      <c r="H943" s="6" t="str">
        <f>IFERROR(__xludf.DUMMYFUNCTION("""COMPUTED_VALUE"""),"Google")</f>
        <v>Google</v>
      </c>
      <c r="I943" s="6">
        <f>IFERROR(__xludf.DUMMYFUNCTION("""COMPUTED_VALUE"""),49.51)</f>
        <v>49.51</v>
      </c>
      <c r="J943" s="6" t="str">
        <f>IFERROR(__xludf.DUMMYFUNCTION("""COMPUTED_VALUE"""),"算法")</f>
        <v>算法</v>
      </c>
    </row>
    <row r="944">
      <c r="A944" s="6">
        <f>IFERROR(__xludf.DUMMYFUNCTION("""COMPUTED_VALUE"""),1594.0)</f>
        <v>1594</v>
      </c>
      <c r="B944" s="53" t="str">
        <f>IFERROR(__xludf.DUMMYFUNCTION("""COMPUTED_VALUE"""),"Maximum Non Negative Product in a Matrix")</f>
        <v>Maximum Non Negative Product in a Matrix</v>
      </c>
      <c r="C944" s="6" t="str">
        <f>IFERROR(__xludf.DUMMYFUNCTION("""COMPUTED_VALUE"""),"Medium")</f>
        <v>Medium</v>
      </c>
      <c r="D944" s="6" t="str">
        <f>IFERROR(__xludf.DUMMYFUNCTION("""COMPUTED_VALUE"""),"Greedy,Dynamic Programming")</f>
        <v>Greedy,Dynamic Programming</v>
      </c>
      <c r="E944" s="6" t="str">
        <f>IFERROR(__xludf.DUMMYFUNCTION("""COMPUTED_VALUE"""),"Google")</f>
        <v>Google</v>
      </c>
      <c r="F944" s="6"/>
      <c r="G944" s="6"/>
      <c r="H944" s="6" t="str">
        <f>IFERROR(__xludf.DUMMYFUNCTION("""COMPUTED_VALUE"""),"Google")</f>
        <v>Google</v>
      </c>
      <c r="I944" s="6">
        <f>IFERROR(__xludf.DUMMYFUNCTION("""COMPUTED_VALUE"""),31.83)</f>
        <v>31.83</v>
      </c>
      <c r="J944" s="6" t="str">
        <f>IFERROR(__xludf.DUMMYFUNCTION("""COMPUTED_VALUE"""),"算法")</f>
        <v>算法</v>
      </c>
    </row>
    <row r="945">
      <c r="A945" s="6">
        <f>IFERROR(__xludf.DUMMYFUNCTION("""COMPUTED_VALUE"""),1595.0)</f>
        <v>1595</v>
      </c>
      <c r="B945" s="53" t="str">
        <f>IFERROR(__xludf.DUMMYFUNCTION("""COMPUTED_VALUE"""),"Minimum Cost to Connect Two Groups of Points")</f>
        <v>Minimum Cost to Connect Two Groups of Points</v>
      </c>
      <c r="C945" s="6" t="str">
        <f>IFERROR(__xludf.DUMMYFUNCTION("""COMPUTED_VALUE"""),"Hard")</f>
        <v>Hard</v>
      </c>
      <c r="D945" s="6" t="str">
        <f>IFERROR(__xludf.DUMMYFUNCTION("""COMPUTED_VALUE"""),"Graph,Dynamic Programming")</f>
        <v>Graph,Dynamic Programming</v>
      </c>
      <c r="E945" s="6" t="str">
        <f>IFERROR(__xludf.DUMMYFUNCTION("""COMPUTED_VALUE"""),"Google")</f>
        <v>Google</v>
      </c>
      <c r="F945" s="6"/>
      <c r="G945" s="6"/>
      <c r="H945" s="6" t="str">
        <f>IFERROR(__xludf.DUMMYFUNCTION("""COMPUTED_VALUE"""),"Google")</f>
        <v>Google</v>
      </c>
      <c r="I945" s="6">
        <f>IFERROR(__xludf.DUMMYFUNCTION("""COMPUTED_VALUE"""),43.41)</f>
        <v>43.41</v>
      </c>
      <c r="J945" s="6" t="str">
        <f>IFERROR(__xludf.DUMMYFUNCTION("""COMPUTED_VALUE"""),"算法")</f>
        <v>算法</v>
      </c>
    </row>
    <row r="946">
      <c r="A946" s="6">
        <f>IFERROR(__xludf.DUMMYFUNCTION("""COMPUTED_VALUE"""),1600.0)</f>
        <v>1600</v>
      </c>
      <c r="B946" s="53" t="str">
        <f>IFERROR(__xludf.DUMMYFUNCTION("""COMPUTED_VALUE"""),"Throne Inheritance")</f>
        <v>Throne Inheritance</v>
      </c>
      <c r="C946" s="6" t="str">
        <f>IFERROR(__xludf.DUMMYFUNCTION("""COMPUTED_VALUE"""),"Medium")</f>
        <v>Medium</v>
      </c>
      <c r="D946" s="6" t="str">
        <f>IFERROR(__xludf.DUMMYFUNCTION("""COMPUTED_VALUE"""),"Design,Tree")</f>
        <v>Design,Tree</v>
      </c>
      <c r="E946" s="6" t="str">
        <f>IFERROR(__xludf.DUMMYFUNCTION("""COMPUTED_VALUE"""),"Google")</f>
        <v>Google</v>
      </c>
      <c r="F946" s="6"/>
      <c r="G946" s="6"/>
      <c r="H946" s="6" t="str">
        <f>IFERROR(__xludf.DUMMYFUNCTION("""COMPUTED_VALUE"""),"Google")</f>
        <v>Google</v>
      </c>
      <c r="I946" s="6">
        <f>IFERROR(__xludf.DUMMYFUNCTION("""COMPUTED_VALUE"""),60.36)</f>
        <v>60.36</v>
      </c>
      <c r="J946" s="6" t="str">
        <f>IFERROR(__xludf.DUMMYFUNCTION("""COMPUTED_VALUE"""),"算法")</f>
        <v>算法</v>
      </c>
    </row>
    <row r="947">
      <c r="A947" s="6">
        <f>IFERROR(__xludf.DUMMYFUNCTION("""COMPUTED_VALUE"""),1602.0)</f>
        <v>1602</v>
      </c>
      <c r="B947" s="53" t="str">
        <f>IFERROR(__xludf.DUMMYFUNCTION("""COMPUTED_VALUE"""),"Find Nearest Right Node in Binary Tree")</f>
        <v>Find Nearest Right Node in Binary Tree</v>
      </c>
      <c r="C947" s="6" t="str">
        <f>IFERROR(__xludf.DUMMYFUNCTION("""COMPUTED_VALUE"""),"Medium")</f>
        <v>Medium</v>
      </c>
      <c r="D947" s="6" t="str">
        <f>IFERROR(__xludf.DUMMYFUNCTION("""COMPUTED_VALUE"""),"Breadth First Search,Tree")</f>
        <v>Breadth First Search,Tree</v>
      </c>
      <c r="E947" s="6" t="str">
        <f>IFERROR(__xludf.DUMMYFUNCTION("""COMPUTED_VALUE"""),"Google")</f>
        <v>Google</v>
      </c>
      <c r="F947" s="6"/>
      <c r="G947" s="6"/>
      <c r="H947" s="6" t="str">
        <f>IFERROR(__xludf.DUMMYFUNCTION("""COMPUTED_VALUE"""),"Google")</f>
        <v>Google</v>
      </c>
      <c r="I947" s="6">
        <f>IFERROR(__xludf.DUMMYFUNCTION("""COMPUTED_VALUE"""),73.67)</f>
        <v>73.67</v>
      </c>
      <c r="J947" s="6" t="str">
        <f>IFERROR(__xludf.DUMMYFUNCTION("""COMPUTED_VALUE"""),"算法")</f>
        <v>算法</v>
      </c>
    </row>
    <row r="948">
      <c r="A948" s="6">
        <f>IFERROR(__xludf.DUMMYFUNCTION("""COMPUTED_VALUE"""),1605.0)</f>
        <v>1605</v>
      </c>
      <c r="B948" s="53" t="str">
        <f>IFERROR(__xludf.DUMMYFUNCTION("""COMPUTED_VALUE"""),"Find Valid Matrix Given Row and Column Sums")</f>
        <v>Find Valid Matrix Given Row and Column Sums</v>
      </c>
      <c r="C948" s="6" t="str">
        <f>IFERROR(__xludf.DUMMYFUNCTION("""COMPUTED_VALUE"""),"Medium")</f>
        <v>Medium</v>
      </c>
      <c r="D948" s="6" t="str">
        <f>IFERROR(__xludf.DUMMYFUNCTION("""COMPUTED_VALUE"""),"Greedy")</f>
        <v>Greedy</v>
      </c>
      <c r="E948" s="6" t="str">
        <f>IFERROR(__xludf.DUMMYFUNCTION("""COMPUTED_VALUE"""),"Google")</f>
        <v>Google</v>
      </c>
      <c r="F948" s="6"/>
      <c r="G948" s="6"/>
      <c r="H948" s="6" t="str">
        <f>IFERROR(__xludf.DUMMYFUNCTION("""COMPUTED_VALUE"""),"Google")</f>
        <v>Google</v>
      </c>
      <c r="I948" s="6">
        <f>IFERROR(__xludf.DUMMYFUNCTION("""COMPUTED_VALUE"""),77.25)</f>
        <v>77.25</v>
      </c>
      <c r="J948" s="6" t="str">
        <f>IFERROR(__xludf.DUMMYFUNCTION("""COMPUTED_VALUE"""),"算法")</f>
        <v>算法</v>
      </c>
    </row>
    <row r="949">
      <c r="A949" s="6">
        <f>IFERROR(__xludf.DUMMYFUNCTION("""COMPUTED_VALUE"""),1608.0)</f>
        <v>1608</v>
      </c>
      <c r="B949" s="53" t="str">
        <f>IFERROR(__xludf.DUMMYFUNCTION("""COMPUTED_VALUE"""),"Special Array With X Elements Greater Than or Equal X")</f>
        <v>Special Array With X Elements Greater Than or Equal X</v>
      </c>
      <c r="C949" s="6" t="str">
        <f>IFERROR(__xludf.DUMMYFUNCTION("""COMPUTED_VALUE"""),"Easy")</f>
        <v>Easy</v>
      </c>
      <c r="D949" s="6" t="str">
        <f>IFERROR(__xludf.DUMMYFUNCTION("""COMPUTED_VALUE"""),"Array")</f>
        <v>Array</v>
      </c>
      <c r="E949" s="6" t="str">
        <f>IFERROR(__xludf.DUMMYFUNCTION("""COMPUTED_VALUE"""),"Google")</f>
        <v>Google</v>
      </c>
      <c r="F949" s="6"/>
      <c r="G949" s="6"/>
      <c r="H949" s="6" t="str">
        <f>IFERROR(__xludf.DUMMYFUNCTION("""COMPUTED_VALUE"""),"Google")</f>
        <v>Google</v>
      </c>
      <c r="I949" s="6">
        <f>IFERROR(__xludf.DUMMYFUNCTION("""COMPUTED_VALUE"""),61.37)</f>
        <v>61.37</v>
      </c>
      <c r="J949" s="6" t="str">
        <f>IFERROR(__xludf.DUMMYFUNCTION("""COMPUTED_VALUE"""),"算法")</f>
        <v>算法</v>
      </c>
    </row>
    <row r="950">
      <c r="A950" s="6">
        <f>IFERROR(__xludf.DUMMYFUNCTION("""COMPUTED_VALUE"""),1610.0)</f>
        <v>1610</v>
      </c>
      <c r="B950" s="53" t="str">
        <f>IFERROR(__xludf.DUMMYFUNCTION("""COMPUTED_VALUE"""),"Maximum Number of Visible Points")</f>
        <v>Maximum Number of Visible Points</v>
      </c>
      <c r="C950" s="6" t="str">
        <f>IFERROR(__xludf.DUMMYFUNCTION("""COMPUTED_VALUE"""),"Hard")</f>
        <v>Hard</v>
      </c>
      <c r="D950" s="6" t="str">
        <f>IFERROR(__xludf.DUMMYFUNCTION("""COMPUTED_VALUE"""),"Geometry,Two Pointers")</f>
        <v>Geometry,Two Pointers</v>
      </c>
      <c r="E950" s="6" t="str">
        <f>IFERROR(__xludf.DUMMYFUNCTION("""COMPUTED_VALUE"""),"Nvidia,Amazon,Google")</f>
        <v>Nvidia,Amazon,Google</v>
      </c>
      <c r="F950" s="6" t="str">
        <f>IFERROR(__xludf.DUMMYFUNCTION("""COMPUTED_VALUE"""),"Google,Amazon")</f>
        <v>Google,Amazon</v>
      </c>
      <c r="G950" s="6" t="str">
        <f>IFERROR(__xludf.DUMMYFUNCTION("""COMPUTED_VALUE"""),"Google,Amazon")</f>
        <v>Google,Amazon</v>
      </c>
      <c r="H950" s="6" t="str">
        <f>IFERROR(__xludf.DUMMYFUNCTION("""COMPUTED_VALUE"""),"Nvidia,Google,Amazon")</f>
        <v>Nvidia,Google,Amazon</v>
      </c>
      <c r="I950" s="6">
        <f>IFERROR(__xludf.DUMMYFUNCTION("""COMPUTED_VALUE"""),30.2)</f>
        <v>30.2</v>
      </c>
      <c r="J950" s="6" t="str">
        <f>IFERROR(__xludf.DUMMYFUNCTION("""COMPUTED_VALUE"""),"算法")</f>
        <v>算法</v>
      </c>
    </row>
    <row r="951">
      <c r="A951" s="6">
        <f>IFERROR(__xludf.DUMMYFUNCTION("""COMPUTED_VALUE"""),1612.0)</f>
        <v>1612</v>
      </c>
      <c r="B951" s="53" t="str">
        <f>IFERROR(__xludf.DUMMYFUNCTION("""COMPUTED_VALUE"""),"Check If Two Expression Trees are Equivalent")</f>
        <v>Check If Two Expression Trees are Equivalent</v>
      </c>
      <c r="C951" s="6" t="str">
        <f>IFERROR(__xludf.DUMMYFUNCTION("""COMPUTED_VALUE"""),"Medium")</f>
        <v>Medium</v>
      </c>
      <c r="D951" s="6" t="str">
        <f>IFERROR(__xludf.DUMMYFUNCTION("""COMPUTED_VALUE"""),"Tree,Hash Table")</f>
        <v>Tree,Hash Table</v>
      </c>
      <c r="E951" s="6" t="str">
        <f>IFERROR(__xludf.DUMMYFUNCTION("""COMPUTED_VALUE"""),"Google")</f>
        <v>Google</v>
      </c>
      <c r="F951" s="6"/>
      <c r="G951" s="6"/>
      <c r="H951" s="6" t="str">
        <f>IFERROR(__xludf.DUMMYFUNCTION("""COMPUTED_VALUE"""),"Google")</f>
        <v>Google</v>
      </c>
      <c r="I951" s="6">
        <f>IFERROR(__xludf.DUMMYFUNCTION("""COMPUTED_VALUE"""),70.02)</f>
        <v>70.02</v>
      </c>
      <c r="J951" s="6" t="str">
        <f>IFERROR(__xludf.DUMMYFUNCTION("""COMPUTED_VALUE"""),"算法")</f>
        <v>算法</v>
      </c>
    </row>
    <row r="952">
      <c r="A952" s="6">
        <f>IFERROR(__xludf.DUMMYFUNCTION("""COMPUTED_VALUE"""),1616.0)</f>
        <v>1616</v>
      </c>
      <c r="B952" s="53" t="str">
        <f>IFERROR(__xludf.DUMMYFUNCTION("""COMPUTED_VALUE"""),"Split Two Strings to Make Palindrome")</f>
        <v>Split Two Strings to Make Palindrome</v>
      </c>
      <c r="C952" s="6" t="str">
        <f>IFERROR(__xludf.DUMMYFUNCTION("""COMPUTED_VALUE"""),"Medium")</f>
        <v>Medium</v>
      </c>
      <c r="D952" s="6" t="str">
        <f>IFERROR(__xludf.DUMMYFUNCTION("""COMPUTED_VALUE"""),"Greedy,String,Two Pointers")</f>
        <v>Greedy,String,Two Pointers</v>
      </c>
      <c r="E952" s="6" t="str">
        <f>IFERROR(__xludf.DUMMYFUNCTION("""COMPUTED_VALUE"""),"Google")</f>
        <v>Google</v>
      </c>
      <c r="F952" s="6" t="str">
        <f>IFERROR(__xludf.DUMMYFUNCTION("""COMPUTED_VALUE"""),"Google")</f>
        <v>Google</v>
      </c>
      <c r="G952" s="6" t="str">
        <f>IFERROR(__xludf.DUMMYFUNCTION("""COMPUTED_VALUE"""),"Google")</f>
        <v>Google</v>
      </c>
      <c r="H952" s="6" t="str">
        <f>IFERROR(__xludf.DUMMYFUNCTION("""COMPUTED_VALUE"""),"Google")</f>
        <v>Google</v>
      </c>
      <c r="I952" s="6">
        <f>IFERROR(__xludf.DUMMYFUNCTION("""COMPUTED_VALUE"""),36.13)</f>
        <v>36.13</v>
      </c>
      <c r="J952" s="6" t="str">
        <f>IFERROR(__xludf.DUMMYFUNCTION("""COMPUTED_VALUE"""),"算法")</f>
        <v>算法</v>
      </c>
    </row>
    <row r="953">
      <c r="A953" s="6">
        <f>IFERROR(__xludf.DUMMYFUNCTION("""COMPUTED_VALUE"""),1618.0)</f>
        <v>1618</v>
      </c>
      <c r="B953" s="53" t="str">
        <f>IFERROR(__xludf.DUMMYFUNCTION("""COMPUTED_VALUE"""),"Maximum Font to Fit a Sentence in a Screen")</f>
        <v>Maximum Font to Fit a Sentence in a Screen</v>
      </c>
      <c r="C953" s="6" t="str">
        <f>IFERROR(__xludf.DUMMYFUNCTION("""COMPUTED_VALUE"""),"Medium")</f>
        <v>Medium</v>
      </c>
      <c r="D953" s="6" t="str">
        <f>IFERROR(__xludf.DUMMYFUNCTION("""COMPUTED_VALUE"""),"Binary Search,String")</f>
        <v>Binary Search,String</v>
      </c>
      <c r="E953" s="6" t="str">
        <f>IFERROR(__xludf.DUMMYFUNCTION("""COMPUTED_VALUE"""),"Google")</f>
        <v>Google</v>
      </c>
      <c r="F953" s="6" t="str">
        <f>IFERROR(__xludf.DUMMYFUNCTION("""COMPUTED_VALUE"""),"Google")</f>
        <v>Google</v>
      </c>
      <c r="G953" s="6" t="str">
        <f>IFERROR(__xludf.DUMMYFUNCTION("""COMPUTED_VALUE"""),"Google")</f>
        <v>Google</v>
      </c>
      <c r="H953" s="6" t="str">
        <f>IFERROR(__xludf.DUMMYFUNCTION("""COMPUTED_VALUE"""),"Google")</f>
        <v>Google</v>
      </c>
      <c r="I953" s="6">
        <f>IFERROR(__xludf.DUMMYFUNCTION("""COMPUTED_VALUE"""),56.47)</f>
        <v>56.47</v>
      </c>
      <c r="J953" s="6" t="str">
        <f>IFERROR(__xludf.DUMMYFUNCTION("""COMPUTED_VALUE"""),"算法")</f>
        <v>算法</v>
      </c>
    </row>
    <row r="954">
      <c r="A954" s="6">
        <f>IFERROR(__xludf.DUMMYFUNCTION("""COMPUTED_VALUE"""),1619.0)</f>
        <v>1619</v>
      </c>
      <c r="B954" s="53" t="str">
        <f>IFERROR(__xludf.DUMMYFUNCTION("""COMPUTED_VALUE"""),"Mean of Array After Removing Some Elements")</f>
        <v>Mean of Array After Removing Some Elements</v>
      </c>
      <c r="C954" s="6" t="str">
        <f>IFERROR(__xludf.DUMMYFUNCTION("""COMPUTED_VALUE"""),"Easy")</f>
        <v>Easy</v>
      </c>
      <c r="D954" s="6" t="str">
        <f>IFERROR(__xludf.DUMMYFUNCTION("""COMPUTED_VALUE"""),"Array")</f>
        <v>Array</v>
      </c>
      <c r="E954" s="6" t="str">
        <f>IFERROR(__xludf.DUMMYFUNCTION("""COMPUTED_VALUE"""),"Google")</f>
        <v>Google</v>
      </c>
      <c r="F954" s="6"/>
      <c r="G954" s="6"/>
      <c r="H954" s="6" t="str">
        <f>IFERROR(__xludf.DUMMYFUNCTION("""COMPUTED_VALUE"""),"Google")</f>
        <v>Google</v>
      </c>
      <c r="I954" s="6">
        <f>IFERROR(__xludf.DUMMYFUNCTION("""COMPUTED_VALUE"""),64.92)</f>
        <v>64.92</v>
      </c>
      <c r="J954" s="6" t="str">
        <f>IFERROR(__xludf.DUMMYFUNCTION("""COMPUTED_VALUE"""),"算法")</f>
        <v>算法</v>
      </c>
    </row>
    <row r="955">
      <c r="A955" s="6">
        <f>IFERROR(__xludf.DUMMYFUNCTION("""COMPUTED_VALUE"""),1622.0)</f>
        <v>1622</v>
      </c>
      <c r="B955" s="53" t="str">
        <f>IFERROR(__xludf.DUMMYFUNCTION("""COMPUTED_VALUE"""),"Fancy Sequence")</f>
        <v>Fancy Sequence</v>
      </c>
      <c r="C955" s="6" t="str">
        <f>IFERROR(__xludf.DUMMYFUNCTION("""COMPUTED_VALUE"""),"Hard")</f>
        <v>Hard</v>
      </c>
      <c r="D955" s="6" t="str">
        <f>IFERROR(__xludf.DUMMYFUNCTION("""COMPUTED_VALUE"""),"Design,Math")</f>
        <v>Design,Math</v>
      </c>
      <c r="E955" s="6" t="str">
        <f>IFERROR(__xludf.DUMMYFUNCTION("""COMPUTED_VALUE"""),"Google")</f>
        <v>Google</v>
      </c>
      <c r="F955" s="6"/>
      <c r="G955" s="6"/>
      <c r="H955" s="6" t="str">
        <f>IFERROR(__xludf.DUMMYFUNCTION("""COMPUTED_VALUE"""),"Google")</f>
        <v>Google</v>
      </c>
      <c r="I955" s="6">
        <f>IFERROR(__xludf.DUMMYFUNCTION("""COMPUTED_VALUE"""),14.99)</f>
        <v>14.99</v>
      </c>
      <c r="J955" s="6" t="str">
        <f>IFERROR(__xludf.DUMMYFUNCTION("""COMPUTED_VALUE"""),"算法")</f>
        <v>算法</v>
      </c>
    </row>
    <row r="956">
      <c r="A956" s="6">
        <f>IFERROR(__xludf.DUMMYFUNCTION("""COMPUTED_VALUE"""),1630.0)</f>
        <v>1630</v>
      </c>
      <c r="B956" s="53" t="str">
        <f>IFERROR(__xludf.DUMMYFUNCTION("""COMPUTED_VALUE"""),"Arithmetic Subarrays")</f>
        <v>Arithmetic Subarrays</v>
      </c>
      <c r="C956" s="6" t="str">
        <f>IFERROR(__xludf.DUMMYFUNCTION("""COMPUTED_VALUE"""),"Medium")</f>
        <v>Medium</v>
      </c>
      <c r="D956" s="6" t="str">
        <f>IFERROR(__xludf.DUMMYFUNCTION("""COMPUTED_VALUE"""),"Sort")</f>
        <v>Sort</v>
      </c>
      <c r="E956" s="6" t="str">
        <f>IFERROR(__xludf.DUMMYFUNCTION("""COMPUTED_VALUE"""),"Google")</f>
        <v>Google</v>
      </c>
      <c r="F956" s="6"/>
      <c r="G956" s="6"/>
      <c r="H956" s="6" t="str">
        <f>IFERROR(__xludf.DUMMYFUNCTION("""COMPUTED_VALUE"""),"Google")</f>
        <v>Google</v>
      </c>
      <c r="I956" s="6">
        <f>IFERROR(__xludf.DUMMYFUNCTION("""COMPUTED_VALUE"""),77.63)</f>
        <v>77.63</v>
      </c>
      <c r="J956" s="6" t="str">
        <f>IFERROR(__xludf.DUMMYFUNCTION("""COMPUTED_VALUE"""),"算法")</f>
        <v>算法</v>
      </c>
    </row>
    <row r="957">
      <c r="A957" s="6">
        <f>IFERROR(__xludf.DUMMYFUNCTION("""COMPUTED_VALUE"""),1631.0)</f>
        <v>1631</v>
      </c>
      <c r="B957" s="53" t="str">
        <f>IFERROR(__xludf.DUMMYFUNCTION("""COMPUTED_VALUE"""),"Path With Minimum Effort")</f>
        <v>Path With Minimum Effort</v>
      </c>
      <c r="C957" s="6" t="str">
        <f>IFERROR(__xludf.DUMMYFUNCTION("""COMPUTED_VALUE"""),"Medium")</f>
        <v>Medium</v>
      </c>
      <c r="D957" s="6" t="str">
        <f>IFERROR(__xludf.DUMMYFUNCTION("""COMPUTED_VALUE"""),"Graph,Union Find,Depth First Search,Binary Search")</f>
        <v>Graph,Union Find,Depth First Search,Binary Search</v>
      </c>
      <c r="E957" s="6" t="str">
        <f>IFERROR(__xludf.DUMMYFUNCTION("""COMPUTED_VALUE"""),"ByteDance,Google")</f>
        <v>ByteDance,Google</v>
      </c>
      <c r="F957" s="6" t="str">
        <f>IFERROR(__xludf.DUMMYFUNCTION("""COMPUTED_VALUE"""),"Google,ByteDance")</f>
        <v>Google,ByteDance</v>
      </c>
      <c r="G957" s="6" t="str">
        <f>IFERROR(__xludf.DUMMYFUNCTION("""COMPUTED_VALUE"""),"Google,ByteDance")</f>
        <v>Google,ByteDance</v>
      </c>
      <c r="H957" s="6" t="str">
        <f>IFERROR(__xludf.DUMMYFUNCTION("""COMPUTED_VALUE"""),"Google,ByteDance")</f>
        <v>Google,ByteDance</v>
      </c>
      <c r="I957" s="6">
        <f>IFERROR(__xludf.DUMMYFUNCTION("""COMPUTED_VALUE"""),50.0)</f>
        <v>50</v>
      </c>
      <c r="J957" s="6" t="str">
        <f>IFERROR(__xludf.DUMMYFUNCTION("""COMPUTED_VALUE"""),"算法")</f>
        <v>算法</v>
      </c>
    </row>
    <row r="958">
      <c r="A958" s="6">
        <f>IFERROR(__xludf.DUMMYFUNCTION("""COMPUTED_VALUE"""),1632.0)</f>
        <v>1632</v>
      </c>
      <c r="B958" s="53" t="str">
        <f>IFERROR(__xludf.DUMMYFUNCTION("""COMPUTED_VALUE"""),"Rank Transform of a Matrix")</f>
        <v>Rank Transform of a Matrix</v>
      </c>
      <c r="C958" s="6" t="str">
        <f>IFERROR(__xludf.DUMMYFUNCTION("""COMPUTED_VALUE"""),"Hard")</f>
        <v>Hard</v>
      </c>
      <c r="D958" s="6" t="str">
        <f>IFERROR(__xludf.DUMMYFUNCTION("""COMPUTED_VALUE"""),"Union Find,Greedy")</f>
        <v>Union Find,Greedy</v>
      </c>
      <c r="E958" s="6" t="str">
        <f>IFERROR(__xludf.DUMMYFUNCTION("""COMPUTED_VALUE"""),"Google")</f>
        <v>Google</v>
      </c>
      <c r="F958" s="6"/>
      <c r="G958" s="6"/>
      <c r="H958" s="6" t="str">
        <f>IFERROR(__xludf.DUMMYFUNCTION("""COMPUTED_VALUE"""),"Google")</f>
        <v>Google</v>
      </c>
      <c r="I958" s="6">
        <f>IFERROR(__xludf.DUMMYFUNCTION("""COMPUTED_VALUE"""),30.85)</f>
        <v>30.85</v>
      </c>
      <c r="J958" s="6" t="str">
        <f>IFERROR(__xludf.DUMMYFUNCTION("""COMPUTED_VALUE"""),"算法")</f>
        <v>算法</v>
      </c>
    </row>
    <row r="959">
      <c r="A959" s="6">
        <f>IFERROR(__xludf.DUMMYFUNCTION("""COMPUTED_VALUE"""),1642.0)</f>
        <v>1642</v>
      </c>
      <c r="B959" s="53" t="str">
        <f>IFERROR(__xludf.DUMMYFUNCTION("""COMPUTED_VALUE"""),"Furthest Building You Can Reach")</f>
        <v>Furthest Building You Can Reach</v>
      </c>
      <c r="C959" s="6" t="str">
        <f>IFERROR(__xludf.DUMMYFUNCTION("""COMPUTED_VALUE"""),"Medium")</f>
        <v>Medium</v>
      </c>
      <c r="D959" s="6" t="str">
        <f>IFERROR(__xludf.DUMMYFUNCTION("""COMPUTED_VALUE"""),"Heap,Binary Search")</f>
        <v>Heap,Binary Search</v>
      </c>
      <c r="E959" s="6" t="str">
        <f>IFERROR(__xludf.DUMMYFUNCTION("""COMPUTED_VALUE"""),"Media.net,Google")</f>
        <v>Media.net,Google</v>
      </c>
      <c r="F959" s="6" t="str">
        <f>IFERROR(__xludf.DUMMYFUNCTION("""COMPUTED_VALUE"""),"Google")</f>
        <v>Google</v>
      </c>
      <c r="G959" s="6" t="str">
        <f>IFERROR(__xludf.DUMMYFUNCTION("""COMPUTED_VALUE"""),"Google")</f>
        <v>Google</v>
      </c>
      <c r="H959" s="6" t="str">
        <f>IFERROR(__xludf.DUMMYFUNCTION("""COMPUTED_VALUE"""),"Media.net,Google")</f>
        <v>Media.net,Google</v>
      </c>
      <c r="I959" s="6">
        <f>IFERROR(__xludf.DUMMYFUNCTION("""COMPUTED_VALUE"""),50.25)</f>
        <v>50.25</v>
      </c>
      <c r="J959" s="6" t="str">
        <f>IFERROR(__xludf.DUMMYFUNCTION("""COMPUTED_VALUE"""),"算法")</f>
        <v>算法</v>
      </c>
    </row>
    <row r="960">
      <c r="A960" s="6">
        <f>IFERROR(__xludf.DUMMYFUNCTION("""COMPUTED_VALUE"""),1655.0)</f>
        <v>1655</v>
      </c>
      <c r="B960" s="53" t="str">
        <f>IFERROR(__xludf.DUMMYFUNCTION("""COMPUTED_VALUE"""),"Distribute Repeating Integers")</f>
        <v>Distribute Repeating Integers</v>
      </c>
      <c r="C960" s="6" t="str">
        <f>IFERROR(__xludf.DUMMYFUNCTION("""COMPUTED_VALUE"""),"Hard")</f>
        <v>Hard</v>
      </c>
      <c r="D960" s="6" t="str">
        <f>IFERROR(__xludf.DUMMYFUNCTION("""COMPUTED_VALUE"""),"Backtracking,Dynamic Programming")</f>
        <v>Backtracking,Dynamic Programming</v>
      </c>
      <c r="E960" s="6" t="str">
        <f>IFERROR(__xludf.DUMMYFUNCTION("""COMPUTED_VALUE"""),"Google")</f>
        <v>Google</v>
      </c>
      <c r="F960" s="6"/>
      <c r="G960" s="6"/>
      <c r="H960" s="6" t="str">
        <f>IFERROR(__xludf.DUMMYFUNCTION("""COMPUTED_VALUE"""),"Google")</f>
        <v>Google</v>
      </c>
      <c r="I960" s="6">
        <f>IFERROR(__xludf.DUMMYFUNCTION("""COMPUTED_VALUE"""),39.96)</f>
        <v>39.96</v>
      </c>
      <c r="J960" s="6" t="str">
        <f>IFERROR(__xludf.DUMMYFUNCTION("""COMPUTED_VALUE"""),"算法")</f>
        <v>算法</v>
      </c>
    </row>
    <row r="961">
      <c r="A961" s="6">
        <f>IFERROR(__xludf.DUMMYFUNCTION("""COMPUTED_VALUE"""),1658.0)</f>
        <v>1658</v>
      </c>
      <c r="B961" s="53" t="str">
        <f>IFERROR(__xludf.DUMMYFUNCTION("""COMPUTED_VALUE"""),"Minimum Operations to Reduce X to Zero")</f>
        <v>Minimum Operations to Reduce X to Zero</v>
      </c>
      <c r="C961" s="6" t="str">
        <f>IFERROR(__xludf.DUMMYFUNCTION("""COMPUTED_VALUE"""),"Medium")</f>
        <v>Medium</v>
      </c>
      <c r="D961" s="6" t="str">
        <f>IFERROR(__xludf.DUMMYFUNCTION("""COMPUTED_VALUE"""),"Sliding Window,Greedy,Binary Search,Two Pointers")</f>
        <v>Sliding Window,Greedy,Binary Search,Two Pointers</v>
      </c>
      <c r="E961" s="6" t="str">
        <f>IFERROR(__xludf.DUMMYFUNCTION("""COMPUTED_VALUE"""),"Google")</f>
        <v>Google</v>
      </c>
      <c r="F961" s="6" t="str">
        <f>IFERROR(__xludf.DUMMYFUNCTION("""COMPUTED_VALUE"""),"Google")</f>
        <v>Google</v>
      </c>
      <c r="G961" s="6" t="str">
        <f>IFERROR(__xludf.DUMMYFUNCTION("""COMPUTED_VALUE"""),"Google")</f>
        <v>Google</v>
      </c>
      <c r="H961" s="6" t="str">
        <f>IFERROR(__xludf.DUMMYFUNCTION("""COMPUTED_VALUE"""),"Google")</f>
        <v>Google</v>
      </c>
      <c r="I961" s="6">
        <f>IFERROR(__xludf.DUMMYFUNCTION("""COMPUTED_VALUE"""),33.32)</f>
        <v>33.32</v>
      </c>
      <c r="J961" s="6" t="str">
        <f>IFERROR(__xludf.DUMMYFUNCTION("""COMPUTED_VALUE"""),"算法")</f>
        <v>算法</v>
      </c>
    </row>
    <row r="962">
      <c r="A962" s="6">
        <f>IFERROR(__xludf.DUMMYFUNCTION("""COMPUTED_VALUE"""),1660.0)</f>
        <v>1660</v>
      </c>
      <c r="B962" s="53" t="str">
        <f>IFERROR(__xludf.DUMMYFUNCTION("""COMPUTED_VALUE"""),"Correct a Binary Tree")</f>
        <v>Correct a Binary Tree</v>
      </c>
      <c r="C962" s="6" t="str">
        <f>IFERROR(__xludf.DUMMYFUNCTION("""COMPUTED_VALUE"""),"Medium")</f>
        <v>Medium</v>
      </c>
      <c r="D962" s="6" t="str">
        <f>IFERROR(__xludf.DUMMYFUNCTION("""COMPUTED_VALUE"""),"Tree")</f>
        <v>Tree</v>
      </c>
      <c r="E962" s="6" t="str">
        <f>IFERROR(__xludf.DUMMYFUNCTION("""COMPUTED_VALUE"""),"Google")</f>
        <v>Google</v>
      </c>
      <c r="F962" s="6"/>
      <c r="G962" s="6"/>
      <c r="H962" s="6" t="str">
        <f>IFERROR(__xludf.DUMMYFUNCTION("""COMPUTED_VALUE"""),"Google")</f>
        <v>Google</v>
      </c>
      <c r="I962" s="6">
        <f>IFERROR(__xludf.DUMMYFUNCTION("""COMPUTED_VALUE"""),77.01)</f>
        <v>77.01</v>
      </c>
      <c r="J962" s="6" t="str">
        <f>IFERROR(__xludf.DUMMYFUNCTION("""COMPUTED_VALUE"""),"算法")</f>
        <v>算法</v>
      </c>
    </row>
    <row r="963">
      <c r="A963" s="6">
        <f>IFERROR(__xludf.DUMMYFUNCTION("""COMPUTED_VALUE"""),1666.0)</f>
        <v>1666</v>
      </c>
      <c r="B963" s="53" t="str">
        <f>IFERROR(__xludf.DUMMYFUNCTION("""COMPUTED_VALUE"""),"Change the Root of a Binary Tree")</f>
        <v>Change the Root of a Binary Tree</v>
      </c>
      <c r="C963" s="6" t="str">
        <f>IFERROR(__xludf.DUMMYFUNCTION("""COMPUTED_VALUE"""),"Medium")</f>
        <v>Medium</v>
      </c>
      <c r="D963" s="6" t="str">
        <f>IFERROR(__xludf.DUMMYFUNCTION("""COMPUTED_VALUE"""),"Depth First Search,Tree")</f>
        <v>Depth First Search,Tree</v>
      </c>
      <c r="E963" s="6" t="str">
        <f>IFERROR(__xludf.DUMMYFUNCTION("""COMPUTED_VALUE"""),"Google")</f>
        <v>Google</v>
      </c>
      <c r="F963" s="6"/>
      <c r="G963" s="6"/>
      <c r="H963" s="6" t="str">
        <f>IFERROR(__xludf.DUMMYFUNCTION("""COMPUTED_VALUE"""),"Google")</f>
        <v>Google</v>
      </c>
      <c r="I963" s="6">
        <f>IFERROR(__xludf.DUMMYFUNCTION("""COMPUTED_VALUE"""),67.99)</f>
        <v>67.99</v>
      </c>
      <c r="J963" s="6" t="str">
        <f>IFERROR(__xludf.DUMMYFUNCTION("""COMPUTED_VALUE"""),"算法")</f>
        <v>算法</v>
      </c>
    </row>
    <row r="964">
      <c r="A964" s="6">
        <f>IFERROR(__xludf.DUMMYFUNCTION("""COMPUTED_VALUE"""),1672.0)</f>
        <v>1672</v>
      </c>
      <c r="B964" s="53" t="str">
        <f>IFERROR(__xludf.DUMMYFUNCTION("""COMPUTED_VALUE"""),"Richest Customer Wealth")</f>
        <v>Richest Customer Wealth</v>
      </c>
      <c r="C964" s="6" t="str">
        <f>IFERROR(__xludf.DUMMYFUNCTION("""COMPUTED_VALUE"""),"Easy")</f>
        <v>Easy</v>
      </c>
      <c r="D964" s="6" t="str">
        <f>IFERROR(__xludf.DUMMYFUNCTION("""COMPUTED_VALUE"""),"Array")</f>
        <v>Array</v>
      </c>
      <c r="E964" s="6" t="str">
        <f>IFERROR(__xludf.DUMMYFUNCTION("""COMPUTED_VALUE"""),"Adobe,Google")</f>
        <v>Adobe,Google</v>
      </c>
      <c r="F964" s="6" t="str">
        <f>IFERROR(__xludf.DUMMYFUNCTION("""COMPUTED_VALUE"""),"Adobe")</f>
        <v>Adobe</v>
      </c>
      <c r="G964" s="6" t="str">
        <f>IFERROR(__xludf.DUMMYFUNCTION("""COMPUTED_VALUE"""),"Adobe")</f>
        <v>Adobe</v>
      </c>
      <c r="H964" s="6" t="str">
        <f>IFERROR(__xludf.DUMMYFUNCTION("""COMPUTED_VALUE"""),"Google,Adobe")</f>
        <v>Google,Adobe</v>
      </c>
      <c r="I964" s="6">
        <f>IFERROR(__xludf.DUMMYFUNCTION("""COMPUTED_VALUE"""),88.2)</f>
        <v>88.2</v>
      </c>
      <c r="J964" s="6" t="str">
        <f>IFERROR(__xludf.DUMMYFUNCTION("""COMPUTED_VALUE"""),"算法")</f>
        <v>算法</v>
      </c>
    </row>
    <row r="965">
      <c r="A965" s="6">
        <f>IFERROR(__xludf.DUMMYFUNCTION("""COMPUTED_VALUE"""),1673.0)</f>
        <v>1673</v>
      </c>
      <c r="B965" s="53" t="str">
        <f>IFERROR(__xludf.DUMMYFUNCTION("""COMPUTED_VALUE"""),"Find the Most Competitive Subsequence")</f>
        <v>Find the Most Competitive Subsequence</v>
      </c>
      <c r="C965" s="6" t="str">
        <f>IFERROR(__xludf.DUMMYFUNCTION("""COMPUTED_VALUE"""),"Medium")</f>
        <v>Medium</v>
      </c>
      <c r="D965" s="6" t="str">
        <f>IFERROR(__xludf.DUMMYFUNCTION("""COMPUTED_VALUE"""),"Queue,Greedy,Heap,Stack")</f>
        <v>Queue,Greedy,Heap,Stack</v>
      </c>
      <c r="E965" s="6" t="str">
        <f>IFERROR(__xludf.DUMMYFUNCTION("""COMPUTED_VALUE"""),"Google")</f>
        <v>Google</v>
      </c>
      <c r="F965" s="6"/>
      <c r="G965" s="6"/>
      <c r="H965" s="6" t="str">
        <f>IFERROR(__xludf.DUMMYFUNCTION("""COMPUTED_VALUE"""),"Google")</f>
        <v>Google</v>
      </c>
      <c r="I965" s="6">
        <f>IFERROR(__xludf.DUMMYFUNCTION("""COMPUTED_VALUE"""),45.44)</f>
        <v>45.44</v>
      </c>
      <c r="J965" s="6" t="str">
        <f>IFERROR(__xludf.DUMMYFUNCTION("""COMPUTED_VALUE"""),"算法")</f>
        <v>算法</v>
      </c>
    </row>
    <row r="966">
      <c r="A966" s="6">
        <f>IFERROR(__xludf.DUMMYFUNCTION("""COMPUTED_VALUE"""),1692.0)</f>
        <v>1692</v>
      </c>
      <c r="B966" s="53" t="str">
        <f>IFERROR(__xludf.DUMMYFUNCTION("""COMPUTED_VALUE"""),"Count Ways to Distribute Candies")</f>
        <v>Count Ways to Distribute Candies</v>
      </c>
      <c r="C966" s="6" t="str">
        <f>IFERROR(__xludf.DUMMYFUNCTION("""COMPUTED_VALUE"""),"Hard")</f>
        <v>Hard</v>
      </c>
      <c r="D966" s="6" t="str">
        <f>IFERROR(__xludf.DUMMYFUNCTION("""COMPUTED_VALUE"""),"Dynamic Programming")</f>
        <v>Dynamic Programming</v>
      </c>
      <c r="E966" s="6" t="str">
        <f>IFERROR(__xludf.DUMMYFUNCTION("""COMPUTED_VALUE"""),"Google")</f>
        <v>Google</v>
      </c>
      <c r="F966" s="6"/>
      <c r="G966" s="6"/>
      <c r="H966" s="6" t="str">
        <f>IFERROR(__xludf.DUMMYFUNCTION("""COMPUTED_VALUE"""),"Google")</f>
        <v>Google</v>
      </c>
      <c r="I966" s="6">
        <f>IFERROR(__xludf.DUMMYFUNCTION("""COMPUTED_VALUE"""),62.59)</f>
        <v>62.59</v>
      </c>
      <c r="J966" s="6" t="str">
        <f>IFERROR(__xludf.DUMMYFUNCTION("""COMPUTED_VALUE"""),"算法")</f>
        <v>算法</v>
      </c>
    </row>
    <row r="967">
      <c r="A967" s="6">
        <f>IFERROR(__xludf.DUMMYFUNCTION("""COMPUTED_VALUE"""),1697.0)</f>
        <v>1697</v>
      </c>
      <c r="B967" s="53" t="str">
        <f>IFERROR(__xludf.DUMMYFUNCTION("""COMPUTED_VALUE"""),"Checking Existence of Edge Length Limited Paths")</f>
        <v>Checking Existence of Edge Length Limited Paths</v>
      </c>
      <c r="C967" s="6" t="str">
        <f>IFERROR(__xludf.DUMMYFUNCTION("""COMPUTED_VALUE"""),"Hard")</f>
        <v>Hard</v>
      </c>
      <c r="D967" s="6" t="str">
        <f>IFERROR(__xludf.DUMMYFUNCTION("""COMPUTED_VALUE"""),"Union Find,Sort")</f>
        <v>Union Find,Sort</v>
      </c>
      <c r="E967" s="6" t="str">
        <f>IFERROR(__xludf.DUMMYFUNCTION("""COMPUTED_VALUE"""),"Google")</f>
        <v>Google</v>
      </c>
      <c r="F967" s="6" t="str">
        <f>IFERROR(__xludf.DUMMYFUNCTION("""COMPUTED_VALUE"""),"Google")</f>
        <v>Google</v>
      </c>
      <c r="G967" s="6" t="str">
        <f>IFERROR(__xludf.DUMMYFUNCTION("""COMPUTED_VALUE"""),"Google")</f>
        <v>Google</v>
      </c>
      <c r="H967" s="6" t="str">
        <f>IFERROR(__xludf.DUMMYFUNCTION("""COMPUTED_VALUE"""),"Google")</f>
        <v>Google</v>
      </c>
      <c r="I967" s="6">
        <f>IFERROR(__xludf.DUMMYFUNCTION("""COMPUTED_VALUE"""),54.53)</f>
        <v>54.53</v>
      </c>
      <c r="J967" s="6" t="str">
        <f>IFERROR(__xludf.DUMMYFUNCTION("""COMPUTED_VALUE"""),"算法")</f>
        <v>算法</v>
      </c>
    </row>
    <row r="968">
      <c r="A968" s="6">
        <f>IFERROR(__xludf.DUMMYFUNCTION("""COMPUTED_VALUE"""),1703.0)</f>
        <v>1703</v>
      </c>
      <c r="B968" s="53" t="str">
        <f>IFERROR(__xludf.DUMMYFUNCTION("""COMPUTED_VALUE"""),"Minimum Adjacent Swaps for K Consecutive Ones")</f>
        <v>Minimum Adjacent Swaps for K Consecutive Ones</v>
      </c>
      <c r="C968" s="6" t="str">
        <f>IFERROR(__xludf.DUMMYFUNCTION("""COMPUTED_VALUE"""),"Hard")</f>
        <v>Hard</v>
      </c>
      <c r="D968" s="6" t="str">
        <f>IFERROR(__xludf.DUMMYFUNCTION("""COMPUTED_VALUE"""),"Stack")</f>
        <v>Stack</v>
      </c>
      <c r="E968" s="6" t="str">
        <f>IFERROR(__xludf.DUMMYFUNCTION("""COMPUTED_VALUE"""),"Microsoft,Google")</f>
        <v>Microsoft,Google</v>
      </c>
      <c r="F968" s="6" t="str">
        <f>IFERROR(__xludf.DUMMYFUNCTION("""COMPUTED_VALUE"""),"Microsoft")</f>
        <v>Microsoft</v>
      </c>
      <c r="G968" s="6" t="str">
        <f>IFERROR(__xludf.DUMMYFUNCTION("""COMPUTED_VALUE"""),"Microsoft")</f>
        <v>Microsoft</v>
      </c>
      <c r="H968" s="6" t="str">
        <f>IFERROR(__xludf.DUMMYFUNCTION("""COMPUTED_VALUE"""),"Google,Microsoft")</f>
        <v>Google,Microsoft</v>
      </c>
      <c r="I968" s="6">
        <f>IFERROR(__xludf.DUMMYFUNCTION("""COMPUTED_VALUE"""),39.84)</f>
        <v>39.84</v>
      </c>
      <c r="J968" s="6" t="str">
        <f>IFERROR(__xludf.DUMMYFUNCTION("""COMPUTED_VALUE"""),"算法")</f>
        <v>算法</v>
      </c>
    </row>
    <row r="969">
      <c r="A969" s="6">
        <f>IFERROR(__xludf.DUMMYFUNCTION("""COMPUTED_VALUE"""),1706.0)</f>
        <v>1706</v>
      </c>
      <c r="B969" s="53" t="str">
        <f>IFERROR(__xludf.DUMMYFUNCTION("""COMPUTED_VALUE"""),"Where Will the Ball Fall")</f>
        <v>Where Will the Ball Fall</v>
      </c>
      <c r="C969" s="6" t="str">
        <f>IFERROR(__xludf.DUMMYFUNCTION("""COMPUTED_VALUE"""),"Medium")</f>
        <v>Medium</v>
      </c>
      <c r="D969" s="6" t="str">
        <f>IFERROR(__xludf.DUMMYFUNCTION("""COMPUTED_VALUE"""),"Dynamic Programming")</f>
        <v>Dynamic Programming</v>
      </c>
      <c r="E969" s="6" t="str">
        <f>IFERROR(__xludf.DUMMYFUNCTION("""COMPUTED_VALUE"""),"Google")</f>
        <v>Google</v>
      </c>
      <c r="F969" s="6"/>
      <c r="G969" s="6"/>
      <c r="H969" s="6" t="str">
        <f>IFERROR(__xludf.DUMMYFUNCTION("""COMPUTED_VALUE"""),"Google")</f>
        <v>Google</v>
      </c>
      <c r="I969" s="6">
        <f>IFERROR(__xludf.DUMMYFUNCTION("""COMPUTED_VALUE"""),60.04)</f>
        <v>60.04</v>
      </c>
      <c r="J969" s="6" t="str">
        <f>IFERROR(__xludf.DUMMYFUNCTION("""COMPUTED_VALUE"""),"算法")</f>
        <v>算法</v>
      </c>
    </row>
    <row r="970">
      <c r="A970" s="6">
        <f>IFERROR(__xludf.DUMMYFUNCTION("""COMPUTED_VALUE"""),1707.0)</f>
        <v>1707</v>
      </c>
      <c r="B970" s="53" t="str">
        <f>IFERROR(__xludf.DUMMYFUNCTION("""COMPUTED_VALUE"""),"Maximum XOR With an Element From Array")</f>
        <v>Maximum XOR With an Element From Array</v>
      </c>
      <c r="C970" s="6" t="str">
        <f>IFERROR(__xludf.DUMMYFUNCTION("""COMPUTED_VALUE"""),"Hard")</f>
        <v>Hard</v>
      </c>
      <c r="D970" s="6" t="str">
        <f>IFERROR(__xludf.DUMMYFUNCTION("""COMPUTED_VALUE"""),"Trie,Bit Manipulation")</f>
        <v>Trie,Bit Manipulation</v>
      </c>
      <c r="E970" s="6" t="str">
        <f>IFERROR(__xludf.DUMMYFUNCTION("""COMPUTED_VALUE"""),"Google")</f>
        <v>Google</v>
      </c>
      <c r="F970" s="6"/>
      <c r="G970" s="6"/>
      <c r="H970" s="6" t="str">
        <f>IFERROR(__xludf.DUMMYFUNCTION("""COMPUTED_VALUE"""),"Google")</f>
        <v>Google</v>
      </c>
      <c r="I970" s="6">
        <f>IFERROR(__xludf.DUMMYFUNCTION("""COMPUTED_VALUE"""),46.31)</f>
        <v>46.31</v>
      </c>
      <c r="J970" s="6" t="str">
        <f>IFERROR(__xludf.DUMMYFUNCTION("""COMPUTED_VALUE"""),"算法")</f>
        <v>算法</v>
      </c>
    </row>
    <row r="971">
      <c r="A971" s="6">
        <f>IFERROR(__xludf.DUMMYFUNCTION("""COMPUTED_VALUE"""),1708.0)</f>
        <v>1708</v>
      </c>
      <c r="B971" s="53" t="str">
        <f>IFERROR(__xludf.DUMMYFUNCTION("""COMPUTED_VALUE"""),"Largest Subarray Length K")</f>
        <v>Largest Subarray Length K</v>
      </c>
      <c r="C971" s="6" t="str">
        <f>IFERROR(__xludf.DUMMYFUNCTION("""COMPUTED_VALUE"""),"Easy")</f>
        <v>Easy</v>
      </c>
      <c r="D971" s="6" t="str">
        <f>IFERROR(__xludf.DUMMYFUNCTION("""COMPUTED_VALUE"""),"Greedy,Array")</f>
        <v>Greedy,Array</v>
      </c>
      <c r="E971" s="6" t="str">
        <f>IFERROR(__xludf.DUMMYFUNCTION("""COMPUTED_VALUE"""),"Google")</f>
        <v>Google</v>
      </c>
      <c r="F971" s="6"/>
      <c r="G971" s="6"/>
      <c r="H971" s="6" t="str">
        <f>IFERROR(__xludf.DUMMYFUNCTION("""COMPUTED_VALUE"""),"Google")</f>
        <v>Google</v>
      </c>
      <c r="I971" s="6">
        <f>IFERROR(__xludf.DUMMYFUNCTION("""COMPUTED_VALUE"""),63.02)</f>
        <v>63.02</v>
      </c>
      <c r="J971" s="6" t="str">
        <f>IFERROR(__xludf.DUMMYFUNCTION("""COMPUTED_VALUE"""),"算法")</f>
        <v>算法</v>
      </c>
    </row>
    <row r="972">
      <c r="A972" s="6">
        <f>IFERROR(__xludf.DUMMYFUNCTION("""COMPUTED_VALUE"""),1713.0)</f>
        <v>1713</v>
      </c>
      <c r="B972" s="53" t="str">
        <f>IFERROR(__xludf.DUMMYFUNCTION("""COMPUTED_VALUE"""),"Minimum Operations to Make a Subsequence")</f>
        <v>Minimum Operations to Make a Subsequence</v>
      </c>
      <c r="C972" s="6" t="str">
        <f>IFERROR(__xludf.DUMMYFUNCTION("""COMPUTED_VALUE"""),"Hard")</f>
        <v>Hard</v>
      </c>
      <c r="D972" s="6" t="str">
        <f>IFERROR(__xludf.DUMMYFUNCTION("""COMPUTED_VALUE"""),"Greedy")</f>
        <v>Greedy</v>
      </c>
      <c r="E972" s="6" t="str">
        <f>IFERROR(__xludf.DUMMYFUNCTION("""COMPUTED_VALUE"""),"Google")</f>
        <v>Google</v>
      </c>
      <c r="F972" s="6"/>
      <c r="G972" s="6"/>
      <c r="H972" s="6" t="str">
        <f>IFERROR(__xludf.DUMMYFUNCTION("""COMPUTED_VALUE"""),"Google")</f>
        <v>Google</v>
      </c>
      <c r="I972" s="6">
        <f>IFERROR(__xludf.DUMMYFUNCTION("""COMPUTED_VALUE"""),45.48)</f>
        <v>45.48</v>
      </c>
      <c r="J972" s="6" t="str">
        <f>IFERROR(__xludf.DUMMYFUNCTION("""COMPUTED_VALUE"""),"算法")</f>
        <v>算法</v>
      </c>
    </row>
    <row r="973">
      <c r="A973" s="6">
        <f>IFERROR(__xludf.DUMMYFUNCTION("""COMPUTED_VALUE"""),1717.0)</f>
        <v>1717</v>
      </c>
      <c r="B973" s="53" t="str">
        <f>IFERROR(__xludf.DUMMYFUNCTION("""COMPUTED_VALUE"""),"Maximum Score From Removing Substrings")</f>
        <v>Maximum Score From Removing Substrings</v>
      </c>
      <c r="C973" s="6" t="str">
        <f>IFERROR(__xludf.DUMMYFUNCTION("""COMPUTED_VALUE"""),"Medium")</f>
        <v>Medium</v>
      </c>
      <c r="D973" s="6" t="str">
        <f>IFERROR(__xludf.DUMMYFUNCTION("""COMPUTED_VALUE"""),"Greedy")</f>
        <v>Greedy</v>
      </c>
      <c r="E973" s="6" t="str">
        <f>IFERROR(__xludf.DUMMYFUNCTION("""COMPUTED_VALUE"""),"Google")</f>
        <v>Google</v>
      </c>
      <c r="F973" s="6"/>
      <c r="G973" s="6"/>
      <c r="H973" s="6" t="str">
        <f>IFERROR(__xludf.DUMMYFUNCTION("""COMPUTED_VALUE"""),"Google")</f>
        <v>Google</v>
      </c>
      <c r="I973" s="6">
        <f>IFERROR(__xludf.DUMMYFUNCTION("""COMPUTED_VALUE"""),40.46)</f>
        <v>40.46</v>
      </c>
      <c r="J973" s="6" t="str">
        <f>IFERROR(__xludf.DUMMYFUNCTION("""COMPUTED_VALUE"""),"算法")</f>
        <v>算法</v>
      </c>
    </row>
    <row r="974">
      <c r="A974" s="6">
        <f>IFERROR(__xludf.DUMMYFUNCTION("""COMPUTED_VALUE"""),1722.0)</f>
        <v>1722</v>
      </c>
      <c r="B974" s="53" t="str">
        <f>IFERROR(__xludf.DUMMYFUNCTION("""COMPUTED_VALUE"""),"Minimize Hamming Distance After Swap Operations")</f>
        <v>Minimize Hamming Distance After Swap Operations</v>
      </c>
      <c r="C974" s="6" t="str">
        <f>IFERROR(__xludf.DUMMYFUNCTION("""COMPUTED_VALUE"""),"Medium")</f>
        <v>Medium</v>
      </c>
      <c r="D974" s="6" t="str">
        <f>IFERROR(__xludf.DUMMYFUNCTION("""COMPUTED_VALUE"""),"Union Find,Depth First Search,Greedy")</f>
        <v>Union Find,Depth First Search,Greedy</v>
      </c>
      <c r="E974" s="6" t="str">
        <f>IFERROR(__xludf.DUMMYFUNCTION("""COMPUTED_VALUE"""),"Google")</f>
        <v>Google</v>
      </c>
      <c r="F974" s="6"/>
      <c r="G974" s="6"/>
      <c r="H974" s="6" t="str">
        <f>IFERROR(__xludf.DUMMYFUNCTION("""COMPUTED_VALUE"""),"Google")</f>
        <v>Google</v>
      </c>
      <c r="I974" s="6">
        <f>IFERROR(__xludf.DUMMYFUNCTION("""COMPUTED_VALUE"""),54.34)</f>
        <v>54.34</v>
      </c>
      <c r="J974" s="6" t="str">
        <f>IFERROR(__xludf.DUMMYFUNCTION("""COMPUTED_VALUE"""),"算法")</f>
        <v>算法</v>
      </c>
    </row>
    <row r="975">
      <c r="A975" s="6">
        <f>IFERROR(__xludf.DUMMYFUNCTION("""COMPUTED_VALUE"""),1724.0)</f>
        <v>1724</v>
      </c>
      <c r="B975" s="53" t="str">
        <f>IFERROR(__xludf.DUMMYFUNCTION("""COMPUTED_VALUE"""),"Checking Existence of Edge Length Limited Paths II")</f>
        <v>Checking Existence of Edge Length Limited Paths II</v>
      </c>
      <c r="C975" s="6" t="str">
        <f>IFERROR(__xludf.DUMMYFUNCTION("""COMPUTED_VALUE"""),"Hard")</f>
        <v>Hard</v>
      </c>
      <c r="D975" s="6" t="str">
        <f>IFERROR(__xludf.DUMMYFUNCTION("""COMPUTED_VALUE"""),"Graph,Union Find,Dynamic Programming")</f>
        <v>Graph,Union Find,Dynamic Programming</v>
      </c>
      <c r="E975" s="6" t="str">
        <f>IFERROR(__xludf.DUMMYFUNCTION("""COMPUTED_VALUE"""),"Google")</f>
        <v>Google</v>
      </c>
      <c r="F975" s="6"/>
      <c r="G975" s="6"/>
      <c r="H975" s="6" t="str">
        <f>IFERROR(__xludf.DUMMYFUNCTION("""COMPUTED_VALUE"""),"Google")</f>
        <v>Google</v>
      </c>
      <c r="I975" s="6">
        <f>IFERROR(__xludf.DUMMYFUNCTION("""COMPUTED_VALUE"""),56.55)</f>
        <v>56.55</v>
      </c>
      <c r="J975" s="6" t="str">
        <f>IFERROR(__xludf.DUMMYFUNCTION("""COMPUTED_VALUE"""),"算法")</f>
        <v>算法</v>
      </c>
    </row>
    <row r="976">
      <c r="A976" s="6">
        <f>IFERROR(__xludf.DUMMYFUNCTION("""COMPUTED_VALUE"""),1726.0)</f>
        <v>1726</v>
      </c>
      <c r="B976" s="53" t="str">
        <f>IFERROR(__xludf.DUMMYFUNCTION("""COMPUTED_VALUE"""),"Tuple with Same Product")</f>
        <v>Tuple with Same Product</v>
      </c>
      <c r="C976" s="6" t="str">
        <f>IFERROR(__xludf.DUMMYFUNCTION("""COMPUTED_VALUE"""),"Medium")</f>
        <v>Medium</v>
      </c>
      <c r="D976" s="6" t="str">
        <f>IFERROR(__xludf.DUMMYFUNCTION("""COMPUTED_VALUE"""),"Hash Table,Array")</f>
        <v>Hash Table,Array</v>
      </c>
      <c r="E976" s="6" t="str">
        <f>IFERROR(__xludf.DUMMYFUNCTION("""COMPUTED_VALUE"""),"Google")</f>
        <v>Google</v>
      </c>
      <c r="F976" s="6"/>
      <c r="G976" s="6"/>
      <c r="H976" s="6" t="str">
        <f>IFERROR(__xludf.DUMMYFUNCTION("""COMPUTED_VALUE"""),"Google")</f>
        <v>Google</v>
      </c>
      <c r="I976" s="6">
        <f>IFERROR(__xludf.DUMMYFUNCTION("""COMPUTED_VALUE"""),56.36)</f>
        <v>56.36</v>
      </c>
      <c r="J976" s="6" t="str">
        <f>IFERROR(__xludf.DUMMYFUNCTION("""COMPUTED_VALUE"""),"算法")</f>
        <v>算法</v>
      </c>
    </row>
    <row r="977">
      <c r="A977" s="6">
        <f>IFERROR(__xludf.DUMMYFUNCTION("""COMPUTED_VALUE"""),1727.0)</f>
        <v>1727</v>
      </c>
      <c r="B977" s="53" t="str">
        <f>IFERROR(__xludf.DUMMYFUNCTION("""COMPUTED_VALUE"""),"Largest Submatrix With Rearrangements")</f>
        <v>Largest Submatrix With Rearrangements</v>
      </c>
      <c r="C977" s="6" t="str">
        <f>IFERROR(__xludf.DUMMYFUNCTION("""COMPUTED_VALUE"""),"Medium")</f>
        <v>Medium</v>
      </c>
      <c r="D977" s="6" t="str">
        <f>IFERROR(__xludf.DUMMYFUNCTION("""COMPUTED_VALUE"""),"Sort,Greedy")</f>
        <v>Sort,Greedy</v>
      </c>
      <c r="E977" s="6" t="str">
        <f>IFERROR(__xludf.DUMMYFUNCTION("""COMPUTED_VALUE"""),"Directi,Google")</f>
        <v>Directi,Google</v>
      </c>
      <c r="F977" s="6"/>
      <c r="G977" s="6"/>
      <c r="H977" s="6" t="str">
        <f>IFERROR(__xludf.DUMMYFUNCTION("""COMPUTED_VALUE"""),"Google,Directi")</f>
        <v>Google,Directi</v>
      </c>
      <c r="I977" s="6">
        <f>IFERROR(__xludf.DUMMYFUNCTION("""COMPUTED_VALUE"""),58.49)</f>
        <v>58.49</v>
      </c>
      <c r="J977" s="6" t="str">
        <f>IFERROR(__xludf.DUMMYFUNCTION("""COMPUTED_VALUE"""),"算法")</f>
        <v>算法</v>
      </c>
    </row>
    <row r="978">
      <c r="A978" s="6">
        <f>IFERROR(__xludf.DUMMYFUNCTION("""COMPUTED_VALUE"""),1728.0)</f>
        <v>1728</v>
      </c>
      <c r="B978" s="53" t="str">
        <f>IFERROR(__xludf.DUMMYFUNCTION("""COMPUTED_VALUE"""),"Cat and Mouse II")</f>
        <v>Cat and Mouse II</v>
      </c>
      <c r="C978" s="6" t="str">
        <f>IFERROR(__xludf.DUMMYFUNCTION("""COMPUTED_VALUE"""),"Hard")</f>
        <v>Hard</v>
      </c>
      <c r="D978" s="6" t="str">
        <f>IFERROR(__xludf.DUMMYFUNCTION("""COMPUTED_VALUE"""),"Dynamic Programming")</f>
        <v>Dynamic Programming</v>
      </c>
      <c r="E978" s="6" t="str">
        <f>IFERROR(__xludf.DUMMYFUNCTION("""COMPUTED_VALUE"""),"Google")</f>
        <v>Google</v>
      </c>
      <c r="F978" s="6"/>
      <c r="G978" s="6"/>
      <c r="H978" s="6" t="str">
        <f>IFERROR(__xludf.DUMMYFUNCTION("""COMPUTED_VALUE"""),"Google")</f>
        <v>Google</v>
      </c>
      <c r="I978" s="6">
        <f>IFERROR(__xludf.DUMMYFUNCTION("""COMPUTED_VALUE"""),40.99)</f>
        <v>40.99</v>
      </c>
      <c r="J978" s="6" t="str">
        <f>IFERROR(__xludf.DUMMYFUNCTION("""COMPUTED_VALUE"""),"算法")</f>
        <v>算法</v>
      </c>
    </row>
    <row r="979">
      <c r="A979" s="6">
        <f>IFERROR(__xludf.DUMMYFUNCTION("""COMPUTED_VALUE"""),1736.0)</f>
        <v>1736</v>
      </c>
      <c r="B979" s="53" t="str">
        <f>IFERROR(__xludf.DUMMYFUNCTION("""COMPUTED_VALUE"""),"Latest Time by Replacing Hidden Digits")</f>
        <v>Latest Time by Replacing Hidden Digits</v>
      </c>
      <c r="C979" s="6" t="str">
        <f>IFERROR(__xludf.DUMMYFUNCTION("""COMPUTED_VALUE"""),"Easy")</f>
        <v>Easy</v>
      </c>
      <c r="D979" s="6" t="str">
        <f>IFERROR(__xludf.DUMMYFUNCTION("""COMPUTED_VALUE"""),"Greedy,String")</f>
        <v>Greedy,String</v>
      </c>
      <c r="E979" s="6" t="str">
        <f>IFERROR(__xludf.DUMMYFUNCTION("""COMPUTED_VALUE"""),"Google")</f>
        <v>Google</v>
      </c>
      <c r="F979" s="6"/>
      <c r="G979" s="6"/>
      <c r="H979" s="6" t="str">
        <f>IFERROR(__xludf.DUMMYFUNCTION("""COMPUTED_VALUE"""),"Google")</f>
        <v>Google</v>
      </c>
      <c r="I979" s="6">
        <f>IFERROR(__xludf.DUMMYFUNCTION("""COMPUTED_VALUE"""),41.13)</f>
        <v>41.13</v>
      </c>
      <c r="J979" s="6" t="str">
        <f>IFERROR(__xludf.DUMMYFUNCTION("""COMPUTED_VALUE"""),"算法")</f>
        <v>算法</v>
      </c>
    </row>
    <row r="980">
      <c r="A980" s="6">
        <f>IFERROR(__xludf.DUMMYFUNCTION("""COMPUTED_VALUE"""),1737.0)</f>
        <v>1737</v>
      </c>
      <c r="B980" s="53" t="str">
        <f>IFERROR(__xludf.DUMMYFUNCTION("""COMPUTED_VALUE"""),"Change Minimum Characters to Satisfy One of Three Conditions")</f>
        <v>Change Minimum Characters to Satisfy One of Three Conditions</v>
      </c>
      <c r="C980" s="6" t="str">
        <f>IFERROR(__xludf.DUMMYFUNCTION("""COMPUTED_VALUE"""),"Medium")</f>
        <v>Medium</v>
      </c>
      <c r="D980" s="6" t="str">
        <f>IFERROR(__xludf.DUMMYFUNCTION("""COMPUTED_VALUE"""),"Greedy,String")</f>
        <v>Greedy,String</v>
      </c>
      <c r="E980" s="6" t="str">
        <f>IFERROR(__xludf.DUMMYFUNCTION("""COMPUTED_VALUE"""),"Google")</f>
        <v>Google</v>
      </c>
      <c r="F980" s="6"/>
      <c r="G980" s="6"/>
      <c r="H980" s="6" t="str">
        <f>IFERROR(__xludf.DUMMYFUNCTION("""COMPUTED_VALUE"""),"Google")</f>
        <v>Google</v>
      </c>
      <c r="I980" s="6">
        <f>IFERROR(__xludf.DUMMYFUNCTION("""COMPUTED_VALUE"""),29.61)</f>
        <v>29.61</v>
      </c>
      <c r="J980" s="6" t="str">
        <f>IFERROR(__xludf.DUMMYFUNCTION("""COMPUTED_VALUE"""),"算法")</f>
        <v>算法</v>
      </c>
    </row>
    <row r="981">
      <c r="A981" s="6">
        <f>IFERROR(__xludf.DUMMYFUNCTION("""COMPUTED_VALUE"""),1738.0)</f>
        <v>1738</v>
      </c>
      <c r="B981" s="53" t="str">
        <f>IFERROR(__xludf.DUMMYFUNCTION("""COMPUTED_VALUE"""),"Find Kth Largest XOR Coordinate Value")</f>
        <v>Find Kth Largest XOR Coordinate Value</v>
      </c>
      <c r="C981" s="6" t="str">
        <f>IFERROR(__xludf.DUMMYFUNCTION("""COMPUTED_VALUE"""),"Medium")</f>
        <v>Medium</v>
      </c>
      <c r="D981" s="6" t="str">
        <f>IFERROR(__xludf.DUMMYFUNCTION("""COMPUTED_VALUE"""),"Array")</f>
        <v>Array</v>
      </c>
      <c r="E981" s="6" t="str">
        <f>IFERROR(__xludf.DUMMYFUNCTION("""COMPUTED_VALUE"""),"Google")</f>
        <v>Google</v>
      </c>
      <c r="F981" s="6"/>
      <c r="G981" s="6"/>
      <c r="H981" s="6" t="str">
        <f>IFERROR(__xludf.DUMMYFUNCTION("""COMPUTED_VALUE"""),"Google")</f>
        <v>Google</v>
      </c>
      <c r="I981" s="6">
        <f>IFERROR(__xludf.DUMMYFUNCTION("""COMPUTED_VALUE"""),62.44)</f>
        <v>62.44</v>
      </c>
      <c r="J981" s="6" t="str">
        <f>IFERROR(__xludf.DUMMYFUNCTION("""COMPUTED_VALUE"""),"算法")</f>
        <v>算法</v>
      </c>
    </row>
    <row r="982">
      <c r="A982" s="6">
        <f>IFERROR(__xludf.DUMMYFUNCTION("""COMPUTED_VALUE"""),1753.0)</f>
        <v>1753</v>
      </c>
      <c r="B982" s="53" t="str">
        <f>IFERROR(__xludf.DUMMYFUNCTION("""COMPUTED_VALUE"""),"Maximum Score From Removing Stones")</f>
        <v>Maximum Score From Removing Stones</v>
      </c>
      <c r="C982" s="6" t="str">
        <f>IFERROR(__xludf.DUMMYFUNCTION("""COMPUTED_VALUE"""),"Medium")</f>
        <v>Medium</v>
      </c>
      <c r="D982" s="6" t="str">
        <f>IFERROR(__xludf.DUMMYFUNCTION("""COMPUTED_VALUE"""),"Heap,Math")</f>
        <v>Heap,Math</v>
      </c>
      <c r="E982" s="6" t="str">
        <f>IFERROR(__xludf.DUMMYFUNCTION("""COMPUTED_VALUE"""),"Google")</f>
        <v>Google</v>
      </c>
      <c r="F982" s="6"/>
      <c r="G982" s="6"/>
      <c r="H982" s="6" t="str">
        <f>IFERROR(__xludf.DUMMYFUNCTION("""COMPUTED_VALUE"""),"Google")</f>
        <v>Google</v>
      </c>
      <c r="I982" s="6">
        <f>IFERROR(__xludf.DUMMYFUNCTION("""COMPUTED_VALUE"""),61.34)</f>
        <v>61.34</v>
      </c>
      <c r="J982" s="6" t="str">
        <f>IFERROR(__xludf.DUMMYFUNCTION("""COMPUTED_VALUE"""),"算法")</f>
        <v>算法</v>
      </c>
    </row>
    <row r="983">
      <c r="A983" s="6">
        <f>IFERROR(__xludf.DUMMYFUNCTION("""COMPUTED_VALUE"""),1756.0)</f>
        <v>1756</v>
      </c>
      <c r="B983" s="53" t="str">
        <f>IFERROR(__xludf.DUMMYFUNCTION("""COMPUTED_VALUE"""),"Design Most Recently Used Queue")</f>
        <v>Design Most Recently Used Queue</v>
      </c>
      <c r="C983" s="6" t="str">
        <f>IFERROR(__xludf.DUMMYFUNCTION("""COMPUTED_VALUE"""),"Medium")</f>
        <v>Medium</v>
      </c>
      <c r="D983" s="6" t="str">
        <f>IFERROR(__xludf.DUMMYFUNCTION("""COMPUTED_VALUE"""),"Dequeue,Design,Array")</f>
        <v>Dequeue,Design,Array</v>
      </c>
      <c r="E983" s="6" t="str">
        <f>IFERROR(__xludf.DUMMYFUNCTION("""COMPUTED_VALUE"""),"Google")</f>
        <v>Google</v>
      </c>
      <c r="F983" s="6"/>
      <c r="G983" s="6"/>
      <c r="H983" s="6" t="str">
        <f>IFERROR(__xludf.DUMMYFUNCTION("""COMPUTED_VALUE"""),"Google")</f>
        <v>Google</v>
      </c>
      <c r="I983" s="6">
        <f>IFERROR(__xludf.DUMMYFUNCTION("""COMPUTED_VALUE"""),77.91)</f>
        <v>77.91</v>
      </c>
      <c r="J983" s="6" t="str">
        <f>IFERROR(__xludf.DUMMYFUNCTION("""COMPUTED_VALUE"""),"算法")</f>
        <v>算法</v>
      </c>
    </row>
    <row r="984">
      <c r="A984" s="6">
        <f>IFERROR(__xludf.DUMMYFUNCTION("""COMPUTED_VALUE"""),1765.0)</f>
        <v>1765</v>
      </c>
      <c r="B984" s="53" t="str">
        <f>IFERROR(__xludf.DUMMYFUNCTION("""COMPUTED_VALUE"""),"Map of Highest Peak")</f>
        <v>Map of Highest Peak</v>
      </c>
      <c r="C984" s="6" t="str">
        <f>IFERROR(__xludf.DUMMYFUNCTION("""COMPUTED_VALUE"""),"Medium")</f>
        <v>Medium</v>
      </c>
      <c r="D984" s="6" t="str">
        <f>IFERROR(__xludf.DUMMYFUNCTION("""COMPUTED_VALUE"""),"Graph,Breadth First Search")</f>
        <v>Graph,Breadth First Search</v>
      </c>
      <c r="E984" s="6" t="str">
        <f>IFERROR(__xludf.DUMMYFUNCTION("""COMPUTED_VALUE"""),"Google")</f>
        <v>Google</v>
      </c>
      <c r="F984" s="6"/>
      <c r="G984" s="6"/>
      <c r="H984" s="6" t="str">
        <f>IFERROR(__xludf.DUMMYFUNCTION("""COMPUTED_VALUE"""),"Google")</f>
        <v>Google</v>
      </c>
      <c r="I984" s="6">
        <f>IFERROR(__xludf.DUMMYFUNCTION("""COMPUTED_VALUE"""),54.71)</f>
        <v>54.71</v>
      </c>
      <c r="J984" s="6" t="str">
        <f>IFERROR(__xludf.DUMMYFUNCTION("""COMPUTED_VALUE"""),"算法")</f>
        <v>算法</v>
      </c>
    </row>
    <row r="985">
      <c r="A985" s="6">
        <f>IFERROR(__xludf.DUMMYFUNCTION("""COMPUTED_VALUE"""),1766.0)</f>
        <v>1766</v>
      </c>
      <c r="B985" s="53" t="str">
        <f>IFERROR(__xludf.DUMMYFUNCTION("""COMPUTED_VALUE"""),"Tree of Coprimes")</f>
        <v>Tree of Coprimes</v>
      </c>
      <c r="C985" s="6" t="str">
        <f>IFERROR(__xludf.DUMMYFUNCTION("""COMPUTED_VALUE"""),"Hard")</f>
        <v>Hard</v>
      </c>
      <c r="D985" s="6" t="str">
        <f>IFERROR(__xludf.DUMMYFUNCTION("""COMPUTED_VALUE"""),"Breadth First Search,Depth First Search,Tree,Math")</f>
        <v>Breadth First Search,Depth First Search,Tree,Math</v>
      </c>
      <c r="E985" s="6" t="str">
        <f>IFERROR(__xludf.DUMMYFUNCTION("""COMPUTED_VALUE"""),"Google")</f>
        <v>Google</v>
      </c>
      <c r="F985" s="6"/>
      <c r="G985" s="6"/>
      <c r="H985" s="6" t="str">
        <f>IFERROR(__xludf.DUMMYFUNCTION("""COMPUTED_VALUE"""),"Google")</f>
        <v>Google</v>
      </c>
      <c r="I985" s="6">
        <f>IFERROR(__xludf.DUMMYFUNCTION("""COMPUTED_VALUE"""),36.74)</f>
        <v>36.74</v>
      </c>
      <c r="J985" s="6" t="str">
        <f>IFERROR(__xludf.DUMMYFUNCTION("""COMPUTED_VALUE"""),"算法")</f>
        <v>算法</v>
      </c>
    </row>
    <row r="986">
      <c r="A986" s="6">
        <f>IFERROR(__xludf.DUMMYFUNCTION("""COMPUTED_VALUE"""),1767.0)</f>
        <v>1767</v>
      </c>
      <c r="B986" s="53" t="str">
        <f>IFERROR(__xludf.DUMMYFUNCTION("""COMPUTED_VALUE"""),"Find the Subtasks That Did Not Execute")</f>
        <v>Find the Subtasks That Did Not Execute</v>
      </c>
      <c r="C986" s="6" t="str">
        <f>IFERROR(__xludf.DUMMYFUNCTION("""COMPUTED_VALUE"""),"Hard")</f>
        <v>Hard</v>
      </c>
      <c r="D986" s="6"/>
      <c r="E986" s="6" t="str">
        <f>IFERROR(__xludf.DUMMYFUNCTION("""COMPUTED_VALUE"""),"Google")</f>
        <v>Google</v>
      </c>
      <c r="F986" s="6"/>
      <c r="G986" s="6"/>
      <c r="H986" s="6" t="str">
        <f>IFERROR(__xludf.DUMMYFUNCTION("""COMPUTED_VALUE"""),"Google")</f>
        <v>Google</v>
      </c>
      <c r="I986" s="6">
        <f>IFERROR(__xludf.DUMMYFUNCTION("""COMPUTED_VALUE"""),87.99)</f>
        <v>87.99</v>
      </c>
      <c r="J986" s="6" t="str">
        <f>IFERROR(__xludf.DUMMYFUNCTION("""COMPUTED_VALUE"""),"数据库")</f>
        <v>数据库</v>
      </c>
    </row>
    <row r="987">
      <c r="A987" s="6">
        <f>IFERROR(__xludf.DUMMYFUNCTION("""COMPUTED_VALUE"""),1769.0)</f>
        <v>1769</v>
      </c>
      <c r="B987" s="53" t="str">
        <f>IFERROR(__xludf.DUMMYFUNCTION("""COMPUTED_VALUE"""),"Minimum Number of Operations to Move All Balls to Each Box")</f>
        <v>Minimum Number of Operations to Move All Balls to Each Box</v>
      </c>
      <c r="C987" s="6" t="str">
        <f>IFERROR(__xludf.DUMMYFUNCTION("""COMPUTED_VALUE"""),"Medium")</f>
        <v>Medium</v>
      </c>
      <c r="D987" s="6" t="str">
        <f>IFERROR(__xludf.DUMMYFUNCTION("""COMPUTED_VALUE"""),"Greedy,Array")</f>
        <v>Greedy,Array</v>
      </c>
      <c r="E987" s="6" t="str">
        <f>IFERROR(__xludf.DUMMYFUNCTION("""COMPUTED_VALUE"""),"Google")</f>
        <v>Google</v>
      </c>
      <c r="F987" s="6"/>
      <c r="G987" s="6"/>
      <c r="H987" s="6" t="str">
        <f>IFERROR(__xludf.DUMMYFUNCTION("""COMPUTED_VALUE"""),"Google")</f>
        <v>Google</v>
      </c>
      <c r="I987" s="6">
        <f>IFERROR(__xludf.DUMMYFUNCTION("""COMPUTED_VALUE"""),87.49)</f>
        <v>87.49</v>
      </c>
      <c r="J987" s="6" t="str">
        <f>IFERROR(__xludf.DUMMYFUNCTION("""COMPUTED_VALUE"""),"算法")</f>
        <v>算法</v>
      </c>
    </row>
    <row r="988">
      <c r="A988" s="6">
        <f>IFERROR(__xludf.DUMMYFUNCTION("""COMPUTED_VALUE"""),1770.0)</f>
        <v>1770</v>
      </c>
      <c r="B988" s="53" t="str">
        <f>IFERROR(__xludf.DUMMYFUNCTION("""COMPUTED_VALUE"""),"Maximum Score from Performing Multiplication Operations")</f>
        <v>Maximum Score from Performing Multiplication Operations</v>
      </c>
      <c r="C988" s="6" t="str">
        <f>IFERROR(__xludf.DUMMYFUNCTION("""COMPUTED_VALUE"""),"Medium")</f>
        <v>Medium</v>
      </c>
      <c r="D988" s="6" t="str">
        <f>IFERROR(__xludf.DUMMYFUNCTION("""COMPUTED_VALUE"""),"Dynamic Programming")</f>
        <v>Dynamic Programming</v>
      </c>
      <c r="E988" s="6" t="str">
        <f>IFERROR(__xludf.DUMMYFUNCTION("""COMPUTED_VALUE"""),"Amazon,Google")</f>
        <v>Amazon,Google</v>
      </c>
      <c r="F988" s="6" t="str">
        <f>IFERROR(__xludf.DUMMYFUNCTION("""COMPUTED_VALUE"""),"Amazon")</f>
        <v>Amazon</v>
      </c>
      <c r="G988" s="6" t="str">
        <f>IFERROR(__xludf.DUMMYFUNCTION("""COMPUTED_VALUE"""),"Amazon")</f>
        <v>Amazon</v>
      </c>
      <c r="H988" s="6" t="str">
        <f>IFERROR(__xludf.DUMMYFUNCTION("""COMPUTED_VALUE"""),"Google,Amazon")</f>
        <v>Google,Amazon</v>
      </c>
      <c r="I988" s="6">
        <f>IFERROR(__xludf.DUMMYFUNCTION("""COMPUTED_VALUE"""),29.05)</f>
        <v>29.05</v>
      </c>
      <c r="J988" s="6" t="str">
        <f>IFERROR(__xludf.DUMMYFUNCTION("""COMPUTED_VALUE"""),"算法")</f>
        <v>算法</v>
      </c>
    </row>
    <row r="989">
      <c r="A989" s="6">
        <f>IFERROR(__xludf.DUMMYFUNCTION("""COMPUTED_VALUE"""),1774.0)</f>
        <v>1774</v>
      </c>
      <c r="B989" s="53" t="str">
        <f>IFERROR(__xludf.DUMMYFUNCTION("""COMPUTED_VALUE"""),"Closest Dessert Cost")</f>
        <v>Closest Dessert Cost</v>
      </c>
      <c r="C989" s="6" t="str">
        <f>IFERROR(__xludf.DUMMYFUNCTION("""COMPUTED_VALUE"""),"Medium")</f>
        <v>Medium</v>
      </c>
      <c r="D989" s="6" t="str">
        <f>IFERROR(__xludf.DUMMYFUNCTION("""COMPUTED_VALUE"""),"Greedy")</f>
        <v>Greedy</v>
      </c>
      <c r="E989" s="6" t="str">
        <f>IFERROR(__xludf.DUMMYFUNCTION("""COMPUTED_VALUE"""),"Google")</f>
        <v>Google</v>
      </c>
      <c r="F989" s="6"/>
      <c r="G989" s="6"/>
      <c r="H989" s="6" t="str">
        <f>IFERROR(__xludf.DUMMYFUNCTION("""COMPUTED_VALUE"""),"Google")</f>
        <v>Google</v>
      </c>
      <c r="I989" s="6">
        <f>IFERROR(__xludf.DUMMYFUNCTION("""COMPUTED_VALUE"""),59.35)</f>
        <v>59.35</v>
      </c>
      <c r="J989" s="6" t="str">
        <f>IFERROR(__xludf.DUMMYFUNCTION("""COMPUTED_VALUE"""),"算法")</f>
        <v>算法</v>
      </c>
    </row>
    <row r="990">
      <c r="A990" s="6">
        <f>IFERROR(__xludf.DUMMYFUNCTION("""COMPUTED_VALUE"""),1776.0)</f>
        <v>1776</v>
      </c>
      <c r="B990" s="53" t="str">
        <f>IFERROR(__xludf.DUMMYFUNCTION("""COMPUTED_VALUE"""),"Car Fleet II")</f>
        <v>Car Fleet II</v>
      </c>
      <c r="C990" s="6" t="str">
        <f>IFERROR(__xludf.DUMMYFUNCTION("""COMPUTED_VALUE"""),"Hard")</f>
        <v>Hard</v>
      </c>
      <c r="D990" s="6" t="str">
        <f>IFERROR(__xludf.DUMMYFUNCTION("""COMPUTED_VALUE"""),"Math")</f>
        <v>Math</v>
      </c>
      <c r="E990" s="6" t="str">
        <f>IFERROR(__xludf.DUMMYFUNCTION("""COMPUTED_VALUE"""),"Google")</f>
        <v>Google</v>
      </c>
      <c r="F990" s="6" t="str">
        <f>IFERROR(__xludf.DUMMYFUNCTION("""COMPUTED_VALUE"""),"Google")</f>
        <v>Google</v>
      </c>
      <c r="G990" s="6" t="str">
        <f>IFERROR(__xludf.DUMMYFUNCTION("""COMPUTED_VALUE"""),"Google")</f>
        <v>Google</v>
      </c>
      <c r="H990" s="6" t="str">
        <f>IFERROR(__xludf.DUMMYFUNCTION("""COMPUTED_VALUE"""),"Google")</f>
        <v>Google</v>
      </c>
      <c r="I990" s="6">
        <f>IFERROR(__xludf.DUMMYFUNCTION("""COMPUTED_VALUE"""),44.73)</f>
        <v>44.73</v>
      </c>
      <c r="J990" s="6" t="str">
        <f>IFERROR(__xludf.DUMMYFUNCTION("""COMPUTED_VALUE"""),"算法")</f>
        <v>算法</v>
      </c>
    </row>
    <row r="991">
      <c r="A991" s="6">
        <f>IFERROR(__xludf.DUMMYFUNCTION("""COMPUTED_VALUE"""),1778.0)</f>
        <v>1778</v>
      </c>
      <c r="B991" s="53" t="str">
        <f>IFERROR(__xludf.DUMMYFUNCTION("""COMPUTED_VALUE"""),"Shortest Path in a Hidden Grid")</f>
        <v>Shortest Path in a Hidden Grid</v>
      </c>
      <c r="C991" s="6" t="str">
        <f>IFERROR(__xludf.DUMMYFUNCTION("""COMPUTED_VALUE"""),"Medium")</f>
        <v>Medium</v>
      </c>
      <c r="D991" s="6" t="str">
        <f>IFERROR(__xludf.DUMMYFUNCTION("""COMPUTED_VALUE"""),"Graph,Breadth First Search,Depth First Search")</f>
        <v>Graph,Breadth First Search,Depth First Search</v>
      </c>
      <c r="E991" s="6" t="str">
        <f>IFERROR(__xludf.DUMMYFUNCTION("""COMPUTED_VALUE"""),"Facebook,Google")</f>
        <v>Facebook,Google</v>
      </c>
      <c r="F991" s="6" t="str">
        <f>IFERROR(__xludf.DUMMYFUNCTION("""COMPUTED_VALUE"""),"Google")</f>
        <v>Google</v>
      </c>
      <c r="G991" s="6" t="str">
        <f>IFERROR(__xludf.DUMMYFUNCTION("""COMPUTED_VALUE"""),"Google")</f>
        <v>Google</v>
      </c>
      <c r="H991" s="6" t="str">
        <f>IFERROR(__xludf.DUMMYFUNCTION("""COMPUTED_VALUE"""),"Facebook,Google")</f>
        <v>Facebook,Google</v>
      </c>
      <c r="I991" s="6">
        <f>IFERROR(__xludf.DUMMYFUNCTION("""COMPUTED_VALUE"""),47.26)</f>
        <v>47.26</v>
      </c>
      <c r="J991" s="6" t="str">
        <f>IFERROR(__xludf.DUMMYFUNCTION("""COMPUTED_VALUE"""),"算法")</f>
        <v>算法</v>
      </c>
    </row>
    <row r="992">
      <c r="A992" s="6">
        <f>IFERROR(__xludf.DUMMYFUNCTION("""COMPUTED_VALUE"""),1781.0)</f>
        <v>1781</v>
      </c>
      <c r="B992" s="53" t="str">
        <f>IFERROR(__xludf.DUMMYFUNCTION("""COMPUTED_VALUE"""),"Sum of Beauty of All Substrings")</f>
        <v>Sum of Beauty of All Substrings</v>
      </c>
      <c r="C992" s="6" t="str">
        <f>IFERROR(__xludf.DUMMYFUNCTION("""COMPUTED_VALUE"""),"Medium")</f>
        <v>Medium</v>
      </c>
      <c r="D992" s="6" t="str">
        <f>IFERROR(__xludf.DUMMYFUNCTION("""COMPUTED_VALUE"""),"String,Hash Table")</f>
        <v>String,Hash Table</v>
      </c>
      <c r="E992" s="6" t="str">
        <f>IFERROR(__xludf.DUMMYFUNCTION("""COMPUTED_VALUE"""),"Google")</f>
        <v>Google</v>
      </c>
      <c r="F992" s="6"/>
      <c r="G992" s="6"/>
      <c r="H992" s="6" t="str">
        <f>IFERROR(__xludf.DUMMYFUNCTION("""COMPUTED_VALUE"""),"Google")</f>
        <v>Google</v>
      </c>
      <c r="I992" s="6">
        <f>IFERROR(__xludf.DUMMYFUNCTION("""COMPUTED_VALUE"""),57.23)</f>
        <v>57.23</v>
      </c>
      <c r="J992" s="6" t="str">
        <f>IFERROR(__xludf.DUMMYFUNCTION("""COMPUTED_VALUE"""),"算法")</f>
        <v>算法</v>
      </c>
    </row>
    <row r="993">
      <c r="A993" s="6">
        <f>IFERROR(__xludf.DUMMYFUNCTION("""COMPUTED_VALUE"""),1782.0)</f>
        <v>1782</v>
      </c>
      <c r="B993" s="53" t="str">
        <f>IFERROR(__xludf.DUMMYFUNCTION("""COMPUTED_VALUE"""),"Count Pairs Of Nodes")</f>
        <v>Count Pairs Of Nodes</v>
      </c>
      <c r="C993" s="6" t="str">
        <f>IFERROR(__xludf.DUMMYFUNCTION("""COMPUTED_VALUE"""),"Hard")</f>
        <v>Hard</v>
      </c>
      <c r="D993" s="6" t="str">
        <f>IFERROR(__xludf.DUMMYFUNCTION("""COMPUTED_VALUE"""),"Graph")</f>
        <v>Graph</v>
      </c>
      <c r="E993" s="6" t="str">
        <f>IFERROR(__xludf.DUMMYFUNCTION("""COMPUTED_VALUE"""),"Amazon,Google")</f>
        <v>Amazon,Google</v>
      </c>
      <c r="F993" s="6" t="str">
        <f>IFERROR(__xludf.DUMMYFUNCTION("""COMPUTED_VALUE"""),"Google")</f>
        <v>Google</v>
      </c>
      <c r="G993" s="6" t="str">
        <f>IFERROR(__xludf.DUMMYFUNCTION("""COMPUTED_VALUE"""),"Google")</f>
        <v>Google</v>
      </c>
      <c r="H993" s="6" t="str">
        <f>IFERROR(__xludf.DUMMYFUNCTION("""COMPUTED_VALUE"""),"Amazon,Google")</f>
        <v>Amazon,Google</v>
      </c>
      <c r="I993" s="6">
        <f>IFERROR(__xludf.DUMMYFUNCTION("""COMPUTED_VALUE"""),31.49)</f>
        <v>31.49</v>
      </c>
      <c r="J993" s="6" t="str">
        <f>IFERROR(__xludf.DUMMYFUNCTION("""COMPUTED_VALUE"""),"算法")</f>
        <v>算法</v>
      </c>
    </row>
    <row r="994">
      <c r="A994" s="6">
        <f>IFERROR(__xludf.DUMMYFUNCTION("""COMPUTED_VALUE"""),1786.0)</f>
        <v>1786</v>
      </c>
      <c r="B994" s="53" t="str">
        <f>IFERROR(__xludf.DUMMYFUNCTION("""COMPUTED_VALUE"""),"Number of Restricted Paths From First to Last Node")</f>
        <v>Number of Restricted Paths From First to Last Node</v>
      </c>
      <c r="C994" s="6" t="str">
        <f>IFERROR(__xludf.DUMMYFUNCTION("""COMPUTED_VALUE"""),"Medium")</f>
        <v>Medium</v>
      </c>
      <c r="D994" s="6" t="str">
        <f>IFERROR(__xludf.DUMMYFUNCTION("""COMPUTED_VALUE"""),"Graph,Dynamic Programming")</f>
        <v>Graph,Dynamic Programming</v>
      </c>
      <c r="E994" s="6" t="str">
        <f>IFERROR(__xludf.DUMMYFUNCTION("""COMPUTED_VALUE"""),"Google")</f>
        <v>Google</v>
      </c>
      <c r="F994" s="6"/>
      <c r="G994" s="6"/>
      <c r="H994" s="6" t="str">
        <f>IFERROR(__xludf.DUMMYFUNCTION("""COMPUTED_VALUE"""),"Google")</f>
        <v>Google</v>
      </c>
      <c r="I994" s="6">
        <f>IFERROR(__xludf.DUMMYFUNCTION("""COMPUTED_VALUE"""),35.93)</f>
        <v>35.93</v>
      </c>
      <c r="J994" s="6" t="str">
        <f>IFERROR(__xludf.DUMMYFUNCTION("""COMPUTED_VALUE"""),"算法")</f>
        <v>算法</v>
      </c>
    </row>
    <row r="995">
      <c r="A995" s="6">
        <f>IFERROR(__xludf.DUMMYFUNCTION("""COMPUTED_VALUE"""),1793.0)</f>
        <v>1793</v>
      </c>
      <c r="B995" s="53" t="str">
        <f>IFERROR(__xludf.DUMMYFUNCTION("""COMPUTED_VALUE"""),"Maximum Score of a Good Subarray")</f>
        <v>Maximum Score of a Good Subarray</v>
      </c>
      <c r="C995" s="6" t="str">
        <f>IFERROR(__xludf.DUMMYFUNCTION("""COMPUTED_VALUE"""),"Hard")</f>
        <v>Hard</v>
      </c>
      <c r="D995" s="6" t="str">
        <f>IFERROR(__xludf.DUMMYFUNCTION("""COMPUTED_VALUE"""),"Greedy")</f>
        <v>Greedy</v>
      </c>
      <c r="E995" s="6" t="str">
        <f>IFERROR(__xludf.DUMMYFUNCTION("""COMPUTED_VALUE"""),"Google")</f>
        <v>Google</v>
      </c>
      <c r="F995" s="6"/>
      <c r="G995" s="6"/>
      <c r="H995" s="6" t="str">
        <f>IFERROR(__xludf.DUMMYFUNCTION("""COMPUTED_VALUE"""),"Google")</f>
        <v>Google</v>
      </c>
      <c r="I995" s="6">
        <f>IFERROR(__xludf.DUMMYFUNCTION("""COMPUTED_VALUE"""),44.96)</f>
        <v>44.96</v>
      </c>
      <c r="J995" s="6" t="str">
        <f>IFERROR(__xludf.DUMMYFUNCTION("""COMPUTED_VALUE"""),"算法")</f>
        <v>算法</v>
      </c>
    </row>
  </sheetData>
  <mergeCells count="1">
    <mergeCell ref="A1:G2"/>
  </mergeCells>
  <conditionalFormatting sqref="C4 B5 E6">
    <cfRule type="expression" dxfId="2" priority="1">
      <formula>AND(ISNUMBER($I4),$I4&gt;3)</formula>
    </cfRule>
  </conditionalFormatting>
  <conditionalFormatting sqref="C4 B5 E6">
    <cfRule type="expression" dxfId="3" priority="2">
      <formula>AND(ISNUMBER($I4),$I4&gt;0)</formula>
    </cfRule>
  </conditionalFormatting>
  <conditionalFormatting sqref="C4 B5 E6">
    <cfRule type="expression" dxfId="1" priority="3">
      <formula>AND(ISNUMBER($I4),$I4=0)</formula>
    </cfRule>
  </conditionalFormatting>
  <dataValidations>
    <dataValidation type="list" allowBlank="1" showErrorMessage="1" sqref="F4">
      <formula1>'指定时间公司分类查询'!$A$8:$B$8</formula1>
    </dataValidation>
    <dataValidation type="list" allowBlank="1" showErrorMessage="1" sqref="E3">
      <formula1>'指定时间公司分类查询'!$E$10:$H$10</formula1>
    </dataValidation>
    <dataValidation type="list" allowBlank="1" showErrorMessage="1" sqref="E4">
      <formula1>'指定时间公司分类查询'!$A$10:$J$10</formula1>
    </dataValidation>
  </dataValidations>
  <hyperlinks>
    <hyperlink r:id="rId1" ref="B11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38"/>
    <hyperlink r:id="rId29" ref="B39"/>
    <hyperlink r:id="rId30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7"/>
    <hyperlink r:id="rId38" ref="B48"/>
    <hyperlink r:id="rId39" ref="B49"/>
    <hyperlink r:id="rId40" ref="B50"/>
    <hyperlink r:id="rId41" ref="B51"/>
    <hyperlink r:id="rId42" ref="B52"/>
    <hyperlink r:id="rId43" ref="B53"/>
    <hyperlink r:id="rId44" ref="B54"/>
    <hyperlink r:id="rId45" ref="B55"/>
    <hyperlink r:id="rId46" ref="B56"/>
    <hyperlink r:id="rId47" ref="B57"/>
    <hyperlink r:id="rId48" ref="B58"/>
    <hyperlink r:id="rId49" ref="B59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99"/>
    <hyperlink r:id="rId90" ref="B100"/>
    <hyperlink r:id="rId91" ref="B101"/>
    <hyperlink r:id="rId92" ref="B102"/>
    <hyperlink r:id="rId93" ref="B103"/>
    <hyperlink r:id="rId94" ref="B104"/>
    <hyperlink r:id="rId95" ref="B105"/>
    <hyperlink r:id="rId96" ref="B106"/>
    <hyperlink r:id="rId97" ref="B107"/>
    <hyperlink r:id="rId98" ref="B108"/>
    <hyperlink r:id="rId99" ref="B109"/>
    <hyperlink r:id="rId100" ref="B110"/>
    <hyperlink r:id="rId101" ref="B111"/>
    <hyperlink r:id="rId102" ref="B112"/>
    <hyperlink r:id="rId103" ref="B113"/>
    <hyperlink r:id="rId104" ref="B114"/>
    <hyperlink r:id="rId105" ref="B115"/>
    <hyperlink r:id="rId106" ref="B116"/>
    <hyperlink r:id="rId107" ref="B117"/>
    <hyperlink r:id="rId108" ref="B118"/>
    <hyperlink r:id="rId109" ref="B119"/>
    <hyperlink r:id="rId110" ref="B120"/>
    <hyperlink r:id="rId111" ref="B121"/>
    <hyperlink r:id="rId112" ref="B122"/>
    <hyperlink r:id="rId113" ref="B123"/>
    <hyperlink r:id="rId114" ref="B124"/>
    <hyperlink r:id="rId115" ref="B125"/>
    <hyperlink r:id="rId116" ref="B126"/>
    <hyperlink r:id="rId117" ref="B127"/>
    <hyperlink r:id="rId118" ref="B128"/>
    <hyperlink r:id="rId119" ref="B129"/>
    <hyperlink r:id="rId120" ref="B130"/>
    <hyperlink r:id="rId121" ref="B131"/>
    <hyperlink r:id="rId122" ref="B132"/>
    <hyperlink r:id="rId123" ref="B133"/>
    <hyperlink r:id="rId124" ref="B134"/>
    <hyperlink r:id="rId125" ref="B135"/>
    <hyperlink r:id="rId126" ref="B136"/>
    <hyperlink r:id="rId127" ref="B137"/>
    <hyperlink r:id="rId128" ref="B138"/>
    <hyperlink r:id="rId129" ref="B139"/>
    <hyperlink r:id="rId130" ref="B140"/>
    <hyperlink r:id="rId131" ref="B141"/>
    <hyperlink r:id="rId132" ref="B142"/>
    <hyperlink r:id="rId133" ref="B143"/>
    <hyperlink r:id="rId134" ref="B144"/>
    <hyperlink r:id="rId135" ref="B145"/>
    <hyperlink r:id="rId136" ref="B146"/>
    <hyperlink r:id="rId137" ref="B147"/>
    <hyperlink r:id="rId138" ref="B148"/>
    <hyperlink r:id="rId139" ref="B149"/>
    <hyperlink r:id="rId140" ref="B150"/>
    <hyperlink r:id="rId141" ref="B151"/>
    <hyperlink r:id="rId142" ref="B152"/>
    <hyperlink r:id="rId143" ref="B153"/>
    <hyperlink r:id="rId144" ref="B154"/>
    <hyperlink r:id="rId145" ref="B155"/>
    <hyperlink r:id="rId146" ref="B156"/>
    <hyperlink r:id="rId147" ref="B157"/>
    <hyperlink r:id="rId148" ref="B158"/>
    <hyperlink r:id="rId149" ref="B159"/>
    <hyperlink r:id="rId150" ref="B160"/>
    <hyperlink r:id="rId151" ref="B161"/>
    <hyperlink r:id="rId152" ref="B162"/>
    <hyperlink r:id="rId153" ref="B163"/>
    <hyperlink r:id="rId154" ref="B164"/>
    <hyperlink r:id="rId155" ref="B165"/>
    <hyperlink r:id="rId156" ref="B166"/>
    <hyperlink r:id="rId157" ref="B167"/>
    <hyperlink r:id="rId158" ref="B168"/>
    <hyperlink r:id="rId159" ref="B169"/>
    <hyperlink r:id="rId160" ref="B170"/>
    <hyperlink r:id="rId161" ref="B171"/>
    <hyperlink r:id="rId162" ref="B172"/>
    <hyperlink r:id="rId163" ref="B173"/>
    <hyperlink r:id="rId164" ref="B174"/>
    <hyperlink r:id="rId165" ref="B175"/>
    <hyperlink r:id="rId166" ref="B176"/>
    <hyperlink r:id="rId167" ref="B177"/>
    <hyperlink r:id="rId168" ref="B178"/>
    <hyperlink r:id="rId169" ref="B179"/>
    <hyperlink r:id="rId170" ref="B180"/>
    <hyperlink r:id="rId171" ref="B181"/>
    <hyperlink r:id="rId172" ref="B182"/>
    <hyperlink r:id="rId173" ref="B183"/>
    <hyperlink r:id="rId174" ref="B184"/>
    <hyperlink r:id="rId175" ref="B185"/>
    <hyperlink r:id="rId176" ref="B186"/>
    <hyperlink r:id="rId177" ref="B187"/>
    <hyperlink r:id="rId178" ref="B188"/>
    <hyperlink r:id="rId179" ref="B189"/>
    <hyperlink r:id="rId180" ref="B190"/>
    <hyperlink r:id="rId181" ref="B191"/>
    <hyperlink r:id="rId182" ref="B192"/>
    <hyperlink r:id="rId183" ref="B193"/>
    <hyperlink r:id="rId184" ref="B194"/>
    <hyperlink r:id="rId185" ref="B195"/>
    <hyperlink r:id="rId186" ref="B196"/>
    <hyperlink r:id="rId187" ref="B197"/>
    <hyperlink r:id="rId188" ref="B198"/>
    <hyperlink r:id="rId189" ref="B199"/>
    <hyperlink r:id="rId190" ref="B200"/>
    <hyperlink r:id="rId191" ref="B201"/>
    <hyperlink r:id="rId192" ref="B202"/>
    <hyperlink r:id="rId193" ref="B203"/>
    <hyperlink r:id="rId194" ref="B204"/>
    <hyperlink r:id="rId195" ref="B205"/>
    <hyperlink r:id="rId196" ref="B206"/>
    <hyperlink r:id="rId197" ref="B207"/>
    <hyperlink r:id="rId198" ref="B208"/>
    <hyperlink r:id="rId199" ref="B209"/>
    <hyperlink r:id="rId200" ref="B210"/>
    <hyperlink r:id="rId201" ref="B211"/>
    <hyperlink r:id="rId202" ref="B212"/>
    <hyperlink r:id="rId203" ref="B213"/>
    <hyperlink r:id="rId204" ref="B214"/>
    <hyperlink r:id="rId205" ref="B215"/>
    <hyperlink r:id="rId206" ref="B216"/>
    <hyperlink r:id="rId207" ref="B217"/>
    <hyperlink r:id="rId208" ref="B218"/>
    <hyperlink r:id="rId209" ref="B219"/>
    <hyperlink r:id="rId210" ref="B220"/>
    <hyperlink r:id="rId211" ref="B221"/>
    <hyperlink r:id="rId212" ref="B222"/>
    <hyperlink r:id="rId213" ref="B223"/>
    <hyperlink r:id="rId214" ref="B224"/>
    <hyperlink r:id="rId215" ref="B225"/>
    <hyperlink r:id="rId216" ref="B226"/>
    <hyperlink r:id="rId217" ref="B227"/>
    <hyperlink r:id="rId218" ref="B228"/>
    <hyperlink r:id="rId219" ref="B229"/>
    <hyperlink r:id="rId220" ref="B230"/>
    <hyperlink r:id="rId221" ref="B231"/>
    <hyperlink r:id="rId222" ref="B232"/>
    <hyperlink r:id="rId223" ref="B233"/>
    <hyperlink r:id="rId224" ref="B234"/>
    <hyperlink r:id="rId225" ref="B235"/>
    <hyperlink r:id="rId226" ref="B236"/>
    <hyperlink r:id="rId227" ref="B237"/>
    <hyperlink r:id="rId228" ref="B238"/>
    <hyperlink r:id="rId229" ref="B239"/>
    <hyperlink r:id="rId230" ref="B240"/>
    <hyperlink r:id="rId231" ref="B241"/>
    <hyperlink r:id="rId232" ref="B242"/>
    <hyperlink r:id="rId233" ref="B243"/>
    <hyperlink r:id="rId234" ref="B244"/>
    <hyperlink r:id="rId235" ref="B245"/>
    <hyperlink r:id="rId236" ref="B246"/>
    <hyperlink r:id="rId237" ref="B247"/>
    <hyperlink r:id="rId238" ref="B248"/>
    <hyperlink r:id="rId239" ref="B249"/>
    <hyperlink r:id="rId240" ref="B250"/>
    <hyperlink r:id="rId241" ref="B251"/>
    <hyperlink r:id="rId242" ref="B252"/>
    <hyperlink r:id="rId243" ref="B253"/>
    <hyperlink r:id="rId244" ref="B254"/>
    <hyperlink r:id="rId245" ref="B255"/>
    <hyperlink r:id="rId246" ref="B256"/>
    <hyperlink r:id="rId247" ref="B257"/>
    <hyperlink r:id="rId248" ref="B258"/>
    <hyperlink r:id="rId249" ref="B259"/>
    <hyperlink r:id="rId250" ref="B260"/>
    <hyperlink r:id="rId251" ref="B261"/>
    <hyperlink r:id="rId252" ref="B262"/>
    <hyperlink r:id="rId253" ref="B263"/>
    <hyperlink r:id="rId254" ref="B264"/>
    <hyperlink r:id="rId255" ref="B265"/>
    <hyperlink r:id="rId256" ref="B266"/>
    <hyperlink r:id="rId257" ref="B267"/>
    <hyperlink r:id="rId258" ref="B268"/>
    <hyperlink r:id="rId259" ref="B269"/>
    <hyperlink r:id="rId260" ref="B270"/>
    <hyperlink r:id="rId261" ref="B271"/>
    <hyperlink r:id="rId262" ref="B272"/>
    <hyperlink r:id="rId263" ref="B273"/>
    <hyperlink r:id="rId264" ref="B274"/>
    <hyperlink r:id="rId265" ref="B275"/>
    <hyperlink r:id="rId266" ref="B276"/>
    <hyperlink r:id="rId267" ref="B277"/>
    <hyperlink r:id="rId268" ref="B278"/>
    <hyperlink r:id="rId269" ref="B279"/>
    <hyperlink r:id="rId270" ref="B280"/>
    <hyperlink r:id="rId271" ref="B281"/>
    <hyperlink r:id="rId272" ref="B282"/>
    <hyperlink r:id="rId273" ref="B283"/>
    <hyperlink r:id="rId274" ref="B284"/>
    <hyperlink r:id="rId275" ref="B285"/>
    <hyperlink r:id="rId276" ref="B286"/>
    <hyperlink r:id="rId277" ref="B287"/>
    <hyperlink r:id="rId278" ref="B288"/>
    <hyperlink r:id="rId279" ref="B289"/>
    <hyperlink r:id="rId280" ref="B290"/>
    <hyperlink r:id="rId281" ref="B291"/>
    <hyperlink r:id="rId282" ref="B292"/>
    <hyperlink r:id="rId283" ref="B293"/>
    <hyperlink r:id="rId284" ref="B294"/>
    <hyperlink r:id="rId285" ref="B295"/>
    <hyperlink r:id="rId286" ref="B296"/>
    <hyperlink r:id="rId287" ref="B297"/>
    <hyperlink r:id="rId288" ref="B298"/>
    <hyperlink r:id="rId289" ref="B299"/>
    <hyperlink r:id="rId290" ref="B300"/>
    <hyperlink r:id="rId291" ref="B301"/>
    <hyperlink r:id="rId292" ref="B302"/>
    <hyperlink r:id="rId293" ref="B303"/>
    <hyperlink r:id="rId294" ref="B304"/>
    <hyperlink r:id="rId295" ref="B305"/>
    <hyperlink r:id="rId296" ref="B306"/>
    <hyperlink r:id="rId297" ref="B307"/>
    <hyperlink r:id="rId298" ref="B308"/>
    <hyperlink r:id="rId299" ref="B309"/>
    <hyperlink r:id="rId300" ref="B310"/>
    <hyperlink r:id="rId301" ref="B311"/>
    <hyperlink r:id="rId302" ref="B312"/>
    <hyperlink r:id="rId303" ref="B313"/>
    <hyperlink r:id="rId304" ref="B314"/>
    <hyperlink r:id="rId305" ref="B315"/>
    <hyperlink r:id="rId306" ref="B316"/>
    <hyperlink r:id="rId307" ref="B317"/>
    <hyperlink r:id="rId308" ref="B318"/>
    <hyperlink r:id="rId309" ref="B319"/>
    <hyperlink r:id="rId310" ref="B320"/>
    <hyperlink r:id="rId311" ref="B321"/>
    <hyperlink r:id="rId312" ref="B322"/>
    <hyperlink r:id="rId313" ref="B323"/>
    <hyperlink r:id="rId314" ref="B324"/>
    <hyperlink r:id="rId315" ref="B325"/>
    <hyperlink r:id="rId316" ref="B326"/>
    <hyperlink r:id="rId317" ref="B327"/>
    <hyperlink r:id="rId318" ref="B328"/>
    <hyperlink r:id="rId319" ref="B329"/>
    <hyperlink r:id="rId320" ref="B330"/>
    <hyperlink r:id="rId321" ref="B331"/>
    <hyperlink r:id="rId322" ref="B332"/>
    <hyperlink r:id="rId323" ref="B333"/>
    <hyperlink r:id="rId324" ref="B334"/>
    <hyperlink r:id="rId325" ref="B335"/>
    <hyperlink r:id="rId326" ref="B336"/>
    <hyperlink r:id="rId327" ref="B337"/>
    <hyperlink r:id="rId328" ref="B338"/>
    <hyperlink r:id="rId329" ref="B339"/>
    <hyperlink r:id="rId330" ref="B340"/>
    <hyperlink r:id="rId331" ref="B341"/>
    <hyperlink r:id="rId332" ref="B342"/>
    <hyperlink r:id="rId333" ref="B343"/>
    <hyperlink r:id="rId334" ref="B344"/>
    <hyperlink r:id="rId335" ref="B345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7"/>
    <hyperlink r:id="rId378" ref="B388"/>
    <hyperlink r:id="rId379" ref="B389"/>
    <hyperlink r:id="rId380" ref="B390"/>
    <hyperlink r:id="rId381" ref="B391"/>
    <hyperlink r:id="rId382" ref="B392"/>
    <hyperlink r:id="rId383" ref="B393"/>
    <hyperlink r:id="rId384" ref="B394"/>
    <hyperlink r:id="rId385" ref="B395"/>
    <hyperlink r:id="rId386" ref="B396"/>
    <hyperlink r:id="rId387" ref="B397"/>
    <hyperlink r:id="rId388" ref="B398"/>
    <hyperlink r:id="rId389" ref="B399"/>
    <hyperlink r:id="rId390" ref="B400"/>
    <hyperlink r:id="rId391" ref="B401"/>
    <hyperlink r:id="rId392" ref="B402"/>
    <hyperlink r:id="rId393" ref="B403"/>
    <hyperlink r:id="rId394" ref="B404"/>
    <hyperlink r:id="rId395" ref="B405"/>
    <hyperlink r:id="rId396" ref="B406"/>
    <hyperlink r:id="rId397" ref="B407"/>
    <hyperlink r:id="rId398" ref="B408"/>
    <hyperlink r:id="rId399" ref="B409"/>
    <hyperlink r:id="rId400" ref="B410"/>
    <hyperlink r:id="rId401" ref="B411"/>
    <hyperlink r:id="rId402" ref="B412"/>
    <hyperlink r:id="rId403" ref="B413"/>
    <hyperlink r:id="rId404" ref="B414"/>
    <hyperlink r:id="rId405" ref="B415"/>
    <hyperlink r:id="rId406" ref="B416"/>
    <hyperlink r:id="rId407" ref="B417"/>
    <hyperlink r:id="rId408" ref="B418"/>
    <hyperlink r:id="rId409" ref="B419"/>
    <hyperlink r:id="rId410" ref="B420"/>
    <hyperlink r:id="rId411" ref="B421"/>
    <hyperlink r:id="rId412" ref="B422"/>
    <hyperlink r:id="rId413" ref="B423"/>
    <hyperlink r:id="rId414" ref="B424"/>
    <hyperlink r:id="rId415" ref="B425"/>
    <hyperlink r:id="rId416" ref="B426"/>
    <hyperlink r:id="rId417" ref="B427"/>
    <hyperlink r:id="rId418" ref="B428"/>
    <hyperlink r:id="rId419" ref="B429"/>
    <hyperlink r:id="rId420" ref="B430"/>
    <hyperlink r:id="rId421" ref="B431"/>
    <hyperlink r:id="rId422" ref="B432"/>
    <hyperlink r:id="rId423" ref="B433"/>
    <hyperlink r:id="rId424" ref="B434"/>
    <hyperlink r:id="rId425" ref="B435"/>
    <hyperlink r:id="rId426" ref="B436"/>
    <hyperlink r:id="rId427" ref="B437"/>
    <hyperlink r:id="rId428" ref="B438"/>
    <hyperlink r:id="rId429" ref="B439"/>
    <hyperlink r:id="rId430" ref="B440"/>
    <hyperlink r:id="rId431" ref="B441"/>
    <hyperlink r:id="rId432" ref="B442"/>
    <hyperlink r:id="rId433" ref="B443"/>
    <hyperlink r:id="rId434" ref="B444"/>
    <hyperlink r:id="rId435" ref="B445"/>
    <hyperlink r:id="rId436" ref="B446"/>
    <hyperlink r:id="rId437" ref="B447"/>
    <hyperlink r:id="rId438" ref="B448"/>
    <hyperlink r:id="rId439" ref="B449"/>
    <hyperlink r:id="rId440" ref="B450"/>
    <hyperlink r:id="rId441" ref="B451"/>
    <hyperlink r:id="rId442" ref="B452"/>
    <hyperlink r:id="rId443" ref="B453"/>
    <hyperlink r:id="rId444" ref="B454"/>
    <hyperlink r:id="rId445" ref="B455"/>
    <hyperlink r:id="rId446" ref="B456"/>
    <hyperlink r:id="rId447" ref="B457"/>
    <hyperlink r:id="rId448" ref="B458"/>
    <hyperlink r:id="rId449" ref="B459"/>
    <hyperlink r:id="rId450" ref="B460"/>
    <hyperlink r:id="rId451" ref="B461"/>
    <hyperlink r:id="rId452" ref="B462"/>
    <hyperlink r:id="rId453" ref="B463"/>
    <hyperlink r:id="rId454" ref="B464"/>
    <hyperlink r:id="rId455" ref="B465"/>
    <hyperlink r:id="rId456" ref="B466"/>
    <hyperlink r:id="rId457" ref="B467"/>
    <hyperlink r:id="rId458" ref="B468"/>
    <hyperlink r:id="rId459" ref="B469"/>
    <hyperlink r:id="rId460" ref="B470"/>
    <hyperlink r:id="rId461" ref="B471"/>
    <hyperlink r:id="rId462" ref="B472"/>
    <hyperlink r:id="rId463" ref="B473"/>
    <hyperlink r:id="rId464" ref="B474"/>
    <hyperlink r:id="rId465" ref="B475"/>
    <hyperlink r:id="rId466" ref="B476"/>
    <hyperlink r:id="rId467" ref="B477"/>
    <hyperlink r:id="rId468" ref="B478"/>
    <hyperlink r:id="rId469" ref="B479"/>
    <hyperlink r:id="rId470" ref="B480"/>
    <hyperlink r:id="rId471" ref="B481"/>
    <hyperlink r:id="rId472" ref="B482"/>
    <hyperlink r:id="rId473" ref="B483"/>
    <hyperlink r:id="rId474" ref="B484"/>
    <hyperlink r:id="rId475" ref="B485"/>
    <hyperlink r:id="rId476" ref="B486"/>
    <hyperlink r:id="rId477" ref="B487"/>
    <hyperlink r:id="rId478" ref="B488"/>
    <hyperlink r:id="rId479" ref="B489"/>
    <hyperlink r:id="rId480" ref="B490"/>
    <hyperlink r:id="rId481" ref="B491"/>
    <hyperlink r:id="rId482" ref="B492"/>
    <hyperlink r:id="rId483" ref="B493"/>
    <hyperlink r:id="rId484" ref="B494"/>
    <hyperlink r:id="rId485" ref="B495"/>
    <hyperlink r:id="rId486" ref="B496"/>
    <hyperlink r:id="rId487" ref="B497"/>
    <hyperlink r:id="rId488" ref="B498"/>
    <hyperlink r:id="rId489" ref="B499"/>
    <hyperlink r:id="rId490" ref="B500"/>
    <hyperlink r:id="rId491" ref="B501"/>
    <hyperlink r:id="rId492" ref="B502"/>
    <hyperlink r:id="rId493" ref="B503"/>
    <hyperlink r:id="rId494" ref="B504"/>
    <hyperlink r:id="rId495" ref="B505"/>
    <hyperlink r:id="rId496" ref="B506"/>
    <hyperlink r:id="rId497" ref="B507"/>
    <hyperlink r:id="rId498" ref="B508"/>
    <hyperlink r:id="rId499" ref="B509"/>
    <hyperlink r:id="rId500" ref="B510"/>
    <hyperlink r:id="rId501" ref="B511"/>
    <hyperlink r:id="rId502" ref="B512"/>
    <hyperlink r:id="rId503" ref="B513"/>
    <hyperlink r:id="rId504" ref="B514"/>
    <hyperlink r:id="rId505" ref="B515"/>
    <hyperlink r:id="rId506" ref="B516"/>
    <hyperlink r:id="rId507" ref="B517"/>
    <hyperlink r:id="rId508" ref="B518"/>
    <hyperlink r:id="rId509" ref="B519"/>
    <hyperlink r:id="rId510" ref="B520"/>
    <hyperlink r:id="rId511" ref="B521"/>
    <hyperlink r:id="rId512" ref="B522"/>
    <hyperlink r:id="rId513" ref="B523"/>
    <hyperlink r:id="rId514" ref="B524"/>
    <hyperlink r:id="rId515" ref="B525"/>
    <hyperlink r:id="rId516" ref="B526"/>
    <hyperlink r:id="rId517" ref="B527"/>
    <hyperlink r:id="rId518" ref="B528"/>
    <hyperlink r:id="rId519" ref="B529"/>
    <hyperlink r:id="rId520" ref="B530"/>
    <hyperlink r:id="rId521" ref="B531"/>
    <hyperlink r:id="rId522" ref="B532"/>
    <hyperlink r:id="rId523" ref="B533"/>
    <hyperlink r:id="rId524" ref="B534"/>
    <hyperlink r:id="rId525" ref="B535"/>
    <hyperlink r:id="rId526" ref="B536"/>
    <hyperlink r:id="rId527" ref="B537"/>
    <hyperlink r:id="rId528" ref="B538"/>
    <hyperlink r:id="rId529" ref="B539"/>
    <hyperlink r:id="rId530" ref="B540"/>
    <hyperlink r:id="rId531" ref="B541"/>
    <hyperlink r:id="rId532" ref="B542"/>
    <hyperlink r:id="rId533" ref="B543"/>
    <hyperlink r:id="rId534" ref="B544"/>
    <hyperlink r:id="rId535" ref="B545"/>
    <hyperlink r:id="rId536" ref="B546"/>
    <hyperlink r:id="rId537" ref="B547"/>
    <hyperlink r:id="rId538" ref="B548"/>
    <hyperlink r:id="rId539" ref="B549"/>
    <hyperlink r:id="rId540" ref="B550"/>
    <hyperlink r:id="rId541" ref="B551"/>
    <hyperlink r:id="rId542" ref="B552"/>
    <hyperlink r:id="rId543" ref="B553"/>
    <hyperlink r:id="rId544" ref="B554"/>
    <hyperlink r:id="rId545" ref="B555"/>
    <hyperlink r:id="rId546" ref="B556"/>
    <hyperlink r:id="rId547" ref="B557"/>
    <hyperlink r:id="rId548" ref="B558"/>
    <hyperlink r:id="rId549" ref="B559"/>
    <hyperlink r:id="rId550" ref="B560"/>
    <hyperlink r:id="rId551" ref="B561"/>
    <hyperlink r:id="rId552" ref="B562"/>
    <hyperlink r:id="rId553" ref="B563"/>
    <hyperlink r:id="rId554" ref="B564"/>
    <hyperlink r:id="rId555" ref="B565"/>
    <hyperlink r:id="rId556" ref="B566"/>
    <hyperlink r:id="rId557" ref="B567"/>
    <hyperlink r:id="rId558" ref="B568"/>
    <hyperlink r:id="rId559" ref="B569"/>
    <hyperlink r:id="rId560" ref="B570"/>
    <hyperlink r:id="rId561" ref="B571"/>
    <hyperlink r:id="rId562" ref="B572"/>
    <hyperlink r:id="rId563" ref="B573"/>
    <hyperlink r:id="rId564" ref="B574"/>
    <hyperlink r:id="rId565" ref="B575"/>
    <hyperlink r:id="rId566" ref="B576"/>
    <hyperlink r:id="rId567" ref="B577"/>
    <hyperlink r:id="rId568" ref="B578"/>
    <hyperlink r:id="rId569" ref="B579"/>
    <hyperlink r:id="rId570" ref="B580"/>
    <hyperlink r:id="rId571" ref="B581"/>
    <hyperlink r:id="rId572" ref="B582"/>
    <hyperlink r:id="rId573" ref="B583"/>
    <hyperlink r:id="rId574" ref="B584"/>
    <hyperlink r:id="rId575" ref="B585"/>
    <hyperlink r:id="rId576" ref="B586"/>
    <hyperlink r:id="rId577" ref="B587"/>
    <hyperlink r:id="rId578" ref="B588"/>
    <hyperlink r:id="rId579" ref="B589"/>
    <hyperlink r:id="rId580" ref="B590"/>
    <hyperlink r:id="rId581" ref="B591"/>
    <hyperlink r:id="rId582" ref="B592"/>
    <hyperlink r:id="rId583" ref="B593"/>
    <hyperlink r:id="rId584" ref="B594"/>
    <hyperlink r:id="rId585" ref="B595"/>
    <hyperlink r:id="rId586" ref="B596"/>
    <hyperlink r:id="rId587" ref="B597"/>
    <hyperlink r:id="rId588" ref="B598"/>
    <hyperlink r:id="rId589" ref="B599"/>
    <hyperlink r:id="rId590" ref="B600"/>
    <hyperlink r:id="rId591" ref="B601"/>
    <hyperlink r:id="rId592" ref="B602"/>
    <hyperlink r:id="rId593" ref="B603"/>
    <hyperlink r:id="rId594" ref="B604"/>
    <hyperlink r:id="rId595" ref="B605"/>
    <hyperlink r:id="rId596" ref="B606"/>
    <hyperlink r:id="rId597" ref="B607"/>
    <hyperlink r:id="rId598" ref="B608"/>
    <hyperlink r:id="rId599" ref="B609"/>
    <hyperlink r:id="rId600" ref="B610"/>
    <hyperlink r:id="rId601" ref="B611"/>
    <hyperlink r:id="rId602" ref="B612"/>
    <hyperlink r:id="rId603" ref="B613"/>
    <hyperlink r:id="rId604" ref="B614"/>
    <hyperlink r:id="rId605" ref="B615"/>
    <hyperlink r:id="rId606" ref="B616"/>
    <hyperlink r:id="rId607" ref="B617"/>
    <hyperlink r:id="rId608" ref="B618"/>
    <hyperlink r:id="rId609" ref="B619"/>
    <hyperlink r:id="rId610" ref="B620"/>
    <hyperlink r:id="rId611" ref="B621"/>
    <hyperlink r:id="rId612" ref="B622"/>
    <hyperlink r:id="rId613" ref="B623"/>
    <hyperlink r:id="rId614" ref="B624"/>
    <hyperlink r:id="rId615" ref="B625"/>
    <hyperlink r:id="rId616" ref="B626"/>
    <hyperlink r:id="rId617" ref="B627"/>
    <hyperlink r:id="rId618" ref="B628"/>
    <hyperlink r:id="rId619" ref="B629"/>
    <hyperlink r:id="rId620" ref="B630"/>
    <hyperlink r:id="rId621" ref="B631"/>
    <hyperlink r:id="rId622" ref="B632"/>
    <hyperlink r:id="rId623" ref="B633"/>
    <hyperlink r:id="rId624" ref="B634"/>
    <hyperlink r:id="rId625" ref="B635"/>
    <hyperlink r:id="rId626" ref="B636"/>
    <hyperlink r:id="rId627" ref="B637"/>
    <hyperlink r:id="rId628" ref="B638"/>
    <hyperlink r:id="rId629" ref="B639"/>
    <hyperlink r:id="rId630" ref="B640"/>
    <hyperlink r:id="rId631" ref="B641"/>
    <hyperlink r:id="rId632" ref="B642"/>
    <hyperlink r:id="rId633" ref="B643"/>
    <hyperlink r:id="rId634" ref="B644"/>
    <hyperlink r:id="rId635" ref="B645"/>
    <hyperlink r:id="rId636" ref="B646"/>
    <hyperlink r:id="rId637" ref="B647"/>
    <hyperlink r:id="rId638" ref="B648"/>
    <hyperlink r:id="rId639" ref="B649"/>
    <hyperlink r:id="rId640" ref="B650"/>
    <hyperlink r:id="rId641" ref="B651"/>
    <hyperlink r:id="rId642" ref="B652"/>
    <hyperlink r:id="rId643" ref="B653"/>
    <hyperlink r:id="rId644" ref="B654"/>
    <hyperlink r:id="rId645" ref="B655"/>
    <hyperlink r:id="rId646" ref="B656"/>
    <hyperlink r:id="rId647" ref="B657"/>
    <hyperlink r:id="rId648" ref="B658"/>
    <hyperlink r:id="rId649" ref="B659"/>
    <hyperlink r:id="rId650" ref="B660"/>
    <hyperlink r:id="rId651" ref="B661"/>
    <hyperlink r:id="rId652" ref="B662"/>
    <hyperlink r:id="rId653" ref="B663"/>
    <hyperlink r:id="rId654" ref="B664"/>
    <hyperlink r:id="rId655" ref="B665"/>
    <hyperlink r:id="rId656" ref="B666"/>
    <hyperlink r:id="rId657" ref="B667"/>
    <hyperlink r:id="rId658" ref="B668"/>
    <hyperlink r:id="rId659" ref="B669"/>
    <hyperlink r:id="rId660" ref="B670"/>
    <hyperlink r:id="rId661" ref="B671"/>
    <hyperlink r:id="rId662" ref="B672"/>
    <hyperlink r:id="rId663" ref="B673"/>
    <hyperlink r:id="rId664" ref="B674"/>
    <hyperlink r:id="rId665" ref="B675"/>
    <hyperlink r:id="rId666" ref="B676"/>
    <hyperlink r:id="rId667" ref="B677"/>
    <hyperlink r:id="rId668" ref="B678"/>
    <hyperlink r:id="rId669" ref="B679"/>
    <hyperlink r:id="rId670" ref="B680"/>
    <hyperlink r:id="rId671" ref="B681"/>
    <hyperlink r:id="rId672" ref="B682"/>
    <hyperlink r:id="rId673" ref="B683"/>
    <hyperlink r:id="rId674" ref="B684"/>
    <hyperlink r:id="rId675" ref="B685"/>
    <hyperlink r:id="rId676" ref="B686"/>
    <hyperlink r:id="rId677" ref="B687"/>
    <hyperlink r:id="rId678" ref="B688"/>
    <hyperlink r:id="rId679" ref="B689"/>
    <hyperlink r:id="rId680" ref="B690"/>
    <hyperlink r:id="rId681" ref="B691"/>
    <hyperlink r:id="rId682" ref="B692"/>
    <hyperlink r:id="rId683" ref="B693"/>
    <hyperlink r:id="rId684" ref="B694"/>
    <hyperlink r:id="rId685" ref="B695"/>
    <hyperlink r:id="rId686" ref="B696"/>
    <hyperlink r:id="rId687" ref="B697"/>
    <hyperlink r:id="rId688" ref="B698"/>
    <hyperlink r:id="rId689" ref="B699"/>
    <hyperlink r:id="rId690" ref="B700"/>
    <hyperlink r:id="rId691" ref="B701"/>
    <hyperlink r:id="rId692" ref="B702"/>
    <hyperlink r:id="rId693" ref="B703"/>
    <hyperlink r:id="rId694" ref="B704"/>
    <hyperlink r:id="rId695" ref="B705"/>
    <hyperlink r:id="rId696" ref="B706"/>
    <hyperlink r:id="rId697" ref="B707"/>
    <hyperlink r:id="rId698" ref="B708"/>
    <hyperlink r:id="rId699" ref="B709"/>
    <hyperlink r:id="rId700" ref="B710"/>
    <hyperlink r:id="rId701" ref="B711"/>
    <hyperlink r:id="rId702" ref="B712"/>
    <hyperlink r:id="rId703" ref="B713"/>
    <hyperlink r:id="rId704" ref="B714"/>
    <hyperlink r:id="rId705" ref="B715"/>
    <hyperlink r:id="rId706" ref="B716"/>
    <hyperlink r:id="rId707" ref="B717"/>
    <hyperlink r:id="rId708" ref="B718"/>
    <hyperlink r:id="rId709" ref="B719"/>
    <hyperlink r:id="rId710" ref="B720"/>
    <hyperlink r:id="rId711" ref="B721"/>
    <hyperlink r:id="rId712" ref="B722"/>
    <hyperlink r:id="rId713" ref="B723"/>
    <hyperlink r:id="rId714" ref="B724"/>
    <hyperlink r:id="rId715" ref="B725"/>
    <hyperlink r:id="rId716" ref="B726"/>
    <hyperlink r:id="rId717" ref="B727"/>
    <hyperlink r:id="rId718" ref="B728"/>
    <hyperlink r:id="rId719" ref="B729"/>
    <hyperlink r:id="rId720" ref="B730"/>
    <hyperlink r:id="rId721" ref="B731"/>
    <hyperlink r:id="rId722" ref="B732"/>
    <hyperlink r:id="rId723" ref="B733"/>
    <hyperlink r:id="rId724" ref="B734"/>
    <hyperlink r:id="rId725" ref="B735"/>
    <hyperlink r:id="rId726" ref="B736"/>
    <hyperlink r:id="rId727" ref="B737"/>
    <hyperlink r:id="rId728" ref="B738"/>
    <hyperlink r:id="rId729" ref="B739"/>
    <hyperlink r:id="rId730" ref="B740"/>
    <hyperlink r:id="rId731" ref="B741"/>
    <hyperlink r:id="rId732" ref="B742"/>
    <hyperlink r:id="rId733" ref="B743"/>
    <hyperlink r:id="rId734" ref="B744"/>
    <hyperlink r:id="rId735" ref="B745"/>
    <hyperlink r:id="rId736" ref="B746"/>
    <hyperlink r:id="rId737" ref="B747"/>
    <hyperlink r:id="rId738" ref="B748"/>
    <hyperlink r:id="rId739" ref="B749"/>
    <hyperlink r:id="rId740" ref="B750"/>
    <hyperlink r:id="rId741" ref="B751"/>
    <hyperlink r:id="rId742" ref="B752"/>
    <hyperlink r:id="rId743" ref="B753"/>
    <hyperlink r:id="rId744" ref="B754"/>
    <hyperlink r:id="rId745" ref="B755"/>
    <hyperlink r:id="rId746" ref="B756"/>
    <hyperlink r:id="rId747" ref="B757"/>
    <hyperlink r:id="rId748" ref="B758"/>
    <hyperlink r:id="rId749" ref="B759"/>
    <hyperlink r:id="rId750" ref="B760"/>
    <hyperlink r:id="rId751" ref="B761"/>
    <hyperlink r:id="rId752" ref="B762"/>
    <hyperlink r:id="rId753" ref="B763"/>
    <hyperlink r:id="rId754" ref="B764"/>
    <hyperlink r:id="rId755" ref="B765"/>
    <hyperlink r:id="rId756" ref="B766"/>
    <hyperlink r:id="rId757" ref="B767"/>
    <hyperlink r:id="rId758" ref="B768"/>
    <hyperlink r:id="rId759" ref="B769"/>
    <hyperlink r:id="rId760" ref="B770"/>
    <hyperlink r:id="rId761" ref="B771"/>
    <hyperlink r:id="rId762" ref="B772"/>
    <hyperlink r:id="rId763" ref="B773"/>
    <hyperlink r:id="rId764" ref="B774"/>
    <hyperlink r:id="rId765" ref="B775"/>
    <hyperlink r:id="rId766" ref="B776"/>
    <hyperlink r:id="rId767" ref="B777"/>
    <hyperlink r:id="rId768" ref="B778"/>
    <hyperlink r:id="rId769" ref="B779"/>
    <hyperlink r:id="rId770" ref="B780"/>
    <hyperlink r:id="rId771" ref="B781"/>
    <hyperlink r:id="rId772" ref="B782"/>
    <hyperlink r:id="rId773" ref="B783"/>
    <hyperlink r:id="rId774" ref="B784"/>
    <hyperlink r:id="rId775" ref="B785"/>
    <hyperlink r:id="rId776" ref="B786"/>
    <hyperlink r:id="rId777" ref="B787"/>
    <hyperlink r:id="rId778" ref="B788"/>
    <hyperlink r:id="rId779" ref="B789"/>
    <hyperlink r:id="rId780" ref="B790"/>
    <hyperlink r:id="rId781" ref="B791"/>
    <hyperlink r:id="rId782" ref="B792"/>
    <hyperlink r:id="rId783" ref="B793"/>
    <hyperlink r:id="rId784" ref="B794"/>
    <hyperlink r:id="rId785" ref="B795"/>
    <hyperlink r:id="rId786" ref="B796"/>
    <hyperlink r:id="rId787" ref="B797"/>
    <hyperlink r:id="rId788" ref="B798"/>
    <hyperlink r:id="rId789" ref="B799"/>
    <hyperlink r:id="rId790" ref="B800"/>
    <hyperlink r:id="rId791" ref="B801"/>
    <hyperlink r:id="rId792" ref="B802"/>
    <hyperlink r:id="rId793" ref="B803"/>
    <hyperlink r:id="rId794" ref="B804"/>
    <hyperlink r:id="rId795" ref="B805"/>
    <hyperlink r:id="rId796" ref="B806"/>
    <hyperlink r:id="rId797" ref="B807"/>
    <hyperlink r:id="rId798" ref="B808"/>
    <hyperlink r:id="rId799" ref="B809"/>
    <hyperlink r:id="rId800" ref="B810"/>
    <hyperlink r:id="rId801" ref="B811"/>
    <hyperlink r:id="rId802" ref="B812"/>
    <hyperlink r:id="rId803" ref="B813"/>
    <hyperlink r:id="rId804" ref="B814"/>
    <hyperlink r:id="rId805" ref="B815"/>
    <hyperlink r:id="rId806" ref="B816"/>
    <hyperlink r:id="rId807" ref="B817"/>
    <hyperlink r:id="rId808" ref="B818"/>
    <hyperlink r:id="rId809" ref="B819"/>
    <hyperlink r:id="rId810" ref="B820"/>
    <hyperlink r:id="rId811" ref="B821"/>
    <hyperlink r:id="rId812" ref="B822"/>
    <hyperlink r:id="rId813" ref="B823"/>
    <hyperlink r:id="rId814" ref="B824"/>
    <hyperlink r:id="rId815" ref="B825"/>
    <hyperlink r:id="rId816" ref="B826"/>
    <hyperlink r:id="rId817" ref="B827"/>
    <hyperlink r:id="rId818" ref="B828"/>
    <hyperlink r:id="rId819" ref="B829"/>
    <hyperlink r:id="rId820" ref="B830"/>
    <hyperlink r:id="rId821" ref="B831"/>
    <hyperlink r:id="rId822" ref="B832"/>
    <hyperlink r:id="rId823" ref="B833"/>
    <hyperlink r:id="rId824" ref="B834"/>
    <hyperlink r:id="rId825" ref="B835"/>
    <hyperlink r:id="rId826" ref="B836"/>
    <hyperlink r:id="rId827" ref="B837"/>
    <hyperlink r:id="rId828" ref="B838"/>
    <hyperlink r:id="rId829" ref="B839"/>
    <hyperlink r:id="rId830" ref="B840"/>
    <hyperlink r:id="rId831" ref="B841"/>
    <hyperlink r:id="rId832" ref="B842"/>
    <hyperlink r:id="rId833" ref="B843"/>
    <hyperlink r:id="rId834" ref="B844"/>
    <hyperlink r:id="rId835" ref="B845"/>
    <hyperlink r:id="rId836" ref="B846"/>
    <hyperlink r:id="rId837" ref="B847"/>
    <hyperlink r:id="rId838" ref="B848"/>
    <hyperlink r:id="rId839" ref="B849"/>
    <hyperlink r:id="rId840" ref="B850"/>
    <hyperlink r:id="rId841" ref="B851"/>
    <hyperlink r:id="rId842" ref="B852"/>
    <hyperlink r:id="rId843" ref="B853"/>
    <hyperlink r:id="rId844" ref="B854"/>
    <hyperlink r:id="rId845" ref="B855"/>
    <hyperlink r:id="rId846" ref="B856"/>
    <hyperlink r:id="rId847" ref="B857"/>
    <hyperlink r:id="rId848" ref="B858"/>
    <hyperlink r:id="rId849" ref="B859"/>
    <hyperlink r:id="rId850" ref="B860"/>
    <hyperlink r:id="rId851" ref="B861"/>
    <hyperlink r:id="rId852" ref="B862"/>
    <hyperlink r:id="rId853" ref="B863"/>
    <hyperlink r:id="rId854" ref="B864"/>
    <hyperlink r:id="rId855" ref="B865"/>
    <hyperlink r:id="rId856" ref="B866"/>
    <hyperlink r:id="rId857" ref="B867"/>
    <hyperlink r:id="rId858" ref="B868"/>
    <hyperlink r:id="rId859" ref="B869"/>
    <hyperlink r:id="rId860" ref="B870"/>
    <hyperlink r:id="rId861" ref="B871"/>
    <hyperlink r:id="rId862" ref="B872"/>
    <hyperlink r:id="rId863" ref="B873"/>
    <hyperlink r:id="rId864" ref="B874"/>
    <hyperlink r:id="rId865" ref="B875"/>
    <hyperlink r:id="rId866" ref="B876"/>
    <hyperlink r:id="rId867" ref="B877"/>
    <hyperlink r:id="rId868" ref="B878"/>
    <hyperlink r:id="rId869" ref="B879"/>
    <hyperlink r:id="rId870" ref="B880"/>
    <hyperlink r:id="rId871" ref="B881"/>
    <hyperlink r:id="rId872" ref="B882"/>
    <hyperlink r:id="rId873" ref="B883"/>
    <hyperlink r:id="rId874" ref="B884"/>
    <hyperlink r:id="rId875" ref="B885"/>
    <hyperlink r:id="rId876" ref="B886"/>
    <hyperlink r:id="rId877" ref="B887"/>
    <hyperlink r:id="rId878" ref="B888"/>
    <hyperlink r:id="rId879" ref="B889"/>
    <hyperlink r:id="rId880" ref="B890"/>
    <hyperlink r:id="rId881" ref="B891"/>
    <hyperlink r:id="rId882" ref="B892"/>
    <hyperlink r:id="rId883" ref="B893"/>
    <hyperlink r:id="rId884" ref="B894"/>
    <hyperlink r:id="rId885" ref="B895"/>
    <hyperlink r:id="rId886" ref="B896"/>
    <hyperlink r:id="rId887" ref="B897"/>
    <hyperlink r:id="rId888" ref="B898"/>
    <hyperlink r:id="rId889" ref="B899"/>
    <hyperlink r:id="rId890" ref="B900"/>
    <hyperlink r:id="rId891" ref="B901"/>
    <hyperlink r:id="rId892" ref="B902"/>
    <hyperlink r:id="rId893" ref="B903"/>
    <hyperlink r:id="rId894" ref="B904"/>
    <hyperlink r:id="rId895" ref="B905"/>
    <hyperlink r:id="rId896" ref="B906"/>
    <hyperlink r:id="rId897" ref="B907"/>
    <hyperlink r:id="rId898" ref="B908"/>
    <hyperlink r:id="rId899" ref="B909"/>
    <hyperlink r:id="rId900" ref="B910"/>
    <hyperlink r:id="rId901" ref="B911"/>
    <hyperlink r:id="rId902" ref="B912"/>
    <hyperlink r:id="rId903" ref="B913"/>
    <hyperlink r:id="rId904" ref="B914"/>
    <hyperlink r:id="rId905" ref="B915"/>
    <hyperlink r:id="rId906" ref="B916"/>
    <hyperlink r:id="rId907" ref="B917"/>
    <hyperlink r:id="rId908" ref="B918"/>
    <hyperlink r:id="rId909" ref="B919"/>
    <hyperlink r:id="rId910" ref="B920"/>
    <hyperlink r:id="rId911" ref="B921"/>
    <hyperlink r:id="rId912" ref="B922"/>
    <hyperlink r:id="rId913" ref="B923"/>
    <hyperlink r:id="rId914" ref="B924"/>
    <hyperlink r:id="rId915" ref="B925"/>
    <hyperlink r:id="rId916" ref="B926"/>
    <hyperlink r:id="rId917" ref="B927"/>
    <hyperlink r:id="rId918" ref="B928"/>
    <hyperlink r:id="rId919" ref="B929"/>
    <hyperlink r:id="rId920" ref="B930"/>
    <hyperlink r:id="rId921" ref="B931"/>
    <hyperlink r:id="rId922" ref="B932"/>
    <hyperlink r:id="rId923" ref="B933"/>
    <hyperlink r:id="rId924" ref="B934"/>
    <hyperlink r:id="rId925" ref="B935"/>
    <hyperlink r:id="rId926" ref="B936"/>
    <hyperlink r:id="rId927" ref="B937"/>
    <hyperlink r:id="rId928" ref="B938"/>
    <hyperlink r:id="rId929" ref="B939"/>
    <hyperlink r:id="rId930" ref="B940"/>
    <hyperlink r:id="rId931" ref="B941"/>
    <hyperlink r:id="rId932" ref="B942"/>
    <hyperlink r:id="rId933" ref="B943"/>
    <hyperlink r:id="rId934" ref="B944"/>
    <hyperlink r:id="rId935" ref="B945"/>
    <hyperlink r:id="rId936" ref="B946"/>
    <hyperlink r:id="rId937" ref="B947"/>
    <hyperlink r:id="rId938" ref="B948"/>
    <hyperlink r:id="rId939" ref="B949"/>
    <hyperlink r:id="rId940" ref="B950"/>
    <hyperlink r:id="rId941" ref="B951"/>
    <hyperlink r:id="rId942" ref="B952"/>
    <hyperlink r:id="rId943" ref="B953"/>
    <hyperlink r:id="rId944" ref="B954"/>
    <hyperlink r:id="rId945" ref="B955"/>
    <hyperlink r:id="rId946" ref="B956"/>
    <hyperlink r:id="rId947" ref="B957"/>
    <hyperlink r:id="rId948" ref="B958"/>
    <hyperlink r:id="rId949" ref="B959"/>
    <hyperlink r:id="rId950" ref="B960"/>
    <hyperlink r:id="rId951" ref="B961"/>
    <hyperlink r:id="rId952" ref="B962"/>
    <hyperlink r:id="rId953" ref="B963"/>
    <hyperlink r:id="rId954" ref="B964"/>
    <hyperlink r:id="rId955" ref="B965"/>
    <hyperlink r:id="rId956" ref="B966"/>
    <hyperlink r:id="rId957" ref="B967"/>
    <hyperlink r:id="rId958" ref="B968"/>
    <hyperlink r:id="rId959" ref="B969"/>
    <hyperlink r:id="rId960" ref="B970"/>
    <hyperlink r:id="rId961" ref="B971"/>
    <hyperlink r:id="rId962" ref="B972"/>
    <hyperlink r:id="rId963" ref="B973"/>
    <hyperlink r:id="rId964" ref="B974"/>
    <hyperlink r:id="rId965" ref="B975"/>
    <hyperlink r:id="rId966" ref="B976"/>
    <hyperlink r:id="rId967" ref="B977"/>
    <hyperlink r:id="rId968" ref="B978"/>
    <hyperlink r:id="rId969" ref="B979"/>
    <hyperlink r:id="rId970" ref="B980"/>
    <hyperlink r:id="rId971" ref="B981"/>
    <hyperlink r:id="rId972" ref="B982"/>
    <hyperlink r:id="rId973" ref="B983"/>
    <hyperlink r:id="rId974" ref="B984"/>
    <hyperlink r:id="rId975" ref="B985"/>
    <hyperlink r:id="rId976" ref="B986"/>
    <hyperlink r:id="rId977" ref="B987"/>
    <hyperlink r:id="rId978" ref="B988"/>
    <hyperlink r:id="rId979" ref="B989"/>
    <hyperlink r:id="rId980" ref="B990"/>
    <hyperlink r:id="rId981" ref="B991"/>
    <hyperlink r:id="rId982" ref="B992"/>
    <hyperlink r:id="rId983" ref="B993"/>
    <hyperlink r:id="rId984" ref="B994"/>
    <hyperlink r:id="rId985" ref="B995"/>
  </hyperlinks>
  <drawing r:id="rId98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5"/>
    <col customWidth="1" min="3" max="3" width="8.88"/>
    <col customWidth="1" min="4" max="4" width="23.5"/>
    <col customWidth="1" min="5" max="5" width="70.0"/>
  </cols>
  <sheetData>
    <row r="1">
      <c r="A1" s="59" t="s">
        <v>11</v>
      </c>
      <c r="B1" s="59" t="s">
        <v>43</v>
      </c>
      <c r="C1" s="60" t="s">
        <v>13</v>
      </c>
      <c r="D1" s="61" t="s">
        <v>14</v>
      </c>
      <c r="E1" s="61" t="s">
        <v>15</v>
      </c>
      <c r="F1" s="62" t="s">
        <v>21</v>
      </c>
      <c r="G1" s="62" t="s">
        <v>52</v>
      </c>
      <c r="H1" s="62" t="s">
        <v>53</v>
      </c>
      <c r="I1" s="62" t="s">
        <v>45</v>
      </c>
      <c r="J1" s="62" t="s">
        <v>17</v>
      </c>
      <c r="K1" s="63" t="s">
        <v>54</v>
      </c>
      <c r="L1" s="64">
        <v>44274.0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</row>
    <row r="2">
      <c r="A2" s="66">
        <v>1794.0</v>
      </c>
      <c r="B2" s="67" t="s">
        <v>55</v>
      </c>
      <c r="C2" s="68" t="s">
        <v>56</v>
      </c>
      <c r="D2" s="63" t="s">
        <v>57</v>
      </c>
      <c r="E2" s="68"/>
      <c r="F2" s="69"/>
      <c r="G2" s="69"/>
      <c r="H2" s="68"/>
      <c r="I2" s="66">
        <v>71.57</v>
      </c>
      <c r="J2" s="70" t="s">
        <v>58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</row>
    <row r="3">
      <c r="A3" s="66">
        <v>1793.0</v>
      </c>
      <c r="B3" s="67" t="s">
        <v>59</v>
      </c>
      <c r="C3" s="68" t="s">
        <v>60</v>
      </c>
      <c r="D3" s="63" t="s">
        <v>61</v>
      </c>
      <c r="E3" s="68" t="s">
        <v>28</v>
      </c>
      <c r="F3" s="69"/>
      <c r="G3" s="69"/>
      <c r="H3" s="68" t="s">
        <v>28</v>
      </c>
      <c r="I3" s="66">
        <v>44.96</v>
      </c>
      <c r="J3" s="70" t="s">
        <v>58</v>
      </c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</row>
    <row r="4">
      <c r="A4" s="66">
        <v>1792.0</v>
      </c>
      <c r="B4" s="67" t="s">
        <v>62</v>
      </c>
      <c r="C4" s="68" t="s">
        <v>56</v>
      </c>
      <c r="D4" s="63" t="s">
        <v>63</v>
      </c>
      <c r="E4" s="68" t="s">
        <v>64</v>
      </c>
      <c r="F4" s="69"/>
      <c r="G4" s="69"/>
      <c r="H4" s="68" t="s">
        <v>64</v>
      </c>
      <c r="I4" s="66">
        <v>57.02</v>
      </c>
      <c r="J4" s="70" t="s">
        <v>58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</row>
    <row r="5">
      <c r="A5" s="66">
        <v>1791.0</v>
      </c>
      <c r="B5" s="67" t="s">
        <v>65</v>
      </c>
      <c r="C5" s="68" t="s">
        <v>56</v>
      </c>
      <c r="D5" s="63" t="s">
        <v>66</v>
      </c>
      <c r="E5" s="68" t="s">
        <v>67</v>
      </c>
      <c r="F5" s="69"/>
      <c r="G5" s="69"/>
      <c r="H5" s="68" t="s">
        <v>67</v>
      </c>
      <c r="I5" s="66">
        <v>85.85</v>
      </c>
      <c r="J5" s="70" t="s">
        <v>58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</row>
    <row r="6">
      <c r="A6" s="66">
        <v>1790.0</v>
      </c>
      <c r="B6" s="67" t="s">
        <v>68</v>
      </c>
      <c r="C6" s="68" t="s">
        <v>69</v>
      </c>
      <c r="D6" s="63" t="s">
        <v>70</v>
      </c>
      <c r="E6" s="68" t="s">
        <v>71</v>
      </c>
      <c r="F6" s="69"/>
      <c r="G6" s="69"/>
      <c r="H6" s="68" t="s">
        <v>71</v>
      </c>
      <c r="I6" s="66">
        <v>65.49</v>
      </c>
      <c r="J6" s="70" t="s">
        <v>58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</row>
    <row r="7">
      <c r="A7" s="66">
        <v>1789.0</v>
      </c>
      <c r="B7" s="67" t="s">
        <v>72</v>
      </c>
      <c r="C7" s="68" t="s">
        <v>69</v>
      </c>
      <c r="D7" s="71"/>
      <c r="E7" s="69"/>
      <c r="F7" s="69"/>
      <c r="G7" s="69"/>
      <c r="H7" s="69"/>
      <c r="I7" s="66">
        <v>78.28</v>
      </c>
      <c r="J7" s="70" t="s">
        <v>73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</row>
    <row r="8">
      <c r="A8" s="66">
        <v>1788.0</v>
      </c>
      <c r="B8" s="67" t="s">
        <v>74</v>
      </c>
      <c r="C8" s="68" t="s">
        <v>60</v>
      </c>
      <c r="D8" s="68" t="s">
        <v>61</v>
      </c>
      <c r="E8" s="68" t="s">
        <v>64</v>
      </c>
      <c r="F8" s="71"/>
      <c r="G8" s="71"/>
      <c r="H8" s="68" t="s">
        <v>64</v>
      </c>
      <c r="I8" s="66">
        <v>70.12</v>
      </c>
      <c r="J8" s="70" t="s">
        <v>58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</row>
    <row r="9">
      <c r="A9" s="66">
        <v>1787.0</v>
      </c>
      <c r="B9" s="67" t="s">
        <v>75</v>
      </c>
      <c r="C9" s="68" t="s">
        <v>60</v>
      </c>
      <c r="D9" s="68" t="s">
        <v>76</v>
      </c>
      <c r="E9" s="68" t="s">
        <v>77</v>
      </c>
      <c r="F9" s="69"/>
      <c r="G9" s="69"/>
      <c r="H9" s="68" t="s">
        <v>78</v>
      </c>
      <c r="I9" s="66">
        <v>35.73</v>
      </c>
      <c r="J9" s="70" t="s">
        <v>58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</row>
    <row r="10">
      <c r="A10" s="66">
        <v>1786.0</v>
      </c>
      <c r="B10" s="67" t="s">
        <v>79</v>
      </c>
      <c r="C10" s="68" t="s">
        <v>56</v>
      </c>
      <c r="D10" s="68" t="s">
        <v>80</v>
      </c>
      <c r="E10" s="68" t="s">
        <v>28</v>
      </c>
      <c r="F10" s="69"/>
      <c r="G10" s="69"/>
      <c r="H10" s="68" t="s">
        <v>28</v>
      </c>
      <c r="I10" s="66">
        <v>35.93</v>
      </c>
      <c r="J10" s="70" t="s">
        <v>58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</row>
    <row r="11">
      <c r="A11" s="72">
        <v>1785.0</v>
      </c>
      <c r="B11" s="67" t="s">
        <v>81</v>
      </c>
      <c r="C11" s="70" t="s">
        <v>56</v>
      </c>
      <c r="D11" s="70" t="s">
        <v>61</v>
      </c>
      <c r="E11" s="70" t="s">
        <v>82</v>
      </c>
      <c r="F11" s="73"/>
      <c r="G11" s="73"/>
      <c r="H11" s="70" t="s">
        <v>82</v>
      </c>
      <c r="I11" s="72">
        <v>38.88</v>
      </c>
      <c r="J11" s="70" t="s">
        <v>58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</row>
    <row r="12">
      <c r="A12" s="72">
        <v>1784.0</v>
      </c>
      <c r="B12" s="67" t="s">
        <v>83</v>
      </c>
      <c r="C12" s="70" t="s">
        <v>69</v>
      </c>
      <c r="D12" s="70" t="s">
        <v>61</v>
      </c>
      <c r="E12" s="70" t="s">
        <v>84</v>
      </c>
      <c r="F12" s="73"/>
      <c r="G12" s="73"/>
      <c r="H12" s="70" t="s">
        <v>84</v>
      </c>
      <c r="I12" s="72">
        <v>41.67</v>
      </c>
      <c r="J12" s="70" t="s">
        <v>58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</row>
    <row r="13">
      <c r="A13" s="72">
        <v>1783.0</v>
      </c>
      <c r="B13" s="67" t="s">
        <v>85</v>
      </c>
      <c r="C13" s="70" t="s">
        <v>56</v>
      </c>
      <c r="D13" s="73"/>
      <c r="E13" s="70" t="s">
        <v>64</v>
      </c>
      <c r="F13" s="73"/>
      <c r="G13" s="73"/>
      <c r="H13" s="70" t="s">
        <v>64</v>
      </c>
      <c r="I13" s="72">
        <v>91.45</v>
      </c>
      <c r="J13" s="70" t="s">
        <v>73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</row>
    <row r="14">
      <c r="A14" s="72">
        <v>1782.0</v>
      </c>
      <c r="B14" s="67" t="s">
        <v>86</v>
      </c>
      <c r="C14" s="70" t="s">
        <v>60</v>
      </c>
      <c r="D14" s="70" t="s">
        <v>66</v>
      </c>
      <c r="E14" s="70" t="s">
        <v>87</v>
      </c>
      <c r="F14" s="70" t="s">
        <v>28</v>
      </c>
      <c r="G14" s="70" t="s">
        <v>28</v>
      </c>
      <c r="H14" s="70" t="s">
        <v>87</v>
      </c>
      <c r="I14" s="72">
        <v>31.49</v>
      </c>
      <c r="J14" s="70" t="s">
        <v>58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</row>
    <row r="15">
      <c r="A15" s="72">
        <v>1781.0</v>
      </c>
      <c r="B15" s="67" t="s">
        <v>88</v>
      </c>
      <c r="C15" s="70" t="s">
        <v>56</v>
      </c>
      <c r="D15" s="70" t="s">
        <v>89</v>
      </c>
      <c r="E15" s="70" t="s">
        <v>28</v>
      </c>
      <c r="F15" s="73"/>
      <c r="G15" s="73"/>
      <c r="H15" s="70" t="s">
        <v>28</v>
      </c>
      <c r="I15" s="72">
        <v>57.23</v>
      </c>
      <c r="J15" s="70" t="s">
        <v>58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</row>
    <row r="16">
      <c r="A16" s="72">
        <v>1780.0</v>
      </c>
      <c r="B16" s="67" t="s">
        <v>90</v>
      </c>
      <c r="C16" s="70" t="s">
        <v>56</v>
      </c>
      <c r="D16" s="70" t="s">
        <v>91</v>
      </c>
      <c r="E16" s="73"/>
      <c r="F16" s="73"/>
      <c r="G16" s="73"/>
      <c r="H16" s="73"/>
      <c r="I16" s="72">
        <v>63.31</v>
      </c>
      <c r="J16" s="70" t="s">
        <v>58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</row>
    <row r="17">
      <c r="A17" s="72">
        <v>1779.0</v>
      </c>
      <c r="B17" s="67" t="s">
        <v>92</v>
      </c>
      <c r="C17" s="70" t="s">
        <v>69</v>
      </c>
      <c r="D17" s="70" t="s">
        <v>93</v>
      </c>
      <c r="E17" s="70" t="s">
        <v>64</v>
      </c>
      <c r="F17" s="73"/>
      <c r="G17" s="73"/>
      <c r="H17" s="70" t="s">
        <v>64</v>
      </c>
      <c r="I17" s="72">
        <v>67.76</v>
      </c>
      <c r="J17" s="70" t="s">
        <v>58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</row>
    <row r="18">
      <c r="A18" s="72">
        <v>1778.0</v>
      </c>
      <c r="B18" s="67" t="s">
        <v>94</v>
      </c>
      <c r="C18" s="70" t="s">
        <v>56</v>
      </c>
      <c r="D18" s="70" t="s">
        <v>95</v>
      </c>
      <c r="E18" s="70" t="s">
        <v>96</v>
      </c>
      <c r="F18" s="70" t="s">
        <v>28</v>
      </c>
      <c r="G18" s="70" t="s">
        <v>28</v>
      </c>
      <c r="H18" s="70" t="s">
        <v>96</v>
      </c>
      <c r="I18" s="72">
        <v>47.26</v>
      </c>
      <c r="J18" s="70" t="s">
        <v>58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</row>
    <row r="19">
      <c r="A19" s="72">
        <v>1777.0</v>
      </c>
      <c r="B19" s="67" t="s">
        <v>97</v>
      </c>
      <c r="C19" s="70" t="s">
        <v>69</v>
      </c>
      <c r="D19" s="73"/>
      <c r="E19" s="70" t="s">
        <v>64</v>
      </c>
      <c r="F19" s="73"/>
      <c r="G19" s="73"/>
      <c r="H19" s="70" t="s">
        <v>64</v>
      </c>
      <c r="I19" s="72">
        <v>87.45</v>
      </c>
      <c r="J19" s="70" t="s">
        <v>73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</row>
    <row r="20">
      <c r="A20" s="72">
        <v>1776.0</v>
      </c>
      <c r="B20" s="67" t="s">
        <v>98</v>
      </c>
      <c r="C20" s="70" t="s">
        <v>60</v>
      </c>
      <c r="D20" s="70" t="s">
        <v>99</v>
      </c>
      <c r="E20" s="70" t="s">
        <v>28</v>
      </c>
      <c r="F20" s="70" t="s">
        <v>28</v>
      </c>
      <c r="G20" s="70" t="s">
        <v>28</v>
      </c>
      <c r="H20" s="70" t="s">
        <v>28</v>
      </c>
      <c r="I20" s="72">
        <v>44.73</v>
      </c>
      <c r="J20" s="70" t="s">
        <v>58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</row>
    <row r="21">
      <c r="A21" s="72">
        <v>1775.0</v>
      </c>
      <c r="B21" s="67" t="s">
        <v>100</v>
      </c>
      <c r="C21" s="70" t="s">
        <v>56</v>
      </c>
      <c r="D21" s="70" t="s">
        <v>61</v>
      </c>
      <c r="E21" s="70" t="s">
        <v>101</v>
      </c>
      <c r="F21" s="70" t="s">
        <v>102</v>
      </c>
      <c r="G21" s="70" t="s">
        <v>102</v>
      </c>
      <c r="H21" s="70" t="s">
        <v>103</v>
      </c>
      <c r="I21" s="72">
        <v>50.79</v>
      </c>
      <c r="J21" s="70" t="s">
        <v>58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</row>
    <row r="22">
      <c r="A22" s="72">
        <v>1774.0</v>
      </c>
      <c r="B22" s="67" t="s">
        <v>104</v>
      </c>
      <c r="C22" s="70" t="s">
        <v>56</v>
      </c>
      <c r="D22" s="70" t="s">
        <v>61</v>
      </c>
      <c r="E22" s="70" t="s">
        <v>28</v>
      </c>
      <c r="F22" s="73"/>
      <c r="G22" s="73"/>
      <c r="H22" s="70" t="s">
        <v>28</v>
      </c>
      <c r="I22" s="72">
        <v>59.35</v>
      </c>
      <c r="J22" s="70" t="s">
        <v>58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</row>
    <row r="23">
      <c r="A23" s="72">
        <v>1773.0</v>
      </c>
      <c r="B23" s="67" t="s">
        <v>105</v>
      </c>
      <c r="C23" s="70" t="s">
        <v>69</v>
      </c>
      <c r="D23" s="70" t="s">
        <v>106</v>
      </c>
      <c r="E23" s="70" t="s">
        <v>71</v>
      </c>
      <c r="F23" s="73"/>
      <c r="G23" s="73"/>
      <c r="H23" s="70" t="s">
        <v>71</v>
      </c>
      <c r="I23" s="72">
        <v>85.76</v>
      </c>
      <c r="J23" s="70" t="s">
        <v>58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</row>
    <row r="24">
      <c r="A24" s="72">
        <v>1772.0</v>
      </c>
      <c r="B24" s="67" t="s">
        <v>107</v>
      </c>
      <c r="C24" s="70" t="s">
        <v>56</v>
      </c>
      <c r="D24" s="70" t="s">
        <v>108</v>
      </c>
      <c r="E24" s="70" t="s">
        <v>64</v>
      </c>
      <c r="F24" s="73"/>
      <c r="G24" s="73"/>
      <c r="H24" s="70" t="s">
        <v>64</v>
      </c>
      <c r="I24" s="72">
        <v>64.8</v>
      </c>
      <c r="J24" s="70" t="s">
        <v>58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</row>
    <row r="25">
      <c r="A25" s="72">
        <v>1771.0</v>
      </c>
      <c r="B25" s="67" t="s">
        <v>109</v>
      </c>
      <c r="C25" s="70" t="s">
        <v>60</v>
      </c>
      <c r="D25" s="70" t="s">
        <v>76</v>
      </c>
      <c r="E25" s="70" t="s">
        <v>110</v>
      </c>
      <c r="F25" s="73"/>
      <c r="G25" s="73"/>
      <c r="H25" s="70" t="s">
        <v>110</v>
      </c>
      <c r="I25" s="72">
        <v>34.14</v>
      </c>
      <c r="J25" s="70" t="s">
        <v>58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</row>
    <row r="26">
      <c r="A26" s="72">
        <v>1770.0</v>
      </c>
      <c r="B26" s="67" t="s">
        <v>111</v>
      </c>
      <c r="C26" s="70" t="s">
        <v>56</v>
      </c>
      <c r="D26" s="70" t="s">
        <v>76</v>
      </c>
      <c r="E26" s="70" t="s">
        <v>87</v>
      </c>
      <c r="F26" s="70" t="s">
        <v>64</v>
      </c>
      <c r="G26" s="70" t="s">
        <v>64</v>
      </c>
      <c r="H26" s="70" t="s">
        <v>112</v>
      </c>
      <c r="I26" s="72">
        <v>29.05</v>
      </c>
      <c r="J26" s="70" t="s">
        <v>58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>
      <c r="A27" s="72">
        <v>1769.0</v>
      </c>
      <c r="B27" s="67" t="s">
        <v>113</v>
      </c>
      <c r="C27" s="70" t="s">
        <v>56</v>
      </c>
      <c r="D27" s="70" t="s">
        <v>114</v>
      </c>
      <c r="E27" s="70" t="s">
        <v>28</v>
      </c>
      <c r="F27" s="73"/>
      <c r="G27" s="73"/>
      <c r="H27" s="70" t="s">
        <v>28</v>
      </c>
      <c r="I27" s="72">
        <v>87.49</v>
      </c>
      <c r="J27" s="70" t="s">
        <v>58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</row>
    <row r="28">
      <c r="A28" s="72">
        <v>1768.0</v>
      </c>
      <c r="B28" s="67" t="s">
        <v>115</v>
      </c>
      <c r="C28" s="70" t="s">
        <v>69</v>
      </c>
      <c r="D28" s="70" t="s">
        <v>70</v>
      </c>
      <c r="E28" s="70" t="s">
        <v>116</v>
      </c>
      <c r="F28" s="73"/>
      <c r="G28" s="73"/>
      <c r="H28" s="70" t="s">
        <v>116</v>
      </c>
      <c r="I28" s="72">
        <v>76.63</v>
      </c>
      <c r="J28" s="70" t="s">
        <v>58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</row>
    <row r="29">
      <c r="A29" s="72">
        <v>1767.0</v>
      </c>
      <c r="B29" s="67" t="s">
        <v>117</v>
      </c>
      <c r="C29" s="70" t="s">
        <v>60</v>
      </c>
      <c r="D29" s="74"/>
      <c r="E29" s="70" t="s">
        <v>28</v>
      </c>
      <c r="F29" s="73"/>
      <c r="G29" s="73"/>
      <c r="H29" s="70" t="s">
        <v>28</v>
      </c>
      <c r="I29" s="72">
        <v>87.99</v>
      </c>
      <c r="J29" s="70" t="s">
        <v>73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>
      <c r="A30" s="72">
        <v>1766.0</v>
      </c>
      <c r="B30" s="67" t="s">
        <v>118</v>
      </c>
      <c r="C30" s="70" t="s">
        <v>60</v>
      </c>
      <c r="D30" s="70" t="s">
        <v>119</v>
      </c>
      <c r="E30" s="70" t="s">
        <v>28</v>
      </c>
      <c r="F30" s="73"/>
      <c r="G30" s="73"/>
      <c r="H30" s="70" t="s">
        <v>28</v>
      </c>
      <c r="I30" s="72">
        <v>36.74</v>
      </c>
      <c r="J30" s="70" t="s">
        <v>58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</row>
    <row r="31">
      <c r="A31" s="72">
        <v>1765.0</v>
      </c>
      <c r="B31" s="67" t="s">
        <v>120</v>
      </c>
      <c r="C31" s="70" t="s">
        <v>56</v>
      </c>
      <c r="D31" s="70" t="s">
        <v>121</v>
      </c>
      <c r="E31" s="70" t="s">
        <v>28</v>
      </c>
      <c r="F31" s="73"/>
      <c r="G31" s="73"/>
      <c r="H31" s="70" t="s">
        <v>28</v>
      </c>
      <c r="I31" s="72">
        <v>54.71</v>
      </c>
      <c r="J31" s="70" t="s">
        <v>58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</row>
    <row r="32">
      <c r="A32" s="72">
        <v>1764.0</v>
      </c>
      <c r="B32" s="67" t="s">
        <v>122</v>
      </c>
      <c r="C32" s="70" t="s">
        <v>56</v>
      </c>
      <c r="D32" s="70" t="s">
        <v>114</v>
      </c>
      <c r="E32" s="70" t="s">
        <v>64</v>
      </c>
      <c r="F32" s="73"/>
      <c r="G32" s="73"/>
      <c r="H32" s="70" t="s">
        <v>64</v>
      </c>
      <c r="I32" s="72">
        <v>55.07</v>
      </c>
      <c r="J32" s="70" t="s">
        <v>58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</row>
    <row r="33">
      <c r="A33" s="72">
        <v>1763.0</v>
      </c>
      <c r="B33" s="67" t="s">
        <v>123</v>
      </c>
      <c r="C33" s="70" t="s">
        <v>69</v>
      </c>
      <c r="D33" s="70" t="s">
        <v>70</v>
      </c>
      <c r="E33" s="70" t="s">
        <v>67</v>
      </c>
      <c r="F33" s="73"/>
      <c r="G33" s="73"/>
      <c r="H33" s="70" t="s">
        <v>67</v>
      </c>
      <c r="I33" s="72">
        <v>61.46</v>
      </c>
      <c r="J33" s="70" t="s">
        <v>58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</row>
    <row r="34">
      <c r="A34" s="72">
        <v>1762.0</v>
      </c>
      <c r="B34" s="67" t="s">
        <v>124</v>
      </c>
      <c r="C34" s="70" t="s">
        <v>56</v>
      </c>
      <c r="D34" s="70" t="s">
        <v>61</v>
      </c>
      <c r="E34" s="70" t="s">
        <v>71</v>
      </c>
      <c r="F34" s="70" t="s">
        <v>71</v>
      </c>
      <c r="G34" s="70" t="s">
        <v>71</v>
      </c>
      <c r="H34" s="70" t="s">
        <v>71</v>
      </c>
      <c r="I34" s="72">
        <v>81.67</v>
      </c>
      <c r="J34" s="70" t="s">
        <v>58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</row>
    <row r="35">
      <c r="A35" s="72">
        <v>1761.0</v>
      </c>
      <c r="B35" s="67" t="s">
        <v>125</v>
      </c>
      <c r="C35" s="70" t="s">
        <v>60</v>
      </c>
      <c r="D35" s="70" t="s">
        <v>66</v>
      </c>
      <c r="E35" s="70" t="s">
        <v>64</v>
      </c>
      <c r="F35" s="70" t="s">
        <v>64</v>
      </c>
      <c r="G35" s="70" t="s">
        <v>64</v>
      </c>
      <c r="H35" s="70" t="s">
        <v>64</v>
      </c>
      <c r="I35" s="72">
        <v>37.32</v>
      </c>
      <c r="J35" s="70" t="s">
        <v>58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</row>
    <row r="36">
      <c r="A36" s="72">
        <v>1760.0</v>
      </c>
      <c r="B36" s="67" t="s">
        <v>126</v>
      </c>
      <c r="C36" s="70" t="s">
        <v>56</v>
      </c>
      <c r="D36" s="70" t="s">
        <v>127</v>
      </c>
      <c r="E36" s="70" t="s">
        <v>128</v>
      </c>
      <c r="F36" s="73"/>
      <c r="G36" s="73"/>
      <c r="H36" s="70" t="s">
        <v>128</v>
      </c>
      <c r="I36" s="72">
        <v>52.52</v>
      </c>
      <c r="J36" s="70" t="s">
        <v>58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</row>
    <row r="37">
      <c r="A37" s="72">
        <v>1759.0</v>
      </c>
      <c r="B37" s="67" t="s">
        <v>129</v>
      </c>
      <c r="C37" s="70" t="s">
        <v>56</v>
      </c>
      <c r="D37" s="70" t="s">
        <v>57</v>
      </c>
      <c r="E37" s="70" t="s">
        <v>130</v>
      </c>
      <c r="F37" s="73"/>
      <c r="G37" s="73"/>
      <c r="H37" s="70" t="s">
        <v>130</v>
      </c>
      <c r="I37" s="72">
        <v>42.08</v>
      </c>
      <c r="J37" s="70" t="s">
        <v>58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</row>
    <row r="38">
      <c r="A38" s="72">
        <v>1758.0</v>
      </c>
      <c r="B38" s="67" t="s">
        <v>131</v>
      </c>
      <c r="C38" s="70" t="s">
        <v>69</v>
      </c>
      <c r="D38" s="70" t="s">
        <v>114</v>
      </c>
      <c r="E38" s="70" t="s">
        <v>132</v>
      </c>
      <c r="F38" s="73"/>
      <c r="G38" s="73"/>
      <c r="H38" s="70" t="s">
        <v>132</v>
      </c>
      <c r="I38" s="72">
        <v>58.55</v>
      </c>
      <c r="J38" s="70" t="s">
        <v>58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</row>
    <row r="39">
      <c r="A39" s="72">
        <v>1757.0</v>
      </c>
      <c r="B39" s="67" t="s">
        <v>133</v>
      </c>
      <c r="C39" s="70" t="s">
        <v>69</v>
      </c>
      <c r="D39" s="73"/>
      <c r="E39" s="70" t="s">
        <v>71</v>
      </c>
      <c r="F39" s="70" t="s">
        <v>71</v>
      </c>
      <c r="G39" s="70" t="s">
        <v>71</v>
      </c>
      <c r="H39" s="70" t="s">
        <v>71</v>
      </c>
      <c r="I39" s="72">
        <v>96.09</v>
      </c>
      <c r="J39" s="70" t="s">
        <v>73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</row>
    <row r="40">
      <c r="A40" s="72">
        <v>1756.0</v>
      </c>
      <c r="B40" s="67" t="s">
        <v>134</v>
      </c>
      <c r="C40" s="70" t="s">
        <v>56</v>
      </c>
      <c r="D40" s="70" t="s">
        <v>135</v>
      </c>
      <c r="E40" s="70" t="s">
        <v>28</v>
      </c>
      <c r="F40" s="73"/>
      <c r="G40" s="73"/>
      <c r="H40" s="70" t="s">
        <v>28</v>
      </c>
      <c r="I40" s="72">
        <v>77.91</v>
      </c>
      <c r="J40" s="70" t="s">
        <v>58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</row>
    <row r="41">
      <c r="A41" s="72">
        <v>1755.0</v>
      </c>
      <c r="B41" s="67" t="s">
        <v>136</v>
      </c>
      <c r="C41" s="70" t="s">
        <v>60</v>
      </c>
      <c r="D41" s="70" t="s">
        <v>137</v>
      </c>
      <c r="E41" s="70" t="s">
        <v>138</v>
      </c>
      <c r="F41" s="73"/>
      <c r="G41" s="73"/>
      <c r="H41" s="70" t="s">
        <v>138</v>
      </c>
      <c r="I41" s="72">
        <v>35.67</v>
      </c>
      <c r="J41" s="70" t="s">
        <v>58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</row>
    <row r="42">
      <c r="A42" s="72">
        <v>1754.0</v>
      </c>
      <c r="B42" s="67" t="s">
        <v>139</v>
      </c>
      <c r="C42" s="70" t="s">
        <v>56</v>
      </c>
      <c r="D42" s="70" t="s">
        <v>140</v>
      </c>
      <c r="E42" s="70" t="s">
        <v>141</v>
      </c>
      <c r="F42" s="73"/>
      <c r="G42" s="73"/>
      <c r="H42" s="70" t="s">
        <v>141</v>
      </c>
      <c r="I42" s="72">
        <v>40.26</v>
      </c>
      <c r="J42" s="70" t="s">
        <v>58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</row>
    <row r="43">
      <c r="A43" s="72">
        <v>1753.0</v>
      </c>
      <c r="B43" s="67" t="s">
        <v>142</v>
      </c>
      <c r="C43" s="70" t="s">
        <v>56</v>
      </c>
      <c r="D43" s="75" t="s">
        <v>143</v>
      </c>
      <c r="E43" s="70" t="s">
        <v>28</v>
      </c>
      <c r="F43" s="73"/>
      <c r="G43" s="73"/>
      <c r="H43" s="70" t="s">
        <v>28</v>
      </c>
      <c r="I43" s="72">
        <v>61.34</v>
      </c>
      <c r="J43" s="70" t="s">
        <v>58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</row>
    <row r="44">
      <c r="A44" s="72">
        <v>1752.0</v>
      </c>
      <c r="B44" s="67" t="s">
        <v>144</v>
      </c>
      <c r="C44" s="75" t="s">
        <v>69</v>
      </c>
      <c r="D44" s="76" t="s">
        <v>93</v>
      </c>
      <c r="E44" s="70" t="s">
        <v>145</v>
      </c>
      <c r="F44" s="73"/>
      <c r="G44" s="73"/>
      <c r="H44" s="70" t="s">
        <v>145</v>
      </c>
      <c r="I44" s="72">
        <v>62.42</v>
      </c>
      <c r="J44" s="70" t="s">
        <v>58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</row>
    <row r="45">
      <c r="A45" s="72">
        <v>1751.0</v>
      </c>
      <c r="B45" s="67" t="s">
        <v>146</v>
      </c>
      <c r="C45" s="76" t="s">
        <v>60</v>
      </c>
      <c r="D45" s="76" t="s">
        <v>147</v>
      </c>
      <c r="E45" s="70" t="s">
        <v>148</v>
      </c>
      <c r="F45" s="73"/>
      <c r="G45" s="73"/>
      <c r="H45" s="70" t="s">
        <v>149</v>
      </c>
      <c r="I45" s="72">
        <v>47.77</v>
      </c>
      <c r="J45" s="70" t="s">
        <v>58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</row>
    <row r="46">
      <c r="A46" s="72">
        <v>1750.0</v>
      </c>
      <c r="B46" s="67" t="s">
        <v>150</v>
      </c>
      <c r="C46" s="70" t="s">
        <v>56</v>
      </c>
      <c r="D46" s="70" t="s">
        <v>151</v>
      </c>
      <c r="E46" s="70" t="s">
        <v>152</v>
      </c>
      <c r="F46" s="73"/>
      <c r="G46" s="73"/>
      <c r="H46" s="70" t="s">
        <v>153</v>
      </c>
      <c r="I46" s="72">
        <v>42.62</v>
      </c>
      <c r="J46" s="70" t="s">
        <v>58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</row>
    <row r="47">
      <c r="A47" s="72">
        <v>1749.0</v>
      </c>
      <c r="B47" s="67" t="s">
        <v>154</v>
      </c>
      <c r="C47" s="70" t="s">
        <v>56</v>
      </c>
      <c r="D47" s="70" t="s">
        <v>61</v>
      </c>
      <c r="E47" s="73"/>
      <c r="F47" s="73"/>
      <c r="G47" s="73"/>
      <c r="H47" s="73"/>
      <c r="I47" s="72">
        <v>51.95</v>
      </c>
      <c r="J47" s="70" t="s">
        <v>58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</row>
    <row r="48">
      <c r="A48" s="72">
        <v>1748.0</v>
      </c>
      <c r="B48" s="67" t="s">
        <v>155</v>
      </c>
      <c r="C48" s="70" t="s">
        <v>69</v>
      </c>
      <c r="D48" s="70" t="s">
        <v>156</v>
      </c>
      <c r="E48" s="70" t="s">
        <v>71</v>
      </c>
      <c r="F48" s="73"/>
      <c r="G48" s="73"/>
      <c r="H48" s="70" t="s">
        <v>71</v>
      </c>
      <c r="I48" s="72">
        <v>75.21</v>
      </c>
      <c r="J48" s="70" t="s">
        <v>58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>
      <c r="A49" s="72">
        <v>1747.0</v>
      </c>
      <c r="B49" s="67" t="s">
        <v>157</v>
      </c>
      <c r="C49" s="70" t="s">
        <v>56</v>
      </c>
      <c r="D49" s="74"/>
      <c r="E49" s="70" t="s">
        <v>158</v>
      </c>
      <c r="F49" s="73"/>
      <c r="G49" s="73"/>
      <c r="H49" s="70" t="s">
        <v>158</v>
      </c>
      <c r="I49" s="72">
        <v>70.08</v>
      </c>
      <c r="J49" s="70" t="s">
        <v>73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>
      <c r="A50" s="72">
        <v>1746.0</v>
      </c>
      <c r="B50" s="67" t="s">
        <v>159</v>
      </c>
      <c r="C50" s="70" t="s">
        <v>56</v>
      </c>
      <c r="D50" s="70" t="s">
        <v>76</v>
      </c>
      <c r="E50" s="70" t="s">
        <v>138</v>
      </c>
      <c r="F50" s="73"/>
      <c r="G50" s="73"/>
      <c r="H50" s="70" t="s">
        <v>138</v>
      </c>
      <c r="I50" s="72">
        <v>61.68</v>
      </c>
      <c r="J50" s="70" t="s">
        <v>58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>
      <c r="A51" s="72">
        <v>1745.0</v>
      </c>
      <c r="B51" s="67" t="s">
        <v>160</v>
      </c>
      <c r="C51" s="70" t="s">
        <v>60</v>
      </c>
      <c r="D51" s="70" t="s">
        <v>161</v>
      </c>
      <c r="E51" s="70" t="s">
        <v>162</v>
      </c>
      <c r="F51" s="73"/>
      <c r="G51" s="73"/>
      <c r="H51" s="70" t="s">
        <v>163</v>
      </c>
      <c r="I51" s="72">
        <v>49.22</v>
      </c>
      <c r="J51" s="70" t="s">
        <v>58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>
      <c r="A52" s="72">
        <v>1744.0</v>
      </c>
      <c r="B52" s="67" t="s">
        <v>164</v>
      </c>
      <c r="C52" s="70" t="s">
        <v>56</v>
      </c>
      <c r="D52" s="70" t="s">
        <v>99</v>
      </c>
      <c r="E52" s="70" t="s">
        <v>165</v>
      </c>
      <c r="F52" s="73"/>
      <c r="G52" s="73"/>
      <c r="H52" s="70" t="s">
        <v>165</v>
      </c>
      <c r="I52" s="72">
        <v>30.46</v>
      </c>
      <c r="J52" s="70" t="s">
        <v>58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>
      <c r="A53" s="72">
        <v>1743.0</v>
      </c>
      <c r="B53" s="67" t="s">
        <v>166</v>
      </c>
      <c r="C53" s="70" t="s">
        <v>56</v>
      </c>
      <c r="D53" s="70" t="s">
        <v>61</v>
      </c>
      <c r="E53" s="70" t="s">
        <v>167</v>
      </c>
      <c r="F53" s="73"/>
      <c r="G53" s="73"/>
      <c r="H53" s="70" t="s">
        <v>167</v>
      </c>
      <c r="I53" s="72">
        <v>63.07</v>
      </c>
      <c r="J53" s="70" t="s">
        <v>58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>
      <c r="A54" s="72">
        <v>1742.0</v>
      </c>
      <c r="B54" s="67" t="s">
        <v>168</v>
      </c>
      <c r="C54" s="70" t="s">
        <v>69</v>
      </c>
      <c r="D54" s="70" t="s">
        <v>93</v>
      </c>
      <c r="E54" s="70" t="s">
        <v>169</v>
      </c>
      <c r="F54" s="73"/>
      <c r="G54" s="73"/>
      <c r="H54" s="70" t="s">
        <v>170</v>
      </c>
      <c r="I54" s="72">
        <v>74.34</v>
      </c>
      <c r="J54" s="70" t="s">
        <v>58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>
      <c r="A55" s="72">
        <v>1741.0</v>
      </c>
      <c r="B55" s="67" t="s">
        <v>171</v>
      </c>
      <c r="C55" s="70" t="s">
        <v>69</v>
      </c>
      <c r="D55" s="73"/>
      <c r="E55" s="70" t="s">
        <v>64</v>
      </c>
      <c r="F55" s="73"/>
      <c r="G55" s="73"/>
      <c r="H55" s="70" t="s">
        <v>64</v>
      </c>
      <c r="I55" s="72">
        <v>91.14</v>
      </c>
      <c r="J55" s="70" t="s">
        <v>73</v>
      </c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>
      <c r="A56" s="72">
        <v>1740.0</v>
      </c>
      <c r="B56" s="67" t="s">
        <v>172</v>
      </c>
      <c r="C56" s="70" t="s">
        <v>56</v>
      </c>
      <c r="D56" s="70" t="s">
        <v>173</v>
      </c>
      <c r="E56" s="70" t="s">
        <v>64</v>
      </c>
      <c r="F56" s="70" t="s">
        <v>64</v>
      </c>
      <c r="G56" s="70" t="s">
        <v>64</v>
      </c>
      <c r="H56" s="70" t="s">
        <v>64</v>
      </c>
      <c r="I56" s="72">
        <v>68.52</v>
      </c>
      <c r="J56" s="70" t="s">
        <v>58</v>
      </c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>
      <c r="A57" s="72">
        <v>1739.0</v>
      </c>
      <c r="B57" s="67" t="s">
        <v>174</v>
      </c>
      <c r="C57" s="70" t="s">
        <v>60</v>
      </c>
      <c r="D57" s="70" t="s">
        <v>175</v>
      </c>
      <c r="E57" s="70" t="s">
        <v>176</v>
      </c>
      <c r="F57" s="70" t="s">
        <v>176</v>
      </c>
      <c r="G57" s="70" t="s">
        <v>176</v>
      </c>
      <c r="H57" s="70" t="s">
        <v>176</v>
      </c>
      <c r="I57" s="72">
        <v>49.57</v>
      </c>
      <c r="J57" s="70" t="s">
        <v>58</v>
      </c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>
      <c r="A58" s="72">
        <v>1738.0</v>
      </c>
      <c r="B58" s="67" t="s">
        <v>177</v>
      </c>
      <c r="C58" s="70" t="s">
        <v>56</v>
      </c>
      <c r="D58" s="70" t="s">
        <v>93</v>
      </c>
      <c r="E58" s="70" t="s">
        <v>28</v>
      </c>
      <c r="F58" s="73"/>
      <c r="G58" s="73"/>
      <c r="H58" s="70" t="s">
        <v>28</v>
      </c>
      <c r="I58" s="72">
        <v>62.44</v>
      </c>
      <c r="J58" s="70" t="s">
        <v>58</v>
      </c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>
      <c r="A59" s="72">
        <v>1737.0</v>
      </c>
      <c r="B59" s="67" t="s">
        <v>178</v>
      </c>
      <c r="C59" s="70" t="s">
        <v>56</v>
      </c>
      <c r="D59" s="70" t="s">
        <v>57</v>
      </c>
      <c r="E59" s="70" t="s">
        <v>28</v>
      </c>
      <c r="F59" s="73"/>
      <c r="G59" s="73"/>
      <c r="H59" s="70" t="s">
        <v>28</v>
      </c>
      <c r="I59" s="72">
        <v>29.61</v>
      </c>
      <c r="J59" s="70" t="s">
        <v>58</v>
      </c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>
      <c r="A60" s="72">
        <v>1736.0</v>
      </c>
      <c r="B60" s="67" t="s">
        <v>179</v>
      </c>
      <c r="C60" s="70" t="s">
        <v>69</v>
      </c>
      <c r="D60" s="70" t="s">
        <v>57</v>
      </c>
      <c r="E60" s="70" t="s">
        <v>28</v>
      </c>
      <c r="F60" s="73"/>
      <c r="G60" s="73"/>
      <c r="H60" s="70" t="s">
        <v>28</v>
      </c>
      <c r="I60" s="72">
        <v>41.13</v>
      </c>
      <c r="J60" s="70" t="s">
        <v>58</v>
      </c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>
      <c r="A61" s="72">
        <v>1735.0</v>
      </c>
      <c r="B61" s="67" t="s">
        <v>180</v>
      </c>
      <c r="C61" s="70" t="s">
        <v>60</v>
      </c>
      <c r="D61" s="70" t="s">
        <v>99</v>
      </c>
      <c r="E61" s="70" t="s">
        <v>64</v>
      </c>
      <c r="F61" s="73"/>
      <c r="G61" s="73"/>
      <c r="H61" s="70" t="s">
        <v>64</v>
      </c>
      <c r="I61" s="72">
        <v>48.04</v>
      </c>
      <c r="J61" s="70" t="s">
        <v>58</v>
      </c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>
      <c r="A62" s="72">
        <v>1734.0</v>
      </c>
      <c r="B62" s="67" t="s">
        <v>181</v>
      </c>
      <c r="C62" s="70" t="s">
        <v>56</v>
      </c>
      <c r="D62" s="70" t="s">
        <v>182</v>
      </c>
      <c r="E62" s="70" t="s">
        <v>64</v>
      </c>
      <c r="F62" s="73"/>
      <c r="G62" s="73"/>
      <c r="H62" s="70" t="s">
        <v>64</v>
      </c>
      <c r="I62" s="72">
        <v>52.81</v>
      </c>
      <c r="J62" s="70" t="s">
        <v>58</v>
      </c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>
      <c r="A63" s="72">
        <v>1733.0</v>
      </c>
      <c r="B63" s="67" t="s">
        <v>183</v>
      </c>
      <c r="C63" s="70" t="s">
        <v>56</v>
      </c>
      <c r="D63" s="70" t="s">
        <v>114</v>
      </c>
      <c r="E63" s="70" t="s">
        <v>184</v>
      </c>
      <c r="F63" s="73"/>
      <c r="G63" s="73"/>
      <c r="H63" s="70" t="s">
        <v>184</v>
      </c>
      <c r="I63" s="72">
        <v>37.31</v>
      </c>
      <c r="J63" s="70" t="s">
        <v>58</v>
      </c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>
      <c r="A64" s="72">
        <v>1732.0</v>
      </c>
      <c r="B64" s="67" t="s">
        <v>185</v>
      </c>
      <c r="C64" s="70" t="s">
        <v>69</v>
      </c>
      <c r="D64" s="70" t="s">
        <v>93</v>
      </c>
      <c r="E64" s="73"/>
      <c r="F64" s="73"/>
      <c r="G64" s="73"/>
      <c r="H64" s="73"/>
      <c r="I64" s="72">
        <v>80.32</v>
      </c>
      <c r="J64" s="70" t="s">
        <v>58</v>
      </c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>
      <c r="A65" s="72">
        <v>1731.0</v>
      </c>
      <c r="B65" s="67" t="s">
        <v>186</v>
      </c>
      <c r="C65" s="70" t="s">
        <v>69</v>
      </c>
      <c r="D65" s="73"/>
      <c r="E65" s="70" t="s">
        <v>187</v>
      </c>
      <c r="F65" s="73"/>
      <c r="G65" s="73"/>
      <c r="H65" s="70" t="s">
        <v>187</v>
      </c>
      <c r="I65" s="72">
        <v>49.01</v>
      </c>
      <c r="J65" s="70" t="s">
        <v>73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>
      <c r="A66" s="72">
        <v>1730.0</v>
      </c>
      <c r="B66" s="67" t="s">
        <v>188</v>
      </c>
      <c r="C66" s="70" t="s">
        <v>56</v>
      </c>
      <c r="D66" s="70" t="s">
        <v>95</v>
      </c>
      <c r="E66" s="70" t="s">
        <v>189</v>
      </c>
      <c r="F66" s="73"/>
      <c r="G66" s="73"/>
      <c r="H66" s="70" t="s">
        <v>189</v>
      </c>
      <c r="I66" s="72">
        <v>56.74</v>
      </c>
      <c r="J66" s="70" t="s">
        <v>58</v>
      </c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>
      <c r="A67" s="72">
        <v>1729.0</v>
      </c>
      <c r="B67" s="67" t="s">
        <v>190</v>
      </c>
      <c r="C67" s="70" t="s">
        <v>69</v>
      </c>
      <c r="D67" s="73"/>
      <c r="E67" s="70" t="s">
        <v>132</v>
      </c>
      <c r="F67" s="73"/>
      <c r="G67" s="73"/>
      <c r="H67" s="70" t="s">
        <v>132</v>
      </c>
      <c r="I67" s="72">
        <v>71.65</v>
      </c>
      <c r="J67" s="70" t="s">
        <v>73</v>
      </c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>
      <c r="A68" s="72">
        <v>1728.0</v>
      </c>
      <c r="B68" s="67" t="s">
        <v>191</v>
      </c>
      <c r="C68" s="70" t="s">
        <v>60</v>
      </c>
      <c r="D68" s="75" t="s">
        <v>76</v>
      </c>
      <c r="E68" s="70" t="s">
        <v>28</v>
      </c>
      <c r="F68" s="73"/>
      <c r="G68" s="73"/>
      <c r="H68" s="70" t="s">
        <v>28</v>
      </c>
      <c r="I68" s="72">
        <v>40.99</v>
      </c>
      <c r="J68" s="70" t="s">
        <v>58</v>
      </c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>
      <c r="A69" s="72">
        <v>1727.0</v>
      </c>
      <c r="B69" s="67" t="s">
        <v>192</v>
      </c>
      <c r="C69" s="75" t="s">
        <v>56</v>
      </c>
      <c r="D69" s="76" t="s">
        <v>193</v>
      </c>
      <c r="E69" s="70" t="s">
        <v>194</v>
      </c>
      <c r="F69" s="73"/>
      <c r="G69" s="73"/>
      <c r="H69" s="70" t="s">
        <v>195</v>
      </c>
      <c r="I69" s="72">
        <v>58.49</v>
      </c>
      <c r="J69" s="70" t="s">
        <v>58</v>
      </c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>
      <c r="A70" s="72">
        <v>1726.0</v>
      </c>
      <c r="B70" s="67" t="s">
        <v>196</v>
      </c>
      <c r="C70" s="76" t="s">
        <v>56</v>
      </c>
      <c r="D70" s="76" t="s">
        <v>156</v>
      </c>
      <c r="E70" s="70" t="s">
        <v>28</v>
      </c>
      <c r="F70" s="73"/>
      <c r="G70" s="73"/>
      <c r="H70" s="70" t="s">
        <v>28</v>
      </c>
      <c r="I70" s="72">
        <v>56.36</v>
      </c>
      <c r="J70" s="70" t="s">
        <v>58</v>
      </c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>
      <c r="A71" s="72">
        <v>1725.0</v>
      </c>
      <c r="B71" s="67" t="s">
        <v>197</v>
      </c>
      <c r="C71" s="70" t="s">
        <v>69</v>
      </c>
      <c r="D71" s="70" t="s">
        <v>61</v>
      </c>
      <c r="E71" s="70" t="s">
        <v>198</v>
      </c>
      <c r="F71" s="73"/>
      <c r="G71" s="73"/>
      <c r="H71" s="70" t="s">
        <v>198</v>
      </c>
      <c r="I71" s="72">
        <v>77.88</v>
      </c>
      <c r="J71" s="70" t="s">
        <v>58</v>
      </c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>
      <c r="A72" s="72">
        <v>1724.0</v>
      </c>
      <c r="B72" s="67" t="s">
        <v>199</v>
      </c>
      <c r="C72" s="70" t="s">
        <v>60</v>
      </c>
      <c r="D72" s="70" t="s">
        <v>200</v>
      </c>
      <c r="E72" s="70" t="s">
        <v>28</v>
      </c>
      <c r="F72" s="73"/>
      <c r="G72" s="73"/>
      <c r="H72" s="70" t="s">
        <v>28</v>
      </c>
      <c r="I72" s="72">
        <v>56.55</v>
      </c>
      <c r="J72" s="70" t="s">
        <v>58</v>
      </c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>
      <c r="A73" s="72">
        <v>1723.0</v>
      </c>
      <c r="B73" s="67" t="s">
        <v>201</v>
      </c>
      <c r="C73" s="70" t="s">
        <v>60</v>
      </c>
      <c r="D73" s="70" t="s">
        <v>202</v>
      </c>
      <c r="E73" s="75" t="s">
        <v>64</v>
      </c>
      <c r="F73" s="73"/>
      <c r="G73" s="73"/>
      <c r="H73" s="70" t="s">
        <v>64</v>
      </c>
      <c r="I73" s="72">
        <v>43.72</v>
      </c>
      <c r="J73" s="70" t="s">
        <v>58</v>
      </c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>
      <c r="A74" s="72">
        <v>1722.0</v>
      </c>
      <c r="B74" s="67" t="s">
        <v>203</v>
      </c>
      <c r="C74" s="70" t="s">
        <v>56</v>
      </c>
      <c r="D74" s="75" t="s">
        <v>204</v>
      </c>
      <c r="E74" s="76" t="s">
        <v>28</v>
      </c>
      <c r="F74" s="73"/>
      <c r="G74" s="73"/>
      <c r="H74" s="70" t="s">
        <v>28</v>
      </c>
      <c r="I74" s="72">
        <v>54.34</v>
      </c>
      <c r="J74" s="70" t="s">
        <v>58</v>
      </c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>
      <c r="A75" s="72">
        <v>1721.0</v>
      </c>
      <c r="B75" s="67" t="s">
        <v>205</v>
      </c>
      <c r="C75" s="75" t="s">
        <v>56</v>
      </c>
      <c r="D75" s="76" t="s">
        <v>206</v>
      </c>
      <c r="E75" s="76" t="s">
        <v>64</v>
      </c>
      <c r="F75" s="73"/>
      <c r="G75" s="73"/>
      <c r="H75" s="70" t="s">
        <v>64</v>
      </c>
      <c r="I75" s="72">
        <v>68.24</v>
      </c>
      <c r="J75" s="70" t="s">
        <v>58</v>
      </c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>
      <c r="A76" s="72">
        <v>1720.0</v>
      </c>
      <c r="B76" s="67" t="s">
        <v>207</v>
      </c>
      <c r="C76" s="70" t="s">
        <v>69</v>
      </c>
      <c r="D76" s="70" t="s">
        <v>182</v>
      </c>
      <c r="E76" s="73"/>
      <c r="F76" s="73"/>
      <c r="G76" s="73"/>
      <c r="H76" s="73"/>
      <c r="I76" s="72">
        <v>85.26</v>
      </c>
      <c r="J76" s="70" t="s">
        <v>58</v>
      </c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>
      <c r="A77" s="72">
        <v>1719.0</v>
      </c>
      <c r="B77" s="67" t="s">
        <v>208</v>
      </c>
      <c r="C77" s="70" t="s">
        <v>60</v>
      </c>
      <c r="D77" s="70" t="s">
        <v>209</v>
      </c>
      <c r="E77" s="70" t="s">
        <v>116</v>
      </c>
      <c r="F77" s="73"/>
      <c r="G77" s="73"/>
      <c r="H77" s="70" t="s">
        <v>116</v>
      </c>
      <c r="I77" s="72">
        <v>39.52</v>
      </c>
      <c r="J77" s="70" t="s">
        <v>58</v>
      </c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>
      <c r="A78" s="72">
        <v>1718.0</v>
      </c>
      <c r="B78" s="67" t="s">
        <v>210</v>
      </c>
      <c r="C78" s="70" t="s">
        <v>56</v>
      </c>
      <c r="D78" s="70" t="s">
        <v>202</v>
      </c>
      <c r="E78" s="70" t="s">
        <v>211</v>
      </c>
      <c r="F78" s="70" t="s">
        <v>212</v>
      </c>
      <c r="G78" s="70" t="s">
        <v>212</v>
      </c>
      <c r="H78" s="70" t="s">
        <v>213</v>
      </c>
      <c r="I78" s="72">
        <v>46.48</v>
      </c>
      <c r="J78" s="70" t="s">
        <v>58</v>
      </c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>
      <c r="A79" s="72">
        <v>1717.0</v>
      </c>
      <c r="B79" s="67" t="s">
        <v>214</v>
      </c>
      <c r="C79" s="70" t="s">
        <v>56</v>
      </c>
      <c r="D79" s="70" t="s">
        <v>61</v>
      </c>
      <c r="E79" s="70" t="s">
        <v>28</v>
      </c>
      <c r="F79" s="73"/>
      <c r="G79" s="73"/>
      <c r="H79" s="70" t="s">
        <v>28</v>
      </c>
      <c r="I79" s="72">
        <v>40.46</v>
      </c>
      <c r="J79" s="70" t="s">
        <v>58</v>
      </c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>
      <c r="A80" s="72">
        <v>1716.0</v>
      </c>
      <c r="B80" s="67" t="s">
        <v>215</v>
      </c>
      <c r="C80" s="70" t="s">
        <v>69</v>
      </c>
      <c r="D80" s="70" t="s">
        <v>216</v>
      </c>
      <c r="E80" s="70" t="s">
        <v>217</v>
      </c>
      <c r="F80" s="73"/>
      <c r="G80" s="73"/>
      <c r="H80" s="70" t="s">
        <v>218</v>
      </c>
      <c r="I80" s="72">
        <v>66.38</v>
      </c>
      <c r="J80" s="70" t="s">
        <v>58</v>
      </c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>
      <c r="A81" s="72">
        <v>1715.0</v>
      </c>
      <c r="B81" s="67" t="s">
        <v>219</v>
      </c>
      <c r="C81" s="70" t="s">
        <v>56</v>
      </c>
      <c r="D81" s="73"/>
      <c r="E81" s="73"/>
      <c r="F81" s="73"/>
      <c r="G81" s="73"/>
      <c r="H81" s="73"/>
      <c r="I81" s="72">
        <v>79.53</v>
      </c>
      <c r="J81" s="70" t="s">
        <v>73</v>
      </c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>
      <c r="A82" s="72">
        <v>1714.0</v>
      </c>
      <c r="B82" s="67" t="s">
        <v>220</v>
      </c>
      <c r="C82" s="70" t="s">
        <v>60</v>
      </c>
      <c r="D82" s="73"/>
      <c r="E82" s="70" t="s">
        <v>221</v>
      </c>
      <c r="F82" s="73"/>
      <c r="G82" s="73"/>
      <c r="H82" s="70" t="s">
        <v>222</v>
      </c>
      <c r="I82" s="72">
        <v>48.4</v>
      </c>
      <c r="J82" s="70" t="s">
        <v>58</v>
      </c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>
      <c r="A83" s="72">
        <v>1713.0</v>
      </c>
      <c r="B83" s="67" t="s">
        <v>223</v>
      </c>
      <c r="C83" s="70" t="s">
        <v>60</v>
      </c>
      <c r="D83" s="70" t="s">
        <v>61</v>
      </c>
      <c r="E83" s="70" t="s">
        <v>28</v>
      </c>
      <c r="F83" s="73"/>
      <c r="G83" s="73"/>
      <c r="H83" s="70" t="s">
        <v>28</v>
      </c>
      <c r="I83" s="72">
        <v>45.48</v>
      </c>
      <c r="J83" s="70" t="s">
        <v>58</v>
      </c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>
      <c r="A84" s="72">
        <v>1712.0</v>
      </c>
      <c r="B84" s="67" t="s">
        <v>224</v>
      </c>
      <c r="C84" s="70" t="s">
        <v>56</v>
      </c>
      <c r="D84" s="70" t="s">
        <v>225</v>
      </c>
      <c r="E84" s="70" t="s">
        <v>167</v>
      </c>
      <c r="F84" s="73"/>
      <c r="G84" s="73"/>
      <c r="H84" s="70" t="s">
        <v>167</v>
      </c>
      <c r="I84" s="72">
        <v>29.45</v>
      </c>
      <c r="J84" s="70" t="s">
        <v>58</v>
      </c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>
      <c r="A85" s="72">
        <v>1711.0</v>
      </c>
      <c r="B85" s="67" t="s">
        <v>226</v>
      </c>
      <c r="C85" s="70" t="s">
        <v>56</v>
      </c>
      <c r="D85" s="70" t="s">
        <v>227</v>
      </c>
      <c r="E85" s="70" t="s">
        <v>167</v>
      </c>
      <c r="F85" s="73"/>
      <c r="G85" s="73"/>
      <c r="H85" s="70" t="s">
        <v>167</v>
      </c>
      <c r="I85" s="72">
        <v>26.05</v>
      </c>
      <c r="J85" s="70" t="s">
        <v>58</v>
      </c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>
      <c r="A86" s="72">
        <v>1710.0</v>
      </c>
      <c r="B86" s="67" t="s">
        <v>228</v>
      </c>
      <c r="C86" s="70" t="s">
        <v>69</v>
      </c>
      <c r="D86" s="70" t="s">
        <v>193</v>
      </c>
      <c r="E86" s="70" t="s">
        <v>229</v>
      </c>
      <c r="F86" s="70" t="s">
        <v>230</v>
      </c>
      <c r="G86" s="70" t="s">
        <v>230</v>
      </c>
      <c r="H86" s="70" t="s">
        <v>230</v>
      </c>
      <c r="I86" s="72">
        <v>70.09</v>
      </c>
      <c r="J86" s="70" t="s">
        <v>58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>
      <c r="A87" s="72">
        <v>1709.0</v>
      </c>
      <c r="B87" s="67" t="s">
        <v>231</v>
      </c>
      <c r="C87" s="70" t="s">
        <v>56</v>
      </c>
      <c r="D87" s="74"/>
      <c r="E87" s="73"/>
      <c r="F87" s="73"/>
      <c r="G87" s="73"/>
      <c r="H87" s="73"/>
      <c r="I87" s="72">
        <v>82.65</v>
      </c>
      <c r="J87" s="70" t="s">
        <v>73</v>
      </c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>
      <c r="A88" s="72">
        <v>1708.0</v>
      </c>
      <c r="B88" s="67" t="s">
        <v>232</v>
      </c>
      <c r="C88" s="70" t="s">
        <v>69</v>
      </c>
      <c r="D88" s="70" t="s">
        <v>114</v>
      </c>
      <c r="E88" s="70" t="s">
        <v>28</v>
      </c>
      <c r="F88" s="73"/>
      <c r="G88" s="73"/>
      <c r="H88" s="70" t="s">
        <v>28</v>
      </c>
      <c r="I88" s="72">
        <v>63.02</v>
      </c>
      <c r="J88" s="70" t="s">
        <v>58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>
      <c r="A89" s="72">
        <v>1707.0</v>
      </c>
      <c r="B89" s="67" t="s">
        <v>233</v>
      </c>
      <c r="C89" s="70" t="s">
        <v>60</v>
      </c>
      <c r="D89" s="70" t="s">
        <v>234</v>
      </c>
      <c r="E89" s="70" t="s">
        <v>28</v>
      </c>
      <c r="F89" s="73"/>
      <c r="G89" s="73"/>
      <c r="H89" s="70" t="s">
        <v>28</v>
      </c>
      <c r="I89" s="72">
        <v>46.31</v>
      </c>
      <c r="J89" s="70" t="s">
        <v>58</v>
      </c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>
      <c r="A90" s="72">
        <v>1706.0</v>
      </c>
      <c r="B90" s="67" t="s">
        <v>235</v>
      </c>
      <c r="C90" s="70" t="s">
        <v>56</v>
      </c>
      <c r="D90" s="70" t="s">
        <v>76</v>
      </c>
      <c r="E90" s="70" t="s">
        <v>28</v>
      </c>
      <c r="F90" s="73"/>
      <c r="G90" s="73"/>
      <c r="H90" s="70" t="s">
        <v>28</v>
      </c>
      <c r="I90" s="72">
        <v>60.04</v>
      </c>
      <c r="J90" s="70" t="s">
        <v>58</v>
      </c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>
      <c r="A91" s="72">
        <v>1705.0</v>
      </c>
      <c r="B91" s="67" t="s">
        <v>236</v>
      </c>
      <c r="C91" s="70" t="s">
        <v>56</v>
      </c>
      <c r="D91" s="70" t="s">
        <v>237</v>
      </c>
      <c r="E91" s="70" t="s">
        <v>116</v>
      </c>
      <c r="F91" s="73"/>
      <c r="G91" s="73"/>
      <c r="H91" s="70" t="s">
        <v>116</v>
      </c>
      <c r="I91" s="72">
        <v>41.91</v>
      </c>
      <c r="J91" s="70" t="s">
        <v>58</v>
      </c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>
      <c r="A92" s="72">
        <v>1704.0</v>
      </c>
      <c r="B92" s="67" t="s">
        <v>238</v>
      </c>
      <c r="C92" s="70" t="s">
        <v>69</v>
      </c>
      <c r="D92" s="70" t="s">
        <v>70</v>
      </c>
      <c r="E92" s="73"/>
      <c r="F92" s="73"/>
      <c r="G92" s="73"/>
      <c r="H92" s="73"/>
      <c r="I92" s="72">
        <v>77.04</v>
      </c>
      <c r="J92" s="70" t="s">
        <v>58</v>
      </c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>
      <c r="A93" s="72">
        <v>1703.0</v>
      </c>
      <c r="B93" s="67" t="s">
        <v>239</v>
      </c>
      <c r="C93" s="70" t="s">
        <v>60</v>
      </c>
      <c r="D93" s="70" t="s">
        <v>240</v>
      </c>
      <c r="E93" s="77" t="s">
        <v>241</v>
      </c>
      <c r="F93" s="70" t="s">
        <v>67</v>
      </c>
      <c r="G93" s="70" t="s">
        <v>67</v>
      </c>
      <c r="H93" s="77" t="s">
        <v>242</v>
      </c>
      <c r="I93" s="72">
        <v>39.84</v>
      </c>
      <c r="J93" s="70" t="s">
        <v>58</v>
      </c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>
      <c r="A94" s="72">
        <v>1702.0</v>
      </c>
      <c r="B94" s="67" t="s">
        <v>243</v>
      </c>
      <c r="C94" s="70" t="s">
        <v>56</v>
      </c>
      <c r="D94" s="70" t="s">
        <v>61</v>
      </c>
      <c r="E94" s="70" t="s">
        <v>244</v>
      </c>
      <c r="F94" s="73"/>
      <c r="G94" s="73"/>
      <c r="H94" s="70" t="s">
        <v>244</v>
      </c>
      <c r="I94" s="72">
        <v>59.87</v>
      </c>
      <c r="J94" s="70" t="s">
        <v>58</v>
      </c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>
      <c r="A95" s="72">
        <v>1701.0</v>
      </c>
      <c r="B95" s="67" t="s">
        <v>245</v>
      </c>
      <c r="C95" s="70" t="s">
        <v>56</v>
      </c>
      <c r="D95" s="70" t="s">
        <v>93</v>
      </c>
      <c r="E95" s="70" t="s">
        <v>212</v>
      </c>
      <c r="F95" s="73"/>
      <c r="G95" s="73"/>
      <c r="H95" s="70" t="s">
        <v>212</v>
      </c>
      <c r="I95" s="72">
        <v>61.55</v>
      </c>
      <c r="J95" s="70" t="s">
        <v>58</v>
      </c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>
      <c r="A96" s="72">
        <v>1700.0</v>
      </c>
      <c r="B96" s="67" t="s">
        <v>246</v>
      </c>
      <c r="C96" s="70" t="s">
        <v>69</v>
      </c>
      <c r="D96" s="70" t="s">
        <v>93</v>
      </c>
      <c r="E96" s="70" t="s">
        <v>67</v>
      </c>
      <c r="F96" s="73"/>
      <c r="G96" s="73"/>
      <c r="H96" s="70" t="s">
        <v>67</v>
      </c>
      <c r="I96" s="72">
        <v>68.07</v>
      </c>
      <c r="J96" s="70" t="s">
        <v>58</v>
      </c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>
      <c r="A97" s="72">
        <v>1699.0</v>
      </c>
      <c r="B97" s="67" t="s">
        <v>247</v>
      </c>
      <c r="C97" s="70" t="s">
        <v>56</v>
      </c>
      <c r="D97" s="73"/>
      <c r="E97" s="70" t="s">
        <v>64</v>
      </c>
      <c r="F97" s="73"/>
      <c r="G97" s="73"/>
      <c r="H97" s="70" t="s">
        <v>64</v>
      </c>
      <c r="I97" s="72">
        <v>86.6</v>
      </c>
      <c r="J97" s="70" t="s">
        <v>73</v>
      </c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>
      <c r="A98" s="72">
        <v>1698.0</v>
      </c>
      <c r="B98" s="67" t="s">
        <v>248</v>
      </c>
      <c r="C98" s="70" t="s">
        <v>56</v>
      </c>
      <c r="D98" s="70" t="s">
        <v>249</v>
      </c>
      <c r="E98" s="70" t="s">
        <v>250</v>
      </c>
      <c r="F98" s="73"/>
      <c r="G98" s="73"/>
      <c r="H98" s="70" t="s">
        <v>251</v>
      </c>
      <c r="I98" s="72">
        <v>60.44</v>
      </c>
      <c r="J98" s="70" t="s">
        <v>58</v>
      </c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>
      <c r="A99" s="72">
        <v>1697.0</v>
      </c>
      <c r="B99" s="67" t="s">
        <v>252</v>
      </c>
      <c r="C99" s="70" t="s">
        <v>60</v>
      </c>
      <c r="D99" s="70" t="s">
        <v>253</v>
      </c>
      <c r="E99" s="70" t="s">
        <v>28</v>
      </c>
      <c r="F99" s="70" t="s">
        <v>28</v>
      </c>
      <c r="G99" s="70" t="s">
        <v>28</v>
      </c>
      <c r="H99" s="70" t="s">
        <v>28</v>
      </c>
      <c r="I99" s="72">
        <v>54.53</v>
      </c>
      <c r="J99" s="70" t="s">
        <v>58</v>
      </c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>
      <c r="A100" s="72">
        <v>1696.0</v>
      </c>
      <c r="B100" s="67" t="s">
        <v>254</v>
      </c>
      <c r="C100" s="70" t="s">
        <v>56</v>
      </c>
      <c r="D100" s="70" t="s">
        <v>255</v>
      </c>
      <c r="E100" s="70" t="s">
        <v>256</v>
      </c>
      <c r="F100" s="70" t="s">
        <v>116</v>
      </c>
      <c r="G100" s="70" t="s">
        <v>116</v>
      </c>
      <c r="H100" s="70" t="s">
        <v>256</v>
      </c>
      <c r="I100" s="72">
        <v>52.51</v>
      </c>
      <c r="J100" s="70" t="s">
        <v>58</v>
      </c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>
      <c r="A101" s="72">
        <v>1695.0</v>
      </c>
      <c r="B101" s="67" t="s">
        <v>257</v>
      </c>
      <c r="C101" s="70" t="s">
        <v>56</v>
      </c>
      <c r="D101" s="70" t="s">
        <v>151</v>
      </c>
      <c r="E101" s="70" t="s">
        <v>258</v>
      </c>
      <c r="F101" s="73"/>
      <c r="G101" s="73"/>
      <c r="H101" s="70" t="s">
        <v>258</v>
      </c>
      <c r="I101" s="72">
        <v>49.49</v>
      </c>
      <c r="J101" s="70" t="s">
        <v>58</v>
      </c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>
      <c r="A102" s="72">
        <v>1694.0</v>
      </c>
      <c r="B102" s="67" t="s">
        <v>259</v>
      </c>
      <c r="C102" s="70" t="s">
        <v>69</v>
      </c>
      <c r="D102" s="70" t="s">
        <v>70</v>
      </c>
      <c r="E102" s="70" t="s">
        <v>260</v>
      </c>
      <c r="F102" s="73"/>
      <c r="G102" s="73"/>
      <c r="H102" s="70" t="s">
        <v>260</v>
      </c>
      <c r="I102" s="72">
        <v>65.61</v>
      </c>
      <c r="J102" s="70" t="s">
        <v>58</v>
      </c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>
      <c r="A103" s="72">
        <v>1693.0</v>
      </c>
      <c r="B103" s="67" t="s">
        <v>261</v>
      </c>
      <c r="C103" s="70" t="s">
        <v>69</v>
      </c>
      <c r="D103" s="73"/>
      <c r="E103" s="73"/>
      <c r="F103" s="73"/>
      <c r="G103" s="73"/>
      <c r="H103" s="73"/>
      <c r="I103" s="72">
        <v>90.79</v>
      </c>
      <c r="J103" s="70" t="s">
        <v>73</v>
      </c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>
      <c r="A104" s="72">
        <v>1692.0</v>
      </c>
      <c r="B104" s="67" t="s">
        <v>262</v>
      </c>
      <c r="C104" s="70" t="s">
        <v>60</v>
      </c>
      <c r="D104" s="70" t="s">
        <v>76</v>
      </c>
      <c r="E104" s="70" t="s">
        <v>28</v>
      </c>
      <c r="F104" s="73"/>
      <c r="G104" s="73"/>
      <c r="H104" s="70" t="s">
        <v>28</v>
      </c>
      <c r="I104" s="72">
        <v>62.59</v>
      </c>
      <c r="J104" s="70" t="s">
        <v>58</v>
      </c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>
      <c r="A105" s="72">
        <v>1691.0</v>
      </c>
      <c r="B105" s="67" t="s">
        <v>263</v>
      </c>
      <c r="C105" s="70" t="s">
        <v>60</v>
      </c>
      <c r="D105" s="70" t="s">
        <v>264</v>
      </c>
      <c r="E105" s="70" t="s">
        <v>265</v>
      </c>
      <c r="F105" s="73"/>
      <c r="G105" s="73"/>
      <c r="H105" s="70" t="s">
        <v>265</v>
      </c>
      <c r="I105" s="72">
        <v>50.13</v>
      </c>
      <c r="J105" s="70" t="s">
        <v>58</v>
      </c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>
      <c r="A106" s="72">
        <v>1690.0</v>
      </c>
      <c r="B106" s="67" t="s">
        <v>266</v>
      </c>
      <c r="C106" s="70" t="s">
        <v>56</v>
      </c>
      <c r="D106" s="70" t="s">
        <v>76</v>
      </c>
      <c r="E106" s="70" t="s">
        <v>267</v>
      </c>
      <c r="F106" s="73"/>
      <c r="G106" s="73"/>
      <c r="H106" s="70" t="s">
        <v>267</v>
      </c>
      <c r="I106" s="72">
        <v>48.54</v>
      </c>
      <c r="J106" s="70" t="s">
        <v>58</v>
      </c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>
      <c r="A107" s="72">
        <v>1689.0</v>
      </c>
      <c r="B107" s="67" t="s">
        <v>268</v>
      </c>
      <c r="C107" s="70" t="s">
        <v>56</v>
      </c>
      <c r="D107" s="70" t="s">
        <v>61</v>
      </c>
      <c r="E107" s="70" t="s">
        <v>269</v>
      </c>
      <c r="F107" s="73"/>
      <c r="G107" s="73"/>
      <c r="H107" s="70" t="s">
        <v>269</v>
      </c>
      <c r="I107" s="72">
        <v>87.19</v>
      </c>
      <c r="J107" s="70" t="s">
        <v>58</v>
      </c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>
      <c r="A108" s="72">
        <v>1688.0</v>
      </c>
      <c r="B108" s="67" t="s">
        <v>270</v>
      </c>
      <c r="C108" s="70" t="s">
        <v>69</v>
      </c>
      <c r="D108" s="70" t="s">
        <v>271</v>
      </c>
      <c r="E108" s="73"/>
      <c r="F108" s="73"/>
      <c r="G108" s="73"/>
      <c r="H108" s="73"/>
      <c r="I108" s="72">
        <v>81.57</v>
      </c>
      <c r="J108" s="70" t="s">
        <v>58</v>
      </c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>
      <c r="A109" s="72">
        <v>1687.0</v>
      </c>
      <c r="B109" s="67" t="s">
        <v>272</v>
      </c>
      <c r="C109" s="70" t="s">
        <v>60</v>
      </c>
      <c r="D109" s="70" t="s">
        <v>273</v>
      </c>
      <c r="E109" s="70" t="s">
        <v>269</v>
      </c>
      <c r="F109" s="73"/>
      <c r="G109" s="73"/>
      <c r="H109" s="70" t="s">
        <v>269</v>
      </c>
      <c r="I109" s="72">
        <v>34.99</v>
      </c>
      <c r="J109" s="70" t="s">
        <v>58</v>
      </c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>
      <c r="A110" s="72">
        <v>1686.0</v>
      </c>
      <c r="B110" s="67" t="s">
        <v>274</v>
      </c>
      <c r="C110" s="70" t="s">
        <v>56</v>
      </c>
      <c r="D110" s="70" t="s">
        <v>61</v>
      </c>
      <c r="E110" s="70" t="s">
        <v>275</v>
      </c>
      <c r="F110" s="73"/>
      <c r="G110" s="73"/>
      <c r="H110" s="70" t="s">
        <v>275</v>
      </c>
      <c r="I110" s="72">
        <v>49.66</v>
      </c>
      <c r="J110" s="70" t="s">
        <v>58</v>
      </c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>
      <c r="A111" s="72">
        <v>1685.0</v>
      </c>
      <c r="B111" s="67" t="s">
        <v>276</v>
      </c>
      <c r="C111" s="70" t="s">
        <v>56</v>
      </c>
      <c r="D111" s="70" t="s">
        <v>216</v>
      </c>
      <c r="E111" s="73"/>
      <c r="F111" s="73"/>
      <c r="G111" s="73"/>
      <c r="H111" s="73"/>
      <c r="I111" s="72">
        <v>62.82</v>
      </c>
      <c r="J111" s="70" t="s">
        <v>58</v>
      </c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>
      <c r="A112" s="72">
        <v>1684.0</v>
      </c>
      <c r="B112" s="67" t="s">
        <v>277</v>
      </c>
      <c r="C112" s="70" t="s">
        <v>69</v>
      </c>
      <c r="D112" s="70" t="s">
        <v>70</v>
      </c>
      <c r="E112" s="70" t="s">
        <v>167</v>
      </c>
      <c r="F112" s="73"/>
      <c r="G112" s="73"/>
      <c r="H112" s="70" t="s">
        <v>167</v>
      </c>
      <c r="I112" s="72">
        <v>82.11</v>
      </c>
      <c r="J112" s="70" t="s">
        <v>58</v>
      </c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>
      <c r="A113" s="72">
        <v>1683.0</v>
      </c>
      <c r="B113" s="67" t="s">
        <v>278</v>
      </c>
      <c r="C113" s="70" t="s">
        <v>69</v>
      </c>
      <c r="D113" s="73"/>
      <c r="E113" s="70" t="s">
        <v>82</v>
      </c>
      <c r="F113" s="73"/>
      <c r="G113" s="73"/>
      <c r="H113" s="70" t="s">
        <v>82</v>
      </c>
      <c r="I113" s="72">
        <v>90.9</v>
      </c>
      <c r="J113" s="70" t="s">
        <v>73</v>
      </c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>
      <c r="A114" s="72">
        <v>1682.0</v>
      </c>
      <c r="B114" s="67" t="s">
        <v>279</v>
      </c>
      <c r="C114" s="70" t="s">
        <v>56</v>
      </c>
      <c r="D114" s="70" t="s">
        <v>161</v>
      </c>
      <c r="E114" s="70" t="s">
        <v>176</v>
      </c>
      <c r="F114" s="73"/>
      <c r="G114" s="73"/>
      <c r="H114" s="70" t="s">
        <v>176</v>
      </c>
      <c r="I114" s="72">
        <v>51.59</v>
      </c>
      <c r="J114" s="70" t="s">
        <v>58</v>
      </c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>
      <c r="A115" s="72">
        <v>1681.0</v>
      </c>
      <c r="B115" s="67" t="s">
        <v>280</v>
      </c>
      <c r="C115" s="70" t="s">
        <v>60</v>
      </c>
      <c r="D115" s="70" t="s">
        <v>281</v>
      </c>
      <c r="E115" s="70" t="s">
        <v>67</v>
      </c>
      <c r="F115" s="73"/>
      <c r="G115" s="73"/>
      <c r="H115" s="70" t="s">
        <v>67</v>
      </c>
      <c r="I115" s="72">
        <v>35.72</v>
      </c>
      <c r="J115" s="70" t="s">
        <v>58</v>
      </c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>
      <c r="A116" s="72">
        <v>1680.0</v>
      </c>
      <c r="B116" s="67" t="s">
        <v>282</v>
      </c>
      <c r="C116" s="70" t="s">
        <v>56</v>
      </c>
      <c r="D116" s="70" t="s">
        <v>99</v>
      </c>
      <c r="E116" s="70" t="s">
        <v>64</v>
      </c>
      <c r="F116" s="73"/>
      <c r="G116" s="73"/>
      <c r="H116" s="70" t="s">
        <v>64</v>
      </c>
      <c r="I116" s="72">
        <v>52.26</v>
      </c>
      <c r="J116" s="70" t="s">
        <v>58</v>
      </c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>
      <c r="A117" s="72">
        <v>1679.0</v>
      </c>
      <c r="B117" s="67" t="s">
        <v>283</v>
      </c>
      <c r="C117" s="70" t="s">
        <v>56</v>
      </c>
      <c r="D117" s="70" t="s">
        <v>284</v>
      </c>
      <c r="E117" s="70" t="s">
        <v>285</v>
      </c>
      <c r="F117" s="73"/>
      <c r="G117" s="73"/>
      <c r="H117" s="70" t="s">
        <v>285</v>
      </c>
      <c r="I117" s="72">
        <v>53.95</v>
      </c>
      <c r="J117" s="70" t="s">
        <v>58</v>
      </c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>
      <c r="A118" s="72">
        <v>1678.0</v>
      </c>
      <c r="B118" s="67" t="s">
        <v>286</v>
      </c>
      <c r="C118" s="70" t="s">
        <v>69</v>
      </c>
      <c r="D118" s="70" t="s">
        <v>70</v>
      </c>
      <c r="E118" s="73"/>
      <c r="F118" s="73"/>
      <c r="G118" s="73"/>
      <c r="H118" s="73"/>
      <c r="I118" s="72">
        <v>85.38</v>
      </c>
      <c r="J118" s="70" t="s">
        <v>58</v>
      </c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>
      <c r="A119" s="72">
        <v>1677.0</v>
      </c>
      <c r="B119" s="67" t="s">
        <v>287</v>
      </c>
      <c r="C119" s="70" t="s">
        <v>69</v>
      </c>
      <c r="D119" s="73"/>
      <c r="E119" s="73"/>
      <c r="F119" s="73"/>
      <c r="G119" s="73"/>
      <c r="H119" s="73"/>
      <c r="I119" s="72">
        <v>73.17</v>
      </c>
      <c r="J119" s="70" t="s">
        <v>73</v>
      </c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>
      <c r="A120" s="72">
        <v>1676.0</v>
      </c>
      <c r="B120" s="67" t="s">
        <v>288</v>
      </c>
      <c r="C120" s="70" t="s">
        <v>56</v>
      </c>
      <c r="D120" s="70" t="s">
        <v>289</v>
      </c>
      <c r="E120" s="70" t="s">
        <v>64</v>
      </c>
      <c r="F120" s="73"/>
      <c r="G120" s="73"/>
      <c r="H120" s="70" t="s">
        <v>64</v>
      </c>
      <c r="I120" s="72">
        <v>79.02</v>
      </c>
      <c r="J120" s="70" t="s">
        <v>58</v>
      </c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>
      <c r="A121" s="72">
        <v>1675.0</v>
      </c>
      <c r="B121" s="67" t="s">
        <v>290</v>
      </c>
      <c r="C121" s="70" t="s">
        <v>60</v>
      </c>
      <c r="D121" s="70" t="s">
        <v>291</v>
      </c>
      <c r="E121" s="70" t="s">
        <v>265</v>
      </c>
      <c r="F121" s="73"/>
      <c r="G121" s="73"/>
      <c r="H121" s="70" t="s">
        <v>265</v>
      </c>
      <c r="I121" s="72">
        <v>48.3</v>
      </c>
      <c r="J121" s="70" t="s">
        <v>58</v>
      </c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>
      <c r="A122" s="72">
        <v>1674.0</v>
      </c>
      <c r="B122" s="67" t="s">
        <v>292</v>
      </c>
      <c r="C122" s="70" t="s">
        <v>56</v>
      </c>
      <c r="D122" s="70" t="s">
        <v>61</v>
      </c>
      <c r="E122" s="70" t="s">
        <v>293</v>
      </c>
      <c r="F122" s="73"/>
      <c r="G122" s="73"/>
      <c r="H122" s="70" t="s">
        <v>293</v>
      </c>
      <c r="I122" s="72">
        <v>34.77</v>
      </c>
      <c r="J122" s="70" t="s">
        <v>58</v>
      </c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>
      <c r="A123" s="72">
        <v>1673.0</v>
      </c>
      <c r="B123" s="67" t="s">
        <v>294</v>
      </c>
      <c r="C123" s="70" t="s">
        <v>56</v>
      </c>
      <c r="D123" s="70" t="s">
        <v>295</v>
      </c>
      <c r="E123" s="70" t="s">
        <v>28</v>
      </c>
      <c r="F123" s="73"/>
      <c r="G123" s="73"/>
      <c r="H123" s="70" t="s">
        <v>28</v>
      </c>
      <c r="I123" s="72">
        <v>45.44</v>
      </c>
      <c r="J123" s="70" t="s">
        <v>58</v>
      </c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>
      <c r="A124" s="72">
        <v>1672.0</v>
      </c>
      <c r="B124" s="67" t="s">
        <v>296</v>
      </c>
      <c r="C124" s="70" t="s">
        <v>69</v>
      </c>
      <c r="D124" s="70" t="s">
        <v>93</v>
      </c>
      <c r="E124" s="70" t="s">
        <v>297</v>
      </c>
      <c r="F124" s="70" t="s">
        <v>298</v>
      </c>
      <c r="G124" s="70" t="s">
        <v>298</v>
      </c>
      <c r="H124" s="70" t="s">
        <v>299</v>
      </c>
      <c r="I124" s="72">
        <v>88.2</v>
      </c>
      <c r="J124" s="70" t="s">
        <v>58</v>
      </c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>
      <c r="A125" s="72">
        <v>1671.0</v>
      </c>
      <c r="B125" s="67" t="s">
        <v>300</v>
      </c>
      <c r="C125" s="70" t="s">
        <v>60</v>
      </c>
      <c r="D125" s="70" t="s">
        <v>76</v>
      </c>
      <c r="E125" s="70" t="s">
        <v>67</v>
      </c>
      <c r="F125" s="73"/>
      <c r="G125" s="73"/>
      <c r="H125" s="70" t="s">
        <v>67</v>
      </c>
      <c r="I125" s="72">
        <v>45.65</v>
      </c>
      <c r="J125" s="70" t="s">
        <v>58</v>
      </c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>
      <c r="A126" s="72">
        <v>1670.0</v>
      </c>
      <c r="B126" s="67" t="s">
        <v>301</v>
      </c>
      <c r="C126" s="70" t="s">
        <v>56</v>
      </c>
      <c r="D126" s="70" t="s">
        <v>302</v>
      </c>
      <c r="E126" s="70" t="s">
        <v>64</v>
      </c>
      <c r="F126" s="70" t="s">
        <v>64</v>
      </c>
      <c r="G126" s="70" t="s">
        <v>64</v>
      </c>
      <c r="H126" s="70" t="s">
        <v>64</v>
      </c>
      <c r="I126" s="72">
        <v>54.23</v>
      </c>
      <c r="J126" s="70" t="s">
        <v>58</v>
      </c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>
      <c r="A127" s="72">
        <v>1669.0</v>
      </c>
      <c r="B127" s="67" t="s">
        <v>303</v>
      </c>
      <c r="C127" s="70" t="s">
        <v>56</v>
      </c>
      <c r="D127" s="70" t="s">
        <v>206</v>
      </c>
      <c r="E127" s="70" t="s">
        <v>304</v>
      </c>
      <c r="F127" s="70" t="s">
        <v>305</v>
      </c>
      <c r="G127" s="70" t="s">
        <v>305</v>
      </c>
      <c r="H127" s="70" t="s">
        <v>304</v>
      </c>
      <c r="I127" s="72">
        <v>75.98</v>
      </c>
      <c r="J127" s="70" t="s">
        <v>58</v>
      </c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>
      <c r="A128" s="72">
        <v>1668.0</v>
      </c>
      <c r="B128" s="67" t="s">
        <v>306</v>
      </c>
      <c r="C128" s="70" t="s">
        <v>69</v>
      </c>
      <c r="D128" s="70" t="s">
        <v>70</v>
      </c>
      <c r="E128" s="70" t="s">
        <v>307</v>
      </c>
      <c r="F128" s="70" t="s">
        <v>116</v>
      </c>
      <c r="G128" s="70" t="s">
        <v>116</v>
      </c>
      <c r="H128" s="70" t="s">
        <v>307</v>
      </c>
      <c r="I128" s="72">
        <v>38.71</v>
      </c>
      <c r="J128" s="70" t="s">
        <v>58</v>
      </c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>
      <c r="A129" s="72">
        <v>1667.0</v>
      </c>
      <c r="B129" s="67" t="s">
        <v>308</v>
      </c>
      <c r="C129" s="70" t="s">
        <v>69</v>
      </c>
      <c r="D129" s="73"/>
      <c r="E129" s="73"/>
      <c r="F129" s="73"/>
      <c r="G129" s="73"/>
      <c r="H129" s="73"/>
      <c r="I129" s="72">
        <v>63.08</v>
      </c>
      <c r="J129" s="70" t="s">
        <v>73</v>
      </c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>
      <c r="A130" s="72">
        <v>1666.0</v>
      </c>
      <c r="B130" s="67" t="s">
        <v>309</v>
      </c>
      <c r="C130" s="70" t="s">
        <v>56</v>
      </c>
      <c r="D130" s="70" t="s">
        <v>289</v>
      </c>
      <c r="E130" s="70" t="s">
        <v>28</v>
      </c>
      <c r="F130" s="73"/>
      <c r="G130" s="73"/>
      <c r="H130" s="70" t="s">
        <v>28</v>
      </c>
      <c r="I130" s="72">
        <v>67.99</v>
      </c>
      <c r="J130" s="70" t="s">
        <v>58</v>
      </c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>
      <c r="A131" s="72">
        <v>1665.0</v>
      </c>
      <c r="B131" s="67" t="s">
        <v>310</v>
      </c>
      <c r="C131" s="70" t="s">
        <v>60</v>
      </c>
      <c r="D131" s="70" t="s">
        <v>61</v>
      </c>
      <c r="E131" s="70" t="s">
        <v>311</v>
      </c>
      <c r="F131" s="73"/>
      <c r="G131" s="73"/>
      <c r="H131" s="70" t="s">
        <v>311</v>
      </c>
      <c r="I131" s="72">
        <v>65.48</v>
      </c>
      <c r="J131" s="70" t="s">
        <v>58</v>
      </c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>
      <c r="A132" s="72">
        <v>1664.0</v>
      </c>
      <c r="B132" s="67" t="s">
        <v>312</v>
      </c>
      <c r="C132" s="70" t="s">
        <v>56</v>
      </c>
      <c r="D132" s="70" t="s">
        <v>313</v>
      </c>
      <c r="E132" s="70" t="s">
        <v>314</v>
      </c>
      <c r="F132" s="70" t="s">
        <v>67</v>
      </c>
      <c r="G132" s="70" t="s">
        <v>67</v>
      </c>
      <c r="H132" s="70" t="s">
        <v>314</v>
      </c>
      <c r="I132" s="72">
        <v>62.07</v>
      </c>
      <c r="J132" s="70" t="s">
        <v>58</v>
      </c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>
      <c r="A133" s="72">
        <v>1663.0</v>
      </c>
      <c r="B133" s="67" t="s">
        <v>315</v>
      </c>
      <c r="C133" s="70" t="s">
        <v>56</v>
      </c>
      <c r="D133" s="70" t="s">
        <v>61</v>
      </c>
      <c r="E133" s="70" t="s">
        <v>316</v>
      </c>
      <c r="F133" s="73"/>
      <c r="G133" s="73"/>
      <c r="H133" s="70" t="s">
        <v>316</v>
      </c>
      <c r="I133" s="72">
        <v>64.34</v>
      </c>
      <c r="J133" s="70" t="s">
        <v>58</v>
      </c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>
      <c r="A134" s="72">
        <v>1662.0</v>
      </c>
      <c r="B134" s="67" t="s">
        <v>317</v>
      </c>
      <c r="C134" s="70" t="s">
        <v>69</v>
      </c>
      <c r="D134" s="70" t="s">
        <v>70</v>
      </c>
      <c r="E134" s="70" t="s">
        <v>71</v>
      </c>
      <c r="F134" s="73"/>
      <c r="G134" s="73"/>
      <c r="H134" s="70" t="s">
        <v>71</v>
      </c>
      <c r="I134" s="72">
        <v>82.73</v>
      </c>
      <c r="J134" s="70" t="s">
        <v>58</v>
      </c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>
      <c r="A135" s="72">
        <v>1661.0</v>
      </c>
      <c r="B135" s="67" t="s">
        <v>318</v>
      </c>
      <c r="C135" s="70" t="s">
        <v>69</v>
      </c>
      <c r="D135" s="73"/>
      <c r="E135" s="70" t="s">
        <v>71</v>
      </c>
      <c r="F135" s="73"/>
      <c r="G135" s="73"/>
      <c r="H135" s="70" t="s">
        <v>71</v>
      </c>
      <c r="I135" s="72">
        <v>79.45</v>
      </c>
      <c r="J135" s="70" t="s">
        <v>73</v>
      </c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>
      <c r="A136" s="72">
        <v>1660.0</v>
      </c>
      <c r="B136" s="67" t="s">
        <v>319</v>
      </c>
      <c r="C136" s="70" t="s">
        <v>56</v>
      </c>
      <c r="D136" s="70" t="s">
        <v>320</v>
      </c>
      <c r="E136" s="70" t="s">
        <v>28</v>
      </c>
      <c r="F136" s="73"/>
      <c r="G136" s="73"/>
      <c r="H136" s="70" t="s">
        <v>28</v>
      </c>
      <c r="I136" s="72">
        <v>77.01</v>
      </c>
      <c r="J136" s="70" t="s">
        <v>58</v>
      </c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>
      <c r="A137" s="72">
        <v>1659.0</v>
      </c>
      <c r="B137" s="67" t="s">
        <v>321</v>
      </c>
      <c r="C137" s="70" t="s">
        <v>60</v>
      </c>
      <c r="D137" s="70" t="s">
        <v>322</v>
      </c>
      <c r="E137" s="70" t="s">
        <v>212</v>
      </c>
      <c r="F137" s="73"/>
      <c r="G137" s="73"/>
      <c r="H137" s="70" t="s">
        <v>212</v>
      </c>
      <c r="I137" s="72">
        <v>35.52</v>
      </c>
      <c r="J137" s="70" t="s">
        <v>58</v>
      </c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>
      <c r="A138" s="72">
        <v>1658.0</v>
      </c>
      <c r="B138" s="67" t="s">
        <v>323</v>
      </c>
      <c r="C138" s="70" t="s">
        <v>56</v>
      </c>
      <c r="D138" s="70" t="s">
        <v>324</v>
      </c>
      <c r="E138" s="70" t="s">
        <v>28</v>
      </c>
      <c r="F138" s="70" t="s">
        <v>28</v>
      </c>
      <c r="G138" s="70" t="s">
        <v>28</v>
      </c>
      <c r="H138" s="70" t="s">
        <v>28</v>
      </c>
      <c r="I138" s="72">
        <v>33.32</v>
      </c>
      <c r="J138" s="70" t="s">
        <v>58</v>
      </c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>
      <c r="A139" s="72">
        <v>1657.0</v>
      </c>
      <c r="B139" s="67" t="s">
        <v>325</v>
      </c>
      <c r="C139" s="70" t="s">
        <v>56</v>
      </c>
      <c r="D139" s="70" t="s">
        <v>61</v>
      </c>
      <c r="E139" s="70" t="s">
        <v>326</v>
      </c>
      <c r="F139" s="73"/>
      <c r="G139" s="73"/>
      <c r="H139" s="70" t="s">
        <v>326</v>
      </c>
      <c r="I139" s="72">
        <v>55.33</v>
      </c>
      <c r="J139" s="70" t="s">
        <v>58</v>
      </c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>
      <c r="A140" s="72">
        <v>1656.0</v>
      </c>
      <c r="B140" s="67" t="s">
        <v>327</v>
      </c>
      <c r="C140" s="70" t="s">
        <v>69</v>
      </c>
      <c r="D140" s="70" t="s">
        <v>328</v>
      </c>
      <c r="E140" s="70" t="s">
        <v>189</v>
      </c>
      <c r="F140" s="73"/>
      <c r="G140" s="73"/>
      <c r="H140" s="70" t="s">
        <v>189</v>
      </c>
      <c r="I140" s="72">
        <v>82.05</v>
      </c>
      <c r="J140" s="70" t="s">
        <v>58</v>
      </c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>
      <c r="A141" s="72">
        <v>1655.0</v>
      </c>
      <c r="B141" s="67" t="s">
        <v>329</v>
      </c>
      <c r="C141" s="70" t="s">
        <v>60</v>
      </c>
      <c r="D141" s="70" t="s">
        <v>322</v>
      </c>
      <c r="E141" s="70" t="s">
        <v>28</v>
      </c>
      <c r="F141" s="73"/>
      <c r="G141" s="73"/>
      <c r="H141" s="70" t="s">
        <v>28</v>
      </c>
      <c r="I141" s="72">
        <v>39.96</v>
      </c>
      <c r="J141" s="70" t="s">
        <v>58</v>
      </c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>
      <c r="A142" s="72">
        <v>1654.0</v>
      </c>
      <c r="B142" s="67" t="s">
        <v>330</v>
      </c>
      <c r="C142" s="70" t="s">
        <v>56</v>
      </c>
      <c r="D142" s="70" t="s">
        <v>331</v>
      </c>
      <c r="E142" s="73"/>
      <c r="F142" s="73"/>
      <c r="G142" s="73"/>
      <c r="H142" s="73"/>
      <c r="I142" s="72">
        <v>25.49</v>
      </c>
      <c r="J142" s="70" t="s">
        <v>58</v>
      </c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>
      <c r="A143" s="72">
        <v>1653.0</v>
      </c>
      <c r="B143" s="67" t="s">
        <v>332</v>
      </c>
      <c r="C143" s="70" t="s">
        <v>56</v>
      </c>
      <c r="D143" s="70" t="s">
        <v>57</v>
      </c>
      <c r="E143" s="70" t="s">
        <v>67</v>
      </c>
      <c r="F143" s="73"/>
      <c r="G143" s="73"/>
      <c r="H143" s="70" t="s">
        <v>67</v>
      </c>
      <c r="I143" s="72">
        <v>51.34</v>
      </c>
      <c r="J143" s="70" t="s">
        <v>58</v>
      </c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>
      <c r="A144" s="72">
        <v>1652.0</v>
      </c>
      <c r="B144" s="67" t="s">
        <v>333</v>
      </c>
      <c r="C144" s="70" t="s">
        <v>69</v>
      </c>
      <c r="D144" s="70" t="s">
        <v>93</v>
      </c>
      <c r="E144" s="73"/>
      <c r="F144" s="73"/>
      <c r="G144" s="73"/>
      <c r="H144" s="73"/>
      <c r="I144" s="72">
        <v>62.29</v>
      </c>
      <c r="J144" s="70" t="s">
        <v>58</v>
      </c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>
      <c r="A145" s="72">
        <v>1651.0</v>
      </c>
      <c r="B145" s="67" t="s">
        <v>334</v>
      </c>
      <c r="C145" s="70" t="s">
        <v>60</v>
      </c>
      <c r="D145" s="73"/>
      <c r="E145" s="70" t="s">
        <v>116</v>
      </c>
      <c r="F145" s="73"/>
      <c r="G145" s="73"/>
      <c r="H145" s="70" t="s">
        <v>116</v>
      </c>
      <c r="I145" s="72">
        <v>66.57</v>
      </c>
      <c r="J145" s="70" t="s">
        <v>73</v>
      </c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>
      <c r="A146" s="72">
        <v>1650.0</v>
      </c>
      <c r="B146" s="67" t="s">
        <v>335</v>
      </c>
      <c r="C146" s="70" t="s">
        <v>56</v>
      </c>
      <c r="D146" s="70" t="s">
        <v>320</v>
      </c>
      <c r="E146" s="70" t="s">
        <v>336</v>
      </c>
      <c r="F146" s="70" t="s">
        <v>337</v>
      </c>
      <c r="G146" s="70" t="s">
        <v>337</v>
      </c>
      <c r="H146" s="70" t="s">
        <v>338</v>
      </c>
      <c r="I146" s="72">
        <v>76.35</v>
      </c>
      <c r="J146" s="70" t="s">
        <v>58</v>
      </c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>
      <c r="A147" s="72">
        <v>1649.0</v>
      </c>
      <c r="B147" s="67" t="s">
        <v>339</v>
      </c>
      <c r="C147" s="70" t="s">
        <v>60</v>
      </c>
      <c r="D147" s="70" t="s">
        <v>340</v>
      </c>
      <c r="E147" s="70" t="s">
        <v>311</v>
      </c>
      <c r="F147" s="73"/>
      <c r="G147" s="73"/>
      <c r="H147" s="70" t="s">
        <v>311</v>
      </c>
      <c r="I147" s="72">
        <v>36.37</v>
      </c>
      <c r="J147" s="70" t="s">
        <v>58</v>
      </c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>
      <c r="A148" s="72">
        <v>1648.0</v>
      </c>
      <c r="B148" s="67" t="s">
        <v>341</v>
      </c>
      <c r="C148" s="70" t="s">
        <v>56</v>
      </c>
      <c r="D148" s="70" t="s">
        <v>342</v>
      </c>
      <c r="E148" s="70" t="s">
        <v>343</v>
      </c>
      <c r="F148" s="70" t="s">
        <v>64</v>
      </c>
      <c r="G148" s="70" t="s">
        <v>64</v>
      </c>
      <c r="H148" s="70" t="s">
        <v>343</v>
      </c>
      <c r="I148" s="72">
        <v>30.53</v>
      </c>
      <c r="J148" s="70" t="s">
        <v>58</v>
      </c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>
      <c r="A149" s="72">
        <v>1647.0</v>
      </c>
      <c r="B149" s="67" t="s">
        <v>344</v>
      </c>
      <c r="C149" s="70" t="s">
        <v>56</v>
      </c>
      <c r="D149" s="70" t="s">
        <v>193</v>
      </c>
      <c r="E149" s="70" t="s">
        <v>345</v>
      </c>
      <c r="F149" s="70" t="s">
        <v>346</v>
      </c>
      <c r="G149" s="70" t="s">
        <v>346</v>
      </c>
      <c r="H149" s="70" t="s">
        <v>347</v>
      </c>
      <c r="I149" s="72">
        <v>54.79</v>
      </c>
      <c r="J149" s="70" t="s">
        <v>58</v>
      </c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>
      <c r="A150" s="72">
        <v>1646.0</v>
      </c>
      <c r="B150" s="67" t="s">
        <v>348</v>
      </c>
      <c r="C150" s="70" t="s">
        <v>69</v>
      </c>
      <c r="D150" s="70" t="s">
        <v>93</v>
      </c>
      <c r="E150" s="73"/>
      <c r="F150" s="73"/>
      <c r="G150" s="73"/>
      <c r="H150" s="73"/>
      <c r="I150" s="72">
        <v>53.3</v>
      </c>
      <c r="J150" s="70" t="s">
        <v>58</v>
      </c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>
      <c r="A151" s="72">
        <v>1645.0</v>
      </c>
      <c r="B151" s="67" t="s">
        <v>349</v>
      </c>
      <c r="C151" s="70" t="s">
        <v>60</v>
      </c>
      <c r="D151" s="73"/>
      <c r="E151" s="70" t="s">
        <v>116</v>
      </c>
      <c r="F151" s="73"/>
      <c r="G151" s="73"/>
      <c r="H151" s="70" t="s">
        <v>116</v>
      </c>
      <c r="I151" s="72">
        <v>38.1</v>
      </c>
      <c r="J151" s="70" t="s">
        <v>73</v>
      </c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>
      <c r="A152" s="72">
        <v>1644.0</v>
      </c>
      <c r="B152" s="67" t="s">
        <v>350</v>
      </c>
      <c r="C152" s="70" t="s">
        <v>56</v>
      </c>
      <c r="D152" s="70" t="s">
        <v>320</v>
      </c>
      <c r="E152" s="70" t="s">
        <v>351</v>
      </c>
      <c r="F152" s="70" t="s">
        <v>352</v>
      </c>
      <c r="G152" s="70" t="s">
        <v>352</v>
      </c>
      <c r="H152" s="70" t="s">
        <v>353</v>
      </c>
      <c r="I152" s="72">
        <v>56.36</v>
      </c>
      <c r="J152" s="70" t="s">
        <v>58</v>
      </c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>
      <c r="A153" s="72">
        <v>1643.0</v>
      </c>
      <c r="B153" s="67" t="s">
        <v>354</v>
      </c>
      <c r="C153" s="70" t="s">
        <v>60</v>
      </c>
      <c r="D153" s="70" t="s">
        <v>76</v>
      </c>
      <c r="E153" s="70" t="s">
        <v>355</v>
      </c>
      <c r="F153" s="73"/>
      <c r="G153" s="73"/>
      <c r="H153" s="70" t="s">
        <v>355</v>
      </c>
      <c r="I153" s="72">
        <v>44.15</v>
      </c>
      <c r="J153" s="70" t="s">
        <v>58</v>
      </c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>
      <c r="A154" s="72">
        <v>1642.0</v>
      </c>
      <c r="B154" s="67" t="s">
        <v>356</v>
      </c>
      <c r="C154" s="70" t="s">
        <v>56</v>
      </c>
      <c r="D154" s="70" t="s">
        <v>127</v>
      </c>
      <c r="E154" s="70" t="s">
        <v>357</v>
      </c>
      <c r="F154" s="70" t="s">
        <v>28</v>
      </c>
      <c r="G154" s="70" t="s">
        <v>28</v>
      </c>
      <c r="H154" s="70" t="s">
        <v>357</v>
      </c>
      <c r="I154" s="72">
        <v>50.25</v>
      </c>
      <c r="J154" s="70" t="s">
        <v>58</v>
      </c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>
      <c r="A155" s="72">
        <v>1641.0</v>
      </c>
      <c r="B155" s="67" t="s">
        <v>358</v>
      </c>
      <c r="C155" s="70" t="s">
        <v>56</v>
      </c>
      <c r="D155" s="70" t="s">
        <v>359</v>
      </c>
      <c r="E155" s="70" t="s">
        <v>360</v>
      </c>
      <c r="F155" s="73"/>
      <c r="G155" s="73"/>
      <c r="H155" s="70" t="s">
        <v>360</v>
      </c>
      <c r="I155" s="72">
        <v>76.07</v>
      </c>
      <c r="J155" s="70" t="s">
        <v>58</v>
      </c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>
      <c r="A156" s="72">
        <v>1640.0</v>
      </c>
      <c r="B156" s="67" t="s">
        <v>361</v>
      </c>
      <c r="C156" s="70" t="s">
        <v>69</v>
      </c>
      <c r="D156" s="70" t="s">
        <v>362</v>
      </c>
      <c r="E156" s="70" t="s">
        <v>363</v>
      </c>
      <c r="F156" s="70" t="s">
        <v>116</v>
      </c>
      <c r="G156" s="70" t="s">
        <v>116</v>
      </c>
      <c r="H156" s="70" t="s">
        <v>363</v>
      </c>
      <c r="I156" s="72">
        <v>59.85</v>
      </c>
      <c r="J156" s="70" t="s">
        <v>58</v>
      </c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>
      <c r="A157" s="72">
        <v>1639.0</v>
      </c>
      <c r="B157" s="67" t="s">
        <v>364</v>
      </c>
      <c r="C157" s="70" t="s">
        <v>60</v>
      </c>
      <c r="D157" s="70" t="s">
        <v>76</v>
      </c>
      <c r="E157" s="70" t="s">
        <v>267</v>
      </c>
      <c r="F157" s="73"/>
      <c r="G157" s="73"/>
      <c r="H157" s="70" t="s">
        <v>267</v>
      </c>
      <c r="I157" s="72">
        <v>39.95</v>
      </c>
      <c r="J157" s="70" t="s">
        <v>58</v>
      </c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>
      <c r="A158" s="72">
        <v>1638.0</v>
      </c>
      <c r="B158" s="67" t="s">
        <v>365</v>
      </c>
      <c r="C158" s="70" t="s">
        <v>56</v>
      </c>
      <c r="D158" s="70" t="s">
        <v>366</v>
      </c>
      <c r="E158" s="70" t="s">
        <v>67</v>
      </c>
      <c r="F158" s="73"/>
      <c r="G158" s="73"/>
      <c r="H158" s="70" t="s">
        <v>67</v>
      </c>
      <c r="I158" s="72">
        <v>69.65</v>
      </c>
      <c r="J158" s="70" t="s">
        <v>58</v>
      </c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>
      <c r="A159" s="72">
        <v>1637.0</v>
      </c>
      <c r="B159" s="67" t="s">
        <v>367</v>
      </c>
      <c r="C159" s="70" t="s">
        <v>56</v>
      </c>
      <c r="D159" s="70" t="s">
        <v>368</v>
      </c>
      <c r="E159" s="70" t="s">
        <v>67</v>
      </c>
      <c r="F159" s="73"/>
      <c r="G159" s="73"/>
      <c r="H159" s="70" t="s">
        <v>67</v>
      </c>
      <c r="I159" s="72">
        <v>83.56</v>
      </c>
      <c r="J159" s="70" t="s">
        <v>58</v>
      </c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>
      <c r="A160" s="72">
        <v>1636.0</v>
      </c>
      <c r="B160" s="67" t="s">
        <v>369</v>
      </c>
      <c r="C160" s="70" t="s">
        <v>69</v>
      </c>
      <c r="D160" s="70" t="s">
        <v>370</v>
      </c>
      <c r="E160" s="70" t="s">
        <v>371</v>
      </c>
      <c r="F160" s="70" t="s">
        <v>372</v>
      </c>
      <c r="G160" s="70" t="s">
        <v>372</v>
      </c>
      <c r="H160" s="70" t="s">
        <v>373</v>
      </c>
      <c r="I160" s="72">
        <v>66.82</v>
      </c>
      <c r="J160" s="70" t="s">
        <v>58</v>
      </c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>
      <c r="A161" s="72">
        <v>1635.0</v>
      </c>
      <c r="B161" s="67" t="s">
        <v>374</v>
      </c>
      <c r="C161" s="70" t="s">
        <v>60</v>
      </c>
      <c r="D161" s="73"/>
      <c r="E161" s="70" t="s">
        <v>116</v>
      </c>
      <c r="F161" s="73"/>
      <c r="G161" s="73"/>
      <c r="H161" s="70" t="s">
        <v>116</v>
      </c>
      <c r="I161" s="72">
        <v>55.74</v>
      </c>
      <c r="J161" s="70" t="s">
        <v>73</v>
      </c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>
      <c r="A162" s="72">
        <v>1634.0</v>
      </c>
      <c r="B162" s="67" t="s">
        <v>375</v>
      </c>
      <c r="C162" s="70" t="s">
        <v>56</v>
      </c>
      <c r="D162" s="70" t="s">
        <v>206</v>
      </c>
      <c r="E162" s="70" t="s">
        <v>64</v>
      </c>
      <c r="F162" s="73"/>
      <c r="G162" s="73"/>
      <c r="H162" s="70" t="s">
        <v>64</v>
      </c>
      <c r="I162" s="72">
        <v>55.2</v>
      </c>
      <c r="J162" s="70" t="s">
        <v>58</v>
      </c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>
      <c r="A163" s="72">
        <v>1633.0</v>
      </c>
      <c r="B163" s="67" t="s">
        <v>376</v>
      </c>
      <c r="C163" s="70" t="s">
        <v>69</v>
      </c>
      <c r="D163" s="73"/>
      <c r="E163" s="73"/>
      <c r="F163" s="73"/>
      <c r="G163" s="73"/>
      <c r="H163" s="73"/>
      <c r="I163" s="72">
        <v>71.13</v>
      </c>
      <c r="J163" s="70" t="s">
        <v>73</v>
      </c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>
      <c r="A164" s="72">
        <v>1632.0</v>
      </c>
      <c r="B164" s="67" t="s">
        <v>377</v>
      </c>
      <c r="C164" s="70" t="s">
        <v>60</v>
      </c>
      <c r="D164" s="70" t="s">
        <v>378</v>
      </c>
      <c r="E164" s="70" t="s">
        <v>28</v>
      </c>
      <c r="F164" s="73"/>
      <c r="G164" s="73"/>
      <c r="H164" s="70" t="s">
        <v>28</v>
      </c>
      <c r="I164" s="72">
        <v>30.85</v>
      </c>
      <c r="J164" s="70" t="s">
        <v>58</v>
      </c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>
      <c r="A165" s="72">
        <v>1631.0</v>
      </c>
      <c r="B165" s="67" t="s">
        <v>379</v>
      </c>
      <c r="C165" s="70" t="s">
        <v>56</v>
      </c>
      <c r="D165" s="70" t="s">
        <v>380</v>
      </c>
      <c r="E165" s="70" t="s">
        <v>381</v>
      </c>
      <c r="F165" s="70" t="s">
        <v>382</v>
      </c>
      <c r="G165" s="70" t="s">
        <v>382</v>
      </c>
      <c r="H165" s="70" t="s">
        <v>382</v>
      </c>
      <c r="I165" s="72">
        <v>50.0</v>
      </c>
      <c r="J165" s="70" t="s">
        <v>58</v>
      </c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>
      <c r="A166" s="72">
        <v>1630.0</v>
      </c>
      <c r="B166" s="67" t="s">
        <v>383</v>
      </c>
      <c r="C166" s="70" t="s">
        <v>56</v>
      </c>
      <c r="D166" s="70" t="s">
        <v>368</v>
      </c>
      <c r="E166" s="70" t="s">
        <v>28</v>
      </c>
      <c r="F166" s="73"/>
      <c r="G166" s="73"/>
      <c r="H166" s="70" t="s">
        <v>28</v>
      </c>
      <c r="I166" s="72">
        <v>77.63</v>
      </c>
      <c r="J166" s="70" t="s">
        <v>58</v>
      </c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>
      <c r="A167" s="72">
        <v>1629.0</v>
      </c>
      <c r="B167" s="67" t="s">
        <v>384</v>
      </c>
      <c r="C167" s="70" t="s">
        <v>69</v>
      </c>
      <c r="D167" s="70" t="s">
        <v>93</v>
      </c>
      <c r="E167" s="70" t="s">
        <v>64</v>
      </c>
      <c r="F167" s="70" t="s">
        <v>64</v>
      </c>
      <c r="G167" s="70" t="s">
        <v>64</v>
      </c>
      <c r="H167" s="70" t="s">
        <v>64</v>
      </c>
      <c r="I167" s="72">
        <v>59.22</v>
      </c>
      <c r="J167" s="70" t="s">
        <v>58</v>
      </c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>
      <c r="A168" s="72">
        <v>1628.0</v>
      </c>
      <c r="B168" s="67" t="s">
        <v>385</v>
      </c>
      <c r="C168" s="70" t="s">
        <v>56</v>
      </c>
      <c r="D168" s="70" t="s">
        <v>386</v>
      </c>
      <c r="E168" s="70" t="s">
        <v>64</v>
      </c>
      <c r="F168" s="70" t="s">
        <v>64</v>
      </c>
      <c r="G168" s="70" t="s">
        <v>64</v>
      </c>
      <c r="H168" s="70" t="s">
        <v>64</v>
      </c>
      <c r="I168" s="72">
        <v>80.47</v>
      </c>
      <c r="J168" s="70" t="s">
        <v>58</v>
      </c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>
      <c r="A169" s="72">
        <v>1627.0</v>
      </c>
      <c r="B169" s="67" t="s">
        <v>387</v>
      </c>
      <c r="C169" s="70" t="s">
        <v>60</v>
      </c>
      <c r="D169" s="70" t="s">
        <v>388</v>
      </c>
      <c r="E169" s="70" t="s">
        <v>389</v>
      </c>
      <c r="F169" s="73"/>
      <c r="G169" s="73"/>
      <c r="H169" s="70" t="s">
        <v>389</v>
      </c>
      <c r="I169" s="72">
        <v>39.41</v>
      </c>
      <c r="J169" s="70" t="s">
        <v>58</v>
      </c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>
      <c r="A170" s="72">
        <v>1626.0</v>
      </c>
      <c r="B170" s="67" t="s">
        <v>390</v>
      </c>
      <c r="C170" s="70" t="s">
        <v>56</v>
      </c>
      <c r="D170" s="75" t="s">
        <v>76</v>
      </c>
      <c r="E170" s="70" t="s">
        <v>391</v>
      </c>
      <c r="F170" s="70" t="s">
        <v>116</v>
      </c>
      <c r="G170" s="70" t="s">
        <v>116</v>
      </c>
      <c r="H170" s="70" t="s">
        <v>392</v>
      </c>
      <c r="I170" s="72">
        <v>38.24</v>
      </c>
      <c r="J170" s="70" t="s">
        <v>58</v>
      </c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>
      <c r="A171" s="72">
        <v>1625.0</v>
      </c>
      <c r="B171" s="67" t="s">
        <v>393</v>
      </c>
      <c r="C171" s="75" t="s">
        <v>56</v>
      </c>
      <c r="D171" s="76" t="s">
        <v>394</v>
      </c>
      <c r="E171" s="70" t="s">
        <v>395</v>
      </c>
      <c r="F171" s="73"/>
      <c r="G171" s="73"/>
      <c r="H171" s="70" t="s">
        <v>395</v>
      </c>
      <c r="I171" s="72">
        <v>64.4</v>
      </c>
      <c r="J171" s="70" t="s">
        <v>58</v>
      </c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>
      <c r="A172" s="72">
        <v>1624.0</v>
      </c>
      <c r="B172" s="67" t="s">
        <v>396</v>
      </c>
      <c r="C172" s="76" t="s">
        <v>69</v>
      </c>
      <c r="D172" s="76" t="s">
        <v>70</v>
      </c>
      <c r="E172" s="73"/>
      <c r="F172" s="73"/>
      <c r="G172" s="73"/>
      <c r="H172" s="73"/>
      <c r="I172" s="72">
        <v>58.69</v>
      </c>
      <c r="J172" s="70" t="s">
        <v>58</v>
      </c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>
      <c r="A173" s="72">
        <v>1623.0</v>
      </c>
      <c r="B173" s="67" t="s">
        <v>397</v>
      </c>
      <c r="C173" s="70" t="s">
        <v>69</v>
      </c>
      <c r="D173" s="73"/>
      <c r="E173" s="70" t="s">
        <v>64</v>
      </c>
      <c r="F173" s="73"/>
      <c r="G173" s="73"/>
      <c r="H173" s="70" t="s">
        <v>64</v>
      </c>
      <c r="I173" s="72">
        <v>88.73</v>
      </c>
      <c r="J173" s="70" t="s">
        <v>73</v>
      </c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>
      <c r="A174" s="72">
        <v>1622.0</v>
      </c>
      <c r="B174" s="67" t="s">
        <v>398</v>
      </c>
      <c r="C174" s="70" t="s">
        <v>60</v>
      </c>
      <c r="D174" s="70" t="s">
        <v>399</v>
      </c>
      <c r="E174" s="75" t="s">
        <v>28</v>
      </c>
      <c r="F174" s="73"/>
      <c r="G174" s="73"/>
      <c r="H174" s="70" t="s">
        <v>28</v>
      </c>
      <c r="I174" s="72">
        <v>14.99</v>
      </c>
      <c r="J174" s="70" t="s">
        <v>58</v>
      </c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>
      <c r="A175" s="72">
        <v>1621.0</v>
      </c>
      <c r="B175" s="67" t="s">
        <v>400</v>
      </c>
      <c r="C175" s="70" t="s">
        <v>56</v>
      </c>
      <c r="D175" s="75" t="s">
        <v>76</v>
      </c>
      <c r="E175" s="76" t="s">
        <v>64</v>
      </c>
      <c r="F175" s="73"/>
      <c r="G175" s="73"/>
      <c r="H175" s="70" t="s">
        <v>64</v>
      </c>
      <c r="I175" s="72">
        <v>41.23</v>
      </c>
      <c r="J175" s="70" t="s">
        <v>58</v>
      </c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>
      <c r="A176" s="72">
        <v>1620.0</v>
      </c>
      <c r="B176" s="67" t="s">
        <v>401</v>
      </c>
      <c r="C176" s="75" t="s">
        <v>56</v>
      </c>
      <c r="D176" s="76" t="s">
        <v>61</v>
      </c>
      <c r="E176" s="76" t="s">
        <v>402</v>
      </c>
      <c r="F176" s="73"/>
      <c r="G176" s="73"/>
      <c r="H176" s="70" t="s">
        <v>403</v>
      </c>
      <c r="I176" s="72">
        <v>37.07</v>
      </c>
      <c r="J176" s="70" t="s">
        <v>58</v>
      </c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>
      <c r="A177" s="72">
        <v>1619.0</v>
      </c>
      <c r="B177" s="67" t="s">
        <v>404</v>
      </c>
      <c r="C177" s="70" t="s">
        <v>69</v>
      </c>
      <c r="D177" s="70" t="s">
        <v>93</v>
      </c>
      <c r="E177" s="70" t="s">
        <v>28</v>
      </c>
      <c r="F177" s="73"/>
      <c r="G177" s="73"/>
      <c r="H177" s="70" t="s">
        <v>28</v>
      </c>
      <c r="I177" s="72">
        <v>64.92</v>
      </c>
      <c r="J177" s="70" t="s">
        <v>58</v>
      </c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>
      <c r="A178" s="72">
        <v>1618.0</v>
      </c>
      <c r="B178" s="67" t="s">
        <v>405</v>
      </c>
      <c r="C178" s="70" t="s">
        <v>56</v>
      </c>
      <c r="D178" s="70" t="s">
        <v>406</v>
      </c>
      <c r="E178" s="70" t="s">
        <v>28</v>
      </c>
      <c r="F178" s="70" t="s">
        <v>28</v>
      </c>
      <c r="G178" s="70" t="s">
        <v>28</v>
      </c>
      <c r="H178" s="70" t="s">
        <v>28</v>
      </c>
      <c r="I178" s="72">
        <v>56.47</v>
      </c>
      <c r="J178" s="70" t="s">
        <v>58</v>
      </c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>
      <c r="A179" s="72">
        <v>1617.0</v>
      </c>
      <c r="B179" s="67" t="s">
        <v>407</v>
      </c>
      <c r="C179" s="70" t="s">
        <v>60</v>
      </c>
      <c r="D179" s="70" t="s">
        <v>271</v>
      </c>
      <c r="E179" s="70" t="s">
        <v>176</v>
      </c>
      <c r="F179" s="73"/>
      <c r="G179" s="73"/>
      <c r="H179" s="70" t="s">
        <v>176</v>
      </c>
      <c r="I179" s="72">
        <v>63.22</v>
      </c>
      <c r="J179" s="70" t="s">
        <v>58</v>
      </c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>
      <c r="A180" s="72">
        <v>1616.0</v>
      </c>
      <c r="B180" s="67" t="s">
        <v>408</v>
      </c>
      <c r="C180" s="70" t="s">
        <v>56</v>
      </c>
      <c r="D180" s="70" t="s">
        <v>409</v>
      </c>
      <c r="E180" s="70" t="s">
        <v>28</v>
      </c>
      <c r="F180" s="70" t="s">
        <v>28</v>
      </c>
      <c r="G180" s="70" t="s">
        <v>28</v>
      </c>
      <c r="H180" s="70" t="s">
        <v>28</v>
      </c>
      <c r="I180" s="72">
        <v>36.13</v>
      </c>
      <c r="J180" s="70" t="s">
        <v>58</v>
      </c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>
      <c r="A181" s="72">
        <v>1615.0</v>
      </c>
      <c r="B181" s="67" t="s">
        <v>410</v>
      </c>
      <c r="C181" s="70" t="s">
        <v>56</v>
      </c>
      <c r="D181" s="70" t="s">
        <v>66</v>
      </c>
      <c r="E181" s="70" t="s">
        <v>411</v>
      </c>
      <c r="F181" s="70" t="s">
        <v>412</v>
      </c>
      <c r="G181" s="70" t="s">
        <v>412</v>
      </c>
      <c r="H181" s="70" t="s">
        <v>412</v>
      </c>
      <c r="I181" s="72">
        <v>52.37</v>
      </c>
      <c r="J181" s="70" t="s">
        <v>58</v>
      </c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>
      <c r="A182" s="72">
        <v>1614.0</v>
      </c>
      <c r="B182" s="67" t="s">
        <v>413</v>
      </c>
      <c r="C182" s="70" t="s">
        <v>69</v>
      </c>
      <c r="D182" s="70" t="s">
        <v>70</v>
      </c>
      <c r="E182" s="70" t="s">
        <v>414</v>
      </c>
      <c r="F182" s="70" t="s">
        <v>415</v>
      </c>
      <c r="G182" s="70" t="s">
        <v>415</v>
      </c>
      <c r="H182" s="70" t="s">
        <v>414</v>
      </c>
      <c r="I182" s="72">
        <v>82.82</v>
      </c>
      <c r="J182" s="70" t="s">
        <v>58</v>
      </c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>
      <c r="A183" s="72">
        <v>1613.0</v>
      </c>
      <c r="B183" s="67" t="s">
        <v>416</v>
      </c>
      <c r="C183" s="70" t="s">
        <v>56</v>
      </c>
      <c r="D183" s="73"/>
      <c r="E183" s="70" t="s">
        <v>64</v>
      </c>
      <c r="F183" s="73"/>
      <c r="G183" s="73"/>
      <c r="H183" s="70" t="s">
        <v>64</v>
      </c>
      <c r="I183" s="72">
        <v>74.17</v>
      </c>
      <c r="J183" s="70" t="s">
        <v>73</v>
      </c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>
      <c r="A184" s="72">
        <v>1612.0</v>
      </c>
      <c r="B184" s="67" t="s">
        <v>417</v>
      </c>
      <c r="C184" s="70" t="s">
        <v>56</v>
      </c>
      <c r="D184" s="70" t="s">
        <v>418</v>
      </c>
      <c r="E184" s="70" t="s">
        <v>28</v>
      </c>
      <c r="F184" s="73"/>
      <c r="G184" s="73"/>
      <c r="H184" s="70" t="s">
        <v>28</v>
      </c>
      <c r="I184" s="72">
        <v>70.02</v>
      </c>
      <c r="J184" s="70" t="s">
        <v>58</v>
      </c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>
      <c r="A185" s="72">
        <v>1611.0</v>
      </c>
      <c r="B185" s="67" t="s">
        <v>419</v>
      </c>
      <c r="C185" s="70" t="s">
        <v>60</v>
      </c>
      <c r="D185" s="70" t="s">
        <v>420</v>
      </c>
      <c r="E185" s="70" t="s">
        <v>421</v>
      </c>
      <c r="F185" s="73"/>
      <c r="G185" s="73"/>
      <c r="H185" s="70" t="s">
        <v>421</v>
      </c>
      <c r="I185" s="72">
        <v>57.29</v>
      </c>
      <c r="J185" s="70" t="s">
        <v>58</v>
      </c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>
      <c r="A186" s="72">
        <v>1610.0</v>
      </c>
      <c r="B186" s="67" t="s">
        <v>422</v>
      </c>
      <c r="C186" s="70" t="s">
        <v>60</v>
      </c>
      <c r="D186" s="70" t="s">
        <v>423</v>
      </c>
      <c r="E186" s="70" t="s">
        <v>424</v>
      </c>
      <c r="F186" s="70" t="s">
        <v>112</v>
      </c>
      <c r="G186" s="70" t="s">
        <v>112</v>
      </c>
      <c r="H186" s="70" t="s">
        <v>425</v>
      </c>
      <c r="I186" s="72">
        <v>30.2</v>
      </c>
      <c r="J186" s="70" t="s">
        <v>58</v>
      </c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>
      <c r="A187" s="72">
        <v>1609.0</v>
      </c>
      <c r="B187" s="67" t="s">
        <v>426</v>
      </c>
      <c r="C187" s="70" t="s">
        <v>56</v>
      </c>
      <c r="D187" s="70" t="s">
        <v>320</v>
      </c>
      <c r="E187" s="70" t="s">
        <v>427</v>
      </c>
      <c r="F187" s="70" t="s">
        <v>428</v>
      </c>
      <c r="G187" s="70" t="s">
        <v>428</v>
      </c>
      <c r="H187" s="70" t="s">
        <v>429</v>
      </c>
      <c r="I187" s="72">
        <v>52.49</v>
      </c>
      <c r="J187" s="70" t="s">
        <v>58</v>
      </c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>
      <c r="A188" s="72">
        <v>1608.0</v>
      </c>
      <c r="B188" s="67" t="s">
        <v>430</v>
      </c>
      <c r="C188" s="70" t="s">
        <v>69</v>
      </c>
      <c r="D188" s="70" t="s">
        <v>93</v>
      </c>
      <c r="E188" s="70" t="s">
        <v>28</v>
      </c>
      <c r="F188" s="73"/>
      <c r="G188" s="73"/>
      <c r="H188" s="70" t="s">
        <v>28</v>
      </c>
      <c r="I188" s="72">
        <v>61.37</v>
      </c>
      <c r="J188" s="70" t="s">
        <v>58</v>
      </c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>
      <c r="A189" s="72">
        <v>1607.0</v>
      </c>
      <c r="B189" s="67" t="s">
        <v>431</v>
      </c>
      <c r="C189" s="70" t="s">
        <v>69</v>
      </c>
      <c r="D189" s="73"/>
      <c r="E189" s="73"/>
      <c r="F189" s="73"/>
      <c r="G189" s="73"/>
      <c r="H189" s="73"/>
      <c r="I189" s="72">
        <v>55.35</v>
      </c>
      <c r="J189" s="70" t="s">
        <v>73</v>
      </c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>
      <c r="A190" s="72">
        <v>1606.0</v>
      </c>
      <c r="B190" s="67" t="s">
        <v>432</v>
      </c>
      <c r="C190" s="70" t="s">
        <v>60</v>
      </c>
      <c r="D190" s="70" t="s">
        <v>433</v>
      </c>
      <c r="E190" s="70" t="s">
        <v>434</v>
      </c>
      <c r="F190" s="73"/>
      <c r="G190" s="73"/>
      <c r="H190" s="70" t="s">
        <v>434</v>
      </c>
      <c r="I190" s="72">
        <v>37.2</v>
      </c>
      <c r="J190" s="70" t="s">
        <v>58</v>
      </c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>
      <c r="A191" s="72">
        <v>1605.0</v>
      </c>
      <c r="B191" s="67" t="s">
        <v>435</v>
      </c>
      <c r="C191" s="70" t="s">
        <v>56</v>
      </c>
      <c r="D191" s="70" t="s">
        <v>61</v>
      </c>
      <c r="E191" s="70" t="s">
        <v>28</v>
      </c>
      <c r="F191" s="73"/>
      <c r="G191" s="73"/>
      <c r="H191" s="70" t="s">
        <v>28</v>
      </c>
      <c r="I191" s="72">
        <v>77.25</v>
      </c>
      <c r="J191" s="70" t="s">
        <v>58</v>
      </c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>
      <c r="A192" s="72">
        <v>1604.0</v>
      </c>
      <c r="B192" s="67" t="s">
        <v>436</v>
      </c>
      <c r="C192" s="70" t="s">
        <v>56</v>
      </c>
      <c r="D192" s="70" t="s">
        <v>437</v>
      </c>
      <c r="E192" s="70" t="s">
        <v>438</v>
      </c>
      <c r="F192" s="70" t="s">
        <v>438</v>
      </c>
      <c r="G192" s="70" t="s">
        <v>438</v>
      </c>
      <c r="H192" s="70" t="s">
        <v>438</v>
      </c>
      <c r="I192" s="72">
        <v>42.71</v>
      </c>
      <c r="J192" s="70" t="s">
        <v>58</v>
      </c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>
      <c r="A193" s="72">
        <v>1603.0</v>
      </c>
      <c r="B193" s="67" t="s">
        <v>439</v>
      </c>
      <c r="C193" s="70" t="s">
        <v>69</v>
      </c>
      <c r="D193" s="70" t="s">
        <v>440</v>
      </c>
      <c r="E193" s="70" t="s">
        <v>64</v>
      </c>
      <c r="F193" s="70" t="s">
        <v>64</v>
      </c>
      <c r="G193" s="70" t="s">
        <v>64</v>
      </c>
      <c r="H193" s="70" t="s">
        <v>64</v>
      </c>
      <c r="I193" s="72">
        <v>86.17</v>
      </c>
      <c r="J193" s="70" t="s">
        <v>58</v>
      </c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>
      <c r="A194" s="72">
        <v>1602.0</v>
      </c>
      <c r="B194" s="67" t="s">
        <v>441</v>
      </c>
      <c r="C194" s="70" t="s">
        <v>56</v>
      </c>
      <c r="D194" s="70" t="s">
        <v>442</v>
      </c>
      <c r="E194" s="70" t="s">
        <v>28</v>
      </c>
      <c r="F194" s="73"/>
      <c r="G194" s="73"/>
      <c r="H194" s="70" t="s">
        <v>28</v>
      </c>
      <c r="I194" s="72">
        <v>73.67</v>
      </c>
      <c r="J194" s="70" t="s">
        <v>58</v>
      </c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>
      <c r="A195" s="72">
        <v>1601.0</v>
      </c>
      <c r="B195" s="67" t="s">
        <v>443</v>
      </c>
      <c r="C195" s="70" t="s">
        <v>60</v>
      </c>
      <c r="D195" s="70" t="s">
        <v>76</v>
      </c>
      <c r="E195" s="70" t="s">
        <v>64</v>
      </c>
      <c r="F195" s="73"/>
      <c r="G195" s="73"/>
      <c r="H195" s="70" t="s">
        <v>64</v>
      </c>
      <c r="I195" s="72">
        <v>47.7</v>
      </c>
      <c r="J195" s="70" t="s">
        <v>58</v>
      </c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>
      <c r="A196" s="72">
        <v>1600.0</v>
      </c>
      <c r="B196" s="67" t="s">
        <v>444</v>
      </c>
      <c r="C196" s="70" t="s">
        <v>56</v>
      </c>
      <c r="D196" s="70" t="s">
        <v>445</v>
      </c>
      <c r="E196" s="70" t="s">
        <v>28</v>
      </c>
      <c r="F196" s="73"/>
      <c r="G196" s="73"/>
      <c r="H196" s="70" t="s">
        <v>28</v>
      </c>
      <c r="I196" s="72">
        <v>60.36</v>
      </c>
      <c r="J196" s="70" t="s">
        <v>58</v>
      </c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>
      <c r="A197" s="72">
        <v>1599.0</v>
      </c>
      <c r="B197" s="67" t="s">
        <v>446</v>
      </c>
      <c r="C197" s="70" t="s">
        <v>56</v>
      </c>
      <c r="D197" s="70" t="s">
        <v>61</v>
      </c>
      <c r="E197" s="70" t="s">
        <v>402</v>
      </c>
      <c r="F197" s="73"/>
      <c r="G197" s="73"/>
      <c r="H197" s="70" t="s">
        <v>403</v>
      </c>
      <c r="I197" s="72">
        <v>43.68</v>
      </c>
      <c r="J197" s="70" t="s">
        <v>58</v>
      </c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>
      <c r="A198" s="72">
        <v>1598.0</v>
      </c>
      <c r="B198" s="67" t="s">
        <v>447</v>
      </c>
      <c r="C198" s="70" t="s">
        <v>69</v>
      </c>
      <c r="D198" s="70" t="s">
        <v>240</v>
      </c>
      <c r="E198" s="70" t="s">
        <v>448</v>
      </c>
      <c r="F198" s="73"/>
      <c r="G198" s="73"/>
      <c r="H198" s="70" t="s">
        <v>448</v>
      </c>
      <c r="I198" s="72">
        <v>63.82</v>
      </c>
      <c r="J198" s="70" t="s">
        <v>58</v>
      </c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>
      <c r="A199" s="72">
        <v>1597.0</v>
      </c>
      <c r="B199" s="67" t="s">
        <v>449</v>
      </c>
      <c r="C199" s="70" t="s">
        <v>60</v>
      </c>
      <c r="D199" s="70" t="s">
        <v>450</v>
      </c>
      <c r="E199" s="70" t="s">
        <v>64</v>
      </c>
      <c r="F199" s="70" t="s">
        <v>64</v>
      </c>
      <c r="G199" s="70" t="s">
        <v>64</v>
      </c>
      <c r="H199" s="70" t="s">
        <v>64</v>
      </c>
      <c r="I199" s="72">
        <v>59.49</v>
      </c>
      <c r="J199" s="70" t="s">
        <v>58</v>
      </c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>
      <c r="A200" s="72">
        <v>1596.0</v>
      </c>
      <c r="B200" s="67" t="s">
        <v>451</v>
      </c>
      <c r="C200" s="70" t="s">
        <v>56</v>
      </c>
      <c r="D200" s="74"/>
      <c r="E200" s="74"/>
      <c r="F200" s="73"/>
      <c r="G200" s="73"/>
      <c r="H200" s="73"/>
      <c r="I200" s="72">
        <v>84.71</v>
      </c>
      <c r="J200" s="70" t="s">
        <v>73</v>
      </c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>
      <c r="A201" s="72">
        <v>1595.0</v>
      </c>
      <c r="B201" s="67" t="s">
        <v>452</v>
      </c>
      <c r="C201" s="70" t="s">
        <v>60</v>
      </c>
      <c r="D201" s="70" t="s">
        <v>80</v>
      </c>
      <c r="E201" s="75" t="s">
        <v>28</v>
      </c>
      <c r="F201" s="73"/>
      <c r="G201" s="73"/>
      <c r="H201" s="70" t="s">
        <v>28</v>
      </c>
      <c r="I201" s="72">
        <v>43.41</v>
      </c>
      <c r="J201" s="70" t="s">
        <v>58</v>
      </c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>
      <c r="A202" s="72">
        <v>1594.0</v>
      </c>
      <c r="B202" s="67" t="s">
        <v>453</v>
      </c>
      <c r="C202" s="70" t="s">
        <v>56</v>
      </c>
      <c r="D202" s="75" t="s">
        <v>313</v>
      </c>
      <c r="E202" s="76" t="s">
        <v>28</v>
      </c>
      <c r="F202" s="73"/>
      <c r="G202" s="73"/>
      <c r="H202" s="70" t="s">
        <v>28</v>
      </c>
      <c r="I202" s="72">
        <v>31.83</v>
      </c>
      <c r="J202" s="70" t="s">
        <v>58</v>
      </c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>
      <c r="A203" s="72">
        <v>1593.0</v>
      </c>
      <c r="B203" s="67" t="s">
        <v>454</v>
      </c>
      <c r="C203" s="75" t="s">
        <v>56</v>
      </c>
      <c r="D203" s="76" t="s">
        <v>271</v>
      </c>
      <c r="E203" s="76" t="s">
        <v>28</v>
      </c>
      <c r="F203" s="73"/>
      <c r="G203" s="73"/>
      <c r="H203" s="70" t="s">
        <v>28</v>
      </c>
      <c r="I203" s="72">
        <v>49.51</v>
      </c>
      <c r="J203" s="70" t="s">
        <v>58</v>
      </c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>
      <c r="A204" s="72">
        <v>1592.0</v>
      </c>
      <c r="B204" s="67" t="s">
        <v>455</v>
      </c>
      <c r="C204" s="70" t="s">
        <v>69</v>
      </c>
      <c r="D204" s="70" t="s">
        <v>70</v>
      </c>
      <c r="E204" s="70" t="s">
        <v>28</v>
      </c>
      <c r="F204" s="70" t="s">
        <v>28</v>
      </c>
      <c r="G204" s="70" t="s">
        <v>28</v>
      </c>
      <c r="H204" s="70" t="s">
        <v>28</v>
      </c>
      <c r="I204" s="72">
        <v>43.72</v>
      </c>
      <c r="J204" s="70" t="s">
        <v>58</v>
      </c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>
      <c r="A205" s="72">
        <v>1591.0</v>
      </c>
      <c r="B205" s="67" t="s">
        <v>456</v>
      </c>
      <c r="C205" s="70" t="s">
        <v>60</v>
      </c>
      <c r="D205" s="70" t="s">
        <v>61</v>
      </c>
      <c r="E205" s="70" t="s">
        <v>28</v>
      </c>
      <c r="F205" s="73"/>
      <c r="G205" s="73"/>
      <c r="H205" s="70" t="s">
        <v>28</v>
      </c>
      <c r="I205" s="72">
        <v>55.11</v>
      </c>
      <c r="J205" s="70" t="s">
        <v>58</v>
      </c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>
      <c r="A206" s="72">
        <v>1590.0</v>
      </c>
      <c r="B206" s="67" t="s">
        <v>457</v>
      </c>
      <c r="C206" s="70" t="s">
        <v>56</v>
      </c>
      <c r="D206" s="70" t="s">
        <v>458</v>
      </c>
      <c r="E206" s="70" t="s">
        <v>64</v>
      </c>
      <c r="F206" s="73"/>
      <c r="G206" s="73"/>
      <c r="H206" s="70" t="s">
        <v>64</v>
      </c>
      <c r="I206" s="72">
        <v>26.88</v>
      </c>
      <c r="J206" s="70" t="s">
        <v>58</v>
      </c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>
      <c r="A207" s="72">
        <v>1589.0</v>
      </c>
      <c r="B207" s="67" t="s">
        <v>459</v>
      </c>
      <c r="C207" s="70" t="s">
        <v>56</v>
      </c>
      <c r="D207" s="70" t="s">
        <v>61</v>
      </c>
      <c r="E207" s="70" t="s">
        <v>460</v>
      </c>
      <c r="F207" s="73"/>
      <c r="G207" s="73"/>
      <c r="H207" s="70" t="s">
        <v>460</v>
      </c>
      <c r="I207" s="72">
        <v>34.88</v>
      </c>
      <c r="J207" s="70" t="s">
        <v>58</v>
      </c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>
      <c r="A208" s="72">
        <v>1588.0</v>
      </c>
      <c r="B208" s="67" t="s">
        <v>461</v>
      </c>
      <c r="C208" s="70" t="s">
        <v>69</v>
      </c>
      <c r="D208" s="70" t="s">
        <v>93</v>
      </c>
      <c r="E208" s="70" t="s">
        <v>462</v>
      </c>
      <c r="F208" s="73"/>
      <c r="G208" s="73"/>
      <c r="H208" s="70" t="s">
        <v>462</v>
      </c>
      <c r="I208" s="72">
        <v>81.59</v>
      </c>
      <c r="J208" s="70" t="s">
        <v>58</v>
      </c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>
      <c r="A209" s="72">
        <v>1587.0</v>
      </c>
      <c r="B209" s="67" t="s">
        <v>463</v>
      </c>
      <c r="C209" s="70" t="s">
        <v>69</v>
      </c>
      <c r="D209" s="73"/>
      <c r="E209" s="73"/>
      <c r="F209" s="73"/>
      <c r="G209" s="73"/>
      <c r="H209" s="73"/>
      <c r="I209" s="72">
        <v>89.83</v>
      </c>
      <c r="J209" s="70" t="s">
        <v>73</v>
      </c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>
      <c r="A210" s="72">
        <v>1586.0</v>
      </c>
      <c r="B210" s="67" t="s">
        <v>464</v>
      </c>
      <c r="C210" s="70" t="s">
        <v>56</v>
      </c>
      <c r="D210" s="70" t="s">
        <v>445</v>
      </c>
      <c r="E210" s="70" t="s">
        <v>71</v>
      </c>
      <c r="F210" s="73"/>
      <c r="G210" s="73"/>
      <c r="H210" s="70" t="s">
        <v>71</v>
      </c>
      <c r="I210" s="72">
        <v>66.66</v>
      </c>
      <c r="J210" s="70" t="s">
        <v>58</v>
      </c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>
      <c r="A211" s="72">
        <v>1585.0</v>
      </c>
      <c r="B211" s="67" t="s">
        <v>465</v>
      </c>
      <c r="C211" s="70" t="s">
        <v>60</v>
      </c>
      <c r="D211" s="70" t="s">
        <v>57</v>
      </c>
      <c r="E211" s="70" t="s">
        <v>28</v>
      </c>
      <c r="F211" s="73"/>
      <c r="G211" s="73"/>
      <c r="H211" s="70" t="s">
        <v>28</v>
      </c>
      <c r="I211" s="72">
        <v>48.45</v>
      </c>
      <c r="J211" s="70" t="s">
        <v>58</v>
      </c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>
      <c r="A212" s="72">
        <v>1584.0</v>
      </c>
      <c r="B212" s="67" t="s">
        <v>466</v>
      </c>
      <c r="C212" s="70" t="s">
        <v>56</v>
      </c>
      <c r="D212" s="70" t="s">
        <v>467</v>
      </c>
      <c r="E212" s="70" t="s">
        <v>468</v>
      </c>
      <c r="F212" s="73"/>
      <c r="G212" s="73"/>
      <c r="H212" s="70" t="s">
        <v>468</v>
      </c>
      <c r="I212" s="72">
        <v>52.48</v>
      </c>
      <c r="J212" s="70" t="s">
        <v>58</v>
      </c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>
      <c r="A213" s="72">
        <v>1583.0</v>
      </c>
      <c r="B213" s="67" t="s">
        <v>469</v>
      </c>
      <c r="C213" s="70" t="s">
        <v>56</v>
      </c>
      <c r="D213" s="70" t="s">
        <v>93</v>
      </c>
      <c r="E213" s="70" t="s">
        <v>189</v>
      </c>
      <c r="F213" s="70" t="s">
        <v>189</v>
      </c>
      <c r="G213" s="70" t="s">
        <v>189</v>
      </c>
      <c r="H213" s="70" t="s">
        <v>189</v>
      </c>
      <c r="I213" s="72">
        <v>54.7</v>
      </c>
      <c r="J213" s="70" t="s">
        <v>58</v>
      </c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>
      <c r="A214" s="72">
        <v>1582.0</v>
      </c>
      <c r="B214" s="67" t="s">
        <v>470</v>
      </c>
      <c r="C214" s="70" t="s">
        <v>69</v>
      </c>
      <c r="D214" s="70" t="s">
        <v>93</v>
      </c>
      <c r="E214" s="70" t="s">
        <v>28</v>
      </c>
      <c r="F214" s="73"/>
      <c r="G214" s="73"/>
      <c r="H214" s="70" t="s">
        <v>28</v>
      </c>
      <c r="I214" s="72">
        <v>64.31</v>
      </c>
      <c r="J214" s="70" t="s">
        <v>58</v>
      </c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>
      <c r="A215" s="72">
        <v>1581.0</v>
      </c>
      <c r="B215" s="67" t="s">
        <v>471</v>
      </c>
      <c r="C215" s="70" t="s">
        <v>69</v>
      </c>
      <c r="D215" s="73"/>
      <c r="E215" s="70" t="s">
        <v>472</v>
      </c>
      <c r="F215" s="73"/>
      <c r="G215" s="73"/>
      <c r="H215" s="70" t="s">
        <v>472</v>
      </c>
      <c r="I215" s="72">
        <v>89.62</v>
      </c>
      <c r="J215" s="70" t="s">
        <v>73</v>
      </c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>
      <c r="A216" s="72">
        <v>1580.0</v>
      </c>
      <c r="B216" s="67" t="s">
        <v>473</v>
      </c>
      <c r="C216" s="70" t="s">
        <v>56</v>
      </c>
      <c r="D216" s="70" t="s">
        <v>61</v>
      </c>
      <c r="E216" s="70" t="s">
        <v>28</v>
      </c>
      <c r="F216" s="73"/>
      <c r="G216" s="73"/>
      <c r="H216" s="70" t="s">
        <v>28</v>
      </c>
      <c r="I216" s="72">
        <v>62.09</v>
      </c>
      <c r="J216" s="70" t="s">
        <v>58</v>
      </c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>
      <c r="A217" s="72">
        <v>1579.0</v>
      </c>
      <c r="B217" s="67" t="s">
        <v>474</v>
      </c>
      <c r="C217" s="70" t="s">
        <v>60</v>
      </c>
      <c r="D217" s="70" t="s">
        <v>467</v>
      </c>
      <c r="E217" s="70" t="s">
        <v>116</v>
      </c>
      <c r="F217" s="73"/>
      <c r="G217" s="73"/>
      <c r="H217" s="70" t="s">
        <v>116</v>
      </c>
      <c r="I217" s="72">
        <v>46.18</v>
      </c>
      <c r="J217" s="70" t="s">
        <v>58</v>
      </c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>
      <c r="A218" s="72">
        <v>1578.0</v>
      </c>
      <c r="B218" s="67" t="s">
        <v>475</v>
      </c>
      <c r="C218" s="70" t="s">
        <v>56</v>
      </c>
      <c r="D218" s="70" t="s">
        <v>61</v>
      </c>
      <c r="E218" s="70" t="s">
        <v>476</v>
      </c>
      <c r="F218" s="70" t="s">
        <v>477</v>
      </c>
      <c r="G218" s="70" t="s">
        <v>477</v>
      </c>
      <c r="H218" s="70" t="s">
        <v>477</v>
      </c>
      <c r="I218" s="72">
        <v>60.46</v>
      </c>
      <c r="J218" s="70" t="s">
        <v>58</v>
      </c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>
      <c r="A219" s="72">
        <v>1577.0</v>
      </c>
      <c r="B219" s="67" t="s">
        <v>478</v>
      </c>
      <c r="C219" s="70" t="s">
        <v>56</v>
      </c>
      <c r="D219" s="70" t="s">
        <v>479</v>
      </c>
      <c r="E219" s="73"/>
      <c r="F219" s="73"/>
      <c r="G219" s="73"/>
      <c r="H219" s="73"/>
      <c r="I219" s="72">
        <v>37.47</v>
      </c>
      <c r="J219" s="70" t="s">
        <v>58</v>
      </c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>
      <c r="A220" s="72">
        <v>1576.0</v>
      </c>
      <c r="B220" s="67" t="s">
        <v>480</v>
      </c>
      <c r="C220" s="70" t="s">
        <v>69</v>
      </c>
      <c r="D220" s="70" t="s">
        <v>70</v>
      </c>
      <c r="E220" s="70" t="s">
        <v>241</v>
      </c>
      <c r="F220" s="70" t="s">
        <v>241</v>
      </c>
      <c r="G220" s="70" t="s">
        <v>241</v>
      </c>
      <c r="H220" s="70" t="s">
        <v>241</v>
      </c>
      <c r="I220" s="72">
        <v>49.02</v>
      </c>
      <c r="J220" s="70" t="s">
        <v>58</v>
      </c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>
      <c r="A221" s="72">
        <v>1575.0</v>
      </c>
      <c r="B221" s="67" t="s">
        <v>481</v>
      </c>
      <c r="C221" s="70" t="s">
        <v>60</v>
      </c>
      <c r="D221" s="70" t="s">
        <v>76</v>
      </c>
      <c r="E221" s="70" t="s">
        <v>482</v>
      </c>
      <c r="F221" s="73"/>
      <c r="G221" s="73"/>
      <c r="H221" s="70" t="s">
        <v>482</v>
      </c>
      <c r="I221" s="72">
        <v>57.24</v>
      </c>
      <c r="J221" s="70" t="s">
        <v>58</v>
      </c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>
      <c r="A222" s="72">
        <v>1574.0</v>
      </c>
      <c r="B222" s="67" t="s">
        <v>483</v>
      </c>
      <c r="C222" s="70" t="s">
        <v>56</v>
      </c>
      <c r="D222" s="70" t="s">
        <v>484</v>
      </c>
      <c r="E222" s="70" t="s">
        <v>64</v>
      </c>
      <c r="F222" s="70" t="s">
        <v>64</v>
      </c>
      <c r="G222" s="70" t="s">
        <v>64</v>
      </c>
      <c r="H222" s="70" t="s">
        <v>64</v>
      </c>
      <c r="I222" s="72">
        <v>33.57</v>
      </c>
      <c r="J222" s="70" t="s">
        <v>58</v>
      </c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>
      <c r="A223" s="72">
        <v>1573.0</v>
      </c>
      <c r="B223" s="67" t="s">
        <v>485</v>
      </c>
      <c r="C223" s="70" t="s">
        <v>56</v>
      </c>
      <c r="D223" s="70" t="s">
        <v>70</v>
      </c>
      <c r="E223" s="70" t="s">
        <v>67</v>
      </c>
      <c r="F223" s="70" t="s">
        <v>67</v>
      </c>
      <c r="G223" s="70" t="s">
        <v>67</v>
      </c>
      <c r="H223" s="70" t="s">
        <v>67</v>
      </c>
      <c r="I223" s="72">
        <v>31.3</v>
      </c>
      <c r="J223" s="70" t="s">
        <v>58</v>
      </c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>
      <c r="A224" s="72">
        <v>1572.0</v>
      </c>
      <c r="B224" s="67" t="s">
        <v>486</v>
      </c>
      <c r="C224" s="70" t="s">
        <v>69</v>
      </c>
      <c r="D224" s="70" t="s">
        <v>93</v>
      </c>
      <c r="E224" s="70" t="s">
        <v>298</v>
      </c>
      <c r="F224" s="70" t="s">
        <v>298</v>
      </c>
      <c r="G224" s="70" t="s">
        <v>298</v>
      </c>
      <c r="H224" s="70" t="s">
        <v>298</v>
      </c>
      <c r="I224" s="72">
        <v>77.68</v>
      </c>
      <c r="J224" s="70" t="s">
        <v>58</v>
      </c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>
      <c r="A225" s="72">
        <v>1571.0</v>
      </c>
      <c r="B225" s="67" t="s">
        <v>487</v>
      </c>
      <c r="C225" s="70" t="s">
        <v>69</v>
      </c>
      <c r="D225" s="73"/>
      <c r="E225" s="70" t="s">
        <v>64</v>
      </c>
      <c r="F225" s="73"/>
      <c r="G225" s="70" t="s">
        <v>64</v>
      </c>
      <c r="H225" s="70" t="s">
        <v>64</v>
      </c>
      <c r="I225" s="72">
        <v>89.72</v>
      </c>
      <c r="J225" s="70" t="s">
        <v>73</v>
      </c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>
      <c r="A226" s="72">
        <v>1570.0</v>
      </c>
      <c r="B226" s="67" t="s">
        <v>488</v>
      </c>
      <c r="C226" s="70" t="s">
        <v>56</v>
      </c>
      <c r="D226" s="70" t="s">
        <v>227</v>
      </c>
      <c r="E226" s="70" t="s">
        <v>489</v>
      </c>
      <c r="F226" s="70" t="s">
        <v>490</v>
      </c>
      <c r="G226" s="70" t="s">
        <v>490</v>
      </c>
      <c r="H226" s="70" t="s">
        <v>490</v>
      </c>
      <c r="I226" s="72">
        <v>91.2</v>
      </c>
      <c r="J226" s="70" t="s">
        <v>58</v>
      </c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>
      <c r="A227" s="72">
        <v>1569.0</v>
      </c>
      <c r="B227" s="67" t="s">
        <v>491</v>
      </c>
      <c r="C227" s="70" t="s">
        <v>60</v>
      </c>
      <c r="D227" s="70" t="s">
        <v>76</v>
      </c>
      <c r="E227" s="70" t="s">
        <v>28</v>
      </c>
      <c r="F227" s="73"/>
      <c r="G227" s="73"/>
      <c r="H227" s="70" t="s">
        <v>28</v>
      </c>
      <c r="I227" s="72">
        <v>50.01</v>
      </c>
      <c r="J227" s="70" t="s">
        <v>58</v>
      </c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>
      <c r="A228" s="72">
        <v>1568.0</v>
      </c>
      <c r="B228" s="67" t="s">
        <v>492</v>
      </c>
      <c r="C228" s="70" t="s">
        <v>60</v>
      </c>
      <c r="D228" s="70" t="s">
        <v>61</v>
      </c>
      <c r="E228" s="70" t="s">
        <v>493</v>
      </c>
      <c r="F228" s="73"/>
      <c r="G228" s="73"/>
      <c r="H228" s="70" t="s">
        <v>493</v>
      </c>
      <c r="I228" s="72">
        <v>50.11</v>
      </c>
      <c r="J228" s="70" t="s">
        <v>58</v>
      </c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>
      <c r="A229" s="72">
        <v>1567.0</v>
      </c>
      <c r="B229" s="67" t="s">
        <v>494</v>
      </c>
      <c r="C229" s="70" t="s">
        <v>56</v>
      </c>
      <c r="D229" s="70" t="s">
        <v>61</v>
      </c>
      <c r="E229" s="70" t="s">
        <v>495</v>
      </c>
      <c r="F229" s="73"/>
      <c r="G229" s="73"/>
      <c r="H229" s="70" t="s">
        <v>495</v>
      </c>
      <c r="I229" s="72">
        <v>36.75</v>
      </c>
      <c r="J229" s="70" t="s">
        <v>58</v>
      </c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>
      <c r="A230" s="72">
        <v>1566.0</v>
      </c>
      <c r="B230" s="67" t="s">
        <v>496</v>
      </c>
      <c r="C230" s="70" t="s">
        <v>69</v>
      </c>
      <c r="D230" s="70" t="s">
        <v>93</v>
      </c>
      <c r="E230" s="70" t="s">
        <v>102</v>
      </c>
      <c r="F230" s="73"/>
      <c r="G230" s="73"/>
      <c r="H230" s="70" t="s">
        <v>102</v>
      </c>
      <c r="I230" s="72">
        <v>42.53</v>
      </c>
      <c r="J230" s="70" t="s">
        <v>58</v>
      </c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>
      <c r="A231" s="72">
        <v>1565.0</v>
      </c>
      <c r="B231" s="67" t="s">
        <v>497</v>
      </c>
      <c r="C231" s="70" t="s">
        <v>69</v>
      </c>
      <c r="D231" s="73"/>
      <c r="E231" s="70" t="s">
        <v>498</v>
      </c>
      <c r="F231" s="73"/>
      <c r="G231" s="73"/>
      <c r="H231" s="70" t="s">
        <v>498</v>
      </c>
      <c r="I231" s="72">
        <v>82.88</v>
      </c>
      <c r="J231" s="70" t="s">
        <v>73</v>
      </c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>
      <c r="A232" s="72">
        <v>1564.0</v>
      </c>
      <c r="B232" s="67" t="s">
        <v>499</v>
      </c>
      <c r="C232" s="70" t="s">
        <v>56</v>
      </c>
      <c r="D232" s="70" t="s">
        <v>61</v>
      </c>
      <c r="E232" s="70" t="s">
        <v>28</v>
      </c>
      <c r="F232" s="73"/>
      <c r="G232" s="73"/>
      <c r="H232" s="70" t="s">
        <v>28</v>
      </c>
      <c r="I232" s="72">
        <v>66.07</v>
      </c>
      <c r="J232" s="70" t="s">
        <v>58</v>
      </c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>
      <c r="A233" s="72">
        <v>1563.0</v>
      </c>
      <c r="B233" s="67" t="s">
        <v>500</v>
      </c>
      <c r="C233" s="70" t="s">
        <v>60</v>
      </c>
      <c r="D233" s="70" t="s">
        <v>76</v>
      </c>
      <c r="E233" s="73"/>
      <c r="F233" s="73"/>
      <c r="G233" s="73"/>
      <c r="H233" s="73"/>
      <c r="I233" s="72">
        <v>39.93</v>
      </c>
      <c r="J233" s="70" t="s">
        <v>58</v>
      </c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>
      <c r="A234" s="72">
        <v>1562.0</v>
      </c>
      <c r="B234" s="67" t="s">
        <v>501</v>
      </c>
      <c r="C234" s="70" t="s">
        <v>56</v>
      </c>
      <c r="D234" s="70" t="s">
        <v>502</v>
      </c>
      <c r="E234" s="70" t="s">
        <v>28</v>
      </c>
      <c r="F234" s="73"/>
      <c r="G234" s="73"/>
      <c r="H234" s="70" t="s">
        <v>28</v>
      </c>
      <c r="I234" s="72">
        <v>39.59</v>
      </c>
      <c r="J234" s="70" t="s">
        <v>58</v>
      </c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>
      <c r="A235" s="72">
        <v>1561.0</v>
      </c>
      <c r="B235" s="67" t="s">
        <v>503</v>
      </c>
      <c r="C235" s="70" t="s">
        <v>56</v>
      </c>
      <c r="D235" s="70" t="s">
        <v>368</v>
      </c>
      <c r="E235" s="73"/>
      <c r="F235" s="73"/>
      <c r="G235" s="73"/>
      <c r="H235" s="73"/>
      <c r="I235" s="72">
        <v>77.35</v>
      </c>
      <c r="J235" s="70" t="s">
        <v>58</v>
      </c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>
      <c r="A236" s="72">
        <v>1560.0</v>
      </c>
      <c r="B236" s="67" t="s">
        <v>504</v>
      </c>
      <c r="C236" s="70" t="s">
        <v>69</v>
      </c>
      <c r="D236" s="70" t="s">
        <v>93</v>
      </c>
      <c r="E236" s="70" t="s">
        <v>421</v>
      </c>
      <c r="F236" s="73"/>
      <c r="G236" s="73"/>
      <c r="H236" s="70" t="s">
        <v>421</v>
      </c>
      <c r="I236" s="72">
        <v>56.93</v>
      </c>
      <c r="J236" s="70" t="s">
        <v>58</v>
      </c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>
      <c r="A237" s="72">
        <v>1559.0</v>
      </c>
      <c r="B237" s="67" t="s">
        <v>505</v>
      </c>
      <c r="C237" s="70" t="s">
        <v>60</v>
      </c>
      <c r="D237" s="70" t="s">
        <v>506</v>
      </c>
      <c r="E237" s="70" t="s">
        <v>507</v>
      </c>
      <c r="F237" s="70" t="s">
        <v>64</v>
      </c>
      <c r="G237" s="70" t="s">
        <v>64</v>
      </c>
      <c r="H237" s="70" t="s">
        <v>507</v>
      </c>
      <c r="I237" s="72">
        <v>44.42</v>
      </c>
      <c r="J237" s="70" t="s">
        <v>58</v>
      </c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>
      <c r="A238" s="72">
        <v>1558.0</v>
      </c>
      <c r="B238" s="67" t="s">
        <v>508</v>
      </c>
      <c r="C238" s="70" t="s">
        <v>56</v>
      </c>
      <c r="D238" s="70" t="s">
        <v>61</v>
      </c>
      <c r="E238" s="70" t="s">
        <v>64</v>
      </c>
      <c r="F238" s="73"/>
      <c r="G238" s="73"/>
      <c r="H238" s="70" t="s">
        <v>64</v>
      </c>
      <c r="I238" s="72">
        <v>63.41</v>
      </c>
      <c r="J238" s="70" t="s">
        <v>58</v>
      </c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>
      <c r="A239" s="72">
        <v>1557.0</v>
      </c>
      <c r="B239" s="67" t="s">
        <v>509</v>
      </c>
      <c r="C239" s="70" t="s">
        <v>56</v>
      </c>
      <c r="D239" s="70" t="s">
        <v>66</v>
      </c>
      <c r="E239" s="70" t="s">
        <v>510</v>
      </c>
      <c r="F239" s="73"/>
      <c r="G239" s="73"/>
      <c r="H239" s="70" t="s">
        <v>511</v>
      </c>
      <c r="I239" s="72">
        <v>75.57</v>
      </c>
      <c r="J239" s="70" t="s">
        <v>58</v>
      </c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>
      <c r="A240" s="72">
        <v>1556.0</v>
      </c>
      <c r="B240" s="67" t="s">
        <v>512</v>
      </c>
      <c r="C240" s="70" t="s">
        <v>69</v>
      </c>
      <c r="D240" s="70" t="s">
        <v>70</v>
      </c>
      <c r="E240" s="73"/>
      <c r="F240" s="73"/>
      <c r="G240" s="73"/>
      <c r="H240" s="73"/>
      <c r="I240" s="72">
        <v>57.43</v>
      </c>
      <c r="J240" s="70" t="s">
        <v>58</v>
      </c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>
      <c r="A241" s="72">
        <v>1555.0</v>
      </c>
      <c r="B241" s="67" t="s">
        <v>513</v>
      </c>
      <c r="C241" s="70" t="s">
        <v>56</v>
      </c>
      <c r="D241" s="73"/>
      <c r="E241" s="70" t="s">
        <v>514</v>
      </c>
      <c r="F241" s="73"/>
      <c r="G241" s="73"/>
      <c r="H241" s="70" t="s">
        <v>514</v>
      </c>
      <c r="I241" s="72">
        <v>52.86</v>
      </c>
      <c r="J241" s="70" t="s">
        <v>73</v>
      </c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>
      <c r="A242" s="72">
        <v>1554.0</v>
      </c>
      <c r="B242" s="67" t="s">
        <v>515</v>
      </c>
      <c r="C242" s="70" t="s">
        <v>56</v>
      </c>
      <c r="D242" s="74"/>
      <c r="E242" s="70" t="s">
        <v>516</v>
      </c>
      <c r="F242" s="73"/>
      <c r="G242" s="73"/>
      <c r="H242" s="70" t="s">
        <v>516</v>
      </c>
      <c r="I242" s="72">
        <v>63.61</v>
      </c>
      <c r="J242" s="70" t="s">
        <v>58</v>
      </c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>
      <c r="A243" s="72">
        <v>1553.0</v>
      </c>
      <c r="B243" s="67" t="s">
        <v>517</v>
      </c>
      <c r="C243" s="70" t="s">
        <v>60</v>
      </c>
      <c r="D243" s="70" t="s">
        <v>76</v>
      </c>
      <c r="E243" s="70" t="s">
        <v>28</v>
      </c>
      <c r="F243" s="73"/>
      <c r="G243" s="70" t="s">
        <v>28</v>
      </c>
      <c r="H243" s="70" t="s">
        <v>28</v>
      </c>
      <c r="I243" s="72">
        <v>29.81</v>
      </c>
      <c r="J243" s="70" t="s">
        <v>58</v>
      </c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>
      <c r="A244" s="72">
        <v>1552.0</v>
      </c>
      <c r="B244" s="67" t="s">
        <v>518</v>
      </c>
      <c r="C244" s="70" t="s">
        <v>56</v>
      </c>
      <c r="D244" s="70" t="s">
        <v>484</v>
      </c>
      <c r="E244" s="70" t="s">
        <v>519</v>
      </c>
      <c r="F244" s="73"/>
      <c r="G244" s="73"/>
      <c r="H244" s="70" t="s">
        <v>519</v>
      </c>
      <c r="I244" s="72">
        <v>49.11</v>
      </c>
      <c r="J244" s="70" t="s">
        <v>58</v>
      </c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>
      <c r="A245" s="72">
        <v>1551.0</v>
      </c>
      <c r="B245" s="67" t="s">
        <v>520</v>
      </c>
      <c r="C245" s="70" t="s">
        <v>56</v>
      </c>
      <c r="D245" s="70" t="s">
        <v>99</v>
      </c>
      <c r="E245" s="70" t="s">
        <v>521</v>
      </c>
      <c r="F245" s="73"/>
      <c r="G245" s="73"/>
      <c r="H245" s="77" t="s">
        <v>521</v>
      </c>
      <c r="I245" s="72">
        <v>77.8</v>
      </c>
      <c r="J245" s="70" t="s">
        <v>58</v>
      </c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>
      <c r="A246" s="72">
        <v>1550.0</v>
      </c>
      <c r="B246" s="67" t="s">
        <v>522</v>
      </c>
      <c r="C246" s="70" t="s">
        <v>69</v>
      </c>
      <c r="D246" s="75" t="s">
        <v>93</v>
      </c>
      <c r="E246" s="70" t="s">
        <v>523</v>
      </c>
      <c r="F246" s="73"/>
      <c r="G246" s="73"/>
      <c r="H246" s="70" t="s">
        <v>523</v>
      </c>
      <c r="I246" s="72">
        <v>64.55</v>
      </c>
      <c r="J246" s="70" t="s">
        <v>58</v>
      </c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>
      <c r="A247" s="72">
        <v>1549.0</v>
      </c>
      <c r="B247" s="67" t="s">
        <v>524</v>
      </c>
      <c r="C247" s="75" t="s">
        <v>56</v>
      </c>
      <c r="D247" s="78"/>
      <c r="E247" s="73"/>
      <c r="F247" s="73"/>
      <c r="G247" s="73"/>
      <c r="H247" s="73"/>
      <c r="I247" s="72">
        <v>66.72</v>
      </c>
      <c r="J247" s="70" t="s">
        <v>73</v>
      </c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>
      <c r="A248" s="72">
        <v>1548.0</v>
      </c>
      <c r="B248" s="67" t="s">
        <v>525</v>
      </c>
      <c r="C248" s="76" t="s">
        <v>60</v>
      </c>
      <c r="D248" s="76" t="s">
        <v>80</v>
      </c>
      <c r="E248" s="70" t="s">
        <v>28</v>
      </c>
      <c r="F248" s="70" t="s">
        <v>28</v>
      </c>
      <c r="G248" s="70" t="s">
        <v>28</v>
      </c>
      <c r="H248" s="70" t="s">
        <v>28</v>
      </c>
      <c r="I248" s="72">
        <v>54.36</v>
      </c>
      <c r="J248" s="70" t="s">
        <v>58</v>
      </c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>
      <c r="A249" s="72">
        <v>1547.0</v>
      </c>
      <c r="B249" s="67" t="s">
        <v>526</v>
      </c>
      <c r="C249" s="70" t="s">
        <v>60</v>
      </c>
      <c r="D249" s="70" t="s">
        <v>76</v>
      </c>
      <c r="E249" s="70" t="s">
        <v>28</v>
      </c>
      <c r="F249" s="73"/>
      <c r="G249" s="73"/>
      <c r="H249" s="70" t="s">
        <v>28</v>
      </c>
      <c r="I249" s="72">
        <v>52.9</v>
      </c>
      <c r="J249" s="70" t="s">
        <v>58</v>
      </c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>
      <c r="A250" s="72">
        <v>1546.0</v>
      </c>
      <c r="B250" s="67" t="s">
        <v>527</v>
      </c>
      <c r="C250" s="70" t="s">
        <v>56</v>
      </c>
      <c r="D250" s="70" t="s">
        <v>76</v>
      </c>
      <c r="E250" s="70" t="s">
        <v>28</v>
      </c>
      <c r="F250" s="73"/>
      <c r="G250" s="73"/>
      <c r="H250" s="70" t="s">
        <v>28</v>
      </c>
      <c r="I250" s="72">
        <v>43.84</v>
      </c>
      <c r="J250" s="70" t="s">
        <v>58</v>
      </c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>
      <c r="A251" s="72">
        <v>1545.0</v>
      </c>
      <c r="B251" s="67" t="s">
        <v>528</v>
      </c>
      <c r="C251" s="70" t="s">
        <v>56</v>
      </c>
      <c r="D251" s="70" t="s">
        <v>70</v>
      </c>
      <c r="E251" s="75" t="s">
        <v>529</v>
      </c>
      <c r="F251" s="73"/>
      <c r="G251" s="73"/>
      <c r="H251" s="70" t="s">
        <v>529</v>
      </c>
      <c r="I251" s="72">
        <v>57.49</v>
      </c>
      <c r="J251" s="70" t="s">
        <v>58</v>
      </c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>
      <c r="A252" s="72">
        <v>1544.0</v>
      </c>
      <c r="B252" s="67" t="s">
        <v>530</v>
      </c>
      <c r="C252" s="70" t="s">
        <v>69</v>
      </c>
      <c r="D252" s="75" t="s">
        <v>531</v>
      </c>
      <c r="E252" s="76" t="s">
        <v>28</v>
      </c>
      <c r="F252" s="73"/>
      <c r="G252" s="73"/>
      <c r="H252" s="70" t="s">
        <v>28</v>
      </c>
      <c r="I252" s="72">
        <v>55.46</v>
      </c>
      <c r="J252" s="70" t="s">
        <v>58</v>
      </c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>
      <c r="A253" s="72">
        <v>1543.0</v>
      </c>
      <c r="B253" s="67" t="s">
        <v>532</v>
      </c>
      <c r="C253" s="75" t="s">
        <v>69</v>
      </c>
      <c r="D253" s="78"/>
      <c r="E253" s="78"/>
      <c r="F253" s="73"/>
      <c r="G253" s="73"/>
      <c r="H253" s="73"/>
      <c r="I253" s="72">
        <v>67.33</v>
      </c>
      <c r="J253" s="70" t="s">
        <v>73</v>
      </c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>
      <c r="A254" s="72">
        <v>1542.0</v>
      </c>
      <c r="B254" s="67" t="s">
        <v>533</v>
      </c>
      <c r="C254" s="70" t="s">
        <v>60</v>
      </c>
      <c r="D254" s="70" t="s">
        <v>534</v>
      </c>
      <c r="E254" s="70" t="s">
        <v>468</v>
      </c>
      <c r="F254" s="73"/>
      <c r="G254" s="73"/>
      <c r="H254" s="70" t="s">
        <v>468</v>
      </c>
      <c r="I254" s="72">
        <v>36.61</v>
      </c>
      <c r="J254" s="70" t="s">
        <v>58</v>
      </c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>
      <c r="A255" s="72">
        <v>1541.0</v>
      </c>
      <c r="B255" s="67" t="s">
        <v>535</v>
      </c>
      <c r="C255" s="70" t="s">
        <v>56</v>
      </c>
      <c r="D255" s="70" t="s">
        <v>531</v>
      </c>
      <c r="E255" s="70" t="s">
        <v>536</v>
      </c>
      <c r="F255" s="73"/>
      <c r="G255" s="70" t="s">
        <v>71</v>
      </c>
      <c r="H255" s="70" t="s">
        <v>536</v>
      </c>
      <c r="I255" s="72">
        <v>42.9</v>
      </c>
      <c r="J255" s="70" t="s">
        <v>58</v>
      </c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>
      <c r="A256" s="72">
        <v>1540.0</v>
      </c>
      <c r="B256" s="67" t="s">
        <v>537</v>
      </c>
      <c r="C256" s="70" t="s">
        <v>56</v>
      </c>
      <c r="D256" s="70" t="s">
        <v>57</v>
      </c>
      <c r="E256" s="70" t="s">
        <v>538</v>
      </c>
      <c r="F256" s="73"/>
      <c r="G256" s="73"/>
      <c r="H256" s="70" t="s">
        <v>538</v>
      </c>
      <c r="I256" s="72">
        <v>30.99</v>
      </c>
      <c r="J256" s="70" t="s">
        <v>58</v>
      </c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>
      <c r="A257" s="72">
        <v>1539.0</v>
      </c>
      <c r="B257" s="67" t="s">
        <v>539</v>
      </c>
      <c r="C257" s="70" t="s">
        <v>69</v>
      </c>
      <c r="D257" s="70" t="s">
        <v>156</v>
      </c>
      <c r="E257" s="70" t="s">
        <v>540</v>
      </c>
      <c r="F257" s="70" t="s">
        <v>541</v>
      </c>
      <c r="G257" s="70" t="s">
        <v>541</v>
      </c>
      <c r="H257" s="70" t="s">
        <v>541</v>
      </c>
      <c r="I257" s="72">
        <v>54.94</v>
      </c>
      <c r="J257" s="70" t="s">
        <v>58</v>
      </c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>
      <c r="A258" s="72">
        <v>1538.0</v>
      </c>
      <c r="B258" s="67" t="s">
        <v>542</v>
      </c>
      <c r="C258" s="70" t="s">
        <v>56</v>
      </c>
      <c r="D258" s="73"/>
      <c r="E258" s="70" t="s">
        <v>28</v>
      </c>
      <c r="F258" s="73"/>
      <c r="G258" s="73"/>
      <c r="H258" s="70" t="s">
        <v>28</v>
      </c>
      <c r="I258" s="72">
        <v>61.14</v>
      </c>
      <c r="J258" s="70" t="s">
        <v>58</v>
      </c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>
      <c r="A259" s="72">
        <v>1537.0</v>
      </c>
      <c r="B259" s="67" t="s">
        <v>543</v>
      </c>
      <c r="C259" s="70" t="s">
        <v>60</v>
      </c>
      <c r="D259" s="70" t="s">
        <v>76</v>
      </c>
      <c r="E259" s="70" t="s">
        <v>544</v>
      </c>
      <c r="F259" s="73"/>
      <c r="G259" s="73"/>
      <c r="H259" s="70" t="s">
        <v>544</v>
      </c>
      <c r="I259" s="72">
        <v>36.39</v>
      </c>
      <c r="J259" s="70" t="s">
        <v>58</v>
      </c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>
      <c r="A260" s="72">
        <v>1536.0</v>
      </c>
      <c r="B260" s="67" t="s">
        <v>545</v>
      </c>
      <c r="C260" s="70" t="s">
        <v>56</v>
      </c>
      <c r="D260" s="70" t="s">
        <v>61</v>
      </c>
      <c r="E260" s="70" t="s">
        <v>546</v>
      </c>
      <c r="F260" s="73"/>
      <c r="G260" s="73"/>
      <c r="H260" s="70" t="s">
        <v>546</v>
      </c>
      <c r="I260" s="72">
        <v>43.53</v>
      </c>
      <c r="J260" s="70" t="s">
        <v>58</v>
      </c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>
      <c r="A261" s="72">
        <v>1535.0</v>
      </c>
      <c r="B261" s="67" t="s">
        <v>547</v>
      </c>
      <c r="C261" s="70" t="s">
        <v>56</v>
      </c>
      <c r="D261" s="70" t="s">
        <v>93</v>
      </c>
      <c r="E261" s="70" t="s">
        <v>468</v>
      </c>
      <c r="F261" s="73"/>
      <c r="G261" s="73"/>
      <c r="H261" s="70" t="s">
        <v>468</v>
      </c>
      <c r="I261" s="72">
        <v>47.6</v>
      </c>
      <c r="J261" s="70" t="s">
        <v>58</v>
      </c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>
      <c r="A262" s="72">
        <v>1534.0</v>
      </c>
      <c r="B262" s="67" t="s">
        <v>548</v>
      </c>
      <c r="C262" s="70" t="s">
        <v>69</v>
      </c>
      <c r="D262" s="70" t="s">
        <v>93</v>
      </c>
      <c r="E262" s="70" t="s">
        <v>549</v>
      </c>
      <c r="F262" s="73"/>
      <c r="G262" s="73"/>
      <c r="H262" s="70" t="s">
        <v>549</v>
      </c>
      <c r="I262" s="72">
        <v>80.29</v>
      </c>
      <c r="J262" s="70" t="s">
        <v>58</v>
      </c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>
      <c r="A263" s="72">
        <v>1533.0</v>
      </c>
      <c r="B263" s="67" t="s">
        <v>550</v>
      </c>
      <c r="C263" s="70" t="s">
        <v>56</v>
      </c>
      <c r="D263" s="70" t="s">
        <v>502</v>
      </c>
      <c r="E263" s="70" t="s">
        <v>64</v>
      </c>
      <c r="F263" s="73"/>
      <c r="G263" s="73"/>
      <c r="H263" s="70" t="s">
        <v>64</v>
      </c>
      <c r="I263" s="72">
        <v>54.67</v>
      </c>
      <c r="J263" s="70" t="s">
        <v>58</v>
      </c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>
      <c r="A264" s="72">
        <v>1532.0</v>
      </c>
      <c r="B264" s="67" t="s">
        <v>551</v>
      </c>
      <c r="C264" s="70" t="s">
        <v>56</v>
      </c>
      <c r="D264" s="73"/>
      <c r="E264" s="73"/>
      <c r="F264" s="73"/>
      <c r="G264" s="73"/>
      <c r="H264" s="73"/>
      <c r="I264" s="72">
        <v>72.76</v>
      </c>
      <c r="J264" s="70" t="s">
        <v>73</v>
      </c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>
      <c r="A265" s="72">
        <v>1531.0</v>
      </c>
      <c r="B265" s="67" t="s">
        <v>552</v>
      </c>
      <c r="C265" s="70" t="s">
        <v>60</v>
      </c>
      <c r="D265" s="70" t="s">
        <v>161</v>
      </c>
      <c r="E265" s="70" t="s">
        <v>553</v>
      </c>
      <c r="F265" s="70" t="s">
        <v>553</v>
      </c>
      <c r="G265" s="70" t="s">
        <v>553</v>
      </c>
      <c r="H265" s="70" t="s">
        <v>553</v>
      </c>
      <c r="I265" s="72">
        <v>33.89</v>
      </c>
      <c r="J265" s="70" t="s">
        <v>58</v>
      </c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>
      <c r="A266" s="72">
        <v>1530.0</v>
      </c>
      <c r="B266" s="67" t="s">
        <v>554</v>
      </c>
      <c r="C266" s="70" t="s">
        <v>56</v>
      </c>
      <c r="D266" s="70" t="s">
        <v>289</v>
      </c>
      <c r="E266" s="70" t="s">
        <v>28</v>
      </c>
      <c r="F266" s="73"/>
      <c r="G266" s="73"/>
      <c r="H266" s="70" t="s">
        <v>28</v>
      </c>
      <c r="I266" s="72">
        <v>56.27</v>
      </c>
      <c r="J266" s="70" t="s">
        <v>58</v>
      </c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>
      <c r="A267" s="72">
        <v>1529.0</v>
      </c>
      <c r="B267" s="67" t="s">
        <v>555</v>
      </c>
      <c r="C267" s="70" t="s">
        <v>56</v>
      </c>
      <c r="D267" s="70" t="s">
        <v>70</v>
      </c>
      <c r="E267" s="70" t="s">
        <v>556</v>
      </c>
      <c r="F267" s="70" t="s">
        <v>556</v>
      </c>
      <c r="G267" s="70" t="s">
        <v>556</v>
      </c>
      <c r="H267" s="70" t="s">
        <v>556</v>
      </c>
      <c r="I267" s="72">
        <v>70.81</v>
      </c>
      <c r="J267" s="70" t="s">
        <v>58</v>
      </c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>
      <c r="A268" s="72">
        <v>1528.0</v>
      </c>
      <c r="B268" s="67" t="s">
        <v>557</v>
      </c>
      <c r="C268" s="70" t="s">
        <v>69</v>
      </c>
      <c r="D268" s="70" t="s">
        <v>368</v>
      </c>
      <c r="E268" s="70" t="s">
        <v>558</v>
      </c>
      <c r="F268" s="73"/>
      <c r="G268" s="70" t="s">
        <v>71</v>
      </c>
      <c r="H268" s="70" t="s">
        <v>352</v>
      </c>
      <c r="I268" s="72">
        <v>85.63</v>
      </c>
      <c r="J268" s="70" t="s">
        <v>58</v>
      </c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>
      <c r="A269" s="72">
        <v>1527.0</v>
      </c>
      <c r="B269" s="67" t="s">
        <v>559</v>
      </c>
      <c r="C269" s="70" t="s">
        <v>69</v>
      </c>
      <c r="D269" s="73"/>
      <c r="E269" s="73"/>
      <c r="F269" s="73"/>
      <c r="G269" s="73"/>
      <c r="H269" s="73"/>
      <c r="I269" s="72">
        <v>64.81</v>
      </c>
      <c r="J269" s="70" t="s">
        <v>73</v>
      </c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>
      <c r="A270" s="72">
        <v>1526.0</v>
      </c>
      <c r="B270" s="67" t="s">
        <v>560</v>
      </c>
      <c r="C270" s="70" t="s">
        <v>60</v>
      </c>
      <c r="D270" s="70" t="s">
        <v>561</v>
      </c>
      <c r="E270" s="70" t="s">
        <v>28</v>
      </c>
      <c r="F270" s="73"/>
      <c r="G270" s="73"/>
      <c r="H270" s="70" t="s">
        <v>28</v>
      </c>
      <c r="I270" s="72">
        <v>60.01</v>
      </c>
      <c r="J270" s="70" t="s">
        <v>58</v>
      </c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>
      <c r="A271" s="72">
        <v>1525.0</v>
      </c>
      <c r="B271" s="67" t="s">
        <v>562</v>
      </c>
      <c r="C271" s="70" t="s">
        <v>56</v>
      </c>
      <c r="D271" s="70" t="s">
        <v>534</v>
      </c>
      <c r="E271" s="70" t="s">
        <v>28</v>
      </c>
      <c r="F271" s="70" t="s">
        <v>28</v>
      </c>
      <c r="G271" s="70" t="s">
        <v>28</v>
      </c>
      <c r="H271" s="70" t="s">
        <v>28</v>
      </c>
      <c r="I271" s="72">
        <v>66.63</v>
      </c>
      <c r="J271" s="70" t="s">
        <v>58</v>
      </c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>
      <c r="A272" s="72">
        <v>1524.0</v>
      </c>
      <c r="B272" s="67" t="s">
        <v>563</v>
      </c>
      <c r="C272" s="70" t="s">
        <v>56</v>
      </c>
      <c r="D272" s="70" t="s">
        <v>564</v>
      </c>
      <c r="E272" s="70" t="s">
        <v>468</v>
      </c>
      <c r="F272" s="73"/>
      <c r="G272" s="73"/>
      <c r="H272" s="70" t="s">
        <v>468</v>
      </c>
      <c r="I272" s="72">
        <v>39.99</v>
      </c>
      <c r="J272" s="70" t="s">
        <v>58</v>
      </c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>
      <c r="A273" s="72">
        <v>1523.0</v>
      </c>
      <c r="B273" s="67" t="s">
        <v>565</v>
      </c>
      <c r="C273" s="70" t="s">
        <v>69</v>
      </c>
      <c r="D273" s="70" t="s">
        <v>99</v>
      </c>
      <c r="E273" s="70" t="s">
        <v>67</v>
      </c>
      <c r="F273" s="73"/>
      <c r="G273" s="73"/>
      <c r="H273" s="70" t="s">
        <v>67</v>
      </c>
      <c r="I273" s="72">
        <v>54.4</v>
      </c>
      <c r="J273" s="70" t="s">
        <v>58</v>
      </c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>
      <c r="A274" s="72">
        <v>1522.0</v>
      </c>
      <c r="B274" s="67" t="s">
        <v>566</v>
      </c>
      <c r="C274" s="70" t="s">
        <v>56</v>
      </c>
      <c r="D274" s="73"/>
      <c r="E274" s="70" t="s">
        <v>71</v>
      </c>
      <c r="F274" s="70" t="s">
        <v>71</v>
      </c>
      <c r="G274" s="70" t="s">
        <v>71</v>
      </c>
      <c r="H274" s="70" t="s">
        <v>71</v>
      </c>
      <c r="I274" s="72">
        <v>69.08</v>
      </c>
      <c r="J274" s="70" t="s">
        <v>58</v>
      </c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>
      <c r="A275" s="72">
        <v>1521.0</v>
      </c>
      <c r="B275" s="67" t="s">
        <v>567</v>
      </c>
      <c r="C275" s="70" t="s">
        <v>60</v>
      </c>
      <c r="D275" s="70" t="s">
        <v>568</v>
      </c>
      <c r="E275" s="70" t="s">
        <v>569</v>
      </c>
      <c r="F275" s="73"/>
      <c r="G275" s="73"/>
      <c r="H275" s="70" t="s">
        <v>569</v>
      </c>
      <c r="I275" s="72">
        <v>44.23</v>
      </c>
      <c r="J275" s="70" t="s">
        <v>58</v>
      </c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>
      <c r="A276" s="72">
        <v>1520.0</v>
      </c>
      <c r="B276" s="67" t="s">
        <v>570</v>
      </c>
      <c r="C276" s="70" t="s">
        <v>60</v>
      </c>
      <c r="D276" s="70" t="s">
        <v>61</v>
      </c>
      <c r="E276" s="70" t="s">
        <v>64</v>
      </c>
      <c r="F276" s="73"/>
      <c r="G276" s="70" t="s">
        <v>64</v>
      </c>
      <c r="H276" s="70" t="s">
        <v>64</v>
      </c>
      <c r="I276" s="72">
        <v>36.29</v>
      </c>
      <c r="J276" s="70" t="s">
        <v>58</v>
      </c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>
      <c r="A277" s="72">
        <v>1519.0</v>
      </c>
      <c r="B277" s="67" t="s">
        <v>571</v>
      </c>
      <c r="C277" s="70" t="s">
        <v>56</v>
      </c>
      <c r="D277" s="70" t="s">
        <v>394</v>
      </c>
      <c r="E277" s="70" t="s">
        <v>572</v>
      </c>
      <c r="F277" s="73"/>
      <c r="G277" s="73"/>
      <c r="H277" s="70" t="s">
        <v>573</v>
      </c>
      <c r="I277" s="72">
        <v>37.07</v>
      </c>
      <c r="J277" s="70" t="s">
        <v>58</v>
      </c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>
      <c r="A278" s="72">
        <v>1518.0</v>
      </c>
      <c r="B278" s="67" t="s">
        <v>574</v>
      </c>
      <c r="C278" s="70" t="s">
        <v>69</v>
      </c>
      <c r="D278" s="70" t="s">
        <v>61</v>
      </c>
      <c r="E278" s="70" t="s">
        <v>575</v>
      </c>
      <c r="F278" s="70" t="s">
        <v>576</v>
      </c>
      <c r="G278" s="70" t="s">
        <v>576</v>
      </c>
      <c r="H278" s="70" t="s">
        <v>577</v>
      </c>
      <c r="I278" s="72">
        <v>60.59</v>
      </c>
      <c r="J278" s="70" t="s">
        <v>58</v>
      </c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>
      <c r="A279" s="72">
        <v>1517.0</v>
      </c>
      <c r="B279" s="67" t="s">
        <v>578</v>
      </c>
      <c r="C279" s="70" t="s">
        <v>69</v>
      </c>
      <c r="D279" s="73"/>
      <c r="E279" s="70" t="s">
        <v>579</v>
      </c>
      <c r="F279" s="70" t="s">
        <v>579</v>
      </c>
      <c r="G279" s="70" t="s">
        <v>579</v>
      </c>
      <c r="H279" s="70" t="s">
        <v>579</v>
      </c>
      <c r="I279" s="72">
        <v>71.07</v>
      </c>
      <c r="J279" s="70" t="s">
        <v>73</v>
      </c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>
      <c r="A280" s="72">
        <v>1516.0</v>
      </c>
      <c r="B280" s="67" t="s">
        <v>580</v>
      </c>
      <c r="C280" s="70" t="s">
        <v>60</v>
      </c>
      <c r="D280" s="70" t="s">
        <v>320</v>
      </c>
      <c r="E280" s="70" t="s">
        <v>28</v>
      </c>
      <c r="F280" s="73"/>
      <c r="G280" s="73"/>
      <c r="H280" s="70" t="s">
        <v>28</v>
      </c>
      <c r="I280" s="72">
        <v>63.93</v>
      </c>
      <c r="J280" s="70" t="s">
        <v>58</v>
      </c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>
      <c r="A281" s="72">
        <v>1515.0</v>
      </c>
      <c r="B281" s="67" t="s">
        <v>581</v>
      </c>
      <c r="C281" s="70" t="s">
        <v>60</v>
      </c>
      <c r="D281" s="70" t="s">
        <v>582</v>
      </c>
      <c r="E281" s="70" t="s">
        <v>583</v>
      </c>
      <c r="F281" s="70" t="s">
        <v>584</v>
      </c>
      <c r="G281" s="70" t="s">
        <v>584</v>
      </c>
      <c r="H281" s="70" t="s">
        <v>585</v>
      </c>
      <c r="I281" s="72">
        <v>38.14</v>
      </c>
      <c r="J281" s="70" t="s">
        <v>58</v>
      </c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>
      <c r="A282" s="72">
        <v>1514.0</v>
      </c>
      <c r="B282" s="67" t="s">
        <v>586</v>
      </c>
      <c r="C282" s="70" t="s">
        <v>56</v>
      </c>
      <c r="D282" s="70" t="s">
        <v>66</v>
      </c>
      <c r="E282" s="70" t="s">
        <v>28</v>
      </c>
      <c r="F282" s="70" t="s">
        <v>28</v>
      </c>
      <c r="G282" s="70" t="s">
        <v>28</v>
      </c>
      <c r="H282" s="70" t="s">
        <v>28</v>
      </c>
      <c r="I282" s="72">
        <v>40.69</v>
      </c>
      <c r="J282" s="70" t="s">
        <v>58</v>
      </c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>
      <c r="A283" s="72">
        <v>1513.0</v>
      </c>
      <c r="B283" s="67" t="s">
        <v>587</v>
      </c>
      <c r="C283" s="70" t="s">
        <v>56</v>
      </c>
      <c r="D283" s="70" t="s">
        <v>588</v>
      </c>
      <c r="E283" s="75" t="s">
        <v>28</v>
      </c>
      <c r="F283" s="73"/>
      <c r="G283" s="73"/>
      <c r="H283" s="70" t="s">
        <v>28</v>
      </c>
      <c r="I283" s="72">
        <v>41.95</v>
      </c>
      <c r="J283" s="70" t="s">
        <v>58</v>
      </c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>
      <c r="A284" s="72">
        <v>1512.0</v>
      </c>
      <c r="B284" s="67" t="s">
        <v>589</v>
      </c>
      <c r="C284" s="70" t="s">
        <v>69</v>
      </c>
      <c r="D284" s="75" t="s">
        <v>590</v>
      </c>
      <c r="E284" s="76" t="s">
        <v>591</v>
      </c>
      <c r="F284" s="73"/>
      <c r="G284" s="70" t="s">
        <v>412</v>
      </c>
      <c r="H284" s="70" t="s">
        <v>592</v>
      </c>
      <c r="I284" s="72">
        <v>87.69</v>
      </c>
      <c r="J284" s="70" t="s">
        <v>58</v>
      </c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>
      <c r="A285" s="72">
        <v>1511.0</v>
      </c>
      <c r="B285" s="67" t="s">
        <v>593</v>
      </c>
      <c r="C285" s="75" t="s">
        <v>69</v>
      </c>
      <c r="D285" s="78"/>
      <c r="E285" s="76" t="s">
        <v>64</v>
      </c>
      <c r="F285" s="70" t="s">
        <v>64</v>
      </c>
      <c r="G285" s="70" t="s">
        <v>64</v>
      </c>
      <c r="H285" s="70" t="s">
        <v>64</v>
      </c>
      <c r="I285" s="72">
        <v>73.78</v>
      </c>
      <c r="J285" s="70" t="s">
        <v>73</v>
      </c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>
      <c r="A286" s="72">
        <v>1510.0</v>
      </c>
      <c r="B286" s="67" t="s">
        <v>594</v>
      </c>
      <c r="C286" s="70" t="s">
        <v>60</v>
      </c>
      <c r="D286" s="70" t="s">
        <v>76</v>
      </c>
      <c r="E286" s="70" t="s">
        <v>67</v>
      </c>
      <c r="F286" s="73"/>
      <c r="G286" s="73"/>
      <c r="H286" s="70" t="s">
        <v>67</v>
      </c>
      <c r="I286" s="72">
        <v>58.88</v>
      </c>
      <c r="J286" s="70" t="s">
        <v>58</v>
      </c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>
      <c r="A287" s="72">
        <v>1509.0</v>
      </c>
      <c r="B287" s="67" t="s">
        <v>595</v>
      </c>
      <c r="C287" s="70" t="s">
        <v>56</v>
      </c>
      <c r="D287" s="70" t="s">
        <v>370</v>
      </c>
      <c r="E287" s="77" t="s">
        <v>28</v>
      </c>
      <c r="F287" s="73"/>
      <c r="G287" s="73"/>
      <c r="H287" s="77" t="s">
        <v>28</v>
      </c>
      <c r="I287" s="72">
        <v>52.4</v>
      </c>
      <c r="J287" s="70" t="s">
        <v>58</v>
      </c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>
      <c r="A288" s="72">
        <v>1508.0</v>
      </c>
      <c r="B288" s="67" t="s">
        <v>596</v>
      </c>
      <c r="C288" s="70" t="s">
        <v>56</v>
      </c>
      <c r="D288" s="70" t="s">
        <v>370</v>
      </c>
      <c r="E288" s="70" t="s">
        <v>28</v>
      </c>
      <c r="F288" s="73"/>
      <c r="G288" s="73"/>
      <c r="H288" s="70" t="s">
        <v>28</v>
      </c>
      <c r="I288" s="72">
        <v>60.66</v>
      </c>
      <c r="J288" s="70" t="s">
        <v>58</v>
      </c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>
      <c r="A289" s="72">
        <v>1507.0</v>
      </c>
      <c r="B289" s="67" t="s">
        <v>597</v>
      </c>
      <c r="C289" s="70" t="s">
        <v>69</v>
      </c>
      <c r="D289" s="70" t="s">
        <v>70</v>
      </c>
      <c r="E289" s="77" t="s">
        <v>598</v>
      </c>
      <c r="F289" s="70" t="s">
        <v>421</v>
      </c>
      <c r="G289" s="70" t="s">
        <v>421</v>
      </c>
      <c r="H289" s="77" t="s">
        <v>598</v>
      </c>
      <c r="I289" s="72">
        <v>60.09</v>
      </c>
      <c r="J289" s="70" t="s">
        <v>58</v>
      </c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>
      <c r="A290" s="72">
        <v>1506.0</v>
      </c>
      <c r="B290" s="67" t="s">
        <v>599</v>
      </c>
      <c r="C290" s="70" t="s">
        <v>56</v>
      </c>
      <c r="D290" s="73"/>
      <c r="E290" s="70" t="s">
        <v>28</v>
      </c>
      <c r="F290" s="73"/>
      <c r="G290" s="73"/>
      <c r="H290" s="70" t="s">
        <v>28</v>
      </c>
      <c r="I290" s="72">
        <v>80.36</v>
      </c>
      <c r="J290" s="70" t="s">
        <v>58</v>
      </c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>
      <c r="A291" s="72">
        <v>1505.0</v>
      </c>
      <c r="B291" s="67" t="s">
        <v>600</v>
      </c>
      <c r="C291" s="70" t="s">
        <v>60</v>
      </c>
      <c r="D291" s="70" t="s">
        <v>61</v>
      </c>
      <c r="E291" s="70" t="s">
        <v>64</v>
      </c>
      <c r="F291" s="73"/>
      <c r="G291" s="70" t="s">
        <v>64</v>
      </c>
      <c r="H291" s="70" t="s">
        <v>64</v>
      </c>
      <c r="I291" s="72">
        <v>36.62</v>
      </c>
      <c r="J291" s="70" t="s">
        <v>58</v>
      </c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>
      <c r="A292" s="72">
        <v>1504.0</v>
      </c>
      <c r="B292" s="67" t="s">
        <v>601</v>
      </c>
      <c r="C292" s="70" t="s">
        <v>56</v>
      </c>
      <c r="D292" s="70" t="s">
        <v>76</v>
      </c>
      <c r="E292" s="75" t="s">
        <v>28</v>
      </c>
      <c r="F292" s="70" t="s">
        <v>28</v>
      </c>
      <c r="G292" s="70" t="s">
        <v>28</v>
      </c>
      <c r="H292" s="70" t="s">
        <v>28</v>
      </c>
      <c r="I292" s="72">
        <v>60.82</v>
      </c>
      <c r="J292" s="70" t="s">
        <v>58</v>
      </c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>
      <c r="A293" s="72">
        <v>1503.0</v>
      </c>
      <c r="B293" s="67" t="s">
        <v>602</v>
      </c>
      <c r="C293" s="70" t="s">
        <v>56</v>
      </c>
      <c r="D293" s="75" t="s">
        <v>603</v>
      </c>
      <c r="E293" s="76" t="s">
        <v>28</v>
      </c>
      <c r="F293" s="73"/>
      <c r="G293" s="73"/>
      <c r="H293" s="70" t="s">
        <v>28</v>
      </c>
      <c r="I293" s="72">
        <v>53.21</v>
      </c>
      <c r="J293" s="70" t="s">
        <v>58</v>
      </c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>
      <c r="A294" s="72">
        <v>1502.0</v>
      </c>
      <c r="B294" s="67" t="s">
        <v>604</v>
      </c>
      <c r="C294" s="75" t="s">
        <v>69</v>
      </c>
      <c r="D294" s="76" t="s">
        <v>370</v>
      </c>
      <c r="E294" s="76" t="s">
        <v>64</v>
      </c>
      <c r="F294" s="73"/>
      <c r="G294" s="73"/>
      <c r="H294" s="70" t="s">
        <v>64</v>
      </c>
      <c r="I294" s="72">
        <v>70.91</v>
      </c>
      <c r="J294" s="70" t="s">
        <v>58</v>
      </c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>
      <c r="A295" s="72">
        <v>1501.0</v>
      </c>
      <c r="B295" s="67" t="s">
        <v>605</v>
      </c>
      <c r="C295" s="70" t="s">
        <v>56</v>
      </c>
      <c r="D295" s="73"/>
      <c r="E295" s="73"/>
      <c r="F295" s="73"/>
      <c r="G295" s="73"/>
      <c r="H295" s="73"/>
      <c r="I295" s="72">
        <v>60.62</v>
      </c>
      <c r="J295" s="70" t="s">
        <v>73</v>
      </c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>
      <c r="A296" s="72">
        <v>1500.0</v>
      </c>
      <c r="B296" s="67" t="s">
        <v>606</v>
      </c>
      <c r="C296" s="70" t="s">
        <v>56</v>
      </c>
      <c r="D296" s="70" t="s">
        <v>328</v>
      </c>
      <c r="E296" s="70" t="s">
        <v>607</v>
      </c>
      <c r="F296" s="73"/>
      <c r="G296" s="73"/>
      <c r="H296" s="70" t="s">
        <v>607</v>
      </c>
      <c r="I296" s="72">
        <v>46.63</v>
      </c>
      <c r="J296" s="70" t="s">
        <v>58</v>
      </c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>
      <c r="A297" s="72">
        <v>1499.0</v>
      </c>
      <c r="B297" s="67" t="s">
        <v>608</v>
      </c>
      <c r="C297" s="70" t="s">
        <v>60</v>
      </c>
      <c r="D297" s="70" t="s">
        <v>609</v>
      </c>
      <c r="E297" s="70" t="s">
        <v>28</v>
      </c>
      <c r="F297" s="70" t="s">
        <v>28</v>
      </c>
      <c r="G297" s="70" t="s">
        <v>28</v>
      </c>
      <c r="H297" s="70" t="s">
        <v>28</v>
      </c>
      <c r="I297" s="72">
        <v>44.88</v>
      </c>
      <c r="J297" s="70" t="s">
        <v>58</v>
      </c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>
      <c r="A298" s="72">
        <v>1498.0</v>
      </c>
      <c r="B298" s="67" t="s">
        <v>610</v>
      </c>
      <c r="C298" s="70" t="s">
        <v>56</v>
      </c>
      <c r="D298" s="70" t="s">
        <v>611</v>
      </c>
      <c r="E298" s="70" t="s">
        <v>96</v>
      </c>
      <c r="F298" s="70" t="s">
        <v>71</v>
      </c>
      <c r="G298" s="70" t="s">
        <v>71</v>
      </c>
      <c r="H298" s="70" t="s">
        <v>612</v>
      </c>
      <c r="I298" s="72">
        <v>38.51</v>
      </c>
      <c r="J298" s="70" t="s">
        <v>58</v>
      </c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>
      <c r="A299" s="72">
        <v>1497.0</v>
      </c>
      <c r="B299" s="67" t="s">
        <v>613</v>
      </c>
      <c r="C299" s="70" t="s">
        <v>56</v>
      </c>
      <c r="D299" s="70" t="s">
        <v>614</v>
      </c>
      <c r="E299" s="70" t="s">
        <v>615</v>
      </c>
      <c r="F299" s="73"/>
      <c r="G299" s="70" t="s">
        <v>460</v>
      </c>
      <c r="H299" s="70" t="s">
        <v>615</v>
      </c>
      <c r="I299" s="72">
        <v>40.35</v>
      </c>
      <c r="J299" s="70" t="s">
        <v>58</v>
      </c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>
      <c r="A300" s="72">
        <v>1496.0</v>
      </c>
      <c r="B300" s="67" t="s">
        <v>616</v>
      </c>
      <c r="C300" s="70" t="s">
        <v>69</v>
      </c>
      <c r="D300" s="70" t="s">
        <v>70</v>
      </c>
      <c r="E300" s="70" t="s">
        <v>64</v>
      </c>
      <c r="F300" s="70" t="s">
        <v>64</v>
      </c>
      <c r="G300" s="70" t="s">
        <v>64</v>
      </c>
      <c r="H300" s="70" t="s">
        <v>64</v>
      </c>
      <c r="I300" s="72">
        <v>55.24</v>
      </c>
      <c r="J300" s="70" t="s">
        <v>58</v>
      </c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>
      <c r="A301" s="72">
        <v>1495.0</v>
      </c>
      <c r="B301" s="67" t="s">
        <v>617</v>
      </c>
      <c r="C301" s="70" t="s">
        <v>69</v>
      </c>
      <c r="D301" s="74"/>
      <c r="E301" s="75" t="s">
        <v>64</v>
      </c>
      <c r="F301" s="79"/>
      <c r="G301" s="70" t="s">
        <v>64</v>
      </c>
      <c r="H301" s="70" t="s">
        <v>64</v>
      </c>
      <c r="I301" s="72">
        <v>51.21</v>
      </c>
      <c r="J301" s="70" t="s">
        <v>73</v>
      </c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>
      <c r="A302" s="72">
        <v>1494.0</v>
      </c>
      <c r="B302" s="67" t="s">
        <v>618</v>
      </c>
      <c r="C302" s="70" t="s">
        <v>60</v>
      </c>
      <c r="D302" s="75" t="s">
        <v>66</v>
      </c>
      <c r="E302" s="76" t="s">
        <v>241</v>
      </c>
      <c r="F302" s="78"/>
      <c r="G302" s="70" t="s">
        <v>67</v>
      </c>
      <c r="H302" s="70" t="s">
        <v>242</v>
      </c>
      <c r="I302" s="72">
        <v>31.13</v>
      </c>
      <c r="J302" s="70" t="s">
        <v>58</v>
      </c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>
      <c r="A303" s="72">
        <v>1493.0</v>
      </c>
      <c r="B303" s="67" t="s">
        <v>619</v>
      </c>
      <c r="C303" s="75" t="s">
        <v>56</v>
      </c>
      <c r="D303" s="76" t="s">
        <v>93</v>
      </c>
      <c r="E303" s="76" t="s">
        <v>620</v>
      </c>
      <c r="F303" s="76" t="s">
        <v>620</v>
      </c>
      <c r="G303" s="70" t="s">
        <v>620</v>
      </c>
      <c r="H303" s="70" t="s">
        <v>620</v>
      </c>
      <c r="I303" s="72">
        <v>57.75</v>
      </c>
      <c r="J303" s="70" t="s">
        <v>58</v>
      </c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>
      <c r="A304" s="72">
        <v>1492.0</v>
      </c>
      <c r="B304" s="67" t="s">
        <v>621</v>
      </c>
      <c r="C304" s="70" t="s">
        <v>56</v>
      </c>
      <c r="D304" s="70" t="s">
        <v>99</v>
      </c>
      <c r="E304" s="70" t="s">
        <v>421</v>
      </c>
      <c r="F304" s="70" t="s">
        <v>421</v>
      </c>
      <c r="G304" s="70" t="s">
        <v>421</v>
      </c>
      <c r="H304" s="70" t="s">
        <v>421</v>
      </c>
      <c r="I304" s="72">
        <v>63.19</v>
      </c>
      <c r="J304" s="70" t="s">
        <v>58</v>
      </c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>
      <c r="A305" s="72">
        <v>1491.0</v>
      </c>
      <c r="B305" s="67" t="s">
        <v>622</v>
      </c>
      <c r="C305" s="70" t="s">
        <v>69</v>
      </c>
      <c r="D305" s="70" t="s">
        <v>370</v>
      </c>
      <c r="E305" s="75" t="s">
        <v>623</v>
      </c>
      <c r="F305" s="70" t="s">
        <v>64</v>
      </c>
      <c r="G305" s="70" t="s">
        <v>64</v>
      </c>
      <c r="H305" s="70" t="s">
        <v>623</v>
      </c>
      <c r="I305" s="72">
        <v>68.49</v>
      </c>
      <c r="J305" s="70" t="s">
        <v>58</v>
      </c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>
      <c r="A306" s="72">
        <v>1490.0</v>
      </c>
      <c r="B306" s="67" t="s">
        <v>624</v>
      </c>
      <c r="C306" s="70" t="s">
        <v>56</v>
      </c>
      <c r="D306" s="75" t="s">
        <v>625</v>
      </c>
      <c r="E306" s="76" t="s">
        <v>64</v>
      </c>
      <c r="F306" s="73"/>
      <c r="G306" s="73"/>
      <c r="H306" s="70" t="s">
        <v>64</v>
      </c>
      <c r="I306" s="72">
        <v>83.43</v>
      </c>
      <c r="J306" s="70" t="s">
        <v>58</v>
      </c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>
      <c r="A307" s="72">
        <v>1489.0</v>
      </c>
      <c r="B307" s="67" t="s">
        <v>626</v>
      </c>
      <c r="C307" s="75" t="s">
        <v>60</v>
      </c>
      <c r="D307" s="76" t="s">
        <v>627</v>
      </c>
      <c r="E307" s="76" t="s">
        <v>64</v>
      </c>
      <c r="F307" s="73"/>
      <c r="G307" s="73"/>
      <c r="H307" s="70" t="s">
        <v>64</v>
      </c>
      <c r="I307" s="72">
        <v>51.39</v>
      </c>
      <c r="J307" s="70" t="s">
        <v>58</v>
      </c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>
      <c r="A308" s="72">
        <v>1488.0</v>
      </c>
      <c r="B308" s="67" t="s">
        <v>628</v>
      </c>
      <c r="C308" s="75" t="s">
        <v>56</v>
      </c>
      <c r="D308" s="76" t="s">
        <v>156</v>
      </c>
      <c r="E308" s="76" t="s">
        <v>28</v>
      </c>
      <c r="F308" s="73"/>
      <c r="G308" s="73"/>
      <c r="H308" s="70" t="s">
        <v>28</v>
      </c>
      <c r="I308" s="72">
        <v>24.48</v>
      </c>
      <c r="J308" s="70" t="s">
        <v>58</v>
      </c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>
      <c r="A309" s="72">
        <v>1487.0</v>
      </c>
      <c r="B309" s="67" t="s">
        <v>629</v>
      </c>
      <c r="C309" s="70" t="s">
        <v>56</v>
      </c>
      <c r="D309" s="70" t="s">
        <v>89</v>
      </c>
      <c r="E309" s="75" t="s">
        <v>630</v>
      </c>
      <c r="F309" s="73"/>
      <c r="G309" s="73"/>
      <c r="H309" s="70" t="s">
        <v>630</v>
      </c>
      <c r="I309" s="72">
        <v>30.8</v>
      </c>
      <c r="J309" s="70" t="s">
        <v>58</v>
      </c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>
      <c r="A310" s="72">
        <v>1486.0</v>
      </c>
      <c r="B310" s="67" t="s">
        <v>631</v>
      </c>
      <c r="C310" s="70" t="s">
        <v>69</v>
      </c>
      <c r="D310" s="75" t="s">
        <v>632</v>
      </c>
      <c r="E310" s="76" t="s">
        <v>633</v>
      </c>
      <c r="F310" s="73"/>
      <c r="G310" s="73"/>
      <c r="H310" s="70" t="s">
        <v>633</v>
      </c>
      <c r="I310" s="72">
        <v>84.09</v>
      </c>
      <c r="J310" s="70" t="s">
        <v>58</v>
      </c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>
      <c r="A311" s="72">
        <v>1485.0</v>
      </c>
      <c r="B311" s="67" t="s">
        <v>634</v>
      </c>
      <c r="C311" s="75" t="s">
        <v>56</v>
      </c>
      <c r="D311" s="76" t="s">
        <v>625</v>
      </c>
      <c r="E311" s="76" t="s">
        <v>635</v>
      </c>
      <c r="F311" s="70" t="s">
        <v>189</v>
      </c>
      <c r="G311" s="70" t="s">
        <v>189</v>
      </c>
      <c r="H311" s="70" t="s">
        <v>636</v>
      </c>
      <c r="I311" s="72">
        <v>79.3</v>
      </c>
      <c r="J311" s="70" t="s">
        <v>58</v>
      </c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>
      <c r="A312" s="72">
        <v>1484.0</v>
      </c>
      <c r="B312" s="67" t="s">
        <v>637</v>
      </c>
      <c r="C312" s="70" t="s">
        <v>69</v>
      </c>
      <c r="D312" s="73"/>
      <c r="E312" s="70" t="s">
        <v>638</v>
      </c>
      <c r="F312" s="73"/>
      <c r="G312" s="73"/>
      <c r="H312" s="70" t="s">
        <v>638</v>
      </c>
      <c r="I312" s="72">
        <v>85.34</v>
      </c>
      <c r="J312" s="70" t="s">
        <v>73</v>
      </c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>
      <c r="A313" s="72">
        <v>1483.0</v>
      </c>
      <c r="B313" s="67" t="s">
        <v>639</v>
      </c>
      <c r="C313" s="70" t="s">
        <v>60</v>
      </c>
      <c r="D313" s="70" t="s">
        <v>76</v>
      </c>
      <c r="E313" s="70" t="s">
        <v>28</v>
      </c>
      <c r="F313" s="70" t="s">
        <v>28</v>
      </c>
      <c r="G313" s="70" t="s">
        <v>28</v>
      </c>
      <c r="H313" s="70" t="s">
        <v>28</v>
      </c>
      <c r="I313" s="72">
        <v>30.75</v>
      </c>
      <c r="J313" s="70" t="s">
        <v>58</v>
      </c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>
      <c r="A314" s="72">
        <v>1482.0</v>
      </c>
      <c r="B314" s="67" t="s">
        <v>640</v>
      </c>
      <c r="C314" s="70" t="s">
        <v>56</v>
      </c>
      <c r="D314" s="70" t="s">
        <v>484</v>
      </c>
      <c r="E314" s="70" t="s">
        <v>28</v>
      </c>
      <c r="F314" s="73"/>
      <c r="G314" s="73"/>
      <c r="H314" s="70" t="s">
        <v>28</v>
      </c>
      <c r="I314" s="72">
        <v>50.36</v>
      </c>
      <c r="J314" s="70" t="s">
        <v>58</v>
      </c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>
      <c r="A315" s="72">
        <v>1481.0</v>
      </c>
      <c r="B315" s="67" t="s">
        <v>641</v>
      </c>
      <c r="C315" s="70" t="s">
        <v>56</v>
      </c>
      <c r="D315" s="75" t="s">
        <v>370</v>
      </c>
      <c r="E315" s="70" t="s">
        <v>642</v>
      </c>
      <c r="F315" s="70" t="s">
        <v>643</v>
      </c>
      <c r="G315" s="70" t="s">
        <v>643</v>
      </c>
      <c r="H315" s="70" t="s">
        <v>644</v>
      </c>
      <c r="I315" s="72">
        <v>55.9</v>
      </c>
      <c r="J315" s="70" t="s">
        <v>58</v>
      </c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>
      <c r="A316" s="72">
        <v>1480.0</v>
      </c>
      <c r="B316" s="67" t="s">
        <v>645</v>
      </c>
      <c r="C316" s="75" t="s">
        <v>69</v>
      </c>
      <c r="D316" s="76" t="s">
        <v>93</v>
      </c>
      <c r="E316" s="70" t="s">
        <v>646</v>
      </c>
      <c r="F316" s="70" t="s">
        <v>647</v>
      </c>
      <c r="G316" s="70" t="s">
        <v>648</v>
      </c>
      <c r="H316" s="70" t="s">
        <v>649</v>
      </c>
      <c r="I316" s="72">
        <v>88.8</v>
      </c>
      <c r="J316" s="70" t="s">
        <v>58</v>
      </c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>
      <c r="A317" s="72">
        <v>1479.0</v>
      </c>
      <c r="B317" s="67" t="s">
        <v>650</v>
      </c>
      <c r="C317" s="76" t="s">
        <v>60</v>
      </c>
      <c r="D317" s="78"/>
      <c r="E317" s="70" t="s">
        <v>64</v>
      </c>
      <c r="F317" s="73"/>
      <c r="G317" s="70" t="s">
        <v>64</v>
      </c>
      <c r="H317" s="70" t="s">
        <v>64</v>
      </c>
      <c r="I317" s="72">
        <v>83.09</v>
      </c>
      <c r="J317" s="70" t="s">
        <v>73</v>
      </c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>
      <c r="A318" s="72">
        <v>1478.0</v>
      </c>
      <c r="B318" s="67" t="s">
        <v>651</v>
      </c>
      <c r="C318" s="70" t="s">
        <v>60</v>
      </c>
      <c r="D318" s="75" t="s">
        <v>652</v>
      </c>
      <c r="E318" s="70" t="s">
        <v>636</v>
      </c>
      <c r="F318" s="70" t="s">
        <v>189</v>
      </c>
      <c r="G318" s="70" t="s">
        <v>636</v>
      </c>
      <c r="H318" s="70" t="s">
        <v>636</v>
      </c>
      <c r="I318" s="72">
        <v>53.98</v>
      </c>
      <c r="J318" s="70" t="s">
        <v>58</v>
      </c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>
      <c r="A319" s="72">
        <v>1477.0</v>
      </c>
      <c r="B319" s="67" t="s">
        <v>653</v>
      </c>
      <c r="C319" s="75" t="s">
        <v>56</v>
      </c>
      <c r="D319" s="76" t="s">
        <v>76</v>
      </c>
      <c r="E319" s="70" t="s">
        <v>381</v>
      </c>
      <c r="F319" s="70" t="s">
        <v>382</v>
      </c>
      <c r="G319" s="70" t="s">
        <v>382</v>
      </c>
      <c r="H319" s="70" t="s">
        <v>382</v>
      </c>
      <c r="I319" s="72">
        <v>34.72</v>
      </c>
      <c r="J319" s="70" t="s">
        <v>58</v>
      </c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>
      <c r="A320" s="72">
        <v>1476.0</v>
      </c>
      <c r="B320" s="67" t="s">
        <v>654</v>
      </c>
      <c r="C320" s="76" t="s">
        <v>56</v>
      </c>
      <c r="D320" s="76" t="s">
        <v>93</v>
      </c>
      <c r="E320" s="75" t="s">
        <v>655</v>
      </c>
      <c r="F320" s="73"/>
      <c r="G320" s="73"/>
      <c r="H320" s="70" t="s">
        <v>655</v>
      </c>
      <c r="I320" s="72">
        <v>88.12</v>
      </c>
      <c r="J320" s="70" t="s">
        <v>58</v>
      </c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>
      <c r="A321" s="72">
        <v>1475.0</v>
      </c>
      <c r="B321" s="67" t="s">
        <v>656</v>
      </c>
      <c r="C321" s="70" t="s">
        <v>69</v>
      </c>
      <c r="D321" s="75" t="s">
        <v>93</v>
      </c>
      <c r="E321" s="76" t="s">
        <v>657</v>
      </c>
      <c r="F321" s="73"/>
      <c r="G321" s="73"/>
      <c r="H321" s="70" t="s">
        <v>657</v>
      </c>
      <c r="I321" s="72">
        <v>75.13</v>
      </c>
      <c r="J321" s="70" t="s">
        <v>58</v>
      </c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>
      <c r="A322" s="72">
        <v>1474.0</v>
      </c>
      <c r="B322" s="67" t="s">
        <v>658</v>
      </c>
      <c r="C322" s="75" t="s">
        <v>69</v>
      </c>
      <c r="D322" s="76" t="s">
        <v>206</v>
      </c>
      <c r="E322" s="76" t="s">
        <v>67</v>
      </c>
      <c r="F322" s="73"/>
      <c r="G322" s="73"/>
      <c r="H322" s="70" t="s">
        <v>67</v>
      </c>
      <c r="I322" s="72">
        <v>74.14</v>
      </c>
      <c r="J322" s="70" t="s">
        <v>58</v>
      </c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>
      <c r="A323" s="72">
        <v>1473.0</v>
      </c>
      <c r="B323" s="67" t="s">
        <v>659</v>
      </c>
      <c r="C323" s="70" t="s">
        <v>60</v>
      </c>
      <c r="D323" s="70" t="s">
        <v>76</v>
      </c>
      <c r="E323" s="70" t="s">
        <v>460</v>
      </c>
      <c r="F323" s="73"/>
      <c r="G323" s="70" t="s">
        <v>460</v>
      </c>
      <c r="H323" s="70" t="s">
        <v>460</v>
      </c>
      <c r="I323" s="72">
        <v>48.47</v>
      </c>
      <c r="J323" s="70" t="s">
        <v>58</v>
      </c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>
      <c r="A324" s="72">
        <v>1472.0</v>
      </c>
      <c r="B324" s="67" t="s">
        <v>660</v>
      </c>
      <c r="C324" s="70" t="s">
        <v>56</v>
      </c>
      <c r="D324" s="70" t="s">
        <v>440</v>
      </c>
      <c r="E324" s="70" t="s">
        <v>661</v>
      </c>
      <c r="F324" s="70" t="s">
        <v>662</v>
      </c>
      <c r="G324" s="70" t="s">
        <v>663</v>
      </c>
      <c r="H324" s="70" t="s">
        <v>663</v>
      </c>
      <c r="I324" s="72">
        <v>71.55</v>
      </c>
      <c r="J324" s="70" t="s">
        <v>58</v>
      </c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>
      <c r="A325" s="72">
        <v>1471.0</v>
      </c>
      <c r="B325" s="67" t="s">
        <v>664</v>
      </c>
      <c r="C325" s="70" t="s">
        <v>56</v>
      </c>
      <c r="D325" s="70" t="s">
        <v>370</v>
      </c>
      <c r="E325" s="70" t="s">
        <v>28</v>
      </c>
      <c r="F325" s="73"/>
      <c r="G325" s="73"/>
      <c r="H325" s="70" t="s">
        <v>28</v>
      </c>
      <c r="I325" s="72">
        <v>58.46</v>
      </c>
      <c r="J325" s="70" t="s">
        <v>58</v>
      </c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>
      <c r="A326" s="72">
        <v>1470.0</v>
      </c>
      <c r="B326" s="67" t="s">
        <v>665</v>
      </c>
      <c r="C326" s="70" t="s">
        <v>69</v>
      </c>
      <c r="D326" s="70" t="s">
        <v>93</v>
      </c>
      <c r="E326" s="70" t="s">
        <v>666</v>
      </c>
      <c r="F326" s="70" t="s">
        <v>667</v>
      </c>
      <c r="G326" s="70" t="s">
        <v>668</v>
      </c>
      <c r="H326" s="70" t="s">
        <v>668</v>
      </c>
      <c r="I326" s="72">
        <v>88.17</v>
      </c>
      <c r="J326" s="70" t="s">
        <v>58</v>
      </c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>
      <c r="A327" s="72">
        <v>1469.0</v>
      </c>
      <c r="B327" s="67" t="s">
        <v>669</v>
      </c>
      <c r="C327" s="70" t="s">
        <v>69</v>
      </c>
      <c r="D327" s="70" t="s">
        <v>289</v>
      </c>
      <c r="E327" s="70" t="s">
        <v>67</v>
      </c>
      <c r="F327" s="73"/>
      <c r="G327" s="73"/>
      <c r="H327" s="70" t="s">
        <v>67</v>
      </c>
      <c r="I327" s="72">
        <v>80.38</v>
      </c>
      <c r="J327" s="70" t="s">
        <v>58</v>
      </c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>
      <c r="A328" s="72">
        <v>1468.0</v>
      </c>
      <c r="B328" s="67" t="s">
        <v>670</v>
      </c>
      <c r="C328" s="70" t="s">
        <v>56</v>
      </c>
      <c r="D328" s="73"/>
      <c r="E328" s="70" t="s">
        <v>638</v>
      </c>
      <c r="F328" s="73"/>
      <c r="G328" s="73"/>
      <c r="H328" s="70" t="s">
        <v>638</v>
      </c>
      <c r="I328" s="72">
        <v>82.05</v>
      </c>
      <c r="J328" s="70" t="s">
        <v>73</v>
      </c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>
      <c r="A329" s="72">
        <v>1467.0</v>
      </c>
      <c r="B329" s="67" t="s">
        <v>671</v>
      </c>
      <c r="C329" s="70" t="s">
        <v>60</v>
      </c>
      <c r="D329" s="70" t="s">
        <v>672</v>
      </c>
      <c r="E329" s="73"/>
      <c r="F329" s="73"/>
      <c r="G329" s="73"/>
      <c r="H329" s="73"/>
      <c r="I329" s="72">
        <v>60.89</v>
      </c>
      <c r="J329" s="70" t="s">
        <v>58</v>
      </c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>
      <c r="A330" s="72">
        <v>1466.0</v>
      </c>
      <c r="B330" s="67" t="s">
        <v>673</v>
      </c>
      <c r="C330" s="70" t="s">
        <v>56</v>
      </c>
      <c r="D330" s="70" t="s">
        <v>289</v>
      </c>
      <c r="E330" s="70" t="s">
        <v>674</v>
      </c>
      <c r="F330" s="70" t="s">
        <v>67</v>
      </c>
      <c r="G330" s="70" t="s">
        <v>675</v>
      </c>
      <c r="H330" s="70" t="s">
        <v>675</v>
      </c>
      <c r="I330" s="72">
        <v>61.9</v>
      </c>
      <c r="J330" s="70" t="s">
        <v>58</v>
      </c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>
      <c r="A331" s="72">
        <v>1465.0</v>
      </c>
      <c r="B331" s="67" t="s">
        <v>676</v>
      </c>
      <c r="C331" s="70" t="s">
        <v>56</v>
      </c>
      <c r="D331" s="70" t="s">
        <v>93</v>
      </c>
      <c r="E331" s="70" t="s">
        <v>677</v>
      </c>
      <c r="F331" s="70" t="s">
        <v>678</v>
      </c>
      <c r="G331" s="70" t="s">
        <v>678</v>
      </c>
      <c r="H331" s="70" t="s">
        <v>679</v>
      </c>
      <c r="I331" s="72">
        <v>33.39</v>
      </c>
      <c r="J331" s="70" t="s">
        <v>58</v>
      </c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>
      <c r="A332" s="72">
        <v>1464.0</v>
      </c>
      <c r="B332" s="67" t="s">
        <v>680</v>
      </c>
      <c r="C332" s="70" t="s">
        <v>69</v>
      </c>
      <c r="D332" s="70" t="s">
        <v>93</v>
      </c>
      <c r="E332" s="70" t="s">
        <v>265</v>
      </c>
      <c r="F332" s="73"/>
      <c r="G332" s="73"/>
      <c r="H332" s="70" t="s">
        <v>265</v>
      </c>
      <c r="I332" s="72">
        <v>77.14</v>
      </c>
      <c r="J332" s="70" t="s">
        <v>58</v>
      </c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>
      <c r="A333" s="72">
        <v>1463.0</v>
      </c>
      <c r="B333" s="67" t="s">
        <v>681</v>
      </c>
      <c r="C333" s="70" t="s">
        <v>60</v>
      </c>
      <c r="D333" s="70" t="s">
        <v>76</v>
      </c>
      <c r="E333" s="70" t="s">
        <v>28</v>
      </c>
      <c r="F333" s="73"/>
      <c r="G333" s="70" t="s">
        <v>28</v>
      </c>
      <c r="H333" s="70" t="s">
        <v>28</v>
      </c>
      <c r="I333" s="72">
        <v>68.99</v>
      </c>
      <c r="J333" s="70" t="s">
        <v>58</v>
      </c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>
      <c r="A334" s="72">
        <v>1462.0</v>
      </c>
      <c r="B334" s="67" t="s">
        <v>682</v>
      </c>
      <c r="C334" s="70" t="s">
        <v>56</v>
      </c>
      <c r="D334" s="70" t="s">
        <v>66</v>
      </c>
      <c r="E334" s="70" t="s">
        <v>683</v>
      </c>
      <c r="F334" s="73"/>
      <c r="G334" s="70" t="s">
        <v>64</v>
      </c>
      <c r="H334" s="70" t="s">
        <v>684</v>
      </c>
      <c r="I334" s="72">
        <v>44.78</v>
      </c>
      <c r="J334" s="70" t="s">
        <v>58</v>
      </c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>
      <c r="A335" s="72">
        <v>1461.0</v>
      </c>
      <c r="B335" s="67" t="s">
        <v>685</v>
      </c>
      <c r="C335" s="70" t="s">
        <v>56</v>
      </c>
      <c r="D335" s="70" t="s">
        <v>534</v>
      </c>
      <c r="E335" s="70" t="s">
        <v>28</v>
      </c>
      <c r="F335" s="73"/>
      <c r="G335" s="73"/>
      <c r="H335" s="70" t="s">
        <v>28</v>
      </c>
      <c r="I335" s="72">
        <v>54.31</v>
      </c>
      <c r="J335" s="70" t="s">
        <v>58</v>
      </c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>
      <c r="A336" s="72">
        <v>1460.0</v>
      </c>
      <c r="B336" s="67" t="s">
        <v>686</v>
      </c>
      <c r="C336" s="70" t="s">
        <v>69</v>
      </c>
      <c r="D336" s="70" t="s">
        <v>93</v>
      </c>
      <c r="E336" s="70" t="s">
        <v>71</v>
      </c>
      <c r="F336" s="73"/>
      <c r="G336" s="70" t="s">
        <v>71</v>
      </c>
      <c r="H336" s="70" t="s">
        <v>71</v>
      </c>
      <c r="I336" s="72">
        <v>72.11</v>
      </c>
      <c r="J336" s="70" t="s">
        <v>58</v>
      </c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>
      <c r="A337" s="72">
        <v>1459.0</v>
      </c>
      <c r="B337" s="67" t="s">
        <v>687</v>
      </c>
      <c r="C337" s="70" t="s">
        <v>56</v>
      </c>
      <c r="D337" s="73"/>
      <c r="E337" s="70" t="s">
        <v>82</v>
      </c>
      <c r="F337" s="73"/>
      <c r="G337" s="73"/>
      <c r="H337" s="70" t="s">
        <v>82</v>
      </c>
      <c r="I337" s="72">
        <v>65.15</v>
      </c>
      <c r="J337" s="70" t="s">
        <v>73</v>
      </c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>
      <c r="A338" s="72">
        <v>1458.0</v>
      </c>
      <c r="B338" s="67" t="s">
        <v>688</v>
      </c>
      <c r="C338" s="70" t="s">
        <v>60</v>
      </c>
      <c r="D338" s="70" t="s">
        <v>76</v>
      </c>
      <c r="E338" s="70" t="s">
        <v>67</v>
      </c>
      <c r="F338" s="73"/>
      <c r="G338" s="73"/>
      <c r="H338" s="70" t="s">
        <v>67</v>
      </c>
      <c r="I338" s="72">
        <v>43.19</v>
      </c>
      <c r="J338" s="70" t="s">
        <v>58</v>
      </c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>
      <c r="A339" s="72">
        <v>1457.0</v>
      </c>
      <c r="B339" s="67" t="s">
        <v>689</v>
      </c>
      <c r="C339" s="70" t="s">
        <v>56</v>
      </c>
      <c r="D339" s="70" t="s">
        <v>690</v>
      </c>
      <c r="E339" s="70" t="s">
        <v>64</v>
      </c>
      <c r="F339" s="73"/>
      <c r="G339" s="73"/>
      <c r="H339" s="70" t="s">
        <v>64</v>
      </c>
      <c r="I339" s="72">
        <v>70.39</v>
      </c>
      <c r="J339" s="70" t="s">
        <v>58</v>
      </c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>
      <c r="A340" s="72">
        <v>1456.0</v>
      </c>
      <c r="B340" s="67" t="s">
        <v>691</v>
      </c>
      <c r="C340" s="70" t="s">
        <v>56</v>
      </c>
      <c r="D340" s="70" t="s">
        <v>692</v>
      </c>
      <c r="E340" s="70" t="s">
        <v>64</v>
      </c>
      <c r="F340" s="73"/>
      <c r="G340" s="73"/>
      <c r="H340" s="70" t="s">
        <v>64</v>
      </c>
      <c r="I340" s="72">
        <v>54.72</v>
      </c>
      <c r="J340" s="70" t="s">
        <v>58</v>
      </c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>
      <c r="A341" s="72">
        <v>1455.0</v>
      </c>
      <c r="B341" s="67" t="s">
        <v>693</v>
      </c>
      <c r="C341" s="70" t="s">
        <v>69</v>
      </c>
      <c r="D341" s="70" t="s">
        <v>70</v>
      </c>
      <c r="E341" s="70" t="s">
        <v>694</v>
      </c>
      <c r="F341" s="73"/>
      <c r="G341" s="73"/>
      <c r="H341" s="70" t="s">
        <v>694</v>
      </c>
      <c r="I341" s="72">
        <v>65.17</v>
      </c>
      <c r="J341" s="70" t="s">
        <v>58</v>
      </c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>
      <c r="A342" s="72">
        <v>1454.0</v>
      </c>
      <c r="B342" s="67" t="s">
        <v>695</v>
      </c>
      <c r="C342" s="70" t="s">
        <v>56</v>
      </c>
      <c r="D342" s="73"/>
      <c r="E342" s="70" t="s">
        <v>64</v>
      </c>
      <c r="F342" s="70" t="s">
        <v>64</v>
      </c>
      <c r="G342" s="70" t="s">
        <v>64</v>
      </c>
      <c r="H342" s="70" t="s">
        <v>64</v>
      </c>
      <c r="I342" s="72">
        <v>38.84</v>
      </c>
      <c r="J342" s="70" t="s">
        <v>73</v>
      </c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>
      <c r="A343" s="72">
        <v>1453.0</v>
      </c>
      <c r="B343" s="67" t="s">
        <v>696</v>
      </c>
      <c r="C343" s="70" t="s">
        <v>60</v>
      </c>
      <c r="D343" s="70" t="s">
        <v>582</v>
      </c>
      <c r="E343" s="70" t="s">
        <v>71</v>
      </c>
      <c r="F343" s="73"/>
      <c r="G343" s="73"/>
      <c r="H343" s="70" t="s">
        <v>71</v>
      </c>
      <c r="I343" s="72">
        <v>35.38</v>
      </c>
      <c r="J343" s="70" t="s">
        <v>58</v>
      </c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>
      <c r="A344" s="72">
        <v>1452.0</v>
      </c>
      <c r="B344" s="67" t="s">
        <v>697</v>
      </c>
      <c r="C344" s="70" t="s">
        <v>56</v>
      </c>
      <c r="D344" s="70" t="s">
        <v>698</v>
      </c>
      <c r="E344" s="70" t="s">
        <v>28</v>
      </c>
      <c r="F344" s="73"/>
      <c r="G344" s="73"/>
      <c r="H344" s="70" t="s">
        <v>28</v>
      </c>
      <c r="I344" s="72">
        <v>55.04</v>
      </c>
      <c r="J344" s="70" t="s">
        <v>58</v>
      </c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>
      <c r="A345" s="72">
        <v>1451.0</v>
      </c>
      <c r="B345" s="67" t="s">
        <v>699</v>
      </c>
      <c r="C345" s="70" t="s">
        <v>56</v>
      </c>
      <c r="D345" s="70" t="s">
        <v>698</v>
      </c>
      <c r="E345" s="70" t="s">
        <v>700</v>
      </c>
      <c r="F345" s="73"/>
      <c r="G345" s="70" t="s">
        <v>701</v>
      </c>
      <c r="H345" s="70" t="s">
        <v>702</v>
      </c>
      <c r="I345" s="72">
        <v>59.67</v>
      </c>
      <c r="J345" s="70" t="s">
        <v>58</v>
      </c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>
      <c r="A346" s="72">
        <v>1450.0</v>
      </c>
      <c r="B346" s="67" t="s">
        <v>703</v>
      </c>
      <c r="C346" s="70" t="s">
        <v>69</v>
      </c>
      <c r="D346" s="70" t="s">
        <v>93</v>
      </c>
      <c r="E346" s="73"/>
      <c r="F346" s="73"/>
      <c r="G346" s="73"/>
      <c r="H346" s="73"/>
      <c r="I346" s="72">
        <v>77.11</v>
      </c>
      <c r="J346" s="70" t="s">
        <v>58</v>
      </c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>
      <c r="A347" s="72">
        <v>1449.0</v>
      </c>
      <c r="B347" s="67" t="s">
        <v>704</v>
      </c>
      <c r="C347" s="70" t="s">
        <v>60</v>
      </c>
      <c r="D347" s="70" t="s">
        <v>161</v>
      </c>
      <c r="E347" s="70" t="s">
        <v>28</v>
      </c>
      <c r="F347" s="73"/>
      <c r="G347" s="73"/>
      <c r="H347" s="70" t="s">
        <v>28</v>
      </c>
      <c r="I347" s="72">
        <v>44.21</v>
      </c>
      <c r="J347" s="70" t="s">
        <v>58</v>
      </c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>
      <c r="A348" s="72">
        <v>1448.0</v>
      </c>
      <c r="B348" s="67" t="s">
        <v>705</v>
      </c>
      <c r="C348" s="70" t="s">
        <v>56</v>
      </c>
      <c r="D348" s="70" t="s">
        <v>289</v>
      </c>
      <c r="E348" s="70" t="s">
        <v>411</v>
      </c>
      <c r="F348" s="70" t="s">
        <v>412</v>
      </c>
      <c r="G348" s="70" t="s">
        <v>412</v>
      </c>
      <c r="H348" s="70" t="s">
        <v>412</v>
      </c>
      <c r="I348" s="72">
        <v>71.03</v>
      </c>
      <c r="J348" s="70" t="s">
        <v>58</v>
      </c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>
      <c r="A349" s="72">
        <v>1447.0</v>
      </c>
      <c r="B349" s="67" t="s">
        <v>706</v>
      </c>
      <c r="C349" s="70" t="s">
        <v>56</v>
      </c>
      <c r="D349" s="70" t="s">
        <v>99</v>
      </c>
      <c r="E349" s="70" t="s">
        <v>28</v>
      </c>
      <c r="F349" s="73"/>
      <c r="G349" s="73"/>
      <c r="H349" s="70" t="s">
        <v>28</v>
      </c>
      <c r="I349" s="72">
        <v>62.15</v>
      </c>
      <c r="J349" s="70" t="s">
        <v>58</v>
      </c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>
      <c r="A350" s="72">
        <v>1446.0</v>
      </c>
      <c r="B350" s="67" t="s">
        <v>707</v>
      </c>
      <c r="C350" s="70" t="s">
        <v>69</v>
      </c>
      <c r="D350" s="70" t="s">
        <v>70</v>
      </c>
      <c r="E350" s="70" t="s">
        <v>67</v>
      </c>
      <c r="F350" s="70" t="s">
        <v>67</v>
      </c>
      <c r="G350" s="70" t="s">
        <v>67</v>
      </c>
      <c r="H350" s="70" t="s">
        <v>67</v>
      </c>
      <c r="I350" s="72">
        <v>61.15</v>
      </c>
      <c r="J350" s="70" t="s">
        <v>58</v>
      </c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>
      <c r="A351" s="72">
        <v>1445.0</v>
      </c>
      <c r="B351" s="67" t="s">
        <v>708</v>
      </c>
      <c r="C351" s="70" t="s">
        <v>56</v>
      </c>
      <c r="D351" s="73"/>
      <c r="E351" s="70" t="s">
        <v>71</v>
      </c>
      <c r="F351" s="73"/>
      <c r="G351" s="73"/>
      <c r="H351" s="70" t="s">
        <v>71</v>
      </c>
      <c r="I351" s="72">
        <v>90.72</v>
      </c>
      <c r="J351" s="70" t="s">
        <v>73</v>
      </c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>
      <c r="A352" s="72">
        <v>1444.0</v>
      </c>
      <c r="B352" s="67" t="s">
        <v>709</v>
      </c>
      <c r="C352" s="70" t="s">
        <v>60</v>
      </c>
      <c r="D352" s="70" t="s">
        <v>76</v>
      </c>
      <c r="E352" s="70" t="s">
        <v>28</v>
      </c>
      <c r="F352" s="73"/>
      <c r="G352" s="70" t="s">
        <v>28</v>
      </c>
      <c r="H352" s="70" t="s">
        <v>28</v>
      </c>
      <c r="I352" s="72">
        <v>53.88</v>
      </c>
      <c r="J352" s="70" t="s">
        <v>58</v>
      </c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>
      <c r="A353" s="72">
        <v>1443.0</v>
      </c>
      <c r="B353" s="67" t="s">
        <v>710</v>
      </c>
      <c r="C353" s="70" t="s">
        <v>56</v>
      </c>
      <c r="D353" s="70" t="s">
        <v>289</v>
      </c>
      <c r="E353" s="70" t="s">
        <v>71</v>
      </c>
      <c r="F353" s="73"/>
      <c r="G353" s="73"/>
      <c r="H353" s="70" t="s">
        <v>71</v>
      </c>
      <c r="I353" s="72">
        <v>54.59</v>
      </c>
      <c r="J353" s="70" t="s">
        <v>58</v>
      </c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>
      <c r="A354" s="72">
        <v>1442.0</v>
      </c>
      <c r="B354" s="67" t="s">
        <v>711</v>
      </c>
      <c r="C354" s="70" t="s">
        <v>56</v>
      </c>
      <c r="D354" s="70" t="s">
        <v>712</v>
      </c>
      <c r="E354" s="73"/>
      <c r="F354" s="73"/>
      <c r="G354" s="73"/>
      <c r="H354" s="73"/>
      <c r="I354" s="72">
        <v>71.69</v>
      </c>
      <c r="J354" s="70" t="s">
        <v>58</v>
      </c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>
      <c r="A355" s="72">
        <v>1441.0</v>
      </c>
      <c r="B355" s="67" t="s">
        <v>713</v>
      </c>
      <c r="C355" s="70" t="s">
        <v>69</v>
      </c>
      <c r="D355" s="70" t="s">
        <v>240</v>
      </c>
      <c r="E355" s="70" t="s">
        <v>28</v>
      </c>
      <c r="F355" s="73"/>
      <c r="G355" s="70" t="s">
        <v>28</v>
      </c>
      <c r="H355" s="70" t="s">
        <v>28</v>
      </c>
      <c r="I355" s="72">
        <v>70.34</v>
      </c>
      <c r="J355" s="70" t="s">
        <v>58</v>
      </c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>
      <c r="A356" s="72">
        <v>1440.0</v>
      </c>
      <c r="B356" s="67" t="s">
        <v>714</v>
      </c>
      <c r="C356" s="70" t="s">
        <v>56</v>
      </c>
      <c r="D356" s="73"/>
      <c r="E356" s="70" t="s">
        <v>715</v>
      </c>
      <c r="F356" s="73"/>
      <c r="G356" s="73"/>
      <c r="H356" s="70" t="s">
        <v>715</v>
      </c>
      <c r="I356" s="72">
        <v>74.89</v>
      </c>
      <c r="J356" s="70" t="s">
        <v>73</v>
      </c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>
      <c r="A357" s="72">
        <v>1439.0</v>
      </c>
      <c r="B357" s="67" t="s">
        <v>716</v>
      </c>
      <c r="C357" s="70" t="s">
        <v>60</v>
      </c>
      <c r="D357" s="70" t="s">
        <v>63</v>
      </c>
      <c r="E357" s="70" t="s">
        <v>71</v>
      </c>
      <c r="F357" s="70" t="s">
        <v>71</v>
      </c>
      <c r="G357" s="70" t="s">
        <v>71</v>
      </c>
      <c r="H357" s="70" t="s">
        <v>71</v>
      </c>
      <c r="I357" s="72">
        <v>60.12</v>
      </c>
      <c r="J357" s="70" t="s">
        <v>58</v>
      </c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>
      <c r="A358" s="72">
        <v>1438.0</v>
      </c>
      <c r="B358" s="67" t="s">
        <v>717</v>
      </c>
      <c r="C358" s="70" t="s">
        <v>56</v>
      </c>
      <c r="D358" s="70" t="s">
        <v>609</v>
      </c>
      <c r="E358" s="70" t="s">
        <v>718</v>
      </c>
      <c r="F358" s="70" t="s">
        <v>28</v>
      </c>
      <c r="G358" s="70" t="s">
        <v>719</v>
      </c>
      <c r="H358" s="70" t="s">
        <v>719</v>
      </c>
      <c r="I358" s="72">
        <v>44.41</v>
      </c>
      <c r="J358" s="70" t="s">
        <v>58</v>
      </c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>
      <c r="A359" s="72">
        <v>1437.0</v>
      </c>
      <c r="B359" s="67" t="s">
        <v>720</v>
      </c>
      <c r="C359" s="70" t="s">
        <v>69</v>
      </c>
      <c r="D359" s="70" t="s">
        <v>93</v>
      </c>
      <c r="E359" s="70" t="s">
        <v>721</v>
      </c>
      <c r="F359" s="73"/>
      <c r="G359" s="73"/>
      <c r="H359" s="70" t="s">
        <v>721</v>
      </c>
      <c r="I359" s="72">
        <v>62.23</v>
      </c>
      <c r="J359" s="70" t="s">
        <v>58</v>
      </c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>
      <c r="A360" s="72">
        <v>1436.0</v>
      </c>
      <c r="B360" s="67" t="s">
        <v>722</v>
      </c>
      <c r="C360" s="70" t="s">
        <v>69</v>
      </c>
      <c r="D360" s="70" t="s">
        <v>70</v>
      </c>
      <c r="E360" s="70" t="s">
        <v>723</v>
      </c>
      <c r="F360" s="70" t="s">
        <v>694</v>
      </c>
      <c r="G360" s="70" t="s">
        <v>723</v>
      </c>
      <c r="H360" s="70" t="s">
        <v>723</v>
      </c>
      <c r="I360" s="72">
        <v>77.29</v>
      </c>
      <c r="J360" s="70" t="s">
        <v>58</v>
      </c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>
      <c r="A361" s="72">
        <v>1435.0</v>
      </c>
      <c r="B361" s="67" t="s">
        <v>724</v>
      </c>
      <c r="C361" s="70" t="s">
        <v>69</v>
      </c>
      <c r="D361" s="74"/>
      <c r="E361" s="70" t="s">
        <v>607</v>
      </c>
      <c r="F361" s="73"/>
      <c r="G361" s="73"/>
      <c r="H361" s="70" t="s">
        <v>607</v>
      </c>
      <c r="I361" s="72">
        <v>77.85</v>
      </c>
      <c r="J361" s="70" t="s">
        <v>73</v>
      </c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>
      <c r="A362" s="72">
        <v>1434.0</v>
      </c>
      <c r="B362" s="67" t="s">
        <v>725</v>
      </c>
      <c r="C362" s="70" t="s">
        <v>60</v>
      </c>
      <c r="D362" s="70" t="s">
        <v>420</v>
      </c>
      <c r="E362" s="70" t="s">
        <v>544</v>
      </c>
      <c r="F362" s="73"/>
      <c r="G362" s="73"/>
      <c r="H362" s="70" t="s">
        <v>544</v>
      </c>
      <c r="I362" s="72">
        <v>39.44</v>
      </c>
      <c r="J362" s="70" t="s">
        <v>58</v>
      </c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>
      <c r="A363" s="72">
        <v>1433.0</v>
      </c>
      <c r="B363" s="67" t="s">
        <v>726</v>
      </c>
      <c r="C363" s="70" t="s">
        <v>56</v>
      </c>
      <c r="D363" s="70" t="s">
        <v>57</v>
      </c>
      <c r="E363" s="70" t="s">
        <v>727</v>
      </c>
      <c r="F363" s="73"/>
      <c r="G363" s="73"/>
      <c r="H363" s="70" t="s">
        <v>728</v>
      </c>
      <c r="I363" s="72">
        <v>67.32</v>
      </c>
      <c r="J363" s="70" t="s">
        <v>58</v>
      </c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>
      <c r="A364" s="72">
        <v>1432.0</v>
      </c>
      <c r="B364" s="67" t="s">
        <v>729</v>
      </c>
      <c r="C364" s="70" t="s">
        <v>56</v>
      </c>
      <c r="D364" s="70" t="s">
        <v>70</v>
      </c>
      <c r="E364" s="70" t="s">
        <v>448</v>
      </c>
      <c r="F364" s="73"/>
      <c r="G364" s="73"/>
      <c r="H364" s="70" t="s">
        <v>448</v>
      </c>
      <c r="I364" s="72">
        <v>42.91</v>
      </c>
      <c r="J364" s="70" t="s">
        <v>58</v>
      </c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>
      <c r="A365" s="72">
        <v>1431.0</v>
      </c>
      <c r="B365" s="67" t="s">
        <v>730</v>
      </c>
      <c r="C365" s="70" t="s">
        <v>69</v>
      </c>
      <c r="D365" s="70" t="s">
        <v>93</v>
      </c>
      <c r="E365" s="70" t="s">
        <v>731</v>
      </c>
      <c r="F365" s="70" t="s">
        <v>298</v>
      </c>
      <c r="G365" s="70" t="s">
        <v>732</v>
      </c>
      <c r="H365" s="70" t="s">
        <v>732</v>
      </c>
      <c r="I365" s="72">
        <v>88.21</v>
      </c>
      <c r="J365" s="70" t="s">
        <v>58</v>
      </c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>
      <c r="A366" s="72">
        <v>1430.0</v>
      </c>
      <c r="B366" s="67" t="s">
        <v>733</v>
      </c>
      <c r="C366" s="70" t="s">
        <v>56</v>
      </c>
      <c r="D366" s="70" t="s">
        <v>320</v>
      </c>
      <c r="E366" s="70" t="s">
        <v>734</v>
      </c>
      <c r="F366" s="73"/>
      <c r="G366" s="70" t="s">
        <v>64</v>
      </c>
      <c r="H366" s="70" t="s">
        <v>735</v>
      </c>
      <c r="I366" s="72">
        <v>45.18</v>
      </c>
      <c r="J366" s="70" t="s">
        <v>58</v>
      </c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>
      <c r="A367" s="72">
        <v>1429.0</v>
      </c>
      <c r="B367" s="67" t="s">
        <v>736</v>
      </c>
      <c r="C367" s="70" t="s">
        <v>56</v>
      </c>
      <c r="D367" s="70" t="s">
        <v>737</v>
      </c>
      <c r="E367" s="70" t="s">
        <v>738</v>
      </c>
      <c r="F367" s="70" t="s">
        <v>739</v>
      </c>
      <c r="G367" s="70" t="s">
        <v>740</v>
      </c>
      <c r="H367" s="70" t="s">
        <v>740</v>
      </c>
      <c r="I367" s="72">
        <v>49.75</v>
      </c>
      <c r="J367" s="70" t="s">
        <v>58</v>
      </c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>
      <c r="A368" s="72">
        <v>1428.0</v>
      </c>
      <c r="B368" s="67" t="s">
        <v>741</v>
      </c>
      <c r="C368" s="70" t="s">
        <v>56</v>
      </c>
      <c r="D368" s="70" t="s">
        <v>93</v>
      </c>
      <c r="E368" s="70" t="s">
        <v>742</v>
      </c>
      <c r="F368" s="70" t="s">
        <v>743</v>
      </c>
      <c r="G368" s="70" t="s">
        <v>743</v>
      </c>
      <c r="H368" s="70" t="s">
        <v>743</v>
      </c>
      <c r="I368" s="72">
        <v>49.24</v>
      </c>
      <c r="J368" s="70" t="s">
        <v>58</v>
      </c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>
      <c r="A369" s="72">
        <v>1427.0</v>
      </c>
      <c r="B369" s="67" t="s">
        <v>744</v>
      </c>
      <c r="C369" s="70" t="s">
        <v>69</v>
      </c>
      <c r="D369" s="70" t="s">
        <v>564</v>
      </c>
      <c r="E369" s="70" t="s">
        <v>110</v>
      </c>
      <c r="F369" s="73"/>
      <c r="G369" s="73"/>
      <c r="H369" s="70" t="s">
        <v>110</v>
      </c>
      <c r="I369" s="72">
        <v>53.52</v>
      </c>
      <c r="J369" s="70" t="s">
        <v>58</v>
      </c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>
      <c r="A370" s="72">
        <v>1426.0</v>
      </c>
      <c r="B370" s="67" t="s">
        <v>745</v>
      </c>
      <c r="C370" s="70" t="s">
        <v>69</v>
      </c>
      <c r="D370" s="70" t="s">
        <v>93</v>
      </c>
      <c r="E370" s="70" t="s">
        <v>746</v>
      </c>
      <c r="F370" s="73"/>
      <c r="G370" s="73"/>
      <c r="H370" s="70" t="s">
        <v>746</v>
      </c>
      <c r="I370" s="72">
        <v>59.09</v>
      </c>
      <c r="J370" s="70" t="s">
        <v>58</v>
      </c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>
      <c r="A371" s="72">
        <v>1425.0</v>
      </c>
      <c r="B371" s="67" t="s">
        <v>747</v>
      </c>
      <c r="C371" s="70" t="s">
        <v>60</v>
      </c>
      <c r="D371" s="70" t="s">
        <v>76</v>
      </c>
      <c r="E371" s="70" t="s">
        <v>311</v>
      </c>
      <c r="F371" s="73"/>
      <c r="G371" s="73"/>
      <c r="H371" s="70" t="s">
        <v>311</v>
      </c>
      <c r="I371" s="72">
        <v>44.95</v>
      </c>
      <c r="J371" s="70" t="s">
        <v>58</v>
      </c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>
      <c r="A372" s="72">
        <v>1424.0</v>
      </c>
      <c r="B372" s="67" t="s">
        <v>748</v>
      </c>
      <c r="C372" s="70" t="s">
        <v>56</v>
      </c>
      <c r="D372" s="70" t="s">
        <v>370</v>
      </c>
      <c r="E372" s="70" t="s">
        <v>749</v>
      </c>
      <c r="F372" s="70" t="s">
        <v>750</v>
      </c>
      <c r="G372" s="70" t="s">
        <v>751</v>
      </c>
      <c r="H372" s="70" t="s">
        <v>752</v>
      </c>
      <c r="I372" s="72">
        <v>46.11</v>
      </c>
      <c r="J372" s="70" t="s">
        <v>58</v>
      </c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>
      <c r="A373" s="72">
        <v>1423.0</v>
      </c>
      <c r="B373" s="67" t="s">
        <v>753</v>
      </c>
      <c r="C373" s="70" t="s">
        <v>56</v>
      </c>
      <c r="D373" s="70" t="s">
        <v>754</v>
      </c>
      <c r="E373" s="70" t="s">
        <v>755</v>
      </c>
      <c r="F373" s="70" t="s">
        <v>28</v>
      </c>
      <c r="G373" s="70" t="s">
        <v>28</v>
      </c>
      <c r="H373" s="70" t="s">
        <v>755</v>
      </c>
      <c r="I373" s="72">
        <v>46.77</v>
      </c>
      <c r="J373" s="70" t="s">
        <v>58</v>
      </c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>
      <c r="A374" s="72">
        <v>1422.0</v>
      </c>
      <c r="B374" s="67" t="s">
        <v>756</v>
      </c>
      <c r="C374" s="70" t="s">
        <v>69</v>
      </c>
      <c r="D374" s="70" t="s">
        <v>70</v>
      </c>
      <c r="E374" s="70" t="s">
        <v>28</v>
      </c>
      <c r="F374" s="73"/>
      <c r="G374" s="73"/>
      <c r="H374" s="70" t="s">
        <v>28</v>
      </c>
      <c r="I374" s="72">
        <v>56.69</v>
      </c>
      <c r="J374" s="70" t="s">
        <v>58</v>
      </c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>
      <c r="A375" s="72">
        <v>1421.0</v>
      </c>
      <c r="B375" s="67" t="s">
        <v>757</v>
      </c>
      <c r="C375" s="70" t="s">
        <v>56</v>
      </c>
      <c r="D375" s="73"/>
      <c r="E375" s="70" t="s">
        <v>64</v>
      </c>
      <c r="F375" s="73"/>
      <c r="G375" s="73"/>
      <c r="H375" s="70" t="s">
        <v>64</v>
      </c>
      <c r="I375" s="72">
        <v>82.11</v>
      </c>
      <c r="J375" s="70" t="s">
        <v>73</v>
      </c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>
      <c r="A376" s="72">
        <v>1420.0</v>
      </c>
      <c r="B376" s="67" t="s">
        <v>758</v>
      </c>
      <c r="C376" s="70" t="s">
        <v>60</v>
      </c>
      <c r="D376" s="70" t="s">
        <v>76</v>
      </c>
      <c r="E376" s="70" t="s">
        <v>267</v>
      </c>
      <c r="F376" s="73"/>
      <c r="G376" s="73"/>
      <c r="H376" s="70" t="s">
        <v>267</v>
      </c>
      <c r="I376" s="72">
        <v>64.17</v>
      </c>
      <c r="J376" s="70" t="s">
        <v>58</v>
      </c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>
      <c r="A377" s="72">
        <v>1419.0</v>
      </c>
      <c r="B377" s="67" t="s">
        <v>759</v>
      </c>
      <c r="C377" s="70" t="s">
        <v>56</v>
      </c>
      <c r="D377" s="70" t="s">
        <v>70</v>
      </c>
      <c r="E377" s="80" t="s">
        <v>760</v>
      </c>
      <c r="F377" s="73"/>
      <c r="G377" s="73"/>
      <c r="H377" s="80" t="s">
        <v>760</v>
      </c>
      <c r="I377" s="72">
        <v>47.57</v>
      </c>
      <c r="J377" s="70" t="s">
        <v>58</v>
      </c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>
      <c r="A378" s="72">
        <v>1418.0</v>
      </c>
      <c r="B378" s="67" t="s">
        <v>761</v>
      </c>
      <c r="C378" s="70" t="s">
        <v>56</v>
      </c>
      <c r="D378" s="70" t="s">
        <v>284</v>
      </c>
      <c r="E378" s="70" t="s">
        <v>762</v>
      </c>
      <c r="F378" s="73"/>
      <c r="G378" s="73"/>
      <c r="H378" s="70" t="s">
        <v>395</v>
      </c>
      <c r="I378" s="72">
        <v>69.07</v>
      </c>
      <c r="J378" s="70" t="s">
        <v>58</v>
      </c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>
      <c r="A379" s="72">
        <v>1417.0</v>
      </c>
      <c r="B379" s="67" t="s">
        <v>763</v>
      </c>
      <c r="C379" s="70" t="s">
        <v>69</v>
      </c>
      <c r="D379" s="70" t="s">
        <v>70</v>
      </c>
      <c r="E379" s="70" t="s">
        <v>67</v>
      </c>
      <c r="F379" s="73"/>
      <c r="G379" s="73"/>
      <c r="H379" s="70" t="s">
        <v>67</v>
      </c>
      <c r="I379" s="72">
        <v>55.67</v>
      </c>
      <c r="J379" s="70" t="s">
        <v>58</v>
      </c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>
      <c r="A380" s="72">
        <v>1416.0</v>
      </c>
      <c r="B380" s="67" t="s">
        <v>764</v>
      </c>
      <c r="C380" s="70" t="s">
        <v>60</v>
      </c>
      <c r="D380" s="70" t="s">
        <v>76</v>
      </c>
      <c r="E380" s="70" t="s">
        <v>765</v>
      </c>
      <c r="F380" s="70" t="s">
        <v>766</v>
      </c>
      <c r="G380" s="70" t="s">
        <v>766</v>
      </c>
      <c r="H380" s="70" t="s">
        <v>767</v>
      </c>
      <c r="I380" s="72">
        <v>36.66</v>
      </c>
      <c r="J380" s="70" t="s">
        <v>58</v>
      </c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>
      <c r="A381" s="72">
        <v>1415.0</v>
      </c>
      <c r="B381" s="67" t="s">
        <v>768</v>
      </c>
      <c r="C381" s="70" t="s">
        <v>56</v>
      </c>
      <c r="D381" s="70" t="s">
        <v>271</v>
      </c>
      <c r="E381" s="70" t="s">
        <v>67</v>
      </c>
      <c r="F381" s="73"/>
      <c r="G381" s="73"/>
      <c r="H381" s="70" t="s">
        <v>67</v>
      </c>
      <c r="I381" s="72">
        <v>69.9</v>
      </c>
      <c r="J381" s="70" t="s">
        <v>58</v>
      </c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>
      <c r="A382" s="72">
        <v>1414.0</v>
      </c>
      <c r="B382" s="67" t="s">
        <v>769</v>
      </c>
      <c r="C382" s="70" t="s">
        <v>56</v>
      </c>
      <c r="D382" s="70" t="s">
        <v>114</v>
      </c>
      <c r="E382" s="70" t="s">
        <v>28</v>
      </c>
      <c r="F382" s="73"/>
      <c r="G382" s="73"/>
      <c r="H382" s="70" t="s">
        <v>28</v>
      </c>
      <c r="I382" s="72">
        <v>63.21</v>
      </c>
      <c r="J382" s="70" t="s">
        <v>58</v>
      </c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>
      <c r="A383" s="72">
        <v>1413.0</v>
      </c>
      <c r="B383" s="67" t="s">
        <v>770</v>
      </c>
      <c r="C383" s="70" t="s">
        <v>69</v>
      </c>
      <c r="D383" s="70" t="s">
        <v>93</v>
      </c>
      <c r="E383" s="75" t="s">
        <v>771</v>
      </c>
      <c r="F383" s="73"/>
      <c r="G383" s="73"/>
      <c r="H383" s="70" t="s">
        <v>771</v>
      </c>
      <c r="I383" s="72">
        <v>65.53</v>
      </c>
      <c r="J383" s="70" t="s">
        <v>58</v>
      </c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>
      <c r="A384" s="72">
        <v>1412.0</v>
      </c>
      <c r="B384" s="67" t="s">
        <v>772</v>
      </c>
      <c r="C384" s="70" t="s">
        <v>60</v>
      </c>
      <c r="D384" s="79"/>
      <c r="E384" s="78"/>
      <c r="F384" s="73"/>
      <c r="G384" s="73"/>
      <c r="H384" s="73"/>
      <c r="I384" s="72">
        <v>64.03</v>
      </c>
      <c r="J384" s="70" t="s">
        <v>73</v>
      </c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>
      <c r="A385" s="72">
        <v>1411.0</v>
      </c>
      <c r="B385" s="67" t="s">
        <v>773</v>
      </c>
      <c r="C385" s="75" t="s">
        <v>60</v>
      </c>
      <c r="D385" s="76" t="s">
        <v>76</v>
      </c>
      <c r="E385" s="76" t="s">
        <v>774</v>
      </c>
      <c r="F385" s="73"/>
      <c r="G385" s="70" t="s">
        <v>775</v>
      </c>
      <c r="H385" s="70" t="s">
        <v>776</v>
      </c>
      <c r="I385" s="72">
        <v>60.55</v>
      </c>
      <c r="J385" s="70" t="s">
        <v>58</v>
      </c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>
      <c r="A386" s="72">
        <v>1410.0</v>
      </c>
      <c r="B386" s="67" t="s">
        <v>777</v>
      </c>
      <c r="C386" s="70" t="s">
        <v>56</v>
      </c>
      <c r="D386" s="75" t="s">
        <v>531</v>
      </c>
      <c r="E386" s="76" t="s">
        <v>778</v>
      </c>
      <c r="F386" s="73"/>
      <c r="G386" s="73"/>
      <c r="H386" s="70" t="s">
        <v>778</v>
      </c>
      <c r="I386" s="72">
        <v>54.22</v>
      </c>
      <c r="J386" s="70" t="s">
        <v>58</v>
      </c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>
      <c r="A387" s="72">
        <v>1409.0</v>
      </c>
      <c r="B387" s="67" t="s">
        <v>779</v>
      </c>
      <c r="C387" s="75" t="s">
        <v>56</v>
      </c>
      <c r="D387" s="76" t="s">
        <v>93</v>
      </c>
      <c r="E387" s="76" t="s">
        <v>64</v>
      </c>
      <c r="F387" s="73"/>
      <c r="G387" s="73"/>
      <c r="H387" s="70" t="s">
        <v>64</v>
      </c>
      <c r="I387" s="72">
        <v>81.65</v>
      </c>
      <c r="J387" s="70" t="s">
        <v>58</v>
      </c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>
      <c r="A388" s="72">
        <v>1408.0</v>
      </c>
      <c r="B388" s="67" t="s">
        <v>780</v>
      </c>
      <c r="C388" s="70" t="s">
        <v>69</v>
      </c>
      <c r="D388" s="70" t="s">
        <v>70</v>
      </c>
      <c r="E388" s="70" t="s">
        <v>64</v>
      </c>
      <c r="F388" s="73"/>
      <c r="G388" s="73"/>
      <c r="H388" s="70" t="s">
        <v>64</v>
      </c>
      <c r="I388" s="72">
        <v>63.47</v>
      </c>
      <c r="J388" s="70" t="s">
        <v>58</v>
      </c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>
      <c r="A389" s="72">
        <v>1407.0</v>
      </c>
      <c r="B389" s="67" t="s">
        <v>781</v>
      </c>
      <c r="C389" s="70" t="s">
        <v>69</v>
      </c>
      <c r="D389" s="73"/>
      <c r="E389" s="70" t="s">
        <v>715</v>
      </c>
      <c r="F389" s="73"/>
      <c r="G389" s="73"/>
      <c r="H389" s="70" t="s">
        <v>715</v>
      </c>
      <c r="I389" s="72">
        <v>83.89</v>
      </c>
      <c r="J389" s="70" t="s">
        <v>73</v>
      </c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>
      <c r="A390" s="72">
        <v>1406.0</v>
      </c>
      <c r="B390" s="67" t="s">
        <v>782</v>
      </c>
      <c r="C390" s="70" t="s">
        <v>60</v>
      </c>
      <c r="D390" s="70" t="s">
        <v>76</v>
      </c>
      <c r="E390" s="70" t="s">
        <v>28</v>
      </c>
      <c r="F390" s="70" t="s">
        <v>28</v>
      </c>
      <c r="G390" s="70" t="s">
        <v>28</v>
      </c>
      <c r="H390" s="70" t="s">
        <v>28</v>
      </c>
      <c r="I390" s="72">
        <v>57.55</v>
      </c>
      <c r="J390" s="70" t="s">
        <v>58</v>
      </c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>
      <c r="A391" s="72">
        <v>1405.0</v>
      </c>
      <c r="B391" s="67" t="s">
        <v>783</v>
      </c>
      <c r="C391" s="70" t="s">
        <v>56</v>
      </c>
      <c r="D391" s="70" t="s">
        <v>313</v>
      </c>
      <c r="E391" s="70" t="s">
        <v>784</v>
      </c>
      <c r="F391" s="70" t="s">
        <v>785</v>
      </c>
      <c r="G391" s="70" t="s">
        <v>786</v>
      </c>
      <c r="H391" s="70" t="s">
        <v>787</v>
      </c>
      <c r="I391" s="72">
        <v>52.49</v>
      </c>
      <c r="J391" s="70" t="s">
        <v>58</v>
      </c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>
      <c r="A392" s="72">
        <v>1404.0</v>
      </c>
      <c r="B392" s="67" t="s">
        <v>788</v>
      </c>
      <c r="C392" s="70" t="s">
        <v>56</v>
      </c>
      <c r="D392" s="70" t="s">
        <v>534</v>
      </c>
      <c r="E392" s="70" t="s">
        <v>789</v>
      </c>
      <c r="F392" s="70" t="s">
        <v>790</v>
      </c>
      <c r="G392" s="70" t="s">
        <v>790</v>
      </c>
      <c r="H392" s="70" t="s">
        <v>791</v>
      </c>
      <c r="I392" s="72">
        <v>49.87</v>
      </c>
      <c r="J392" s="70" t="s">
        <v>58</v>
      </c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>
      <c r="A393" s="72">
        <v>1403.0</v>
      </c>
      <c r="B393" s="67" t="s">
        <v>792</v>
      </c>
      <c r="C393" s="70" t="s">
        <v>69</v>
      </c>
      <c r="D393" s="70" t="s">
        <v>193</v>
      </c>
      <c r="E393" s="70" t="s">
        <v>448</v>
      </c>
      <c r="F393" s="73"/>
      <c r="G393" s="73"/>
      <c r="H393" s="70" t="s">
        <v>448</v>
      </c>
      <c r="I393" s="72">
        <v>71.12</v>
      </c>
      <c r="J393" s="70" t="s">
        <v>58</v>
      </c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>
      <c r="A394" s="72">
        <v>1402.0</v>
      </c>
      <c r="B394" s="67" t="s">
        <v>793</v>
      </c>
      <c r="C394" s="70" t="s">
        <v>60</v>
      </c>
      <c r="D394" s="70" t="s">
        <v>76</v>
      </c>
      <c r="E394" s="70" t="s">
        <v>794</v>
      </c>
      <c r="F394" s="73"/>
      <c r="G394" s="73"/>
      <c r="H394" s="70" t="s">
        <v>794</v>
      </c>
      <c r="I394" s="72">
        <v>72.14</v>
      </c>
      <c r="J394" s="70" t="s">
        <v>58</v>
      </c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>
      <c r="A395" s="72">
        <v>1401.0</v>
      </c>
      <c r="B395" s="67" t="s">
        <v>795</v>
      </c>
      <c r="C395" s="70" t="s">
        <v>56</v>
      </c>
      <c r="D395" s="70" t="s">
        <v>582</v>
      </c>
      <c r="E395" s="70" t="s">
        <v>28</v>
      </c>
      <c r="F395" s="73"/>
      <c r="G395" s="73"/>
      <c r="H395" s="70" t="s">
        <v>28</v>
      </c>
      <c r="I395" s="72">
        <v>42.44</v>
      </c>
      <c r="J395" s="70" t="s">
        <v>58</v>
      </c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>
      <c r="A396" s="72">
        <v>1400.0</v>
      </c>
      <c r="B396" s="67" t="s">
        <v>796</v>
      </c>
      <c r="C396" s="70" t="s">
        <v>56</v>
      </c>
      <c r="D396" s="70" t="s">
        <v>61</v>
      </c>
      <c r="E396" s="75" t="s">
        <v>116</v>
      </c>
      <c r="F396" s="70" t="s">
        <v>116</v>
      </c>
      <c r="G396" s="70" t="s">
        <v>116</v>
      </c>
      <c r="H396" s="70" t="s">
        <v>116</v>
      </c>
      <c r="I396" s="72">
        <v>63.08</v>
      </c>
      <c r="J396" s="70" t="s">
        <v>58</v>
      </c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>
      <c r="A397" s="72">
        <v>1399.0</v>
      </c>
      <c r="B397" s="67" t="s">
        <v>797</v>
      </c>
      <c r="C397" s="70" t="s">
        <v>69</v>
      </c>
      <c r="D397" s="75" t="s">
        <v>93</v>
      </c>
      <c r="E397" s="76" t="s">
        <v>448</v>
      </c>
      <c r="F397" s="73"/>
      <c r="G397" s="73"/>
      <c r="H397" s="70" t="s">
        <v>448</v>
      </c>
      <c r="I397" s="72">
        <v>65.29</v>
      </c>
      <c r="J397" s="70" t="s">
        <v>58</v>
      </c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>
      <c r="A398" s="72">
        <v>1398.0</v>
      </c>
      <c r="B398" s="67" t="s">
        <v>798</v>
      </c>
      <c r="C398" s="75" t="s">
        <v>56</v>
      </c>
      <c r="D398" s="78"/>
      <c r="E398" s="76" t="s">
        <v>799</v>
      </c>
      <c r="F398" s="73"/>
      <c r="G398" s="70" t="s">
        <v>64</v>
      </c>
      <c r="H398" s="70" t="s">
        <v>800</v>
      </c>
      <c r="I398" s="72">
        <v>81.95</v>
      </c>
      <c r="J398" s="70" t="s">
        <v>73</v>
      </c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>
      <c r="A399" s="72">
        <v>1397.0</v>
      </c>
      <c r="B399" s="67" t="s">
        <v>801</v>
      </c>
      <c r="C399" s="75" t="s">
        <v>60</v>
      </c>
      <c r="D399" s="76" t="s">
        <v>76</v>
      </c>
      <c r="E399" s="76" t="s">
        <v>267</v>
      </c>
      <c r="F399" s="73"/>
      <c r="G399" s="73"/>
      <c r="H399" s="70" t="s">
        <v>267</v>
      </c>
      <c r="I399" s="72">
        <v>38.59</v>
      </c>
      <c r="J399" s="70" t="s">
        <v>58</v>
      </c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>
      <c r="A400" s="72">
        <v>1396.0</v>
      </c>
      <c r="B400" s="67" t="s">
        <v>802</v>
      </c>
      <c r="C400" s="70" t="s">
        <v>56</v>
      </c>
      <c r="D400" s="70" t="s">
        <v>440</v>
      </c>
      <c r="E400" s="70" t="s">
        <v>189</v>
      </c>
      <c r="F400" s="70" t="s">
        <v>189</v>
      </c>
      <c r="G400" s="70" t="s">
        <v>189</v>
      </c>
      <c r="H400" s="70" t="s">
        <v>189</v>
      </c>
      <c r="I400" s="72">
        <v>69.79</v>
      </c>
      <c r="J400" s="70" t="s">
        <v>58</v>
      </c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>
      <c r="A401" s="72">
        <v>1395.0</v>
      </c>
      <c r="B401" s="67" t="s">
        <v>803</v>
      </c>
      <c r="C401" s="70" t="s">
        <v>56</v>
      </c>
      <c r="D401" s="70" t="s">
        <v>93</v>
      </c>
      <c r="E401" s="70" t="s">
        <v>804</v>
      </c>
      <c r="F401" s="70" t="s">
        <v>153</v>
      </c>
      <c r="G401" s="70" t="s">
        <v>805</v>
      </c>
      <c r="H401" s="70" t="s">
        <v>805</v>
      </c>
      <c r="I401" s="72">
        <v>76.1</v>
      </c>
      <c r="J401" s="70" t="s">
        <v>58</v>
      </c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>
      <c r="A402" s="72">
        <v>1394.0</v>
      </c>
      <c r="B402" s="67" t="s">
        <v>806</v>
      </c>
      <c r="C402" s="70" t="s">
        <v>69</v>
      </c>
      <c r="D402" s="70" t="s">
        <v>93</v>
      </c>
      <c r="E402" s="70" t="s">
        <v>67</v>
      </c>
      <c r="F402" s="73"/>
      <c r="G402" s="73"/>
      <c r="H402" s="70" t="s">
        <v>67</v>
      </c>
      <c r="I402" s="72">
        <v>63.17</v>
      </c>
      <c r="J402" s="70" t="s">
        <v>58</v>
      </c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>
      <c r="A403" s="72">
        <v>1393.0</v>
      </c>
      <c r="B403" s="67" t="s">
        <v>807</v>
      </c>
      <c r="C403" s="70" t="s">
        <v>56</v>
      </c>
      <c r="D403" s="73"/>
      <c r="E403" s="70" t="s">
        <v>167</v>
      </c>
      <c r="F403" s="73"/>
      <c r="G403" s="73"/>
      <c r="H403" s="70" t="s">
        <v>167</v>
      </c>
      <c r="I403" s="72">
        <v>90.83</v>
      </c>
      <c r="J403" s="70" t="s">
        <v>73</v>
      </c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>
      <c r="A404" s="72">
        <v>1392.0</v>
      </c>
      <c r="B404" s="67" t="s">
        <v>808</v>
      </c>
      <c r="C404" s="70" t="s">
        <v>60</v>
      </c>
      <c r="D404" s="70" t="s">
        <v>70</v>
      </c>
      <c r="E404" s="70" t="s">
        <v>28</v>
      </c>
      <c r="F404" s="73"/>
      <c r="G404" s="73"/>
      <c r="H404" s="70" t="s">
        <v>28</v>
      </c>
      <c r="I404" s="72">
        <v>41.96</v>
      </c>
      <c r="J404" s="70" t="s">
        <v>58</v>
      </c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>
      <c r="A405" s="72">
        <v>1391.0</v>
      </c>
      <c r="B405" s="67" t="s">
        <v>809</v>
      </c>
      <c r="C405" s="70" t="s">
        <v>56</v>
      </c>
      <c r="D405" s="70" t="s">
        <v>394</v>
      </c>
      <c r="E405" s="70" t="s">
        <v>167</v>
      </c>
      <c r="F405" s="73"/>
      <c r="G405" s="70" t="s">
        <v>167</v>
      </c>
      <c r="H405" s="70" t="s">
        <v>167</v>
      </c>
      <c r="I405" s="72">
        <v>44.94</v>
      </c>
      <c r="J405" s="70" t="s">
        <v>58</v>
      </c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>
      <c r="A406" s="72">
        <v>1390.0</v>
      </c>
      <c r="B406" s="67" t="s">
        <v>810</v>
      </c>
      <c r="C406" s="70" t="s">
        <v>56</v>
      </c>
      <c r="D406" s="70" t="s">
        <v>99</v>
      </c>
      <c r="E406" s="70" t="s">
        <v>811</v>
      </c>
      <c r="F406" s="73"/>
      <c r="G406" s="73"/>
      <c r="H406" s="70" t="s">
        <v>811</v>
      </c>
      <c r="I406" s="72">
        <v>39.3</v>
      </c>
      <c r="J406" s="70" t="s">
        <v>58</v>
      </c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>
      <c r="A407" s="72">
        <v>1389.0</v>
      </c>
      <c r="B407" s="67" t="s">
        <v>812</v>
      </c>
      <c r="C407" s="70" t="s">
        <v>69</v>
      </c>
      <c r="D407" s="70" t="s">
        <v>93</v>
      </c>
      <c r="E407" s="70" t="s">
        <v>813</v>
      </c>
      <c r="F407" s="73"/>
      <c r="G407" s="73"/>
      <c r="H407" s="70" t="s">
        <v>813</v>
      </c>
      <c r="I407" s="72">
        <v>84.86</v>
      </c>
      <c r="J407" s="70" t="s">
        <v>58</v>
      </c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>
      <c r="A408" s="72">
        <v>1388.0</v>
      </c>
      <c r="B408" s="67" t="s">
        <v>814</v>
      </c>
      <c r="C408" s="70" t="s">
        <v>60</v>
      </c>
      <c r="D408" s="70" t="s">
        <v>76</v>
      </c>
      <c r="E408" s="70" t="s">
        <v>28</v>
      </c>
      <c r="F408" s="73"/>
      <c r="G408" s="73"/>
      <c r="H408" s="70" t="s">
        <v>28</v>
      </c>
      <c r="I408" s="72">
        <v>45.94</v>
      </c>
      <c r="J408" s="70" t="s">
        <v>58</v>
      </c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>
      <c r="A409" s="72">
        <v>1387.0</v>
      </c>
      <c r="B409" s="67" t="s">
        <v>815</v>
      </c>
      <c r="C409" s="70" t="s">
        <v>56</v>
      </c>
      <c r="D409" s="70" t="s">
        <v>816</v>
      </c>
      <c r="E409" s="70" t="s">
        <v>28</v>
      </c>
      <c r="F409" s="73"/>
      <c r="G409" s="73"/>
      <c r="H409" s="70" t="s">
        <v>28</v>
      </c>
      <c r="I409" s="72">
        <v>70.52</v>
      </c>
      <c r="J409" s="70" t="s">
        <v>58</v>
      </c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>
      <c r="A410" s="72">
        <v>1386.0</v>
      </c>
      <c r="B410" s="67" t="s">
        <v>817</v>
      </c>
      <c r="C410" s="70" t="s">
        <v>56</v>
      </c>
      <c r="D410" s="70" t="s">
        <v>114</v>
      </c>
      <c r="E410" s="70" t="s">
        <v>67</v>
      </c>
      <c r="F410" s="73"/>
      <c r="G410" s="73"/>
      <c r="H410" s="70" t="s">
        <v>67</v>
      </c>
      <c r="I410" s="72">
        <v>35.81</v>
      </c>
      <c r="J410" s="70" t="s">
        <v>58</v>
      </c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>
      <c r="A411" s="72">
        <v>1385.0</v>
      </c>
      <c r="B411" s="67" t="s">
        <v>818</v>
      </c>
      <c r="C411" s="70" t="s">
        <v>69</v>
      </c>
      <c r="D411" s="70" t="s">
        <v>93</v>
      </c>
      <c r="E411" s="70" t="s">
        <v>116</v>
      </c>
      <c r="F411" s="73"/>
      <c r="G411" s="73"/>
      <c r="H411" s="70" t="s">
        <v>116</v>
      </c>
      <c r="I411" s="72">
        <v>66.39</v>
      </c>
      <c r="J411" s="70" t="s">
        <v>58</v>
      </c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>
      <c r="A412" s="72">
        <v>1384.0</v>
      </c>
      <c r="B412" s="67" t="s">
        <v>819</v>
      </c>
      <c r="C412" s="70" t="s">
        <v>60</v>
      </c>
      <c r="D412" s="73"/>
      <c r="E412" s="73"/>
      <c r="F412" s="73"/>
      <c r="G412" s="73"/>
      <c r="H412" s="73"/>
      <c r="I412" s="72">
        <v>64.51</v>
      </c>
      <c r="J412" s="70" t="s">
        <v>73</v>
      </c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>
      <c r="A413" s="72">
        <v>1383.0</v>
      </c>
      <c r="B413" s="67" t="s">
        <v>820</v>
      </c>
      <c r="C413" s="70" t="s">
        <v>60</v>
      </c>
      <c r="D413" s="70" t="s">
        <v>193</v>
      </c>
      <c r="E413" s="70" t="s">
        <v>821</v>
      </c>
      <c r="F413" s="70" t="s">
        <v>822</v>
      </c>
      <c r="G413" s="70" t="s">
        <v>823</v>
      </c>
      <c r="H413" s="70" t="s">
        <v>823</v>
      </c>
      <c r="I413" s="72">
        <v>35.83</v>
      </c>
      <c r="J413" s="70" t="s">
        <v>58</v>
      </c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>
      <c r="A414" s="72">
        <v>1382.0</v>
      </c>
      <c r="B414" s="67" t="s">
        <v>824</v>
      </c>
      <c r="C414" s="70" t="s">
        <v>56</v>
      </c>
      <c r="D414" s="70" t="s">
        <v>825</v>
      </c>
      <c r="E414" s="70" t="s">
        <v>826</v>
      </c>
      <c r="F414" s="70" t="s">
        <v>827</v>
      </c>
      <c r="G414" s="70" t="s">
        <v>828</v>
      </c>
      <c r="H414" s="70" t="s">
        <v>828</v>
      </c>
      <c r="I414" s="72">
        <v>76.13</v>
      </c>
      <c r="J414" s="70" t="s">
        <v>58</v>
      </c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>
      <c r="A415" s="72">
        <v>1381.0</v>
      </c>
      <c r="B415" s="67" t="s">
        <v>829</v>
      </c>
      <c r="C415" s="70" t="s">
        <v>56</v>
      </c>
      <c r="D415" s="70" t="s">
        <v>830</v>
      </c>
      <c r="E415" s="70" t="s">
        <v>831</v>
      </c>
      <c r="F415" s="70" t="s">
        <v>64</v>
      </c>
      <c r="G415" s="70" t="s">
        <v>412</v>
      </c>
      <c r="H415" s="70" t="s">
        <v>832</v>
      </c>
      <c r="I415" s="72">
        <v>76.21</v>
      </c>
      <c r="J415" s="70" t="s">
        <v>58</v>
      </c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>
      <c r="A416" s="72">
        <v>1380.0</v>
      </c>
      <c r="B416" s="67" t="s">
        <v>833</v>
      </c>
      <c r="C416" s="70" t="s">
        <v>69</v>
      </c>
      <c r="D416" s="70" t="s">
        <v>93</v>
      </c>
      <c r="E416" s="70" t="s">
        <v>778</v>
      </c>
      <c r="F416" s="73"/>
      <c r="G416" s="73"/>
      <c r="H416" s="70" t="s">
        <v>778</v>
      </c>
      <c r="I416" s="72">
        <v>70.5</v>
      </c>
      <c r="J416" s="70" t="s">
        <v>58</v>
      </c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>
      <c r="A417" s="72">
        <v>1379.0</v>
      </c>
      <c r="B417" s="67" t="s">
        <v>834</v>
      </c>
      <c r="C417" s="70" t="s">
        <v>56</v>
      </c>
      <c r="D417" s="70" t="s">
        <v>835</v>
      </c>
      <c r="E417" s="70" t="s">
        <v>71</v>
      </c>
      <c r="F417" s="73"/>
      <c r="G417" s="70" t="s">
        <v>71</v>
      </c>
      <c r="H417" s="70" t="s">
        <v>71</v>
      </c>
      <c r="I417" s="72">
        <v>84.64</v>
      </c>
      <c r="J417" s="70" t="s">
        <v>58</v>
      </c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>
      <c r="A418" s="72">
        <v>1378.0</v>
      </c>
      <c r="B418" s="67" t="s">
        <v>836</v>
      </c>
      <c r="C418" s="70" t="s">
        <v>69</v>
      </c>
      <c r="D418" s="73"/>
      <c r="E418" s="70" t="s">
        <v>715</v>
      </c>
      <c r="F418" s="73"/>
      <c r="G418" s="73"/>
      <c r="H418" s="70" t="s">
        <v>715</v>
      </c>
      <c r="I418" s="72">
        <v>90.2</v>
      </c>
      <c r="J418" s="70" t="s">
        <v>73</v>
      </c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>
      <c r="A419" s="72">
        <v>1377.0</v>
      </c>
      <c r="B419" s="67" t="s">
        <v>837</v>
      </c>
      <c r="C419" s="70" t="s">
        <v>60</v>
      </c>
      <c r="D419" s="70" t="s">
        <v>506</v>
      </c>
      <c r="E419" s="70" t="s">
        <v>28</v>
      </c>
      <c r="F419" s="70" t="s">
        <v>28</v>
      </c>
      <c r="G419" s="70" t="s">
        <v>28</v>
      </c>
      <c r="H419" s="70" t="s">
        <v>28</v>
      </c>
      <c r="I419" s="72">
        <v>35.22</v>
      </c>
      <c r="J419" s="70" t="s">
        <v>58</v>
      </c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>
      <c r="A420" s="72">
        <v>1376.0</v>
      </c>
      <c r="B420" s="67" t="s">
        <v>838</v>
      </c>
      <c r="C420" s="70" t="s">
        <v>56</v>
      </c>
      <c r="D420" s="70" t="s">
        <v>506</v>
      </c>
      <c r="E420" s="70" t="s">
        <v>241</v>
      </c>
      <c r="F420" s="70" t="s">
        <v>242</v>
      </c>
      <c r="G420" s="70" t="s">
        <v>242</v>
      </c>
      <c r="H420" s="70" t="s">
        <v>242</v>
      </c>
      <c r="I420" s="72">
        <v>56.57</v>
      </c>
      <c r="J420" s="70" t="s">
        <v>58</v>
      </c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>
      <c r="A421" s="72">
        <v>1375.0</v>
      </c>
      <c r="B421" s="67" t="s">
        <v>839</v>
      </c>
      <c r="C421" s="70" t="s">
        <v>56</v>
      </c>
      <c r="D421" s="70" t="s">
        <v>93</v>
      </c>
      <c r="E421" s="70" t="s">
        <v>411</v>
      </c>
      <c r="F421" s="70" t="s">
        <v>64</v>
      </c>
      <c r="G421" s="70" t="s">
        <v>412</v>
      </c>
      <c r="H421" s="70" t="s">
        <v>412</v>
      </c>
      <c r="I421" s="72">
        <v>64.14</v>
      </c>
      <c r="J421" s="70" t="s">
        <v>58</v>
      </c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>
      <c r="A422" s="72">
        <v>1374.0</v>
      </c>
      <c r="B422" s="67" t="s">
        <v>840</v>
      </c>
      <c r="C422" s="70" t="s">
        <v>69</v>
      </c>
      <c r="D422" s="70" t="s">
        <v>70</v>
      </c>
      <c r="E422" s="70" t="s">
        <v>841</v>
      </c>
      <c r="F422" s="70" t="s">
        <v>67</v>
      </c>
      <c r="G422" s="70" t="s">
        <v>842</v>
      </c>
      <c r="H422" s="70" t="s">
        <v>842</v>
      </c>
      <c r="I422" s="72">
        <v>76.78</v>
      </c>
      <c r="J422" s="70" t="s">
        <v>58</v>
      </c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>
      <c r="A423" s="72">
        <v>1373.0</v>
      </c>
      <c r="B423" s="67" t="s">
        <v>843</v>
      </c>
      <c r="C423" s="70" t="s">
        <v>60</v>
      </c>
      <c r="D423" s="70" t="s">
        <v>844</v>
      </c>
      <c r="E423" s="70" t="s">
        <v>64</v>
      </c>
      <c r="F423" s="73"/>
      <c r="G423" s="70" t="s">
        <v>64</v>
      </c>
      <c r="H423" s="70" t="s">
        <v>64</v>
      </c>
      <c r="I423" s="72">
        <v>37.25</v>
      </c>
      <c r="J423" s="70" t="s">
        <v>58</v>
      </c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>
      <c r="A424" s="72">
        <v>1372.0</v>
      </c>
      <c r="B424" s="67" t="s">
        <v>845</v>
      </c>
      <c r="C424" s="70" t="s">
        <v>56</v>
      </c>
      <c r="D424" s="70" t="s">
        <v>846</v>
      </c>
      <c r="E424" s="70" t="s">
        <v>847</v>
      </c>
      <c r="F424" s="73"/>
      <c r="G424" s="73"/>
      <c r="H424" s="70" t="s">
        <v>847</v>
      </c>
      <c r="I424" s="72">
        <v>54.97</v>
      </c>
      <c r="J424" s="70" t="s">
        <v>58</v>
      </c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>
      <c r="A425" s="72">
        <v>1371.0</v>
      </c>
      <c r="B425" s="67" t="s">
        <v>848</v>
      </c>
      <c r="C425" s="70" t="s">
        <v>56</v>
      </c>
      <c r="D425" s="70" t="s">
        <v>70</v>
      </c>
      <c r="E425" s="70" t="s">
        <v>67</v>
      </c>
      <c r="F425" s="73"/>
      <c r="G425" s="73"/>
      <c r="H425" s="70" t="s">
        <v>67</v>
      </c>
      <c r="I425" s="72">
        <v>60.89</v>
      </c>
      <c r="J425" s="70" t="s">
        <v>58</v>
      </c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>
      <c r="A426" s="72">
        <v>1370.0</v>
      </c>
      <c r="B426" s="67" t="s">
        <v>849</v>
      </c>
      <c r="C426" s="70" t="s">
        <v>69</v>
      </c>
      <c r="D426" s="70" t="s">
        <v>698</v>
      </c>
      <c r="E426" s="70" t="s">
        <v>311</v>
      </c>
      <c r="F426" s="70" t="s">
        <v>311</v>
      </c>
      <c r="G426" s="70" t="s">
        <v>311</v>
      </c>
      <c r="H426" s="70" t="s">
        <v>311</v>
      </c>
      <c r="I426" s="72">
        <v>77.22</v>
      </c>
      <c r="J426" s="70" t="s">
        <v>58</v>
      </c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>
      <c r="A427" s="72">
        <v>1369.0</v>
      </c>
      <c r="B427" s="67" t="s">
        <v>850</v>
      </c>
      <c r="C427" s="70" t="s">
        <v>60</v>
      </c>
      <c r="D427" s="73"/>
      <c r="E427" s="70" t="s">
        <v>67</v>
      </c>
      <c r="F427" s="73"/>
      <c r="G427" s="73"/>
      <c r="H427" s="70" t="s">
        <v>67</v>
      </c>
      <c r="I427" s="72">
        <v>68.97</v>
      </c>
      <c r="J427" s="70" t="s">
        <v>73</v>
      </c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>
      <c r="A428" s="72">
        <v>1368.0</v>
      </c>
      <c r="B428" s="67" t="s">
        <v>851</v>
      </c>
      <c r="C428" s="70" t="s">
        <v>60</v>
      </c>
      <c r="D428" s="70" t="s">
        <v>852</v>
      </c>
      <c r="E428" s="70" t="s">
        <v>853</v>
      </c>
      <c r="F428" s="70" t="s">
        <v>28</v>
      </c>
      <c r="G428" s="70" t="s">
        <v>853</v>
      </c>
      <c r="H428" s="70" t="s">
        <v>853</v>
      </c>
      <c r="I428" s="72">
        <v>57.47</v>
      </c>
      <c r="J428" s="70" t="s">
        <v>58</v>
      </c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>
      <c r="A429" s="72">
        <v>1367.0</v>
      </c>
      <c r="B429" s="67" t="s">
        <v>854</v>
      </c>
      <c r="C429" s="70" t="s">
        <v>56</v>
      </c>
      <c r="D429" s="70" t="s">
        <v>855</v>
      </c>
      <c r="E429" s="70" t="s">
        <v>856</v>
      </c>
      <c r="F429" s="73"/>
      <c r="G429" s="70" t="s">
        <v>64</v>
      </c>
      <c r="H429" s="70" t="s">
        <v>857</v>
      </c>
      <c r="I429" s="72">
        <v>41.04</v>
      </c>
      <c r="J429" s="70" t="s">
        <v>58</v>
      </c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>
      <c r="A430" s="72">
        <v>1366.0</v>
      </c>
      <c r="B430" s="67" t="s">
        <v>858</v>
      </c>
      <c r="C430" s="70" t="s">
        <v>56</v>
      </c>
      <c r="D430" s="70" t="s">
        <v>370</v>
      </c>
      <c r="E430" s="70" t="s">
        <v>859</v>
      </c>
      <c r="F430" s="70" t="s">
        <v>860</v>
      </c>
      <c r="G430" s="70" t="s">
        <v>861</v>
      </c>
      <c r="H430" s="70" t="s">
        <v>861</v>
      </c>
      <c r="I430" s="72">
        <v>55.38</v>
      </c>
      <c r="J430" s="70" t="s">
        <v>58</v>
      </c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>
      <c r="A431" s="72">
        <v>1365.0</v>
      </c>
      <c r="B431" s="67" t="s">
        <v>862</v>
      </c>
      <c r="C431" s="70" t="s">
        <v>69</v>
      </c>
      <c r="D431" s="70" t="s">
        <v>156</v>
      </c>
      <c r="E431" s="70" t="s">
        <v>863</v>
      </c>
      <c r="F431" s="70" t="s">
        <v>64</v>
      </c>
      <c r="G431" s="70" t="s">
        <v>635</v>
      </c>
      <c r="H431" s="70" t="s">
        <v>864</v>
      </c>
      <c r="I431" s="72">
        <v>85.95</v>
      </c>
      <c r="J431" s="70" t="s">
        <v>58</v>
      </c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>
      <c r="A432" s="72">
        <v>1364.0</v>
      </c>
      <c r="B432" s="67" t="s">
        <v>865</v>
      </c>
      <c r="C432" s="70" t="s">
        <v>56</v>
      </c>
      <c r="D432" s="73"/>
      <c r="E432" s="70" t="s">
        <v>519</v>
      </c>
      <c r="F432" s="73"/>
      <c r="G432" s="73"/>
      <c r="H432" s="70" t="s">
        <v>519</v>
      </c>
      <c r="I432" s="72">
        <v>78.96</v>
      </c>
      <c r="J432" s="70" t="s">
        <v>73</v>
      </c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>
      <c r="A433" s="72">
        <v>1363.0</v>
      </c>
      <c r="B433" s="67" t="s">
        <v>866</v>
      </c>
      <c r="C433" s="70" t="s">
        <v>60</v>
      </c>
      <c r="D433" s="70" t="s">
        <v>652</v>
      </c>
      <c r="E433" s="70" t="s">
        <v>64</v>
      </c>
      <c r="F433" s="73"/>
      <c r="G433" s="73"/>
      <c r="H433" s="70" t="s">
        <v>64</v>
      </c>
      <c r="I433" s="72">
        <v>34.09</v>
      </c>
      <c r="J433" s="70" t="s">
        <v>58</v>
      </c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>
      <c r="A434" s="72">
        <v>1362.0</v>
      </c>
      <c r="B434" s="67" t="s">
        <v>867</v>
      </c>
      <c r="C434" s="70" t="s">
        <v>56</v>
      </c>
      <c r="D434" s="70" t="s">
        <v>99</v>
      </c>
      <c r="E434" s="70" t="s">
        <v>64</v>
      </c>
      <c r="F434" s="73"/>
      <c r="G434" s="73"/>
      <c r="H434" s="70" t="s">
        <v>64</v>
      </c>
      <c r="I434" s="72">
        <v>57.73</v>
      </c>
      <c r="J434" s="70" t="s">
        <v>58</v>
      </c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>
      <c r="A435" s="72">
        <v>1361.0</v>
      </c>
      <c r="B435" s="67" t="s">
        <v>868</v>
      </c>
      <c r="C435" s="70" t="s">
        <v>56</v>
      </c>
      <c r="D435" s="70" t="s">
        <v>66</v>
      </c>
      <c r="E435" s="70" t="s">
        <v>71</v>
      </c>
      <c r="F435" s="70" t="s">
        <v>71</v>
      </c>
      <c r="G435" s="70" t="s">
        <v>71</v>
      </c>
      <c r="H435" s="70" t="s">
        <v>71</v>
      </c>
      <c r="I435" s="72">
        <v>43.58</v>
      </c>
      <c r="J435" s="70" t="s">
        <v>58</v>
      </c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>
      <c r="A436" s="72">
        <v>1360.0</v>
      </c>
      <c r="B436" s="67" t="s">
        <v>869</v>
      </c>
      <c r="C436" s="70" t="s">
        <v>69</v>
      </c>
      <c r="D436" s="73"/>
      <c r="E436" s="70" t="s">
        <v>800</v>
      </c>
      <c r="F436" s="70" t="s">
        <v>64</v>
      </c>
      <c r="G436" s="70" t="s">
        <v>64</v>
      </c>
      <c r="H436" s="70" t="s">
        <v>800</v>
      </c>
      <c r="I436" s="72">
        <v>46.63</v>
      </c>
      <c r="J436" s="70" t="s">
        <v>58</v>
      </c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>
      <c r="A437" s="72">
        <v>1359.0</v>
      </c>
      <c r="B437" s="67" t="s">
        <v>870</v>
      </c>
      <c r="C437" s="70" t="s">
        <v>60</v>
      </c>
      <c r="D437" s="70" t="s">
        <v>652</v>
      </c>
      <c r="E437" s="70" t="s">
        <v>871</v>
      </c>
      <c r="F437" s="70" t="s">
        <v>871</v>
      </c>
      <c r="G437" s="70" t="s">
        <v>871</v>
      </c>
      <c r="H437" s="70" t="s">
        <v>871</v>
      </c>
      <c r="I437" s="72">
        <v>56.27</v>
      </c>
      <c r="J437" s="70" t="s">
        <v>58</v>
      </c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>
      <c r="A438" s="72">
        <v>1358.0</v>
      </c>
      <c r="B438" s="67" t="s">
        <v>872</v>
      </c>
      <c r="C438" s="70" t="s">
        <v>56</v>
      </c>
      <c r="D438" s="70" t="s">
        <v>70</v>
      </c>
      <c r="E438" s="70" t="s">
        <v>873</v>
      </c>
      <c r="F438" s="73"/>
      <c r="G438" s="70" t="s">
        <v>874</v>
      </c>
      <c r="H438" s="70" t="s">
        <v>874</v>
      </c>
      <c r="I438" s="72">
        <v>60.56</v>
      </c>
      <c r="J438" s="70" t="s">
        <v>58</v>
      </c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>
      <c r="A439" s="72">
        <v>1357.0</v>
      </c>
      <c r="B439" s="67" t="s">
        <v>875</v>
      </c>
      <c r="C439" s="70" t="s">
        <v>56</v>
      </c>
      <c r="D439" s="70" t="s">
        <v>440</v>
      </c>
      <c r="E439" s="70" t="s">
        <v>71</v>
      </c>
      <c r="F439" s="73"/>
      <c r="G439" s="73"/>
      <c r="H439" s="70" t="s">
        <v>71</v>
      </c>
      <c r="I439" s="72">
        <v>66.92</v>
      </c>
      <c r="J439" s="70" t="s">
        <v>58</v>
      </c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>
      <c r="A440" s="72">
        <v>1356.0</v>
      </c>
      <c r="B440" s="67" t="s">
        <v>876</v>
      </c>
      <c r="C440" s="70" t="s">
        <v>69</v>
      </c>
      <c r="D440" s="75" t="s">
        <v>877</v>
      </c>
      <c r="E440" s="70" t="s">
        <v>878</v>
      </c>
      <c r="F440" s="73"/>
      <c r="G440" s="70" t="s">
        <v>298</v>
      </c>
      <c r="H440" s="70" t="s">
        <v>879</v>
      </c>
      <c r="I440" s="72">
        <v>69.73</v>
      </c>
      <c r="J440" s="70" t="s">
        <v>58</v>
      </c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>
      <c r="A441" s="72">
        <v>1355.0</v>
      </c>
      <c r="B441" s="67" t="s">
        <v>880</v>
      </c>
      <c r="C441" s="75" t="s">
        <v>56</v>
      </c>
      <c r="D441" s="78"/>
      <c r="E441" s="70" t="s">
        <v>576</v>
      </c>
      <c r="F441" s="73"/>
      <c r="G441" s="70" t="s">
        <v>576</v>
      </c>
      <c r="H441" s="70" t="s">
        <v>576</v>
      </c>
      <c r="I441" s="72">
        <v>74.39</v>
      </c>
      <c r="J441" s="70" t="s">
        <v>73</v>
      </c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>
      <c r="A442" s="72">
        <v>1354.0</v>
      </c>
      <c r="B442" s="67" t="s">
        <v>881</v>
      </c>
      <c r="C442" s="76" t="s">
        <v>60</v>
      </c>
      <c r="D442" s="76" t="s">
        <v>61</v>
      </c>
      <c r="E442" s="70" t="s">
        <v>882</v>
      </c>
      <c r="F442" s="70" t="s">
        <v>882</v>
      </c>
      <c r="G442" s="70" t="s">
        <v>882</v>
      </c>
      <c r="H442" s="70" t="s">
        <v>882</v>
      </c>
      <c r="I442" s="72">
        <v>31.3</v>
      </c>
      <c r="J442" s="70" t="s">
        <v>58</v>
      </c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>
      <c r="A443" s="72">
        <v>1353.0</v>
      </c>
      <c r="B443" s="67" t="s">
        <v>883</v>
      </c>
      <c r="C443" s="70" t="s">
        <v>56</v>
      </c>
      <c r="D443" s="70" t="s">
        <v>884</v>
      </c>
      <c r="E443" s="70" t="s">
        <v>885</v>
      </c>
      <c r="F443" s="70" t="s">
        <v>886</v>
      </c>
      <c r="G443" s="70" t="s">
        <v>887</v>
      </c>
      <c r="H443" s="70" t="s">
        <v>888</v>
      </c>
      <c r="I443" s="72">
        <v>30.53</v>
      </c>
      <c r="J443" s="70" t="s">
        <v>58</v>
      </c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>
      <c r="A444" s="72">
        <v>1352.0</v>
      </c>
      <c r="B444" s="67" t="s">
        <v>889</v>
      </c>
      <c r="C444" s="70" t="s">
        <v>56</v>
      </c>
      <c r="D444" s="70" t="s">
        <v>328</v>
      </c>
      <c r="E444" s="70" t="s">
        <v>890</v>
      </c>
      <c r="F444" s="70" t="s">
        <v>891</v>
      </c>
      <c r="G444" s="70" t="s">
        <v>892</v>
      </c>
      <c r="H444" s="70" t="s">
        <v>893</v>
      </c>
      <c r="I444" s="72">
        <v>44.81</v>
      </c>
      <c r="J444" s="70" t="s">
        <v>58</v>
      </c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>
      <c r="A445" s="72">
        <v>1351.0</v>
      </c>
      <c r="B445" s="67" t="s">
        <v>894</v>
      </c>
      <c r="C445" s="70" t="s">
        <v>69</v>
      </c>
      <c r="D445" s="70" t="s">
        <v>484</v>
      </c>
      <c r="E445" s="70" t="s">
        <v>895</v>
      </c>
      <c r="F445" s="70" t="s">
        <v>896</v>
      </c>
      <c r="G445" s="70" t="s">
        <v>346</v>
      </c>
      <c r="H445" s="70" t="s">
        <v>346</v>
      </c>
      <c r="I445" s="72">
        <v>75.87</v>
      </c>
      <c r="J445" s="70" t="s">
        <v>58</v>
      </c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>
      <c r="A446" s="72">
        <v>1350.0</v>
      </c>
      <c r="B446" s="67" t="s">
        <v>897</v>
      </c>
      <c r="C446" s="70" t="s">
        <v>69</v>
      </c>
      <c r="D446" s="73"/>
      <c r="E446" s="70" t="s">
        <v>64</v>
      </c>
      <c r="F446" s="73"/>
      <c r="G446" s="73"/>
      <c r="H446" s="70" t="s">
        <v>64</v>
      </c>
      <c r="I446" s="72">
        <v>90.34</v>
      </c>
      <c r="J446" s="70" t="s">
        <v>73</v>
      </c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>
      <c r="A447" s="72">
        <v>1349.0</v>
      </c>
      <c r="B447" s="67" t="s">
        <v>898</v>
      </c>
      <c r="C447" s="70" t="s">
        <v>60</v>
      </c>
      <c r="D447" s="70" t="s">
        <v>76</v>
      </c>
      <c r="E447" s="70" t="s">
        <v>899</v>
      </c>
      <c r="F447" s="73"/>
      <c r="G447" s="73"/>
      <c r="H447" s="70" t="s">
        <v>899</v>
      </c>
      <c r="I447" s="72">
        <v>44.18</v>
      </c>
      <c r="J447" s="70" t="s">
        <v>58</v>
      </c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>
      <c r="A448" s="72">
        <v>1348.0</v>
      </c>
      <c r="B448" s="67" t="s">
        <v>900</v>
      </c>
      <c r="C448" s="70" t="s">
        <v>56</v>
      </c>
      <c r="D448" s="70" t="s">
        <v>440</v>
      </c>
      <c r="E448" s="75" t="s">
        <v>82</v>
      </c>
      <c r="F448" s="70" t="s">
        <v>82</v>
      </c>
      <c r="G448" s="70" t="s">
        <v>82</v>
      </c>
      <c r="H448" s="70" t="s">
        <v>82</v>
      </c>
      <c r="I448" s="72">
        <v>36.55</v>
      </c>
      <c r="J448" s="70" t="s">
        <v>58</v>
      </c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>
      <c r="A449" s="72">
        <v>1347.0</v>
      </c>
      <c r="B449" s="67" t="s">
        <v>901</v>
      </c>
      <c r="C449" s="70" t="s">
        <v>56</v>
      </c>
      <c r="D449" s="75" t="s">
        <v>70</v>
      </c>
      <c r="E449" s="76" t="s">
        <v>902</v>
      </c>
      <c r="F449" s="70" t="s">
        <v>903</v>
      </c>
      <c r="G449" s="70" t="s">
        <v>903</v>
      </c>
      <c r="H449" s="70" t="s">
        <v>904</v>
      </c>
      <c r="I449" s="72">
        <v>75.01</v>
      </c>
      <c r="J449" s="70" t="s">
        <v>58</v>
      </c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>
      <c r="A450" s="72">
        <v>1346.0</v>
      </c>
      <c r="B450" s="67" t="s">
        <v>905</v>
      </c>
      <c r="C450" s="75" t="s">
        <v>69</v>
      </c>
      <c r="D450" s="76" t="s">
        <v>93</v>
      </c>
      <c r="E450" s="76" t="s">
        <v>28</v>
      </c>
      <c r="F450" s="73"/>
      <c r="G450" s="73"/>
      <c r="H450" s="70" t="s">
        <v>28</v>
      </c>
      <c r="I450" s="72">
        <v>36.08</v>
      </c>
      <c r="J450" s="70" t="s">
        <v>58</v>
      </c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>
      <c r="A451" s="72">
        <v>1345.0</v>
      </c>
      <c r="B451" s="67" t="s">
        <v>906</v>
      </c>
      <c r="C451" s="70" t="s">
        <v>60</v>
      </c>
      <c r="D451" s="75" t="s">
        <v>852</v>
      </c>
      <c r="E451" s="76" t="s">
        <v>87</v>
      </c>
      <c r="F451" s="70" t="s">
        <v>112</v>
      </c>
      <c r="G451" s="70" t="s">
        <v>112</v>
      </c>
      <c r="H451" s="70" t="s">
        <v>112</v>
      </c>
      <c r="I451" s="72">
        <v>41.96</v>
      </c>
      <c r="J451" s="70" t="s">
        <v>58</v>
      </c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>
      <c r="A452" s="72">
        <v>1344.0</v>
      </c>
      <c r="B452" s="67" t="s">
        <v>907</v>
      </c>
      <c r="C452" s="75" t="s">
        <v>56</v>
      </c>
      <c r="D452" s="76" t="s">
        <v>99</v>
      </c>
      <c r="E452" s="76" t="s">
        <v>908</v>
      </c>
      <c r="F452" s="70" t="s">
        <v>412</v>
      </c>
      <c r="G452" s="70" t="s">
        <v>909</v>
      </c>
      <c r="H452" s="70" t="s">
        <v>909</v>
      </c>
      <c r="I452" s="72">
        <v>61.3</v>
      </c>
      <c r="J452" s="70" t="s">
        <v>58</v>
      </c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>
      <c r="A453" s="72">
        <v>1343.0</v>
      </c>
      <c r="B453" s="67" t="s">
        <v>910</v>
      </c>
      <c r="C453" s="70" t="s">
        <v>56</v>
      </c>
      <c r="D453" s="70" t="s">
        <v>93</v>
      </c>
      <c r="E453" s="70" t="s">
        <v>462</v>
      </c>
      <c r="F453" s="73"/>
      <c r="G453" s="73"/>
      <c r="H453" s="70" t="s">
        <v>462</v>
      </c>
      <c r="I453" s="72">
        <v>64.83</v>
      </c>
      <c r="J453" s="70" t="s">
        <v>58</v>
      </c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>
      <c r="A454" s="72">
        <v>1342.0</v>
      </c>
      <c r="B454" s="67" t="s">
        <v>911</v>
      </c>
      <c r="C454" s="70" t="s">
        <v>69</v>
      </c>
      <c r="D454" s="70" t="s">
        <v>182</v>
      </c>
      <c r="E454" s="70" t="s">
        <v>912</v>
      </c>
      <c r="F454" s="73"/>
      <c r="G454" s="70" t="s">
        <v>411</v>
      </c>
      <c r="H454" s="70" t="s">
        <v>913</v>
      </c>
      <c r="I454" s="72">
        <v>85.75</v>
      </c>
      <c r="J454" s="70" t="s">
        <v>58</v>
      </c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>
      <c r="A455" s="72">
        <v>1341.0</v>
      </c>
      <c r="B455" s="67" t="s">
        <v>914</v>
      </c>
      <c r="C455" s="70" t="s">
        <v>56</v>
      </c>
      <c r="D455" s="73"/>
      <c r="E455" s="70" t="s">
        <v>899</v>
      </c>
      <c r="F455" s="73"/>
      <c r="G455" s="73"/>
      <c r="H455" s="70" t="s">
        <v>899</v>
      </c>
      <c r="I455" s="72">
        <v>58.81</v>
      </c>
      <c r="J455" s="70" t="s">
        <v>73</v>
      </c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>
      <c r="A456" s="72">
        <v>1340.0</v>
      </c>
      <c r="B456" s="67" t="s">
        <v>915</v>
      </c>
      <c r="C456" s="70" t="s">
        <v>60</v>
      </c>
      <c r="D456" s="70" t="s">
        <v>76</v>
      </c>
      <c r="E456" s="70" t="s">
        <v>67</v>
      </c>
      <c r="F456" s="73"/>
      <c r="G456" s="73"/>
      <c r="H456" s="70" t="s">
        <v>67</v>
      </c>
      <c r="I456" s="72">
        <v>59.33</v>
      </c>
      <c r="J456" s="70" t="s">
        <v>58</v>
      </c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>
      <c r="A457" s="72">
        <v>1339.0</v>
      </c>
      <c r="B457" s="67" t="s">
        <v>916</v>
      </c>
      <c r="C457" s="70" t="s">
        <v>56</v>
      </c>
      <c r="D457" s="70" t="s">
        <v>917</v>
      </c>
      <c r="E457" s="70" t="s">
        <v>918</v>
      </c>
      <c r="F457" s="73"/>
      <c r="G457" s="70" t="s">
        <v>64</v>
      </c>
      <c r="H457" s="70" t="s">
        <v>919</v>
      </c>
      <c r="I457" s="72">
        <v>38.37</v>
      </c>
      <c r="J457" s="70" t="s">
        <v>58</v>
      </c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>
      <c r="A458" s="72">
        <v>1338.0</v>
      </c>
      <c r="B458" s="67" t="s">
        <v>920</v>
      </c>
      <c r="C458" s="70" t="s">
        <v>56</v>
      </c>
      <c r="D458" s="70" t="s">
        <v>114</v>
      </c>
      <c r="E458" s="70" t="s">
        <v>311</v>
      </c>
      <c r="F458" s="73"/>
      <c r="G458" s="70" t="s">
        <v>311</v>
      </c>
      <c r="H458" s="70" t="s">
        <v>311</v>
      </c>
      <c r="I458" s="72">
        <v>67.7</v>
      </c>
      <c r="J458" s="70" t="s">
        <v>58</v>
      </c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>
      <c r="A459" s="72">
        <v>1337.0</v>
      </c>
      <c r="B459" s="67" t="s">
        <v>921</v>
      </c>
      <c r="C459" s="70" t="s">
        <v>69</v>
      </c>
      <c r="D459" s="70" t="s">
        <v>484</v>
      </c>
      <c r="E459" s="70" t="s">
        <v>64</v>
      </c>
      <c r="F459" s="73"/>
      <c r="G459" s="73"/>
      <c r="H459" s="70" t="s">
        <v>64</v>
      </c>
      <c r="I459" s="72">
        <v>71.94</v>
      </c>
      <c r="J459" s="70" t="s">
        <v>58</v>
      </c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>
      <c r="A460" s="72">
        <v>1336.0</v>
      </c>
      <c r="B460" s="67" t="s">
        <v>922</v>
      </c>
      <c r="C460" s="70" t="s">
        <v>60</v>
      </c>
      <c r="D460" s="73"/>
      <c r="E460" s="70" t="s">
        <v>923</v>
      </c>
      <c r="F460" s="73"/>
      <c r="G460" s="73"/>
      <c r="H460" s="70" t="s">
        <v>924</v>
      </c>
      <c r="I460" s="72">
        <v>48.61</v>
      </c>
      <c r="J460" s="70" t="s">
        <v>73</v>
      </c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>
      <c r="A461" s="72">
        <v>1335.0</v>
      </c>
      <c r="B461" s="67" t="s">
        <v>925</v>
      </c>
      <c r="C461" s="70" t="s">
        <v>60</v>
      </c>
      <c r="D461" s="70" t="s">
        <v>76</v>
      </c>
      <c r="E461" s="70" t="s">
        <v>926</v>
      </c>
      <c r="F461" s="70" t="s">
        <v>927</v>
      </c>
      <c r="G461" s="70" t="s">
        <v>928</v>
      </c>
      <c r="H461" s="70" t="s">
        <v>929</v>
      </c>
      <c r="I461" s="72">
        <v>56.77</v>
      </c>
      <c r="J461" s="70" t="s">
        <v>58</v>
      </c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>
      <c r="A462" s="72">
        <v>1334.0</v>
      </c>
      <c r="B462" s="67" t="s">
        <v>930</v>
      </c>
      <c r="C462" s="70" t="s">
        <v>56</v>
      </c>
      <c r="D462" s="70" t="s">
        <v>66</v>
      </c>
      <c r="E462" s="70" t="s">
        <v>931</v>
      </c>
      <c r="F462" s="70" t="s">
        <v>556</v>
      </c>
      <c r="G462" s="70" t="s">
        <v>556</v>
      </c>
      <c r="H462" s="70" t="s">
        <v>932</v>
      </c>
      <c r="I462" s="72">
        <v>47.14</v>
      </c>
      <c r="J462" s="70" t="s">
        <v>58</v>
      </c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>
      <c r="A463" s="72">
        <v>1333.0</v>
      </c>
      <c r="B463" s="67" t="s">
        <v>933</v>
      </c>
      <c r="C463" s="70" t="s">
        <v>56</v>
      </c>
      <c r="D463" s="70" t="s">
        <v>370</v>
      </c>
      <c r="E463" s="70" t="s">
        <v>694</v>
      </c>
      <c r="F463" s="70" t="s">
        <v>694</v>
      </c>
      <c r="G463" s="70" t="s">
        <v>694</v>
      </c>
      <c r="H463" s="70" t="s">
        <v>694</v>
      </c>
      <c r="I463" s="72">
        <v>57.23</v>
      </c>
      <c r="J463" s="70" t="s">
        <v>58</v>
      </c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>
      <c r="A464" s="72">
        <v>1332.0</v>
      </c>
      <c r="B464" s="67" t="s">
        <v>934</v>
      </c>
      <c r="C464" s="70" t="s">
        <v>69</v>
      </c>
      <c r="D464" s="70" t="s">
        <v>70</v>
      </c>
      <c r="E464" s="70" t="s">
        <v>64</v>
      </c>
      <c r="F464" s="73"/>
      <c r="G464" s="73"/>
      <c r="H464" s="70" t="s">
        <v>64</v>
      </c>
      <c r="I464" s="72">
        <v>68.08</v>
      </c>
      <c r="J464" s="70" t="s">
        <v>58</v>
      </c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>
      <c r="A465" s="72">
        <v>1331.0</v>
      </c>
      <c r="B465" s="67" t="s">
        <v>935</v>
      </c>
      <c r="C465" s="70" t="s">
        <v>69</v>
      </c>
      <c r="D465" s="70" t="s">
        <v>93</v>
      </c>
      <c r="E465" s="70" t="s">
        <v>936</v>
      </c>
      <c r="F465" s="70" t="s">
        <v>64</v>
      </c>
      <c r="G465" s="70" t="s">
        <v>800</v>
      </c>
      <c r="H465" s="70" t="s">
        <v>937</v>
      </c>
      <c r="I465" s="72">
        <v>57.43</v>
      </c>
      <c r="J465" s="70" t="s">
        <v>58</v>
      </c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>
      <c r="A466" s="72">
        <v>1330.0</v>
      </c>
      <c r="B466" s="67" t="s">
        <v>938</v>
      </c>
      <c r="C466" s="70" t="s">
        <v>60</v>
      </c>
      <c r="D466" s="70" t="s">
        <v>564</v>
      </c>
      <c r="E466" s="70" t="s">
        <v>176</v>
      </c>
      <c r="F466" s="73"/>
      <c r="G466" s="73"/>
      <c r="H466" s="70" t="s">
        <v>176</v>
      </c>
      <c r="I466" s="72">
        <v>36.74</v>
      </c>
      <c r="J466" s="70" t="s">
        <v>58</v>
      </c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>
      <c r="A467" s="72">
        <v>1329.0</v>
      </c>
      <c r="B467" s="67" t="s">
        <v>939</v>
      </c>
      <c r="C467" s="70" t="s">
        <v>56</v>
      </c>
      <c r="D467" s="70" t="s">
        <v>370</v>
      </c>
      <c r="E467" s="70" t="s">
        <v>940</v>
      </c>
      <c r="F467" s="70" t="s">
        <v>71</v>
      </c>
      <c r="G467" s="70" t="s">
        <v>941</v>
      </c>
      <c r="H467" s="70" t="s">
        <v>942</v>
      </c>
      <c r="I467" s="72">
        <v>81.75</v>
      </c>
      <c r="J467" s="70" t="s">
        <v>58</v>
      </c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>
      <c r="A468" s="72">
        <v>1328.0</v>
      </c>
      <c r="B468" s="67" t="s">
        <v>943</v>
      </c>
      <c r="C468" s="70" t="s">
        <v>56</v>
      </c>
      <c r="D468" s="70" t="s">
        <v>70</v>
      </c>
      <c r="E468" s="70" t="s">
        <v>944</v>
      </c>
      <c r="F468" s="70" t="s">
        <v>945</v>
      </c>
      <c r="G468" s="70" t="s">
        <v>946</v>
      </c>
      <c r="H468" s="70" t="s">
        <v>947</v>
      </c>
      <c r="I468" s="72">
        <v>47.13</v>
      </c>
      <c r="J468" s="70" t="s">
        <v>58</v>
      </c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>
      <c r="A469" s="72">
        <v>1327.0</v>
      </c>
      <c r="B469" s="67" t="s">
        <v>948</v>
      </c>
      <c r="C469" s="70" t="s">
        <v>69</v>
      </c>
      <c r="D469" s="73"/>
      <c r="E469" s="70" t="s">
        <v>64</v>
      </c>
      <c r="F469" s="73"/>
      <c r="G469" s="73"/>
      <c r="H469" s="70" t="s">
        <v>64</v>
      </c>
      <c r="I469" s="72">
        <v>77.64</v>
      </c>
      <c r="J469" s="70" t="s">
        <v>73</v>
      </c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>
      <c r="A470" s="72">
        <v>1326.0</v>
      </c>
      <c r="B470" s="67" t="s">
        <v>949</v>
      </c>
      <c r="C470" s="70" t="s">
        <v>60</v>
      </c>
      <c r="D470" s="70" t="s">
        <v>313</v>
      </c>
      <c r="E470" s="70" t="s">
        <v>950</v>
      </c>
      <c r="F470" s="70" t="s">
        <v>951</v>
      </c>
      <c r="G470" s="70" t="s">
        <v>952</v>
      </c>
      <c r="H470" s="70" t="s">
        <v>953</v>
      </c>
      <c r="I470" s="72">
        <v>47.58</v>
      </c>
      <c r="J470" s="70" t="s">
        <v>58</v>
      </c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>
      <c r="A471" s="72">
        <v>1325.0</v>
      </c>
      <c r="B471" s="67" t="s">
        <v>954</v>
      </c>
      <c r="C471" s="70" t="s">
        <v>56</v>
      </c>
      <c r="D471" s="70" t="s">
        <v>320</v>
      </c>
      <c r="E471" s="70" t="s">
        <v>87</v>
      </c>
      <c r="F471" s="73"/>
      <c r="G471" s="70" t="s">
        <v>64</v>
      </c>
      <c r="H471" s="70" t="s">
        <v>112</v>
      </c>
      <c r="I471" s="72">
        <v>73.78</v>
      </c>
      <c r="J471" s="70" t="s">
        <v>58</v>
      </c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>
      <c r="A472" s="72">
        <v>1324.0</v>
      </c>
      <c r="B472" s="67" t="s">
        <v>955</v>
      </c>
      <c r="C472" s="70" t="s">
        <v>56</v>
      </c>
      <c r="D472" s="70" t="s">
        <v>70</v>
      </c>
      <c r="E472" s="70" t="s">
        <v>956</v>
      </c>
      <c r="F472" s="73"/>
      <c r="G472" s="70" t="s">
        <v>326</v>
      </c>
      <c r="H472" s="70" t="s">
        <v>957</v>
      </c>
      <c r="I472" s="72">
        <v>58.93</v>
      </c>
      <c r="J472" s="70" t="s">
        <v>58</v>
      </c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>
      <c r="A473" s="72">
        <v>1323.0</v>
      </c>
      <c r="B473" s="67" t="s">
        <v>958</v>
      </c>
      <c r="C473" s="70" t="s">
        <v>69</v>
      </c>
      <c r="D473" s="70" t="s">
        <v>99</v>
      </c>
      <c r="E473" s="75" t="s">
        <v>102</v>
      </c>
      <c r="F473" s="73"/>
      <c r="G473" s="73"/>
      <c r="H473" s="70" t="s">
        <v>102</v>
      </c>
      <c r="I473" s="72">
        <v>77.89</v>
      </c>
      <c r="J473" s="70" t="s">
        <v>58</v>
      </c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>
      <c r="A474" s="72">
        <v>1322.0</v>
      </c>
      <c r="B474" s="67" t="s">
        <v>959</v>
      </c>
      <c r="C474" s="70" t="s">
        <v>69</v>
      </c>
      <c r="D474" s="79"/>
      <c r="E474" s="76" t="s">
        <v>71</v>
      </c>
      <c r="F474" s="73"/>
      <c r="G474" s="73"/>
      <c r="H474" s="70" t="s">
        <v>71</v>
      </c>
      <c r="I474" s="72">
        <v>58.1</v>
      </c>
      <c r="J474" s="70" t="s">
        <v>73</v>
      </c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>
      <c r="A475" s="72">
        <v>1321.0</v>
      </c>
      <c r="B475" s="67" t="s">
        <v>960</v>
      </c>
      <c r="C475" s="75" t="s">
        <v>56</v>
      </c>
      <c r="D475" s="78"/>
      <c r="E475" s="76" t="s">
        <v>961</v>
      </c>
      <c r="F475" s="70" t="s">
        <v>64</v>
      </c>
      <c r="G475" s="70" t="s">
        <v>64</v>
      </c>
      <c r="H475" s="70" t="s">
        <v>962</v>
      </c>
      <c r="I475" s="72">
        <v>71.42</v>
      </c>
      <c r="J475" s="70" t="s">
        <v>73</v>
      </c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>
      <c r="A476" s="72">
        <v>1320.0</v>
      </c>
      <c r="B476" s="67" t="s">
        <v>963</v>
      </c>
      <c r="C476" s="70" t="s">
        <v>60</v>
      </c>
      <c r="D476" s="70" t="s">
        <v>76</v>
      </c>
      <c r="E476" s="70" t="s">
        <v>28</v>
      </c>
      <c r="F476" s="73"/>
      <c r="G476" s="70" t="s">
        <v>28</v>
      </c>
      <c r="H476" s="70" t="s">
        <v>28</v>
      </c>
      <c r="I476" s="72">
        <v>61.78</v>
      </c>
      <c r="J476" s="70" t="s">
        <v>58</v>
      </c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>
      <c r="A477" s="72">
        <v>1319.0</v>
      </c>
      <c r="B477" s="67" t="s">
        <v>964</v>
      </c>
      <c r="C477" s="70" t="s">
        <v>56</v>
      </c>
      <c r="D477" s="70" t="s">
        <v>965</v>
      </c>
      <c r="E477" s="70" t="s">
        <v>966</v>
      </c>
      <c r="F477" s="70" t="s">
        <v>896</v>
      </c>
      <c r="G477" s="70" t="s">
        <v>896</v>
      </c>
      <c r="H477" s="70" t="s">
        <v>967</v>
      </c>
      <c r="I477" s="72">
        <v>55.52</v>
      </c>
      <c r="J477" s="70" t="s">
        <v>58</v>
      </c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>
      <c r="A478" s="72">
        <v>1318.0</v>
      </c>
      <c r="B478" s="67" t="s">
        <v>968</v>
      </c>
      <c r="C478" s="70" t="s">
        <v>56</v>
      </c>
      <c r="D478" s="70" t="s">
        <v>182</v>
      </c>
      <c r="E478" s="70" t="s">
        <v>67</v>
      </c>
      <c r="F478" s="73"/>
      <c r="G478" s="73"/>
      <c r="H478" s="70" t="s">
        <v>67</v>
      </c>
      <c r="I478" s="72">
        <v>63.95</v>
      </c>
      <c r="J478" s="70" t="s">
        <v>58</v>
      </c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>
      <c r="A479" s="72">
        <v>1317.0</v>
      </c>
      <c r="B479" s="67" t="s">
        <v>969</v>
      </c>
      <c r="C479" s="70" t="s">
        <v>69</v>
      </c>
      <c r="D479" s="70" t="s">
        <v>99</v>
      </c>
      <c r="E479" s="70" t="s">
        <v>102</v>
      </c>
      <c r="F479" s="73"/>
      <c r="G479" s="73"/>
      <c r="H479" s="70" t="s">
        <v>102</v>
      </c>
      <c r="I479" s="72">
        <v>56.79</v>
      </c>
      <c r="J479" s="70" t="s">
        <v>58</v>
      </c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>
      <c r="A480" s="72">
        <v>1316.0</v>
      </c>
      <c r="B480" s="67" t="s">
        <v>970</v>
      </c>
      <c r="C480" s="70" t="s">
        <v>60</v>
      </c>
      <c r="D480" s="70" t="s">
        <v>971</v>
      </c>
      <c r="E480" s="70" t="s">
        <v>28</v>
      </c>
      <c r="F480" s="73"/>
      <c r="G480" s="73"/>
      <c r="H480" s="70" t="s">
        <v>28</v>
      </c>
      <c r="I480" s="72">
        <v>49.72</v>
      </c>
      <c r="J480" s="70" t="s">
        <v>58</v>
      </c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>
      <c r="A481" s="72">
        <v>1315.0</v>
      </c>
      <c r="B481" s="67" t="s">
        <v>972</v>
      </c>
      <c r="C481" s="70" t="s">
        <v>56</v>
      </c>
      <c r="D481" s="70" t="s">
        <v>289</v>
      </c>
      <c r="E481" s="70" t="s">
        <v>973</v>
      </c>
      <c r="F481" s="70" t="s">
        <v>636</v>
      </c>
      <c r="G481" s="70" t="s">
        <v>636</v>
      </c>
      <c r="H481" s="70" t="s">
        <v>974</v>
      </c>
      <c r="I481" s="72">
        <v>84.22</v>
      </c>
      <c r="J481" s="70" t="s">
        <v>58</v>
      </c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>
      <c r="A482" s="72">
        <v>1314.0</v>
      </c>
      <c r="B482" s="67" t="s">
        <v>975</v>
      </c>
      <c r="C482" s="70" t="s">
        <v>56</v>
      </c>
      <c r="D482" s="70" t="s">
        <v>76</v>
      </c>
      <c r="E482" s="70" t="s">
        <v>976</v>
      </c>
      <c r="F482" s="70" t="s">
        <v>977</v>
      </c>
      <c r="G482" s="70" t="s">
        <v>977</v>
      </c>
      <c r="H482" s="70" t="s">
        <v>978</v>
      </c>
      <c r="I482" s="72">
        <v>73.65</v>
      </c>
      <c r="J482" s="70" t="s">
        <v>58</v>
      </c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>
      <c r="A483" s="72">
        <v>1313.0</v>
      </c>
      <c r="B483" s="67" t="s">
        <v>979</v>
      </c>
      <c r="C483" s="70" t="s">
        <v>69</v>
      </c>
      <c r="D483" s="70" t="s">
        <v>93</v>
      </c>
      <c r="E483" s="70" t="s">
        <v>980</v>
      </c>
      <c r="F483" s="70" t="s">
        <v>896</v>
      </c>
      <c r="G483" s="70" t="s">
        <v>981</v>
      </c>
      <c r="H483" s="70" t="s">
        <v>981</v>
      </c>
      <c r="I483" s="72">
        <v>85.39</v>
      </c>
      <c r="J483" s="70" t="s">
        <v>58</v>
      </c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>
      <c r="A484" s="72">
        <v>1312.0</v>
      </c>
      <c r="B484" s="67" t="s">
        <v>982</v>
      </c>
      <c r="C484" s="70" t="s">
        <v>60</v>
      </c>
      <c r="D484" s="70" t="s">
        <v>76</v>
      </c>
      <c r="E484" s="70" t="s">
        <v>983</v>
      </c>
      <c r="F484" s="70" t="s">
        <v>984</v>
      </c>
      <c r="G484" s="70" t="s">
        <v>985</v>
      </c>
      <c r="H484" s="70" t="s">
        <v>986</v>
      </c>
      <c r="I484" s="72">
        <v>59.81</v>
      </c>
      <c r="J484" s="70" t="s">
        <v>58</v>
      </c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>
      <c r="A485" s="72">
        <v>1311.0</v>
      </c>
      <c r="B485" s="67" t="s">
        <v>987</v>
      </c>
      <c r="C485" s="70" t="s">
        <v>56</v>
      </c>
      <c r="D485" s="70" t="s">
        <v>988</v>
      </c>
      <c r="E485" s="70" t="s">
        <v>64</v>
      </c>
      <c r="F485" s="73"/>
      <c r="G485" s="70" t="s">
        <v>64</v>
      </c>
      <c r="H485" s="70" t="s">
        <v>64</v>
      </c>
      <c r="I485" s="72">
        <v>44.25</v>
      </c>
      <c r="J485" s="70" t="s">
        <v>58</v>
      </c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>
      <c r="A486" s="72">
        <v>1310.0</v>
      </c>
      <c r="B486" s="67" t="s">
        <v>989</v>
      </c>
      <c r="C486" s="70" t="s">
        <v>56</v>
      </c>
      <c r="D486" s="70" t="s">
        <v>182</v>
      </c>
      <c r="E486" s="70" t="s">
        <v>990</v>
      </c>
      <c r="F486" s="73"/>
      <c r="G486" s="70" t="s">
        <v>991</v>
      </c>
      <c r="H486" s="70" t="s">
        <v>992</v>
      </c>
      <c r="I486" s="72">
        <v>69.42</v>
      </c>
      <c r="J486" s="70" t="s">
        <v>58</v>
      </c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>
      <c r="A487" s="72">
        <v>1309.0</v>
      </c>
      <c r="B487" s="67" t="s">
        <v>993</v>
      </c>
      <c r="C487" s="70" t="s">
        <v>69</v>
      </c>
      <c r="D487" s="70" t="s">
        <v>70</v>
      </c>
      <c r="E487" s="70" t="s">
        <v>994</v>
      </c>
      <c r="F487" s="73"/>
      <c r="G487" s="70" t="s">
        <v>64</v>
      </c>
      <c r="H487" s="70" t="s">
        <v>995</v>
      </c>
      <c r="I487" s="72">
        <v>77.65</v>
      </c>
      <c r="J487" s="70" t="s">
        <v>58</v>
      </c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>
      <c r="A488" s="72">
        <v>1308.0</v>
      </c>
      <c r="B488" s="67" t="s">
        <v>996</v>
      </c>
      <c r="C488" s="70" t="s">
        <v>56</v>
      </c>
      <c r="D488" s="73"/>
      <c r="E488" s="73"/>
      <c r="F488" s="73"/>
      <c r="G488" s="73"/>
      <c r="H488" s="73"/>
      <c r="I488" s="72">
        <v>87.74</v>
      </c>
      <c r="J488" s="70" t="s">
        <v>73</v>
      </c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>
      <c r="A489" s="72">
        <v>1307.0</v>
      </c>
      <c r="B489" s="67" t="s">
        <v>997</v>
      </c>
      <c r="C489" s="70" t="s">
        <v>60</v>
      </c>
      <c r="D489" s="70" t="s">
        <v>672</v>
      </c>
      <c r="E489" s="70" t="s">
        <v>998</v>
      </c>
      <c r="F489" s="73"/>
      <c r="G489" s="73"/>
      <c r="H489" s="70" t="s">
        <v>998</v>
      </c>
      <c r="I489" s="72">
        <v>36.77</v>
      </c>
      <c r="J489" s="70" t="s">
        <v>58</v>
      </c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>
      <c r="A490" s="72">
        <v>1306.0</v>
      </c>
      <c r="B490" s="67" t="s">
        <v>999</v>
      </c>
      <c r="C490" s="70" t="s">
        <v>56</v>
      </c>
      <c r="D490" s="70" t="s">
        <v>1000</v>
      </c>
      <c r="E490" s="70" t="s">
        <v>67</v>
      </c>
      <c r="F490" s="73"/>
      <c r="G490" s="70" t="s">
        <v>67</v>
      </c>
      <c r="H490" s="70" t="s">
        <v>67</v>
      </c>
      <c r="I490" s="72">
        <v>62.27</v>
      </c>
      <c r="J490" s="70" t="s">
        <v>58</v>
      </c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>
      <c r="A491" s="72">
        <v>1305.0</v>
      </c>
      <c r="B491" s="67" t="s">
        <v>1001</v>
      </c>
      <c r="C491" s="70" t="s">
        <v>56</v>
      </c>
      <c r="D491" s="70" t="s">
        <v>1002</v>
      </c>
      <c r="E491" s="70" t="s">
        <v>1003</v>
      </c>
      <c r="F491" s="70" t="s">
        <v>799</v>
      </c>
      <c r="G491" s="70" t="s">
        <v>799</v>
      </c>
      <c r="H491" s="70" t="s">
        <v>1004</v>
      </c>
      <c r="I491" s="72">
        <v>77.78</v>
      </c>
      <c r="J491" s="70" t="s">
        <v>58</v>
      </c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>
      <c r="A492" s="72">
        <v>1304.0</v>
      </c>
      <c r="B492" s="67" t="s">
        <v>1005</v>
      </c>
      <c r="C492" s="70" t="s">
        <v>69</v>
      </c>
      <c r="D492" s="70" t="s">
        <v>93</v>
      </c>
      <c r="E492" s="70" t="s">
        <v>1006</v>
      </c>
      <c r="F492" s="70" t="s">
        <v>477</v>
      </c>
      <c r="G492" s="70" t="s">
        <v>1007</v>
      </c>
      <c r="H492" s="70" t="s">
        <v>1008</v>
      </c>
      <c r="I492" s="72">
        <v>76.73</v>
      </c>
      <c r="J492" s="70" t="s">
        <v>58</v>
      </c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>
      <c r="A493" s="72">
        <v>1303.0</v>
      </c>
      <c r="B493" s="67" t="s">
        <v>1009</v>
      </c>
      <c r="C493" s="70" t="s">
        <v>69</v>
      </c>
      <c r="D493" s="73"/>
      <c r="E493" s="70" t="s">
        <v>64</v>
      </c>
      <c r="F493" s="73"/>
      <c r="G493" s="73"/>
      <c r="H493" s="70" t="s">
        <v>64</v>
      </c>
      <c r="I493" s="72">
        <v>89.66</v>
      </c>
      <c r="J493" s="70" t="s">
        <v>73</v>
      </c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>
      <c r="A494" s="72">
        <v>1302.0</v>
      </c>
      <c r="B494" s="67" t="s">
        <v>1010</v>
      </c>
      <c r="C494" s="70" t="s">
        <v>56</v>
      </c>
      <c r="D494" s="70" t="s">
        <v>289</v>
      </c>
      <c r="E494" s="70" t="s">
        <v>28</v>
      </c>
      <c r="F494" s="73"/>
      <c r="G494" s="73"/>
      <c r="H494" s="70" t="s">
        <v>28</v>
      </c>
      <c r="I494" s="72">
        <v>84.18</v>
      </c>
      <c r="J494" s="70" t="s">
        <v>58</v>
      </c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>
      <c r="A495" s="72">
        <v>1301.0</v>
      </c>
      <c r="B495" s="67" t="s">
        <v>1011</v>
      </c>
      <c r="C495" s="70" t="s">
        <v>60</v>
      </c>
      <c r="D495" s="70" t="s">
        <v>76</v>
      </c>
      <c r="E495" s="70" t="s">
        <v>265</v>
      </c>
      <c r="F495" s="73"/>
      <c r="G495" s="73"/>
      <c r="H495" s="70" t="s">
        <v>265</v>
      </c>
      <c r="I495" s="72">
        <v>38.27</v>
      </c>
      <c r="J495" s="70" t="s">
        <v>58</v>
      </c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>
      <c r="A496" s="72">
        <v>1300.0</v>
      </c>
      <c r="B496" s="67" t="s">
        <v>1012</v>
      </c>
      <c r="C496" s="70" t="s">
        <v>56</v>
      </c>
      <c r="D496" s="70" t="s">
        <v>484</v>
      </c>
      <c r="E496" s="70" t="s">
        <v>1013</v>
      </c>
      <c r="F496" s="73"/>
      <c r="G496" s="70" t="s">
        <v>189</v>
      </c>
      <c r="H496" s="70" t="s">
        <v>1014</v>
      </c>
      <c r="I496" s="72">
        <v>43.02</v>
      </c>
      <c r="J496" s="70" t="s">
        <v>58</v>
      </c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>
      <c r="A497" s="72">
        <v>1299.0</v>
      </c>
      <c r="B497" s="67" t="s">
        <v>1015</v>
      </c>
      <c r="C497" s="70" t="s">
        <v>69</v>
      </c>
      <c r="D497" s="70" t="s">
        <v>93</v>
      </c>
      <c r="E497" s="70" t="s">
        <v>1016</v>
      </c>
      <c r="F497" s="70" t="s">
        <v>1017</v>
      </c>
      <c r="G497" s="70" t="s">
        <v>1017</v>
      </c>
      <c r="H497" s="70" t="s">
        <v>1017</v>
      </c>
      <c r="I497" s="72">
        <v>74.57</v>
      </c>
      <c r="J497" s="70" t="s">
        <v>58</v>
      </c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>
      <c r="A498" s="72">
        <v>1298.0</v>
      </c>
      <c r="B498" s="67" t="s">
        <v>1018</v>
      </c>
      <c r="C498" s="70" t="s">
        <v>60</v>
      </c>
      <c r="D498" s="70" t="s">
        <v>852</v>
      </c>
      <c r="E498" s="70" t="s">
        <v>516</v>
      </c>
      <c r="F498" s="73"/>
      <c r="G498" s="73"/>
      <c r="H498" s="70" t="s">
        <v>516</v>
      </c>
      <c r="I498" s="72">
        <v>59.81</v>
      </c>
      <c r="J498" s="70" t="s">
        <v>58</v>
      </c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>
      <c r="A499" s="72">
        <v>1297.0</v>
      </c>
      <c r="B499" s="67" t="s">
        <v>1019</v>
      </c>
      <c r="C499" s="70" t="s">
        <v>56</v>
      </c>
      <c r="D499" s="70" t="s">
        <v>534</v>
      </c>
      <c r="E499" s="70" t="s">
        <v>1020</v>
      </c>
      <c r="F499" s="70" t="s">
        <v>1021</v>
      </c>
      <c r="G499" s="70" t="s">
        <v>1022</v>
      </c>
      <c r="H499" s="70" t="s">
        <v>1022</v>
      </c>
      <c r="I499" s="72">
        <v>50.44</v>
      </c>
      <c r="J499" s="70" t="s">
        <v>58</v>
      </c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>
      <c r="A500" s="72">
        <v>1296.0</v>
      </c>
      <c r="B500" s="67" t="s">
        <v>1023</v>
      </c>
      <c r="C500" s="70" t="s">
        <v>56</v>
      </c>
      <c r="D500" s="70" t="s">
        <v>114</v>
      </c>
      <c r="E500" s="70" t="s">
        <v>1024</v>
      </c>
      <c r="F500" s="70" t="s">
        <v>1025</v>
      </c>
      <c r="G500" s="70" t="s">
        <v>1026</v>
      </c>
      <c r="H500" s="70" t="s">
        <v>1026</v>
      </c>
      <c r="I500" s="72">
        <v>55.58</v>
      </c>
      <c r="J500" s="70" t="s">
        <v>58</v>
      </c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>
      <c r="A501" s="72">
        <v>1295.0</v>
      </c>
      <c r="B501" s="67" t="s">
        <v>1027</v>
      </c>
      <c r="C501" s="70" t="s">
        <v>69</v>
      </c>
      <c r="D501" s="70" t="s">
        <v>93</v>
      </c>
      <c r="E501" s="70" t="s">
        <v>1028</v>
      </c>
      <c r="F501" s="70" t="s">
        <v>750</v>
      </c>
      <c r="G501" s="70" t="s">
        <v>750</v>
      </c>
      <c r="H501" s="70" t="s">
        <v>1029</v>
      </c>
      <c r="I501" s="72">
        <v>78.88</v>
      </c>
      <c r="J501" s="70" t="s">
        <v>58</v>
      </c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>
      <c r="A502" s="72">
        <v>1294.0</v>
      </c>
      <c r="B502" s="67" t="s">
        <v>1030</v>
      </c>
      <c r="C502" s="70" t="s">
        <v>69</v>
      </c>
      <c r="D502" s="73"/>
      <c r="E502" s="70" t="s">
        <v>715</v>
      </c>
      <c r="F502" s="73"/>
      <c r="G502" s="73"/>
      <c r="H502" s="70" t="s">
        <v>715</v>
      </c>
      <c r="I502" s="72">
        <v>66.53</v>
      </c>
      <c r="J502" s="70" t="s">
        <v>73</v>
      </c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>
      <c r="A503" s="72">
        <v>1293.0</v>
      </c>
      <c r="B503" s="67" t="s">
        <v>1031</v>
      </c>
      <c r="C503" s="70" t="s">
        <v>60</v>
      </c>
      <c r="D503" s="70" t="s">
        <v>852</v>
      </c>
      <c r="E503" s="70" t="s">
        <v>1032</v>
      </c>
      <c r="F503" s="70" t="s">
        <v>87</v>
      </c>
      <c r="G503" s="70" t="s">
        <v>1033</v>
      </c>
      <c r="H503" s="70" t="s">
        <v>1034</v>
      </c>
      <c r="I503" s="72">
        <v>43.06</v>
      </c>
      <c r="J503" s="70" t="s">
        <v>58</v>
      </c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>
      <c r="A504" s="72">
        <v>1292.0</v>
      </c>
      <c r="B504" s="67" t="s">
        <v>1035</v>
      </c>
      <c r="C504" s="70" t="s">
        <v>56</v>
      </c>
      <c r="D504" s="70" t="s">
        <v>484</v>
      </c>
      <c r="E504" s="70" t="s">
        <v>1036</v>
      </c>
      <c r="F504" s="70" t="s">
        <v>519</v>
      </c>
      <c r="G504" s="70" t="s">
        <v>1037</v>
      </c>
      <c r="H504" s="70" t="s">
        <v>1037</v>
      </c>
      <c r="I504" s="72">
        <v>50.84</v>
      </c>
      <c r="J504" s="70" t="s">
        <v>58</v>
      </c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>
      <c r="A505" s="72">
        <v>1291.0</v>
      </c>
      <c r="B505" s="67" t="s">
        <v>1038</v>
      </c>
      <c r="C505" s="70" t="s">
        <v>56</v>
      </c>
      <c r="D505" s="70" t="s">
        <v>271</v>
      </c>
      <c r="E505" s="70" t="s">
        <v>1039</v>
      </c>
      <c r="F505" s="70" t="s">
        <v>64</v>
      </c>
      <c r="G505" s="70" t="s">
        <v>64</v>
      </c>
      <c r="H505" s="70" t="s">
        <v>1040</v>
      </c>
      <c r="I505" s="72">
        <v>57.42</v>
      </c>
      <c r="J505" s="70" t="s">
        <v>58</v>
      </c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>
      <c r="A506" s="72">
        <v>1290.0</v>
      </c>
      <c r="B506" s="67" t="s">
        <v>1041</v>
      </c>
      <c r="C506" s="70" t="s">
        <v>69</v>
      </c>
      <c r="D506" s="70" t="s">
        <v>1042</v>
      </c>
      <c r="E506" s="70" t="s">
        <v>1043</v>
      </c>
      <c r="F506" s="70" t="s">
        <v>1044</v>
      </c>
      <c r="G506" s="70" t="s">
        <v>1045</v>
      </c>
      <c r="H506" s="70" t="s">
        <v>1045</v>
      </c>
      <c r="I506" s="72">
        <v>81.79</v>
      </c>
      <c r="J506" s="70" t="s">
        <v>58</v>
      </c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>
      <c r="A507" s="72">
        <v>1289.0</v>
      </c>
      <c r="B507" s="67" t="s">
        <v>1046</v>
      </c>
      <c r="C507" s="70" t="s">
        <v>60</v>
      </c>
      <c r="D507" s="70" t="s">
        <v>76</v>
      </c>
      <c r="E507" s="70" t="s">
        <v>1036</v>
      </c>
      <c r="F507" s="70" t="s">
        <v>519</v>
      </c>
      <c r="G507" s="70" t="s">
        <v>519</v>
      </c>
      <c r="H507" s="70" t="s">
        <v>1037</v>
      </c>
      <c r="I507" s="72">
        <v>62.54</v>
      </c>
      <c r="J507" s="70" t="s">
        <v>58</v>
      </c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>
      <c r="A508" s="72">
        <v>1288.0</v>
      </c>
      <c r="B508" s="67" t="s">
        <v>1047</v>
      </c>
      <c r="C508" s="70" t="s">
        <v>56</v>
      </c>
      <c r="D508" s="70" t="s">
        <v>1048</v>
      </c>
      <c r="E508" s="70" t="s">
        <v>64</v>
      </c>
      <c r="F508" s="73"/>
      <c r="G508" s="73"/>
      <c r="H508" s="70" t="s">
        <v>64</v>
      </c>
      <c r="I508" s="72">
        <v>57.35</v>
      </c>
      <c r="J508" s="70" t="s">
        <v>58</v>
      </c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>
      <c r="A509" s="72">
        <v>1287.0</v>
      </c>
      <c r="B509" s="67" t="s">
        <v>1049</v>
      </c>
      <c r="C509" s="70" t="s">
        <v>69</v>
      </c>
      <c r="D509" s="70" t="s">
        <v>93</v>
      </c>
      <c r="E509" s="70" t="s">
        <v>96</v>
      </c>
      <c r="F509" s="70" t="s">
        <v>71</v>
      </c>
      <c r="G509" s="70" t="s">
        <v>71</v>
      </c>
      <c r="H509" s="70" t="s">
        <v>612</v>
      </c>
      <c r="I509" s="72">
        <v>60.13</v>
      </c>
      <c r="J509" s="70" t="s">
        <v>58</v>
      </c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>
      <c r="A510" s="72">
        <v>1286.0</v>
      </c>
      <c r="B510" s="67" t="s">
        <v>1050</v>
      </c>
      <c r="C510" s="70" t="s">
        <v>56</v>
      </c>
      <c r="D510" s="70" t="s">
        <v>1051</v>
      </c>
      <c r="E510" s="70" t="s">
        <v>87</v>
      </c>
      <c r="F510" s="73"/>
      <c r="G510" s="73"/>
      <c r="H510" s="70" t="s">
        <v>87</v>
      </c>
      <c r="I510" s="72">
        <v>70.92</v>
      </c>
      <c r="J510" s="70" t="s">
        <v>58</v>
      </c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>
      <c r="A511" s="72">
        <v>1285.0</v>
      </c>
      <c r="B511" s="67" t="s">
        <v>1052</v>
      </c>
      <c r="C511" s="70" t="s">
        <v>56</v>
      </c>
      <c r="D511" s="73"/>
      <c r="E511" s="70" t="s">
        <v>411</v>
      </c>
      <c r="F511" s="73"/>
      <c r="G511" s="73"/>
      <c r="H511" s="70" t="s">
        <v>411</v>
      </c>
      <c r="I511" s="72">
        <v>87.38</v>
      </c>
      <c r="J511" s="70" t="s">
        <v>73</v>
      </c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>
      <c r="A512" s="72">
        <v>1284.0</v>
      </c>
      <c r="B512" s="67" t="s">
        <v>1053</v>
      </c>
      <c r="C512" s="70" t="s">
        <v>60</v>
      </c>
      <c r="D512" s="70" t="s">
        <v>852</v>
      </c>
      <c r="E512" s="75" t="s">
        <v>510</v>
      </c>
      <c r="F512" s="73"/>
      <c r="G512" s="73"/>
      <c r="H512" s="70" t="s">
        <v>511</v>
      </c>
      <c r="I512" s="72">
        <v>70.09</v>
      </c>
      <c r="J512" s="70" t="s">
        <v>58</v>
      </c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>
      <c r="A513" s="72">
        <v>1283.0</v>
      </c>
      <c r="B513" s="67" t="s">
        <v>1054</v>
      </c>
      <c r="C513" s="70" t="s">
        <v>56</v>
      </c>
      <c r="D513" s="75" t="s">
        <v>502</v>
      </c>
      <c r="E513" s="76" t="s">
        <v>1055</v>
      </c>
      <c r="F513" s="70" t="s">
        <v>1056</v>
      </c>
      <c r="G513" s="70" t="s">
        <v>1057</v>
      </c>
      <c r="H513" s="70" t="s">
        <v>1058</v>
      </c>
      <c r="I513" s="72">
        <v>49.69</v>
      </c>
      <c r="J513" s="70" t="s">
        <v>58</v>
      </c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>
      <c r="A514" s="72">
        <v>1282.0</v>
      </c>
      <c r="B514" s="67" t="s">
        <v>1059</v>
      </c>
      <c r="C514" s="75" t="s">
        <v>56</v>
      </c>
      <c r="D514" s="76" t="s">
        <v>61</v>
      </c>
      <c r="E514" s="76" t="s">
        <v>519</v>
      </c>
      <c r="F514" s="73"/>
      <c r="G514" s="73"/>
      <c r="H514" s="70" t="s">
        <v>519</v>
      </c>
      <c r="I514" s="72">
        <v>84.38</v>
      </c>
      <c r="J514" s="70" t="s">
        <v>58</v>
      </c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>
      <c r="A515" s="72">
        <v>1281.0</v>
      </c>
      <c r="B515" s="67" t="s">
        <v>1060</v>
      </c>
      <c r="C515" s="70" t="s">
        <v>69</v>
      </c>
      <c r="D515" s="70" t="s">
        <v>99</v>
      </c>
      <c r="E515" s="70" t="s">
        <v>1061</v>
      </c>
      <c r="F515" s="70" t="s">
        <v>1062</v>
      </c>
      <c r="G515" s="70" t="s">
        <v>1062</v>
      </c>
      <c r="H515" s="70" t="s">
        <v>1063</v>
      </c>
      <c r="I515" s="72">
        <v>85.6</v>
      </c>
      <c r="J515" s="70" t="s">
        <v>58</v>
      </c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>
      <c r="A516" s="72">
        <v>1280.0</v>
      </c>
      <c r="B516" s="67" t="s">
        <v>1064</v>
      </c>
      <c r="C516" s="70" t="s">
        <v>69</v>
      </c>
      <c r="D516" s="73"/>
      <c r="E516" s="70" t="s">
        <v>519</v>
      </c>
      <c r="F516" s="73"/>
      <c r="G516" s="73"/>
      <c r="H516" s="70" t="s">
        <v>519</v>
      </c>
      <c r="I516" s="72">
        <v>75.07</v>
      </c>
      <c r="J516" s="70" t="s">
        <v>73</v>
      </c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>
      <c r="A517" s="72">
        <v>1278.0</v>
      </c>
      <c r="B517" s="67" t="s">
        <v>1065</v>
      </c>
      <c r="C517" s="70" t="s">
        <v>60</v>
      </c>
      <c r="D517" s="70" t="s">
        <v>76</v>
      </c>
      <c r="E517" s="70" t="s">
        <v>1066</v>
      </c>
      <c r="F517" s="73"/>
      <c r="G517" s="73"/>
      <c r="H517" s="70" t="s">
        <v>1067</v>
      </c>
      <c r="I517" s="72">
        <v>61.05</v>
      </c>
      <c r="J517" s="70" t="s">
        <v>58</v>
      </c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>
      <c r="A518" s="72">
        <v>1277.0</v>
      </c>
      <c r="B518" s="67" t="s">
        <v>1068</v>
      </c>
      <c r="C518" s="70" t="s">
        <v>56</v>
      </c>
      <c r="D518" s="70" t="s">
        <v>1069</v>
      </c>
      <c r="E518" s="70" t="s">
        <v>87</v>
      </c>
      <c r="F518" s="70" t="s">
        <v>112</v>
      </c>
      <c r="G518" s="70" t="s">
        <v>112</v>
      </c>
      <c r="H518" s="70" t="s">
        <v>112</v>
      </c>
      <c r="I518" s="72">
        <v>72.79</v>
      </c>
      <c r="J518" s="70" t="s">
        <v>58</v>
      </c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>
      <c r="A519" s="72">
        <v>1276.0</v>
      </c>
      <c r="B519" s="67" t="s">
        <v>1070</v>
      </c>
      <c r="C519" s="70" t="s">
        <v>56</v>
      </c>
      <c r="D519" s="70" t="s">
        <v>216</v>
      </c>
      <c r="E519" s="70" t="s">
        <v>1071</v>
      </c>
      <c r="F519" s="73"/>
      <c r="G519" s="73"/>
      <c r="H519" s="70" t="s">
        <v>1072</v>
      </c>
      <c r="I519" s="72">
        <v>50.1</v>
      </c>
      <c r="J519" s="70" t="s">
        <v>58</v>
      </c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>
      <c r="A520" s="72">
        <v>1275.0</v>
      </c>
      <c r="B520" s="67" t="s">
        <v>1073</v>
      </c>
      <c r="C520" s="70" t="s">
        <v>69</v>
      </c>
      <c r="D520" s="70" t="s">
        <v>93</v>
      </c>
      <c r="E520" s="70" t="s">
        <v>1074</v>
      </c>
      <c r="F520" s="73"/>
      <c r="G520" s="70" t="s">
        <v>1075</v>
      </c>
      <c r="H520" s="70" t="s">
        <v>1076</v>
      </c>
      <c r="I520" s="72">
        <v>52.86</v>
      </c>
      <c r="J520" s="70" t="s">
        <v>58</v>
      </c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>
      <c r="A521" s="72">
        <v>1274.0</v>
      </c>
      <c r="B521" s="67" t="s">
        <v>1077</v>
      </c>
      <c r="C521" s="70" t="s">
        <v>60</v>
      </c>
      <c r="D521" s="70" t="s">
        <v>1078</v>
      </c>
      <c r="E521" s="70" t="s">
        <v>189</v>
      </c>
      <c r="F521" s="70" t="s">
        <v>189</v>
      </c>
      <c r="G521" s="70" t="s">
        <v>189</v>
      </c>
      <c r="H521" s="70" t="s">
        <v>189</v>
      </c>
      <c r="I521" s="72">
        <v>65.93</v>
      </c>
      <c r="J521" s="70" t="s">
        <v>58</v>
      </c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>
      <c r="A522" s="72">
        <v>1273.0</v>
      </c>
      <c r="B522" s="67" t="s">
        <v>1079</v>
      </c>
      <c r="C522" s="70" t="s">
        <v>56</v>
      </c>
      <c r="D522" s="70" t="s">
        <v>1080</v>
      </c>
      <c r="E522" s="70" t="s">
        <v>67</v>
      </c>
      <c r="F522" s="73"/>
      <c r="G522" s="73"/>
      <c r="H522" s="70" t="s">
        <v>67</v>
      </c>
      <c r="I522" s="72">
        <v>62.08</v>
      </c>
      <c r="J522" s="70" t="s">
        <v>58</v>
      </c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>
      <c r="A523" s="72">
        <v>1272.0</v>
      </c>
      <c r="B523" s="67" t="s">
        <v>1081</v>
      </c>
      <c r="C523" s="70" t="s">
        <v>56</v>
      </c>
      <c r="D523" s="70" t="s">
        <v>1082</v>
      </c>
      <c r="E523" s="70" t="s">
        <v>28</v>
      </c>
      <c r="F523" s="73"/>
      <c r="G523" s="73"/>
      <c r="H523" s="70" t="s">
        <v>28</v>
      </c>
      <c r="I523" s="72">
        <v>58.3</v>
      </c>
      <c r="J523" s="70" t="s">
        <v>58</v>
      </c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>
      <c r="A524" s="72">
        <v>1271.0</v>
      </c>
      <c r="B524" s="67" t="s">
        <v>1083</v>
      </c>
      <c r="C524" s="70" t="s">
        <v>69</v>
      </c>
      <c r="D524" s="70" t="s">
        <v>588</v>
      </c>
      <c r="E524" s="70" t="s">
        <v>130</v>
      </c>
      <c r="F524" s="70" t="s">
        <v>130</v>
      </c>
      <c r="G524" s="70" t="s">
        <v>130</v>
      </c>
      <c r="H524" s="70" t="s">
        <v>130</v>
      </c>
      <c r="I524" s="72">
        <v>55.41</v>
      </c>
      <c r="J524" s="70" t="s">
        <v>58</v>
      </c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>
      <c r="A525" s="72">
        <v>1270.0</v>
      </c>
      <c r="B525" s="67" t="s">
        <v>1084</v>
      </c>
      <c r="C525" s="70" t="s">
        <v>56</v>
      </c>
      <c r="D525" s="73"/>
      <c r="E525" s="70" t="s">
        <v>87</v>
      </c>
      <c r="F525" s="70" t="s">
        <v>64</v>
      </c>
      <c r="G525" s="70" t="s">
        <v>112</v>
      </c>
      <c r="H525" s="70" t="s">
        <v>112</v>
      </c>
      <c r="I525" s="72">
        <v>88.25</v>
      </c>
      <c r="J525" s="70" t="s">
        <v>73</v>
      </c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>
      <c r="A526" s="72">
        <v>1269.0</v>
      </c>
      <c r="B526" s="67" t="s">
        <v>1085</v>
      </c>
      <c r="C526" s="70" t="s">
        <v>60</v>
      </c>
      <c r="D526" s="70" t="s">
        <v>76</v>
      </c>
      <c r="E526" s="70" t="s">
        <v>96</v>
      </c>
      <c r="F526" s="73"/>
      <c r="G526" s="70" t="s">
        <v>71</v>
      </c>
      <c r="H526" s="70" t="s">
        <v>612</v>
      </c>
      <c r="I526" s="72">
        <v>43.22</v>
      </c>
      <c r="J526" s="70" t="s">
        <v>58</v>
      </c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>
      <c r="A527" s="72">
        <v>1268.0</v>
      </c>
      <c r="B527" s="67" t="s">
        <v>1086</v>
      </c>
      <c r="C527" s="70" t="s">
        <v>56</v>
      </c>
      <c r="D527" s="70" t="s">
        <v>70</v>
      </c>
      <c r="E527" s="70" t="s">
        <v>112</v>
      </c>
      <c r="F527" s="70" t="s">
        <v>64</v>
      </c>
      <c r="G527" s="70" t="s">
        <v>64</v>
      </c>
      <c r="H527" s="70" t="s">
        <v>112</v>
      </c>
      <c r="I527" s="72">
        <v>64.68</v>
      </c>
      <c r="J527" s="70" t="s">
        <v>58</v>
      </c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>
      <c r="A528" s="72">
        <v>1267.0</v>
      </c>
      <c r="B528" s="67" t="s">
        <v>1087</v>
      </c>
      <c r="C528" s="70" t="s">
        <v>56</v>
      </c>
      <c r="D528" s="70" t="s">
        <v>1088</v>
      </c>
      <c r="E528" s="70" t="s">
        <v>87</v>
      </c>
      <c r="F528" s="73"/>
      <c r="G528" s="73"/>
      <c r="H528" s="70" t="s">
        <v>112</v>
      </c>
      <c r="I528" s="72">
        <v>57.76</v>
      </c>
      <c r="J528" s="70" t="s">
        <v>58</v>
      </c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>
      <c r="A529" s="72">
        <v>1266.0</v>
      </c>
      <c r="B529" s="67" t="s">
        <v>1089</v>
      </c>
      <c r="C529" s="70" t="s">
        <v>69</v>
      </c>
      <c r="D529" s="70" t="s">
        <v>1090</v>
      </c>
      <c r="E529" s="70" t="s">
        <v>1091</v>
      </c>
      <c r="F529" s="73"/>
      <c r="G529" s="70" t="s">
        <v>1092</v>
      </c>
      <c r="H529" s="70" t="s">
        <v>1093</v>
      </c>
      <c r="I529" s="72">
        <v>79.33</v>
      </c>
      <c r="J529" s="70" t="s">
        <v>58</v>
      </c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>
      <c r="A530" s="72">
        <v>1265.0</v>
      </c>
      <c r="B530" s="67" t="s">
        <v>1094</v>
      </c>
      <c r="C530" s="70" t="s">
        <v>56</v>
      </c>
      <c r="D530" s="73"/>
      <c r="E530" s="70" t="s">
        <v>96</v>
      </c>
      <c r="F530" s="73"/>
      <c r="G530" s="70" t="s">
        <v>612</v>
      </c>
      <c r="H530" s="70" t="s">
        <v>612</v>
      </c>
      <c r="I530" s="72">
        <v>94.29</v>
      </c>
      <c r="J530" s="70" t="s">
        <v>58</v>
      </c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>
      <c r="A531" s="72">
        <v>1264.0</v>
      </c>
      <c r="B531" s="67" t="s">
        <v>1095</v>
      </c>
      <c r="C531" s="70" t="s">
        <v>56</v>
      </c>
      <c r="D531" s="73"/>
      <c r="E531" s="70" t="s">
        <v>71</v>
      </c>
      <c r="F531" s="73"/>
      <c r="G531" s="73"/>
      <c r="H531" s="70" t="s">
        <v>71</v>
      </c>
      <c r="I531" s="72">
        <v>69.29</v>
      </c>
      <c r="J531" s="70" t="s">
        <v>73</v>
      </c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>
      <c r="A532" s="72">
        <v>1263.0</v>
      </c>
      <c r="B532" s="67" t="s">
        <v>1096</v>
      </c>
      <c r="C532" s="70" t="s">
        <v>60</v>
      </c>
      <c r="D532" s="70" t="s">
        <v>852</v>
      </c>
      <c r="E532" s="73"/>
      <c r="F532" s="73"/>
      <c r="G532" s="73"/>
      <c r="H532" s="73"/>
      <c r="I532" s="72">
        <v>43.37</v>
      </c>
      <c r="J532" s="70" t="s">
        <v>58</v>
      </c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>
      <c r="A533" s="72">
        <v>1262.0</v>
      </c>
      <c r="B533" s="67" t="s">
        <v>1097</v>
      </c>
      <c r="C533" s="70" t="s">
        <v>56</v>
      </c>
      <c r="D533" s="70" t="s">
        <v>76</v>
      </c>
      <c r="E533" s="70" t="s">
        <v>1098</v>
      </c>
      <c r="F533" s="70" t="s">
        <v>71</v>
      </c>
      <c r="G533" s="70" t="s">
        <v>71</v>
      </c>
      <c r="H533" s="70" t="s">
        <v>1099</v>
      </c>
      <c r="I533" s="72">
        <v>49.75</v>
      </c>
      <c r="J533" s="70" t="s">
        <v>58</v>
      </c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>
      <c r="A534" s="72">
        <v>1261.0</v>
      </c>
      <c r="B534" s="67" t="s">
        <v>1100</v>
      </c>
      <c r="C534" s="70" t="s">
        <v>56</v>
      </c>
      <c r="D534" s="70" t="s">
        <v>418</v>
      </c>
      <c r="E534" s="70" t="s">
        <v>28</v>
      </c>
      <c r="F534" s="73"/>
      <c r="G534" s="73"/>
      <c r="H534" s="70" t="s">
        <v>28</v>
      </c>
      <c r="I534" s="72">
        <v>74.49</v>
      </c>
      <c r="J534" s="70" t="s">
        <v>58</v>
      </c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>
      <c r="A535" s="72">
        <v>1260.0</v>
      </c>
      <c r="B535" s="67" t="s">
        <v>1101</v>
      </c>
      <c r="C535" s="70" t="s">
        <v>69</v>
      </c>
      <c r="D535" s="70" t="s">
        <v>93</v>
      </c>
      <c r="E535" s="75" t="s">
        <v>64</v>
      </c>
      <c r="F535" s="73"/>
      <c r="G535" s="73"/>
      <c r="H535" s="70" t="s">
        <v>64</v>
      </c>
      <c r="I535" s="72">
        <v>61.82</v>
      </c>
      <c r="J535" s="70" t="s">
        <v>58</v>
      </c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>
      <c r="A536" s="72">
        <v>1259.0</v>
      </c>
      <c r="B536" s="67" t="s">
        <v>1102</v>
      </c>
      <c r="C536" s="70" t="s">
        <v>60</v>
      </c>
      <c r="D536" s="75" t="s">
        <v>652</v>
      </c>
      <c r="E536" s="76" t="s">
        <v>64</v>
      </c>
      <c r="F536" s="73"/>
      <c r="G536" s="73"/>
      <c r="H536" s="70" t="s">
        <v>64</v>
      </c>
      <c r="I536" s="72">
        <v>54.27</v>
      </c>
      <c r="J536" s="70" t="s">
        <v>58</v>
      </c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>
      <c r="A537" s="72">
        <v>1258.0</v>
      </c>
      <c r="B537" s="67" t="s">
        <v>1103</v>
      </c>
      <c r="C537" s="75" t="s">
        <v>56</v>
      </c>
      <c r="D537" s="76" t="s">
        <v>271</v>
      </c>
      <c r="E537" s="76" t="s">
        <v>1104</v>
      </c>
      <c r="F537" s="73"/>
      <c r="G537" s="70" t="s">
        <v>64</v>
      </c>
      <c r="H537" s="70" t="s">
        <v>1105</v>
      </c>
      <c r="I537" s="72">
        <v>62.9</v>
      </c>
      <c r="J537" s="70" t="s">
        <v>58</v>
      </c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>
      <c r="A538" s="72">
        <v>1257.0</v>
      </c>
      <c r="B538" s="67" t="s">
        <v>1106</v>
      </c>
      <c r="C538" s="70" t="s">
        <v>56</v>
      </c>
      <c r="D538" s="70" t="s">
        <v>320</v>
      </c>
      <c r="E538" s="70" t="s">
        <v>516</v>
      </c>
      <c r="F538" s="73"/>
      <c r="G538" s="73"/>
      <c r="H538" s="70" t="s">
        <v>516</v>
      </c>
      <c r="I538" s="72">
        <v>61.06</v>
      </c>
      <c r="J538" s="70" t="s">
        <v>58</v>
      </c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>
      <c r="A539" s="72">
        <v>1256.0</v>
      </c>
      <c r="B539" s="67" t="s">
        <v>1107</v>
      </c>
      <c r="C539" s="70" t="s">
        <v>56</v>
      </c>
      <c r="D539" s="70" t="s">
        <v>1108</v>
      </c>
      <c r="E539" s="70" t="s">
        <v>882</v>
      </c>
      <c r="F539" s="70" t="s">
        <v>882</v>
      </c>
      <c r="G539" s="70" t="s">
        <v>882</v>
      </c>
      <c r="H539" s="70" t="s">
        <v>882</v>
      </c>
      <c r="I539" s="72">
        <v>68.03</v>
      </c>
      <c r="J539" s="70" t="s">
        <v>58</v>
      </c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>
      <c r="A540" s="72">
        <v>1255.0</v>
      </c>
      <c r="B540" s="67" t="s">
        <v>1109</v>
      </c>
      <c r="C540" s="70" t="s">
        <v>60</v>
      </c>
      <c r="D540" s="70" t="s">
        <v>182</v>
      </c>
      <c r="E540" s="70" t="s">
        <v>112</v>
      </c>
      <c r="F540" s="73"/>
      <c r="G540" s="70" t="s">
        <v>28</v>
      </c>
      <c r="H540" s="70" t="s">
        <v>87</v>
      </c>
      <c r="I540" s="72">
        <v>70.02</v>
      </c>
      <c r="J540" s="70" t="s">
        <v>58</v>
      </c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>
      <c r="A541" s="72">
        <v>1254.0</v>
      </c>
      <c r="B541" s="67" t="s">
        <v>1110</v>
      </c>
      <c r="C541" s="70" t="s">
        <v>56</v>
      </c>
      <c r="D541" s="70" t="s">
        <v>506</v>
      </c>
      <c r="E541" s="70" t="s">
        <v>1111</v>
      </c>
      <c r="F541" s="70" t="s">
        <v>1112</v>
      </c>
      <c r="G541" s="70" t="s">
        <v>1113</v>
      </c>
      <c r="H541" s="70" t="s">
        <v>1113</v>
      </c>
      <c r="I541" s="72">
        <v>61.7</v>
      </c>
      <c r="J541" s="70" t="s">
        <v>58</v>
      </c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>
      <c r="A542" s="72">
        <v>1253.0</v>
      </c>
      <c r="B542" s="67" t="s">
        <v>1114</v>
      </c>
      <c r="C542" s="70" t="s">
        <v>56</v>
      </c>
      <c r="D542" s="70" t="s">
        <v>216</v>
      </c>
      <c r="E542" s="70" t="s">
        <v>1115</v>
      </c>
      <c r="F542" s="73"/>
      <c r="G542" s="73"/>
      <c r="H542" s="70" t="s">
        <v>1115</v>
      </c>
      <c r="I542" s="72">
        <v>41.7</v>
      </c>
      <c r="J542" s="70" t="s">
        <v>58</v>
      </c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>
      <c r="A543" s="72">
        <v>1252.0</v>
      </c>
      <c r="B543" s="67" t="s">
        <v>1116</v>
      </c>
      <c r="C543" s="70" t="s">
        <v>69</v>
      </c>
      <c r="D543" s="70" t="s">
        <v>93</v>
      </c>
      <c r="E543" s="73"/>
      <c r="F543" s="73"/>
      <c r="G543" s="73"/>
      <c r="H543" s="73"/>
      <c r="I543" s="72">
        <v>78.82</v>
      </c>
      <c r="J543" s="70" t="s">
        <v>58</v>
      </c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>
      <c r="A544" s="72">
        <v>1251.0</v>
      </c>
      <c r="B544" s="67" t="s">
        <v>1117</v>
      </c>
      <c r="C544" s="70" t="s">
        <v>69</v>
      </c>
      <c r="D544" s="73"/>
      <c r="E544" s="70" t="s">
        <v>64</v>
      </c>
      <c r="F544" s="73"/>
      <c r="G544" s="73"/>
      <c r="H544" s="70" t="s">
        <v>64</v>
      </c>
      <c r="I544" s="72">
        <v>82.71</v>
      </c>
      <c r="J544" s="70" t="s">
        <v>73</v>
      </c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>
      <c r="A545" s="72">
        <v>1250.0</v>
      </c>
      <c r="B545" s="67" t="s">
        <v>1118</v>
      </c>
      <c r="C545" s="70" t="s">
        <v>60</v>
      </c>
      <c r="D545" s="75" t="s">
        <v>99</v>
      </c>
      <c r="E545" s="70" t="s">
        <v>1119</v>
      </c>
      <c r="F545" s="73"/>
      <c r="G545" s="73"/>
      <c r="H545" s="70" t="s">
        <v>1119</v>
      </c>
      <c r="I545" s="72">
        <v>56.22</v>
      </c>
      <c r="J545" s="70" t="s">
        <v>58</v>
      </c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>
      <c r="A546" s="72">
        <v>1249.0</v>
      </c>
      <c r="B546" s="67" t="s">
        <v>1120</v>
      </c>
      <c r="C546" s="75" t="s">
        <v>56</v>
      </c>
      <c r="D546" s="76" t="s">
        <v>531</v>
      </c>
      <c r="E546" s="70" t="s">
        <v>1121</v>
      </c>
      <c r="F546" s="70" t="s">
        <v>1122</v>
      </c>
      <c r="G546" s="70" t="s">
        <v>1123</v>
      </c>
      <c r="H546" s="70" t="s">
        <v>1124</v>
      </c>
      <c r="I546" s="72">
        <v>64.19</v>
      </c>
      <c r="J546" s="70" t="s">
        <v>58</v>
      </c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>
      <c r="A547" s="72">
        <v>1248.0</v>
      </c>
      <c r="B547" s="67" t="s">
        <v>1125</v>
      </c>
      <c r="C547" s="76" t="s">
        <v>56</v>
      </c>
      <c r="D547" s="76" t="s">
        <v>151</v>
      </c>
      <c r="E547" s="70" t="s">
        <v>1126</v>
      </c>
      <c r="F547" s="70" t="s">
        <v>1127</v>
      </c>
      <c r="G547" s="70" t="s">
        <v>1128</v>
      </c>
      <c r="H547" s="70" t="s">
        <v>1128</v>
      </c>
      <c r="I547" s="72">
        <v>56.11</v>
      </c>
      <c r="J547" s="70" t="s">
        <v>58</v>
      </c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>
      <c r="A548" s="72">
        <v>1247.0</v>
      </c>
      <c r="B548" s="67" t="s">
        <v>1129</v>
      </c>
      <c r="C548" s="70" t="s">
        <v>56</v>
      </c>
      <c r="D548" s="70" t="s">
        <v>57</v>
      </c>
      <c r="E548" s="70" t="s">
        <v>1130</v>
      </c>
      <c r="F548" s="73"/>
      <c r="G548" s="70" t="s">
        <v>64</v>
      </c>
      <c r="H548" s="70" t="s">
        <v>1131</v>
      </c>
      <c r="I548" s="72">
        <v>62.82</v>
      </c>
      <c r="J548" s="70" t="s">
        <v>58</v>
      </c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>
      <c r="A549" s="72">
        <v>1246.0</v>
      </c>
      <c r="B549" s="67" t="s">
        <v>1132</v>
      </c>
      <c r="C549" s="70" t="s">
        <v>60</v>
      </c>
      <c r="D549" s="70" t="s">
        <v>76</v>
      </c>
      <c r="E549" s="70" t="s">
        <v>67</v>
      </c>
      <c r="F549" s="73"/>
      <c r="G549" s="70" t="s">
        <v>67</v>
      </c>
      <c r="H549" s="70" t="s">
        <v>67</v>
      </c>
      <c r="I549" s="72">
        <v>45.98</v>
      </c>
      <c r="J549" s="70" t="s">
        <v>58</v>
      </c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>
      <c r="A550" s="72">
        <v>1245.0</v>
      </c>
      <c r="B550" s="67" t="s">
        <v>1133</v>
      </c>
      <c r="C550" s="70" t="s">
        <v>56</v>
      </c>
      <c r="D550" s="70" t="s">
        <v>173</v>
      </c>
      <c r="E550" s="70" t="s">
        <v>1134</v>
      </c>
      <c r="F550" s="73"/>
      <c r="G550" s="70" t="s">
        <v>1135</v>
      </c>
      <c r="H550" s="70" t="s">
        <v>1135</v>
      </c>
      <c r="I550" s="72">
        <v>61.11</v>
      </c>
      <c r="J550" s="70" t="s">
        <v>58</v>
      </c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>
      <c r="A551" s="72">
        <v>1244.0</v>
      </c>
      <c r="B551" s="67" t="s">
        <v>1136</v>
      </c>
      <c r="C551" s="70" t="s">
        <v>56</v>
      </c>
      <c r="D551" s="70" t="s">
        <v>1137</v>
      </c>
      <c r="E551" s="70" t="s">
        <v>1138</v>
      </c>
      <c r="F551" s="70" t="s">
        <v>1013</v>
      </c>
      <c r="G551" s="70" t="s">
        <v>1139</v>
      </c>
      <c r="H551" s="70" t="s">
        <v>1140</v>
      </c>
      <c r="I551" s="72">
        <v>66.2</v>
      </c>
      <c r="J551" s="70" t="s">
        <v>58</v>
      </c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>
      <c r="A552" s="72">
        <v>1243.0</v>
      </c>
      <c r="B552" s="67" t="s">
        <v>1141</v>
      </c>
      <c r="C552" s="70" t="s">
        <v>69</v>
      </c>
      <c r="D552" s="70" t="s">
        <v>93</v>
      </c>
      <c r="E552" s="75" t="s">
        <v>130</v>
      </c>
      <c r="F552" s="70" t="s">
        <v>130</v>
      </c>
      <c r="G552" s="70" t="s">
        <v>130</v>
      </c>
      <c r="H552" s="70" t="s">
        <v>130</v>
      </c>
      <c r="I552" s="72">
        <v>49.93</v>
      </c>
      <c r="J552" s="70" t="s">
        <v>58</v>
      </c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>
      <c r="A553" s="72">
        <v>1241.0</v>
      </c>
      <c r="B553" s="67" t="s">
        <v>1142</v>
      </c>
      <c r="C553" s="70" t="s">
        <v>69</v>
      </c>
      <c r="D553" s="79"/>
      <c r="E553" s="76" t="s">
        <v>71</v>
      </c>
      <c r="F553" s="73"/>
      <c r="G553" s="73"/>
      <c r="H553" s="70" t="s">
        <v>71</v>
      </c>
      <c r="I553" s="72">
        <v>67.86</v>
      </c>
      <c r="J553" s="70" t="s">
        <v>73</v>
      </c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>
      <c r="A554" s="72">
        <v>1240.0</v>
      </c>
      <c r="B554" s="67" t="s">
        <v>1143</v>
      </c>
      <c r="C554" s="75" t="s">
        <v>60</v>
      </c>
      <c r="D554" s="76" t="s">
        <v>322</v>
      </c>
      <c r="E554" s="76" t="s">
        <v>28</v>
      </c>
      <c r="F554" s="70" t="s">
        <v>28</v>
      </c>
      <c r="G554" s="70" t="s">
        <v>28</v>
      </c>
      <c r="H554" s="70" t="s">
        <v>28</v>
      </c>
      <c r="I554" s="72">
        <v>52.61</v>
      </c>
      <c r="J554" s="70" t="s">
        <v>58</v>
      </c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>
      <c r="A555" s="72">
        <v>1239.0</v>
      </c>
      <c r="B555" s="67" t="s">
        <v>1144</v>
      </c>
      <c r="C555" s="70" t="s">
        <v>56</v>
      </c>
      <c r="D555" s="70" t="s">
        <v>1145</v>
      </c>
      <c r="E555" s="70" t="s">
        <v>1146</v>
      </c>
      <c r="F555" s="70" t="s">
        <v>1147</v>
      </c>
      <c r="G555" s="70" t="s">
        <v>1148</v>
      </c>
      <c r="H555" s="70" t="s">
        <v>1149</v>
      </c>
      <c r="I555" s="72">
        <v>49.73</v>
      </c>
      <c r="J555" s="70" t="s">
        <v>58</v>
      </c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>
      <c r="A556" s="72">
        <v>1238.0</v>
      </c>
      <c r="B556" s="67" t="s">
        <v>1150</v>
      </c>
      <c r="C556" s="70" t="s">
        <v>56</v>
      </c>
      <c r="D556" s="70" t="s">
        <v>99</v>
      </c>
      <c r="E556" s="70" t="s">
        <v>1151</v>
      </c>
      <c r="F556" s="73"/>
      <c r="G556" s="73"/>
      <c r="H556" s="70" t="s">
        <v>1152</v>
      </c>
      <c r="I556" s="72">
        <v>66.33</v>
      </c>
      <c r="J556" s="70" t="s">
        <v>58</v>
      </c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>
      <c r="A557" s="72">
        <v>1237.0</v>
      </c>
      <c r="B557" s="67" t="s">
        <v>1153</v>
      </c>
      <c r="C557" s="70" t="s">
        <v>56</v>
      </c>
      <c r="D557" s="70" t="s">
        <v>175</v>
      </c>
      <c r="E557" s="70" t="s">
        <v>28</v>
      </c>
      <c r="F557" s="73"/>
      <c r="G557" s="70" t="s">
        <v>28</v>
      </c>
      <c r="H557" s="70" t="s">
        <v>28</v>
      </c>
      <c r="I557" s="72">
        <v>69.41</v>
      </c>
      <c r="J557" s="70" t="s">
        <v>58</v>
      </c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>
      <c r="A558" s="72">
        <v>1236.0</v>
      </c>
      <c r="B558" s="67" t="s">
        <v>1154</v>
      </c>
      <c r="C558" s="70" t="s">
        <v>56</v>
      </c>
      <c r="D558" s="70" t="s">
        <v>394</v>
      </c>
      <c r="E558" s="70" t="s">
        <v>1155</v>
      </c>
      <c r="F558" s="70" t="s">
        <v>64</v>
      </c>
      <c r="G558" s="70" t="s">
        <v>1156</v>
      </c>
      <c r="H558" s="70" t="s">
        <v>1157</v>
      </c>
      <c r="I558" s="72">
        <v>64.64</v>
      </c>
      <c r="J558" s="70" t="s">
        <v>58</v>
      </c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>
      <c r="A559" s="72">
        <v>1235.0</v>
      </c>
      <c r="B559" s="67" t="s">
        <v>1158</v>
      </c>
      <c r="C559" s="70" t="s">
        <v>60</v>
      </c>
      <c r="D559" s="70" t="s">
        <v>1159</v>
      </c>
      <c r="E559" s="70" t="s">
        <v>1160</v>
      </c>
      <c r="F559" s="70" t="s">
        <v>1161</v>
      </c>
      <c r="G559" s="70" t="s">
        <v>1162</v>
      </c>
      <c r="H559" s="70" t="s">
        <v>1163</v>
      </c>
      <c r="I559" s="72">
        <v>47.46</v>
      </c>
      <c r="J559" s="70" t="s">
        <v>58</v>
      </c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>
      <c r="A560" s="72">
        <v>1234.0</v>
      </c>
      <c r="B560" s="67" t="s">
        <v>1164</v>
      </c>
      <c r="C560" s="70" t="s">
        <v>56</v>
      </c>
      <c r="D560" s="70" t="s">
        <v>1165</v>
      </c>
      <c r="E560" s="70" t="s">
        <v>1166</v>
      </c>
      <c r="F560" s="73"/>
      <c r="G560" s="73"/>
      <c r="H560" s="70" t="s">
        <v>1166</v>
      </c>
      <c r="I560" s="72">
        <v>34.53</v>
      </c>
      <c r="J560" s="70" t="s">
        <v>58</v>
      </c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>
      <c r="A561" s="72">
        <v>1233.0</v>
      </c>
      <c r="B561" s="67" t="s">
        <v>1167</v>
      </c>
      <c r="C561" s="70" t="s">
        <v>56</v>
      </c>
      <c r="D561" s="70" t="s">
        <v>106</v>
      </c>
      <c r="E561" s="70" t="s">
        <v>1168</v>
      </c>
      <c r="F561" s="70" t="s">
        <v>71</v>
      </c>
      <c r="G561" s="70" t="s">
        <v>1169</v>
      </c>
      <c r="H561" s="70" t="s">
        <v>1170</v>
      </c>
      <c r="I561" s="72">
        <v>62.21</v>
      </c>
      <c r="J561" s="70" t="s">
        <v>58</v>
      </c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>
      <c r="A562" s="72">
        <v>1232.0</v>
      </c>
      <c r="B562" s="67" t="s">
        <v>1171</v>
      </c>
      <c r="C562" s="70" t="s">
        <v>69</v>
      </c>
      <c r="D562" s="70" t="s">
        <v>1172</v>
      </c>
      <c r="E562" s="70" t="s">
        <v>1173</v>
      </c>
      <c r="F562" s="73"/>
      <c r="G562" s="73"/>
      <c r="H562" s="70" t="s">
        <v>1174</v>
      </c>
      <c r="I562" s="72">
        <v>43.4</v>
      </c>
      <c r="J562" s="70" t="s">
        <v>58</v>
      </c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>
      <c r="A563" s="72">
        <v>1231.0</v>
      </c>
      <c r="B563" s="67" t="s">
        <v>1175</v>
      </c>
      <c r="C563" s="70" t="s">
        <v>60</v>
      </c>
      <c r="D563" s="70" t="s">
        <v>1176</v>
      </c>
      <c r="E563" s="70" t="s">
        <v>28</v>
      </c>
      <c r="F563" s="73"/>
      <c r="G563" s="70" t="s">
        <v>28</v>
      </c>
      <c r="H563" s="70" t="s">
        <v>28</v>
      </c>
      <c r="I563" s="72">
        <v>53.59</v>
      </c>
      <c r="J563" s="70" t="s">
        <v>58</v>
      </c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>
      <c r="A564" s="72">
        <v>1230.0</v>
      </c>
      <c r="B564" s="67" t="s">
        <v>1177</v>
      </c>
      <c r="C564" s="70" t="s">
        <v>56</v>
      </c>
      <c r="D564" s="70" t="s">
        <v>652</v>
      </c>
      <c r="E564" s="70" t="s">
        <v>607</v>
      </c>
      <c r="F564" s="73"/>
      <c r="G564" s="73"/>
      <c r="H564" s="70" t="s">
        <v>607</v>
      </c>
      <c r="I564" s="72">
        <v>50.36</v>
      </c>
      <c r="J564" s="70" t="s">
        <v>58</v>
      </c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>
      <c r="A565" s="72">
        <v>1229.0</v>
      </c>
      <c r="B565" s="67" t="s">
        <v>1178</v>
      </c>
      <c r="C565" s="70" t="s">
        <v>56</v>
      </c>
      <c r="D565" s="70" t="s">
        <v>1179</v>
      </c>
      <c r="E565" s="70" t="s">
        <v>1180</v>
      </c>
      <c r="F565" s="70" t="s">
        <v>1181</v>
      </c>
      <c r="G565" s="70" t="s">
        <v>1182</v>
      </c>
      <c r="H565" s="70" t="s">
        <v>1183</v>
      </c>
      <c r="I565" s="72">
        <v>54.34</v>
      </c>
      <c r="J565" s="70" t="s">
        <v>58</v>
      </c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>
      <c r="A566" s="72">
        <v>1228.0</v>
      </c>
      <c r="B566" s="67" t="s">
        <v>1184</v>
      </c>
      <c r="C566" s="70" t="s">
        <v>69</v>
      </c>
      <c r="D566" s="70" t="s">
        <v>99</v>
      </c>
      <c r="E566" s="70" t="s">
        <v>158</v>
      </c>
      <c r="F566" s="73"/>
      <c r="G566" s="73"/>
      <c r="H566" s="70" t="s">
        <v>158</v>
      </c>
      <c r="I566" s="72">
        <v>51.15</v>
      </c>
      <c r="J566" s="70" t="s">
        <v>58</v>
      </c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>
      <c r="A567" s="72">
        <v>1227.0</v>
      </c>
      <c r="B567" s="67" t="s">
        <v>1185</v>
      </c>
      <c r="C567" s="70" t="s">
        <v>56</v>
      </c>
      <c r="D567" s="70" t="s">
        <v>1186</v>
      </c>
      <c r="E567" s="70" t="s">
        <v>1187</v>
      </c>
      <c r="F567" s="73"/>
      <c r="G567" s="73"/>
      <c r="H567" s="70" t="s">
        <v>1187</v>
      </c>
      <c r="I567" s="72">
        <v>62.17</v>
      </c>
      <c r="J567" s="70" t="s">
        <v>58</v>
      </c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>
      <c r="A568" s="72">
        <v>1225.0</v>
      </c>
      <c r="B568" s="67" t="s">
        <v>1188</v>
      </c>
      <c r="C568" s="70" t="s">
        <v>60</v>
      </c>
      <c r="D568" s="73"/>
      <c r="E568" s="75" t="s">
        <v>71</v>
      </c>
      <c r="F568" s="73"/>
      <c r="G568" s="73"/>
      <c r="H568" s="70" t="s">
        <v>71</v>
      </c>
      <c r="I568" s="72">
        <v>62.91</v>
      </c>
      <c r="J568" s="70" t="s">
        <v>73</v>
      </c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>
      <c r="A569" s="72">
        <v>1224.0</v>
      </c>
      <c r="B569" s="67" t="s">
        <v>1189</v>
      </c>
      <c r="C569" s="70" t="s">
        <v>60</v>
      </c>
      <c r="D569" s="75" t="s">
        <v>284</v>
      </c>
      <c r="E569" s="76" t="s">
        <v>569</v>
      </c>
      <c r="F569" s="73"/>
      <c r="G569" s="73"/>
      <c r="H569" s="70" t="s">
        <v>569</v>
      </c>
      <c r="I569" s="72">
        <v>35.14</v>
      </c>
      <c r="J569" s="70" t="s">
        <v>58</v>
      </c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>
      <c r="A570" s="72">
        <v>1223.0</v>
      </c>
      <c r="B570" s="67" t="s">
        <v>1190</v>
      </c>
      <c r="C570" s="75" t="s">
        <v>60</v>
      </c>
      <c r="D570" s="76" t="s">
        <v>76</v>
      </c>
      <c r="E570" s="76" t="s">
        <v>1191</v>
      </c>
      <c r="F570" s="70" t="s">
        <v>176</v>
      </c>
      <c r="G570" s="70" t="s">
        <v>1192</v>
      </c>
      <c r="H570" s="70" t="s">
        <v>1193</v>
      </c>
      <c r="I570" s="72">
        <v>46.67</v>
      </c>
      <c r="J570" s="70" t="s">
        <v>58</v>
      </c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>
      <c r="A571" s="72">
        <v>1222.0</v>
      </c>
      <c r="B571" s="67" t="s">
        <v>1194</v>
      </c>
      <c r="C571" s="70" t="s">
        <v>56</v>
      </c>
      <c r="D571" s="70" t="s">
        <v>93</v>
      </c>
      <c r="E571" s="80" t="s">
        <v>1195</v>
      </c>
      <c r="F571" s="73"/>
      <c r="G571" s="73"/>
      <c r="H571" s="80" t="s">
        <v>1195</v>
      </c>
      <c r="I571" s="72">
        <v>69.45</v>
      </c>
      <c r="J571" s="70" t="s">
        <v>58</v>
      </c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>
      <c r="A572" s="72">
        <v>1221.0</v>
      </c>
      <c r="B572" s="67" t="s">
        <v>1196</v>
      </c>
      <c r="C572" s="70" t="s">
        <v>69</v>
      </c>
      <c r="D572" s="70" t="s">
        <v>57</v>
      </c>
      <c r="E572" s="75" t="s">
        <v>1197</v>
      </c>
      <c r="F572" s="73"/>
      <c r="G572" s="70" t="s">
        <v>1198</v>
      </c>
      <c r="H572" s="70" t="s">
        <v>1199</v>
      </c>
      <c r="I572" s="72">
        <v>84.3</v>
      </c>
      <c r="J572" s="70" t="s">
        <v>58</v>
      </c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>
      <c r="A573" s="72">
        <v>1220.0</v>
      </c>
      <c r="B573" s="67" t="s">
        <v>1200</v>
      </c>
      <c r="C573" s="70" t="s">
        <v>60</v>
      </c>
      <c r="D573" s="75" t="s">
        <v>76</v>
      </c>
      <c r="E573" s="76" t="s">
        <v>1201</v>
      </c>
      <c r="F573" s="70" t="s">
        <v>1202</v>
      </c>
      <c r="G573" s="70" t="s">
        <v>1202</v>
      </c>
      <c r="H573" s="70" t="s">
        <v>1203</v>
      </c>
      <c r="I573" s="72">
        <v>54.01</v>
      </c>
      <c r="J573" s="70" t="s">
        <v>58</v>
      </c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>
      <c r="A574" s="72">
        <v>1219.0</v>
      </c>
      <c r="B574" s="67" t="s">
        <v>1204</v>
      </c>
      <c r="C574" s="75" t="s">
        <v>56</v>
      </c>
      <c r="D574" s="75" t="s">
        <v>271</v>
      </c>
      <c r="E574" s="76" t="s">
        <v>1205</v>
      </c>
      <c r="F574" s="70" t="s">
        <v>1206</v>
      </c>
      <c r="G574" s="70" t="s">
        <v>1207</v>
      </c>
      <c r="H574" s="70" t="s">
        <v>1208</v>
      </c>
      <c r="I574" s="72">
        <v>65.81</v>
      </c>
      <c r="J574" s="70" t="s">
        <v>58</v>
      </c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>
      <c r="A575" s="72">
        <v>1218.0</v>
      </c>
      <c r="B575" s="67" t="s">
        <v>1209</v>
      </c>
      <c r="C575" s="70" t="s">
        <v>56</v>
      </c>
      <c r="D575" s="70" t="s">
        <v>1210</v>
      </c>
      <c r="E575" s="70" t="s">
        <v>28</v>
      </c>
      <c r="F575" s="73"/>
      <c r="G575" s="70" t="s">
        <v>28</v>
      </c>
      <c r="H575" s="70" t="s">
        <v>28</v>
      </c>
      <c r="I575" s="72">
        <v>46.76</v>
      </c>
      <c r="J575" s="70" t="s">
        <v>58</v>
      </c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>
      <c r="A576" s="72">
        <v>1217.0</v>
      </c>
      <c r="B576" s="67" t="s">
        <v>1211</v>
      </c>
      <c r="C576" s="70" t="s">
        <v>69</v>
      </c>
      <c r="D576" s="70" t="s">
        <v>614</v>
      </c>
      <c r="E576" s="70" t="s">
        <v>1212</v>
      </c>
      <c r="F576" s="73"/>
      <c r="G576" s="73"/>
      <c r="H576" s="70" t="s">
        <v>1212</v>
      </c>
      <c r="I576" s="72">
        <v>71.06</v>
      </c>
      <c r="J576" s="70" t="s">
        <v>58</v>
      </c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>
      <c r="A577" s="72">
        <v>1216.0</v>
      </c>
      <c r="B577" s="67" t="s">
        <v>1213</v>
      </c>
      <c r="C577" s="70" t="s">
        <v>60</v>
      </c>
      <c r="D577" s="70" t="s">
        <v>161</v>
      </c>
      <c r="E577" s="70" t="s">
        <v>799</v>
      </c>
      <c r="F577" s="70" t="s">
        <v>71</v>
      </c>
      <c r="G577" s="70" t="s">
        <v>799</v>
      </c>
      <c r="H577" s="70" t="s">
        <v>799</v>
      </c>
      <c r="I577" s="72">
        <v>49.87</v>
      </c>
      <c r="J577" s="70" t="s">
        <v>58</v>
      </c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>
      <c r="A578" s="72">
        <v>1215.0</v>
      </c>
      <c r="B578" s="67" t="s">
        <v>1214</v>
      </c>
      <c r="C578" s="70" t="s">
        <v>56</v>
      </c>
      <c r="D578" s="70" t="s">
        <v>271</v>
      </c>
      <c r="E578" s="70" t="s">
        <v>1215</v>
      </c>
      <c r="F578" s="73"/>
      <c r="G578" s="73"/>
      <c r="H578" s="70" t="s">
        <v>1216</v>
      </c>
      <c r="I578" s="72">
        <v>43.59</v>
      </c>
      <c r="J578" s="70" t="s">
        <v>58</v>
      </c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>
      <c r="A579" s="72">
        <v>1214.0</v>
      </c>
      <c r="B579" s="67" t="s">
        <v>1217</v>
      </c>
      <c r="C579" s="70" t="s">
        <v>56</v>
      </c>
      <c r="D579" s="70" t="s">
        <v>825</v>
      </c>
      <c r="E579" s="70" t="s">
        <v>64</v>
      </c>
      <c r="F579" s="73"/>
      <c r="G579" s="70" t="s">
        <v>64</v>
      </c>
      <c r="H579" s="70" t="s">
        <v>64</v>
      </c>
      <c r="I579" s="72">
        <v>67.51</v>
      </c>
      <c r="J579" s="70" t="s">
        <v>58</v>
      </c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>
      <c r="A580" s="72">
        <v>1213.0</v>
      </c>
      <c r="B580" s="67" t="s">
        <v>1218</v>
      </c>
      <c r="C580" s="70" t="s">
        <v>69</v>
      </c>
      <c r="D580" s="70" t="s">
        <v>1219</v>
      </c>
      <c r="E580" s="70" t="s">
        <v>1220</v>
      </c>
      <c r="F580" s="70" t="s">
        <v>71</v>
      </c>
      <c r="G580" s="70" t="s">
        <v>71</v>
      </c>
      <c r="H580" s="70" t="s">
        <v>1220</v>
      </c>
      <c r="I580" s="72">
        <v>79.37</v>
      </c>
      <c r="J580" s="70" t="s">
        <v>58</v>
      </c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>
      <c r="A581" s="72">
        <v>1212.0</v>
      </c>
      <c r="B581" s="67" t="s">
        <v>1221</v>
      </c>
      <c r="C581" s="70" t="s">
        <v>56</v>
      </c>
      <c r="D581" s="73"/>
      <c r="E581" s="75" t="s">
        <v>1222</v>
      </c>
      <c r="F581" s="73"/>
      <c r="G581" s="73"/>
      <c r="H581" s="70" t="s">
        <v>1223</v>
      </c>
      <c r="I581" s="72">
        <v>56.82</v>
      </c>
      <c r="J581" s="70" t="s">
        <v>73</v>
      </c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>
      <c r="A582" s="72">
        <v>1211.0</v>
      </c>
      <c r="B582" s="67" t="s">
        <v>1224</v>
      </c>
      <c r="C582" s="70" t="s">
        <v>69</v>
      </c>
      <c r="D582" s="79"/>
      <c r="E582" s="76" t="s">
        <v>71</v>
      </c>
      <c r="F582" s="73"/>
      <c r="G582" s="73"/>
      <c r="H582" s="70" t="s">
        <v>71</v>
      </c>
      <c r="I582" s="72">
        <v>70.05</v>
      </c>
      <c r="J582" s="70" t="s">
        <v>73</v>
      </c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>
      <c r="A583" s="72">
        <v>1210.0</v>
      </c>
      <c r="B583" s="67" t="s">
        <v>1225</v>
      </c>
      <c r="C583" s="75" t="s">
        <v>60</v>
      </c>
      <c r="D583" s="75" t="s">
        <v>852</v>
      </c>
      <c r="E583" s="76" t="s">
        <v>1226</v>
      </c>
      <c r="F583" s="73"/>
      <c r="G583" s="73"/>
      <c r="H583" s="70" t="s">
        <v>1226</v>
      </c>
      <c r="I583" s="72">
        <v>46.58</v>
      </c>
      <c r="J583" s="70" t="s">
        <v>58</v>
      </c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>
      <c r="A584" s="72">
        <v>1209.0</v>
      </c>
      <c r="B584" s="67" t="s">
        <v>1227</v>
      </c>
      <c r="C584" s="70" t="s">
        <v>56</v>
      </c>
      <c r="D584" s="70" t="s">
        <v>240</v>
      </c>
      <c r="E584" s="70" t="s">
        <v>1228</v>
      </c>
      <c r="F584" s="70" t="s">
        <v>1229</v>
      </c>
      <c r="G584" s="70" t="s">
        <v>1230</v>
      </c>
      <c r="H584" s="70" t="s">
        <v>1231</v>
      </c>
      <c r="I584" s="72">
        <v>57.62</v>
      </c>
      <c r="J584" s="70" t="s">
        <v>58</v>
      </c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>
      <c r="A585" s="72">
        <v>1208.0</v>
      </c>
      <c r="B585" s="67" t="s">
        <v>1232</v>
      </c>
      <c r="C585" s="70" t="s">
        <v>56</v>
      </c>
      <c r="D585" s="70" t="s">
        <v>609</v>
      </c>
      <c r="E585" s="70" t="s">
        <v>1233</v>
      </c>
      <c r="F585" s="73"/>
      <c r="G585" s="73"/>
      <c r="H585" s="70" t="s">
        <v>1233</v>
      </c>
      <c r="I585" s="72">
        <v>44.07</v>
      </c>
      <c r="J585" s="70" t="s">
        <v>58</v>
      </c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>
      <c r="A586" s="72">
        <v>1207.0</v>
      </c>
      <c r="B586" s="67" t="s">
        <v>1234</v>
      </c>
      <c r="C586" s="70" t="s">
        <v>69</v>
      </c>
      <c r="D586" s="70" t="s">
        <v>284</v>
      </c>
      <c r="E586" s="70" t="s">
        <v>28</v>
      </c>
      <c r="F586" s="73"/>
      <c r="G586" s="73"/>
      <c r="H586" s="70" t="s">
        <v>28</v>
      </c>
      <c r="I586" s="72">
        <v>71.84</v>
      </c>
      <c r="J586" s="70" t="s">
        <v>58</v>
      </c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>
      <c r="A587" s="72">
        <v>1206.0</v>
      </c>
      <c r="B587" s="67" t="s">
        <v>1235</v>
      </c>
      <c r="C587" s="70" t="s">
        <v>60</v>
      </c>
      <c r="D587" s="70" t="s">
        <v>440</v>
      </c>
      <c r="E587" s="70" t="s">
        <v>1236</v>
      </c>
      <c r="F587" s="73"/>
      <c r="G587" s="70" t="s">
        <v>67</v>
      </c>
      <c r="H587" s="70" t="s">
        <v>1237</v>
      </c>
      <c r="I587" s="72">
        <v>58.88</v>
      </c>
      <c r="J587" s="70" t="s">
        <v>58</v>
      </c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>
      <c r="A588" s="72">
        <v>1205.0</v>
      </c>
      <c r="B588" s="67" t="s">
        <v>1238</v>
      </c>
      <c r="C588" s="70" t="s">
        <v>56</v>
      </c>
      <c r="D588" s="73"/>
      <c r="E588" s="70" t="s">
        <v>434</v>
      </c>
      <c r="F588" s="73"/>
      <c r="G588" s="73"/>
      <c r="H588" s="70" t="s">
        <v>434</v>
      </c>
      <c r="I588" s="72">
        <v>45.68</v>
      </c>
      <c r="J588" s="70" t="s">
        <v>73</v>
      </c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>
      <c r="A589" s="72">
        <v>1204.0</v>
      </c>
      <c r="B589" s="67" t="s">
        <v>1239</v>
      </c>
      <c r="C589" s="70" t="s">
        <v>56</v>
      </c>
      <c r="D589" s="73"/>
      <c r="E589" s="70" t="s">
        <v>438</v>
      </c>
      <c r="F589" s="70" t="s">
        <v>438</v>
      </c>
      <c r="G589" s="70" t="s">
        <v>438</v>
      </c>
      <c r="H589" s="70" t="s">
        <v>438</v>
      </c>
      <c r="I589" s="72">
        <v>71.88</v>
      </c>
      <c r="J589" s="70" t="s">
        <v>73</v>
      </c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>
      <c r="A590" s="72">
        <v>1203.0</v>
      </c>
      <c r="B590" s="67" t="s">
        <v>1240</v>
      </c>
      <c r="C590" s="70" t="s">
        <v>60</v>
      </c>
      <c r="D590" s="70" t="s">
        <v>1241</v>
      </c>
      <c r="E590" s="70" t="s">
        <v>28</v>
      </c>
      <c r="F590" s="73"/>
      <c r="G590" s="70" t="s">
        <v>28</v>
      </c>
      <c r="H590" s="70" t="s">
        <v>28</v>
      </c>
      <c r="I590" s="72">
        <v>48.29</v>
      </c>
      <c r="J590" s="70" t="s">
        <v>58</v>
      </c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>
      <c r="A591" s="72">
        <v>1202.0</v>
      </c>
      <c r="B591" s="67" t="s">
        <v>1242</v>
      </c>
      <c r="C591" s="70" t="s">
        <v>56</v>
      </c>
      <c r="D591" s="70" t="s">
        <v>1243</v>
      </c>
      <c r="E591" s="70" t="s">
        <v>1244</v>
      </c>
      <c r="F591" s="70" t="s">
        <v>556</v>
      </c>
      <c r="G591" s="70" t="s">
        <v>556</v>
      </c>
      <c r="H591" s="70" t="s">
        <v>1245</v>
      </c>
      <c r="I591" s="72">
        <v>48.92</v>
      </c>
      <c r="J591" s="70" t="s">
        <v>58</v>
      </c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>
      <c r="A592" s="72">
        <v>1201.0</v>
      </c>
      <c r="B592" s="67" t="s">
        <v>1246</v>
      </c>
      <c r="C592" s="70" t="s">
        <v>56</v>
      </c>
      <c r="D592" s="70" t="s">
        <v>175</v>
      </c>
      <c r="E592" s="70" t="s">
        <v>569</v>
      </c>
      <c r="F592" s="73"/>
      <c r="G592" s="73"/>
      <c r="H592" s="70" t="s">
        <v>569</v>
      </c>
      <c r="I592" s="72">
        <v>26.39</v>
      </c>
      <c r="J592" s="70" t="s">
        <v>58</v>
      </c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>
      <c r="A593" s="72">
        <v>1200.0</v>
      </c>
      <c r="B593" s="67" t="s">
        <v>1247</v>
      </c>
      <c r="C593" s="70" t="s">
        <v>69</v>
      </c>
      <c r="D593" s="70" t="s">
        <v>93</v>
      </c>
      <c r="E593" s="70" t="s">
        <v>1248</v>
      </c>
      <c r="F593" s="70" t="s">
        <v>1249</v>
      </c>
      <c r="G593" s="70" t="s">
        <v>1250</v>
      </c>
      <c r="H593" s="70" t="s">
        <v>1251</v>
      </c>
      <c r="I593" s="72">
        <v>67.0</v>
      </c>
      <c r="J593" s="70" t="s">
        <v>58</v>
      </c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>
      <c r="A594" s="72">
        <v>1199.0</v>
      </c>
      <c r="B594" s="67" t="s">
        <v>1252</v>
      </c>
      <c r="C594" s="70" t="s">
        <v>60</v>
      </c>
      <c r="D594" s="70" t="s">
        <v>652</v>
      </c>
      <c r="E594" s="70" t="s">
        <v>28</v>
      </c>
      <c r="F594" s="73"/>
      <c r="G594" s="73"/>
      <c r="H594" s="70" t="s">
        <v>28</v>
      </c>
      <c r="I594" s="72">
        <v>38.75</v>
      </c>
      <c r="J594" s="70" t="s">
        <v>58</v>
      </c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>
      <c r="A595" s="72">
        <v>1198.0</v>
      </c>
      <c r="B595" s="67" t="s">
        <v>1253</v>
      </c>
      <c r="C595" s="70" t="s">
        <v>56</v>
      </c>
      <c r="D595" s="70" t="s">
        <v>1254</v>
      </c>
      <c r="E595" s="70" t="s">
        <v>1255</v>
      </c>
      <c r="F595" s="73"/>
      <c r="G595" s="70" t="s">
        <v>1256</v>
      </c>
      <c r="H595" s="70" t="s">
        <v>1257</v>
      </c>
      <c r="I595" s="72">
        <v>75.28</v>
      </c>
      <c r="J595" s="70" t="s">
        <v>58</v>
      </c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>
      <c r="A596" s="72">
        <v>1197.0</v>
      </c>
      <c r="B596" s="67" t="s">
        <v>1258</v>
      </c>
      <c r="C596" s="70" t="s">
        <v>56</v>
      </c>
      <c r="D596" s="70" t="s">
        <v>852</v>
      </c>
      <c r="E596" s="70" t="s">
        <v>1259</v>
      </c>
      <c r="F596" s="70" t="s">
        <v>1260</v>
      </c>
      <c r="G596" s="70" t="s">
        <v>1261</v>
      </c>
      <c r="H596" s="70" t="s">
        <v>1262</v>
      </c>
      <c r="I596" s="72">
        <v>37.33</v>
      </c>
      <c r="J596" s="70" t="s">
        <v>58</v>
      </c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>
      <c r="A597" s="72">
        <v>1196.0</v>
      </c>
      <c r="B597" s="67" t="s">
        <v>1263</v>
      </c>
      <c r="C597" s="70" t="s">
        <v>69</v>
      </c>
      <c r="D597" s="70" t="s">
        <v>61</v>
      </c>
      <c r="E597" s="70" t="s">
        <v>130</v>
      </c>
      <c r="F597" s="70" t="s">
        <v>130</v>
      </c>
      <c r="G597" s="70" t="s">
        <v>130</v>
      </c>
      <c r="H597" s="70" t="s">
        <v>130</v>
      </c>
      <c r="I597" s="72">
        <v>68.06</v>
      </c>
      <c r="J597" s="70" t="s">
        <v>58</v>
      </c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>
      <c r="A598" s="72">
        <v>1194.0</v>
      </c>
      <c r="B598" s="67" t="s">
        <v>1264</v>
      </c>
      <c r="C598" s="70" t="s">
        <v>60</v>
      </c>
      <c r="D598" s="79"/>
      <c r="E598" s="75" t="s">
        <v>438</v>
      </c>
      <c r="F598" s="73"/>
      <c r="G598" s="73"/>
      <c r="H598" s="70" t="s">
        <v>438</v>
      </c>
      <c r="I598" s="72">
        <v>52.26</v>
      </c>
      <c r="J598" s="70" t="s">
        <v>73</v>
      </c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>
      <c r="A599" s="72">
        <v>1193.0</v>
      </c>
      <c r="B599" s="67" t="s">
        <v>1265</v>
      </c>
      <c r="C599" s="75" t="s">
        <v>56</v>
      </c>
      <c r="D599" s="78"/>
      <c r="E599" s="76" t="s">
        <v>1266</v>
      </c>
      <c r="F599" s="73"/>
      <c r="G599" s="73"/>
      <c r="H599" s="70" t="s">
        <v>1266</v>
      </c>
      <c r="I599" s="72">
        <v>68.97</v>
      </c>
      <c r="J599" s="70" t="s">
        <v>73</v>
      </c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>
      <c r="A600" s="72">
        <v>1192.0</v>
      </c>
      <c r="B600" s="67" t="s">
        <v>1267</v>
      </c>
      <c r="C600" s="76" t="s">
        <v>60</v>
      </c>
      <c r="D600" s="81" t="s">
        <v>506</v>
      </c>
      <c r="E600" s="76" t="s">
        <v>1268</v>
      </c>
      <c r="F600" s="70" t="s">
        <v>1017</v>
      </c>
      <c r="G600" s="70" t="s">
        <v>1269</v>
      </c>
      <c r="H600" s="70" t="s">
        <v>1270</v>
      </c>
      <c r="I600" s="72">
        <v>50.2</v>
      </c>
      <c r="J600" s="70" t="s">
        <v>58</v>
      </c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>
      <c r="A601" s="72">
        <v>1191.0</v>
      </c>
      <c r="B601" s="67" t="s">
        <v>1271</v>
      </c>
      <c r="C601" s="70" t="s">
        <v>56</v>
      </c>
      <c r="D601" s="70" t="s">
        <v>76</v>
      </c>
      <c r="E601" s="70" t="s">
        <v>569</v>
      </c>
      <c r="F601" s="73"/>
      <c r="G601" s="73"/>
      <c r="H601" s="70" t="s">
        <v>569</v>
      </c>
      <c r="I601" s="72">
        <v>25.13</v>
      </c>
      <c r="J601" s="70" t="s">
        <v>58</v>
      </c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>
      <c r="A602" s="72">
        <v>1190.0</v>
      </c>
      <c r="B602" s="67" t="s">
        <v>1272</v>
      </c>
      <c r="C602" s="70" t="s">
        <v>56</v>
      </c>
      <c r="D602" s="70" t="s">
        <v>240</v>
      </c>
      <c r="E602" s="70" t="s">
        <v>1273</v>
      </c>
      <c r="F602" s="70" t="s">
        <v>1274</v>
      </c>
      <c r="G602" s="70" t="s">
        <v>1274</v>
      </c>
      <c r="H602" s="70" t="s">
        <v>1275</v>
      </c>
      <c r="I602" s="72">
        <v>64.14</v>
      </c>
      <c r="J602" s="70" t="s">
        <v>58</v>
      </c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>
      <c r="A603" s="72">
        <v>1189.0</v>
      </c>
      <c r="B603" s="67" t="s">
        <v>1276</v>
      </c>
      <c r="C603" s="70" t="s">
        <v>69</v>
      </c>
      <c r="D603" s="75" t="s">
        <v>89</v>
      </c>
      <c r="E603" s="75" t="s">
        <v>1277</v>
      </c>
      <c r="F603" s="70" t="s">
        <v>476</v>
      </c>
      <c r="G603" s="70" t="s">
        <v>476</v>
      </c>
      <c r="H603" s="70" t="s">
        <v>1278</v>
      </c>
      <c r="I603" s="72">
        <v>62.06</v>
      </c>
      <c r="J603" s="70" t="s">
        <v>58</v>
      </c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>
      <c r="A604" s="72">
        <v>1187.0</v>
      </c>
      <c r="B604" s="67" t="s">
        <v>1279</v>
      </c>
      <c r="C604" s="75" t="s">
        <v>60</v>
      </c>
      <c r="D604" s="76" t="s">
        <v>76</v>
      </c>
      <c r="E604" s="78"/>
      <c r="F604" s="73"/>
      <c r="G604" s="73"/>
      <c r="H604" s="73"/>
      <c r="I604" s="72">
        <v>42.06</v>
      </c>
      <c r="J604" s="70" t="s">
        <v>58</v>
      </c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>
      <c r="A605" s="72">
        <v>1186.0</v>
      </c>
      <c r="B605" s="67" t="s">
        <v>1280</v>
      </c>
      <c r="C605" s="76" t="s">
        <v>56</v>
      </c>
      <c r="D605" s="81" t="s">
        <v>76</v>
      </c>
      <c r="E605" s="76" t="s">
        <v>1281</v>
      </c>
      <c r="F605" s="70" t="s">
        <v>110</v>
      </c>
      <c r="G605" s="70" t="s">
        <v>110</v>
      </c>
      <c r="H605" s="70" t="s">
        <v>1282</v>
      </c>
      <c r="I605" s="72">
        <v>38.82</v>
      </c>
      <c r="J605" s="70" t="s">
        <v>58</v>
      </c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>
      <c r="A606" s="72">
        <v>1185.0</v>
      </c>
      <c r="B606" s="67" t="s">
        <v>1283</v>
      </c>
      <c r="C606" s="76" t="s">
        <v>69</v>
      </c>
      <c r="D606" s="75" t="s">
        <v>93</v>
      </c>
      <c r="E606" s="70" t="s">
        <v>1284</v>
      </c>
      <c r="F606" s="73"/>
      <c r="G606" s="73"/>
      <c r="H606" s="70" t="s">
        <v>1285</v>
      </c>
      <c r="I606" s="72">
        <v>61.2</v>
      </c>
      <c r="J606" s="70" t="s">
        <v>58</v>
      </c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>
      <c r="A607" s="72">
        <v>1184.0</v>
      </c>
      <c r="B607" s="67" t="s">
        <v>1286</v>
      </c>
      <c r="C607" s="70" t="s">
        <v>69</v>
      </c>
      <c r="D607" s="70" t="s">
        <v>93</v>
      </c>
      <c r="E607" s="70" t="s">
        <v>28</v>
      </c>
      <c r="F607" s="73"/>
      <c r="G607" s="73"/>
      <c r="H607" s="70" t="s">
        <v>28</v>
      </c>
      <c r="I607" s="72">
        <v>53.98</v>
      </c>
      <c r="J607" s="70" t="s">
        <v>58</v>
      </c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>
      <c r="A608" s="72">
        <v>1183.0</v>
      </c>
      <c r="B608" s="67" t="s">
        <v>1287</v>
      </c>
      <c r="C608" s="70" t="s">
        <v>60</v>
      </c>
      <c r="D608" s="70" t="s">
        <v>1288</v>
      </c>
      <c r="E608" s="70" t="s">
        <v>1289</v>
      </c>
      <c r="F608" s="73"/>
      <c r="G608" s="73"/>
      <c r="H608" s="70" t="s">
        <v>1289</v>
      </c>
      <c r="I608" s="72">
        <v>57.57</v>
      </c>
      <c r="J608" s="70" t="s">
        <v>58</v>
      </c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>
      <c r="A609" s="72">
        <v>1182.0</v>
      </c>
      <c r="B609" s="67" t="s">
        <v>1290</v>
      </c>
      <c r="C609" s="70" t="s">
        <v>56</v>
      </c>
      <c r="D609" s="70" t="s">
        <v>502</v>
      </c>
      <c r="E609" s="70" t="s">
        <v>28</v>
      </c>
      <c r="F609" s="73"/>
      <c r="G609" s="73"/>
      <c r="H609" s="70" t="s">
        <v>28</v>
      </c>
      <c r="I609" s="72">
        <v>53.45</v>
      </c>
      <c r="J609" s="70" t="s">
        <v>58</v>
      </c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>
      <c r="A610" s="72">
        <v>1181.0</v>
      </c>
      <c r="B610" s="67" t="s">
        <v>1291</v>
      </c>
      <c r="C610" s="70" t="s">
        <v>56</v>
      </c>
      <c r="D610" s="70" t="s">
        <v>70</v>
      </c>
      <c r="E610" s="70" t="s">
        <v>1292</v>
      </c>
      <c r="F610" s="73"/>
      <c r="G610" s="73"/>
      <c r="H610" s="70" t="s">
        <v>1292</v>
      </c>
      <c r="I610" s="72">
        <v>44.53</v>
      </c>
      <c r="J610" s="70" t="s">
        <v>58</v>
      </c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>
      <c r="A611" s="72">
        <v>1180.0</v>
      </c>
      <c r="B611" s="67" t="s">
        <v>1293</v>
      </c>
      <c r="C611" s="70" t="s">
        <v>69</v>
      </c>
      <c r="D611" s="70" t="s">
        <v>588</v>
      </c>
      <c r="E611" s="75" t="s">
        <v>130</v>
      </c>
      <c r="F611" s="70" t="s">
        <v>130</v>
      </c>
      <c r="G611" s="70" t="s">
        <v>130</v>
      </c>
      <c r="H611" s="70" t="s">
        <v>130</v>
      </c>
      <c r="I611" s="72">
        <v>77.67</v>
      </c>
      <c r="J611" s="70" t="s">
        <v>58</v>
      </c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>
      <c r="A612" s="72">
        <v>1179.0</v>
      </c>
      <c r="B612" s="67" t="s">
        <v>1294</v>
      </c>
      <c r="C612" s="70" t="s">
        <v>69</v>
      </c>
      <c r="D612" s="79"/>
      <c r="E612" s="75" t="s">
        <v>87</v>
      </c>
      <c r="F612" s="70" t="s">
        <v>64</v>
      </c>
      <c r="G612" s="70" t="s">
        <v>64</v>
      </c>
      <c r="H612" s="70" t="s">
        <v>112</v>
      </c>
      <c r="I612" s="72">
        <v>81.97</v>
      </c>
      <c r="J612" s="70" t="s">
        <v>73</v>
      </c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>
      <c r="A613" s="72">
        <v>1178.0</v>
      </c>
      <c r="B613" s="67" t="s">
        <v>1295</v>
      </c>
      <c r="C613" s="75" t="s">
        <v>60</v>
      </c>
      <c r="D613" s="75" t="s">
        <v>1296</v>
      </c>
      <c r="E613" s="76" t="s">
        <v>1119</v>
      </c>
      <c r="F613" s="70" t="s">
        <v>1119</v>
      </c>
      <c r="G613" s="70" t="s">
        <v>1119</v>
      </c>
      <c r="H613" s="70" t="s">
        <v>1119</v>
      </c>
      <c r="I613" s="72">
        <v>39.44</v>
      </c>
      <c r="J613" s="70" t="s">
        <v>58</v>
      </c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>
      <c r="A614" s="72">
        <v>1177.0</v>
      </c>
      <c r="B614" s="67" t="s">
        <v>1297</v>
      </c>
      <c r="C614" s="75" t="s">
        <v>56</v>
      </c>
      <c r="D614" s="76" t="s">
        <v>106</v>
      </c>
      <c r="E614" s="76" t="s">
        <v>1298</v>
      </c>
      <c r="F614" s="70" t="s">
        <v>899</v>
      </c>
      <c r="G614" s="70" t="s">
        <v>899</v>
      </c>
      <c r="H614" s="70" t="s">
        <v>1299</v>
      </c>
      <c r="I614" s="72">
        <v>36.06</v>
      </c>
      <c r="J614" s="70" t="s">
        <v>58</v>
      </c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>
      <c r="A615" s="72">
        <v>1176.0</v>
      </c>
      <c r="B615" s="67" t="s">
        <v>1300</v>
      </c>
      <c r="C615" s="70" t="s">
        <v>69</v>
      </c>
      <c r="D615" s="70" t="s">
        <v>609</v>
      </c>
      <c r="E615" s="70" t="s">
        <v>64</v>
      </c>
      <c r="F615" s="73"/>
      <c r="G615" s="73"/>
      <c r="H615" s="70" t="s">
        <v>64</v>
      </c>
      <c r="I615" s="72">
        <v>53.76</v>
      </c>
      <c r="J615" s="70" t="s">
        <v>58</v>
      </c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>
      <c r="A616" s="72">
        <v>1175.0</v>
      </c>
      <c r="B616" s="67" t="s">
        <v>1301</v>
      </c>
      <c r="C616" s="70" t="s">
        <v>69</v>
      </c>
      <c r="D616" s="70" t="s">
        <v>99</v>
      </c>
      <c r="E616" s="75" t="s">
        <v>1302</v>
      </c>
      <c r="F616" s="73"/>
      <c r="G616" s="70" t="s">
        <v>538</v>
      </c>
      <c r="H616" s="70" t="s">
        <v>1303</v>
      </c>
      <c r="I616" s="72">
        <v>51.97</v>
      </c>
      <c r="J616" s="70" t="s">
        <v>58</v>
      </c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>
      <c r="A617" s="72">
        <v>1174.0</v>
      </c>
      <c r="B617" s="67" t="s">
        <v>1304</v>
      </c>
      <c r="C617" s="70" t="s">
        <v>56</v>
      </c>
      <c r="D617" s="79"/>
      <c r="E617" s="76" t="s">
        <v>871</v>
      </c>
      <c r="F617" s="70" t="s">
        <v>871</v>
      </c>
      <c r="G617" s="70" t="s">
        <v>871</v>
      </c>
      <c r="H617" s="70" t="s">
        <v>871</v>
      </c>
      <c r="I617" s="72">
        <v>61.92</v>
      </c>
      <c r="J617" s="70" t="s">
        <v>73</v>
      </c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>
      <c r="A618" s="72">
        <v>1173.0</v>
      </c>
      <c r="B618" s="67" t="s">
        <v>1305</v>
      </c>
      <c r="C618" s="75" t="s">
        <v>69</v>
      </c>
      <c r="D618" s="79"/>
      <c r="E618" s="75" t="s">
        <v>871</v>
      </c>
      <c r="F618" s="73"/>
      <c r="G618" s="70" t="s">
        <v>871</v>
      </c>
      <c r="H618" s="70" t="s">
        <v>871</v>
      </c>
      <c r="I618" s="72">
        <v>82.62</v>
      </c>
      <c r="J618" s="70" t="s">
        <v>73</v>
      </c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>
      <c r="A619" s="72">
        <v>1172.0</v>
      </c>
      <c r="B619" s="67" t="s">
        <v>1306</v>
      </c>
      <c r="C619" s="70" t="s">
        <v>60</v>
      </c>
      <c r="D619" s="70" t="s">
        <v>440</v>
      </c>
      <c r="E619" s="70" t="s">
        <v>1307</v>
      </c>
      <c r="F619" s="73"/>
      <c r="G619" s="70" t="s">
        <v>1308</v>
      </c>
      <c r="H619" s="70" t="s">
        <v>766</v>
      </c>
      <c r="I619" s="72">
        <v>37.62</v>
      </c>
      <c r="J619" s="70" t="s">
        <v>58</v>
      </c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>
      <c r="A620" s="72">
        <v>1171.0</v>
      </c>
      <c r="B620" s="67" t="s">
        <v>1309</v>
      </c>
      <c r="C620" s="70" t="s">
        <v>56</v>
      </c>
      <c r="D620" s="70" t="s">
        <v>206</v>
      </c>
      <c r="E620" s="70" t="s">
        <v>683</v>
      </c>
      <c r="F620" s="73"/>
      <c r="G620" s="70" t="s">
        <v>64</v>
      </c>
      <c r="H620" s="70" t="s">
        <v>684</v>
      </c>
      <c r="I620" s="72">
        <v>41.54</v>
      </c>
      <c r="J620" s="70" t="s">
        <v>58</v>
      </c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>
      <c r="A621" s="72">
        <v>1170.0</v>
      </c>
      <c r="B621" s="67" t="s">
        <v>1310</v>
      </c>
      <c r="C621" s="70" t="s">
        <v>56</v>
      </c>
      <c r="D621" s="70" t="s">
        <v>1311</v>
      </c>
      <c r="E621" s="75" t="s">
        <v>1312</v>
      </c>
      <c r="F621" s="73"/>
      <c r="G621" s="70" t="s">
        <v>28</v>
      </c>
      <c r="H621" s="70" t="s">
        <v>1313</v>
      </c>
      <c r="I621" s="72">
        <v>60.08</v>
      </c>
      <c r="J621" s="70" t="s">
        <v>58</v>
      </c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>
      <c r="A622" s="72">
        <v>1169.0</v>
      </c>
      <c r="B622" s="67" t="s">
        <v>1314</v>
      </c>
      <c r="C622" s="70" t="s">
        <v>56</v>
      </c>
      <c r="D622" s="75" t="s">
        <v>106</v>
      </c>
      <c r="E622" s="76" t="s">
        <v>189</v>
      </c>
      <c r="F622" s="70" t="s">
        <v>189</v>
      </c>
      <c r="G622" s="70" t="s">
        <v>189</v>
      </c>
      <c r="H622" s="70" t="s">
        <v>189</v>
      </c>
      <c r="I622" s="72">
        <v>30.89</v>
      </c>
      <c r="J622" s="70" t="s">
        <v>58</v>
      </c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>
      <c r="A623" s="72">
        <v>1168.0</v>
      </c>
      <c r="B623" s="67" t="s">
        <v>1315</v>
      </c>
      <c r="C623" s="75" t="s">
        <v>60</v>
      </c>
      <c r="D623" s="75" t="s">
        <v>1316</v>
      </c>
      <c r="E623" s="76" t="s">
        <v>1317</v>
      </c>
      <c r="F623" s="73"/>
      <c r="G623" s="73"/>
      <c r="H623" s="70" t="s">
        <v>1318</v>
      </c>
      <c r="I623" s="72">
        <v>61.08</v>
      </c>
      <c r="J623" s="70" t="s">
        <v>58</v>
      </c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>
      <c r="A624" s="72">
        <v>1167.0</v>
      </c>
      <c r="B624" s="67" t="s">
        <v>1319</v>
      </c>
      <c r="C624" s="75" t="s">
        <v>56</v>
      </c>
      <c r="D624" s="75" t="s">
        <v>61</v>
      </c>
      <c r="E624" s="70" t="s">
        <v>87</v>
      </c>
      <c r="F624" s="70" t="s">
        <v>64</v>
      </c>
      <c r="G624" s="70" t="s">
        <v>64</v>
      </c>
      <c r="H624" s="70" t="s">
        <v>112</v>
      </c>
      <c r="I624" s="72">
        <v>64.56</v>
      </c>
      <c r="J624" s="70" t="s">
        <v>58</v>
      </c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>
      <c r="A625" s="72">
        <v>1166.0</v>
      </c>
      <c r="B625" s="67" t="s">
        <v>1320</v>
      </c>
      <c r="C625" s="76" t="s">
        <v>56</v>
      </c>
      <c r="D625" s="75" t="s">
        <v>737</v>
      </c>
      <c r="E625" s="70" t="s">
        <v>1321</v>
      </c>
      <c r="F625" s="70" t="s">
        <v>64</v>
      </c>
      <c r="G625" s="70" t="s">
        <v>64</v>
      </c>
      <c r="H625" s="70" t="s">
        <v>1322</v>
      </c>
      <c r="I625" s="72">
        <v>58.4</v>
      </c>
      <c r="J625" s="70" t="s">
        <v>58</v>
      </c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>
      <c r="A626" s="72">
        <v>1165.0</v>
      </c>
      <c r="B626" s="67" t="s">
        <v>1323</v>
      </c>
      <c r="C626" s="70" t="s">
        <v>69</v>
      </c>
      <c r="D626" s="70" t="s">
        <v>70</v>
      </c>
      <c r="E626" s="70" t="s">
        <v>28</v>
      </c>
      <c r="F626" s="73"/>
      <c r="G626" s="73"/>
      <c r="H626" s="70" t="s">
        <v>28</v>
      </c>
      <c r="I626" s="72">
        <v>85.47</v>
      </c>
      <c r="J626" s="70" t="s">
        <v>58</v>
      </c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>
      <c r="A627" s="72">
        <v>1164.0</v>
      </c>
      <c r="B627" s="67" t="s">
        <v>1324</v>
      </c>
      <c r="C627" s="70" t="s">
        <v>56</v>
      </c>
      <c r="D627" s="73"/>
      <c r="E627" s="70" t="s">
        <v>64</v>
      </c>
      <c r="F627" s="73"/>
      <c r="G627" s="70" t="s">
        <v>64</v>
      </c>
      <c r="H627" s="70" t="s">
        <v>64</v>
      </c>
      <c r="I627" s="72">
        <v>68.74</v>
      </c>
      <c r="J627" s="70" t="s">
        <v>73</v>
      </c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>
      <c r="A628" s="72">
        <v>1163.0</v>
      </c>
      <c r="B628" s="67" t="s">
        <v>1325</v>
      </c>
      <c r="C628" s="70" t="s">
        <v>60</v>
      </c>
      <c r="D628" s="70" t="s">
        <v>1326</v>
      </c>
      <c r="E628" s="70" t="s">
        <v>1327</v>
      </c>
      <c r="F628" s="70" t="s">
        <v>1328</v>
      </c>
      <c r="G628" s="70" t="s">
        <v>1329</v>
      </c>
      <c r="H628" s="70" t="s">
        <v>1330</v>
      </c>
      <c r="I628" s="72">
        <v>36.33</v>
      </c>
      <c r="J628" s="70" t="s">
        <v>58</v>
      </c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>
      <c r="A629" s="72">
        <v>1162.0</v>
      </c>
      <c r="B629" s="67" t="s">
        <v>1331</v>
      </c>
      <c r="C629" s="70" t="s">
        <v>56</v>
      </c>
      <c r="D629" s="70" t="s">
        <v>121</v>
      </c>
      <c r="E629" s="70" t="s">
        <v>1332</v>
      </c>
      <c r="F629" s="73"/>
      <c r="G629" s="70" t="s">
        <v>96</v>
      </c>
      <c r="H629" s="70" t="s">
        <v>1333</v>
      </c>
      <c r="I629" s="72">
        <v>45.5</v>
      </c>
      <c r="J629" s="70" t="s">
        <v>58</v>
      </c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>
      <c r="A630" s="72">
        <v>1161.0</v>
      </c>
      <c r="B630" s="67" t="s">
        <v>1334</v>
      </c>
      <c r="C630" s="70" t="s">
        <v>56</v>
      </c>
      <c r="D630" s="70" t="s">
        <v>1335</v>
      </c>
      <c r="E630" s="70" t="s">
        <v>87</v>
      </c>
      <c r="F630" s="73"/>
      <c r="G630" s="70" t="s">
        <v>64</v>
      </c>
      <c r="H630" s="70" t="s">
        <v>112</v>
      </c>
      <c r="I630" s="72">
        <v>69.24</v>
      </c>
      <c r="J630" s="70" t="s">
        <v>58</v>
      </c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>
      <c r="A631" s="72">
        <v>1160.0</v>
      </c>
      <c r="B631" s="67" t="s">
        <v>1336</v>
      </c>
      <c r="C631" s="70" t="s">
        <v>69</v>
      </c>
      <c r="D631" s="70" t="s">
        <v>156</v>
      </c>
      <c r="E631" s="70" t="s">
        <v>412</v>
      </c>
      <c r="F631" s="70" t="s">
        <v>64</v>
      </c>
      <c r="G631" s="70" t="s">
        <v>412</v>
      </c>
      <c r="H631" s="70" t="s">
        <v>412</v>
      </c>
      <c r="I631" s="72">
        <v>67.93</v>
      </c>
      <c r="J631" s="70" t="s">
        <v>58</v>
      </c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>
      <c r="A632" s="72">
        <v>1159.0</v>
      </c>
      <c r="B632" s="67" t="s">
        <v>1337</v>
      </c>
      <c r="C632" s="70" t="s">
        <v>60</v>
      </c>
      <c r="D632" s="73"/>
      <c r="E632" s="70" t="s">
        <v>1338</v>
      </c>
      <c r="F632" s="73"/>
      <c r="G632" s="73"/>
      <c r="H632" s="70" t="s">
        <v>1338</v>
      </c>
      <c r="I632" s="72">
        <v>56.12</v>
      </c>
      <c r="J632" s="70" t="s">
        <v>73</v>
      </c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>
      <c r="A633" s="72">
        <v>1158.0</v>
      </c>
      <c r="B633" s="67" t="s">
        <v>1339</v>
      </c>
      <c r="C633" s="70" t="s">
        <v>56</v>
      </c>
      <c r="D633" s="73"/>
      <c r="E633" s="70" t="s">
        <v>1338</v>
      </c>
      <c r="F633" s="73"/>
      <c r="G633" s="73"/>
      <c r="H633" s="70" t="s">
        <v>1338</v>
      </c>
      <c r="I633" s="72">
        <v>64.06</v>
      </c>
      <c r="J633" s="70" t="s">
        <v>73</v>
      </c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>
      <c r="A634" s="72">
        <v>1157.0</v>
      </c>
      <c r="B634" s="67" t="s">
        <v>1340</v>
      </c>
      <c r="C634" s="70" t="s">
        <v>60</v>
      </c>
      <c r="D634" s="70" t="s">
        <v>1341</v>
      </c>
      <c r="E634" s="70" t="s">
        <v>1342</v>
      </c>
      <c r="F634" s="73"/>
      <c r="G634" s="73"/>
      <c r="H634" s="70" t="s">
        <v>1343</v>
      </c>
      <c r="I634" s="72">
        <v>39.82</v>
      </c>
      <c r="J634" s="70" t="s">
        <v>58</v>
      </c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>
      <c r="A635" s="72">
        <v>1156.0</v>
      </c>
      <c r="B635" s="67" t="s">
        <v>1344</v>
      </c>
      <c r="C635" s="70" t="s">
        <v>56</v>
      </c>
      <c r="D635" s="70" t="s">
        <v>70</v>
      </c>
      <c r="E635" s="70" t="s">
        <v>1345</v>
      </c>
      <c r="F635" s="73"/>
      <c r="G635" s="70" t="s">
        <v>67</v>
      </c>
      <c r="H635" s="70" t="s">
        <v>1345</v>
      </c>
      <c r="I635" s="72">
        <v>47.11</v>
      </c>
      <c r="J635" s="70" t="s">
        <v>58</v>
      </c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>
      <c r="A636" s="72">
        <v>1155.0</v>
      </c>
      <c r="B636" s="67" t="s">
        <v>1346</v>
      </c>
      <c r="C636" s="70" t="s">
        <v>56</v>
      </c>
      <c r="D636" s="70" t="s">
        <v>76</v>
      </c>
      <c r="E636" s="70" t="s">
        <v>1347</v>
      </c>
      <c r="F636" s="70" t="s">
        <v>1348</v>
      </c>
      <c r="G636" s="70" t="s">
        <v>1349</v>
      </c>
      <c r="H636" s="70" t="s">
        <v>1349</v>
      </c>
      <c r="I636" s="72">
        <v>47.59</v>
      </c>
      <c r="J636" s="70" t="s">
        <v>58</v>
      </c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>
      <c r="A637" s="72">
        <v>1154.0</v>
      </c>
      <c r="B637" s="67" t="s">
        <v>1350</v>
      </c>
      <c r="C637" s="70" t="s">
        <v>69</v>
      </c>
      <c r="D637" s="70" t="s">
        <v>99</v>
      </c>
      <c r="E637" s="70" t="s">
        <v>1351</v>
      </c>
      <c r="F637" s="73"/>
      <c r="G637" s="73"/>
      <c r="H637" s="70" t="s">
        <v>1352</v>
      </c>
      <c r="I637" s="72">
        <v>49.18</v>
      </c>
      <c r="J637" s="70" t="s">
        <v>58</v>
      </c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>
      <c r="A638" s="72">
        <v>1153.0</v>
      </c>
      <c r="B638" s="67" t="s">
        <v>1353</v>
      </c>
      <c r="C638" s="70" t="s">
        <v>60</v>
      </c>
      <c r="D638" s="70" t="s">
        <v>66</v>
      </c>
      <c r="E638" s="70" t="s">
        <v>1354</v>
      </c>
      <c r="F638" s="70" t="s">
        <v>382</v>
      </c>
      <c r="G638" s="70" t="s">
        <v>1355</v>
      </c>
      <c r="H638" s="70" t="s">
        <v>1355</v>
      </c>
      <c r="I638" s="72">
        <v>35.8</v>
      </c>
      <c r="J638" s="70" t="s">
        <v>58</v>
      </c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>
      <c r="A639" s="72">
        <v>1152.0</v>
      </c>
      <c r="B639" s="67" t="s">
        <v>1356</v>
      </c>
      <c r="C639" s="70" t="s">
        <v>56</v>
      </c>
      <c r="D639" s="70" t="s">
        <v>362</v>
      </c>
      <c r="E639" s="70" t="s">
        <v>1357</v>
      </c>
      <c r="F639" s="70" t="s">
        <v>1358</v>
      </c>
      <c r="G639" s="70" t="s">
        <v>1359</v>
      </c>
      <c r="H639" s="70" t="s">
        <v>1360</v>
      </c>
      <c r="I639" s="72">
        <v>43.14</v>
      </c>
      <c r="J639" s="70" t="s">
        <v>58</v>
      </c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>
      <c r="A640" s="72">
        <v>1151.0</v>
      </c>
      <c r="B640" s="67" t="s">
        <v>1361</v>
      </c>
      <c r="C640" s="70" t="s">
        <v>56</v>
      </c>
      <c r="D640" s="70" t="s">
        <v>609</v>
      </c>
      <c r="E640" s="70" t="s">
        <v>1362</v>
      </c>
      <c r="F640" s="70" t="s">
        <v>1363</v>
      </c>
      <c r="G640" s="70" t="s">
        <v>1363</v>
      </c>
      <c r="H640" s="70" t="s">
        <v>1364</v>
      </c>
      <c r="I640" s="72">
        <v>58.71</v>
      </c>
      <c r="J640" s="70" t="s">
        <v>58</v>
      </c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>
      <c r="A641" s="72">
        <v>1150.0</v>
      </c>
      <c r="B641" s="67" t="s">
        <v>1365</v>
      </c>
      <c r="C641" s="70" t="s">
        <v>69</v>
      </c>
      <c r="D641" s="70" t="s">
        <v>484</v>
      </c>
      <c r="E641" s="70" t="s">
        <v>213</v>
      </c>
      <c r="F641" s="73"/>
      <c r="G641" s="70" t="s">
        <v>71</v>
      </c>
      <c r="H641" s="70" t="s">
        <v>211</v>
      </c>
      <c r="I641" s="72">
        <v>57.26</v>
      </c>
      <c r="J641" s="70" t="s">
        <v>58</v>
      </c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>
      <c r="A642" s="72">
        <v>1149.0</v>
      </c>
      <c r="B642" s="67" t="s">
        <v>1366</v>
      </c>
      <c r="C642" s="70" t="s">
        <v>56</v>
      </c>
      <c r="D642" s="73"/>
      <c r="E642" s="70" t="s">
        <v>462</v>
      </c>
      <c r="F642" s="73"/>
      <c r="G642" s="73"/>
      <c r="H642" s="70" t="s">
        <v>462</v>
      </c>
      <c r="I642" s="72">
        <v>48.28</v>
      </c>
      <c r="J642" s="70" t="s">
        <v>73</v>
      </c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>
      <c r="A643" s="72">
        <v>1148.0</v>
      </c>
      <c r="B643" s="67" t="s">
        <v>1367</v>
      </c>
      <c r="C643" s="70" t="s">
        <v>69</v>
      </c>
      <c r="D643" s="73"/>
      <c r="E643" s="70" t="s">
        <v>462</v>
      </c>
      <c r="F643" s="73"/>
      <c r="G643" s="73"/>
      <c r="H643" s="70" t="s">
        <v>462</v>
      </c>
      <c r="I643" s="72">
        <v>77.08</v>
      </c>
      <c r="J643" s="70" t="s">
        <v>73</v>
      </c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>
      <c r="A644" s="72">
        <v>1147.0</v>
      </c>
      <c r="B644" s="67" t="s">
        <v>1368</v>
      </c>
      <c r="C644" s="70" t="s">
        <v>60</v>
      </c>
      <c r="D644" s="70" t="s">
        <v>1369</v>
      </c>
      <c r="E644" s="75" t="s">
        <v>28</v>
      </c>
      <c r="F644" s="73"/>
      <c r="G644" s="73"/>
      <c r="H644" s="70" t="s">
        <v>28</v>
      </c>
      <c r="I644" s="72">
        <v>59.54</v>
      </c>
      <c r="J644" s="70" t="s">
        <v>58</v>
      </c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>
      <c r="A645" s="72">
        <v>1146.0</v>
      </c>
      <c r="B645" s="67" t="s">
        <v>1370</v>
      </c>
      <c r="C645" s="70" t="s">
        <v>56</v>
      </c>
      <c r="D645" s="75" t="s">
        <v>93</v>
      </c>
      <c r="E645" s="76" t="s">
        <v>1371</v>
      </c>
      <c r="F645" s="70" t="s">
        <v>612</v>
      </c>
      <c r="G645" s="70" t="s">
        <v>1372</v>
      </c>
      <c r="H645" s="70" t="s">
        <v>1373</v>
      </c>
      <c r="I645" s="72">
        <v>36.8</v>
      </c>
      <c r="J645" s="70" t="s">
        <v>58</v>
      </c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>
      <c r="A646" s="72">
        <v>1145.0</v>
      </c>
      <c r="B646" s="67" t="s">
        <v>1374</v>
      </c>
      <c r="C646" s="75" t="s">
        <v>56</v>
      </c>
      <c r="D646" s="76" t="s">
        <v>289</v>
      </c>
      <c r="E646" s="76" t="s">
        <v>1375</v>
      </c>
      <c r="F646" s="73"/>
      <c r="G646" s="70" t="s">
        <v>1014</v>
      </c>
      <c r="H646" s="70" t="s">
        <v>1376</v>
      </c>
      <c r="I646" s="72">
        <v>51.34</v>
      </c>
      <c r="J646" s="70" t="s">
        <v>58</v>
      </c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>
      <c r="A647" s="72">
        <v>1144.0</v>
      </c>
      <c r="B647" s="67" t="s">
        <v>1377</v>
      </c>
      <c r="C647" s="70" t="s">
        <v>56</v>
      </c>
      <c r="D647" s="70" t="s">
        <v>93</v>
      </c>
      <c r="E647" s="70" t="s">
        <v>28</v>
      </c>
      <c r="F647" s="73"/>
      <c r="G647" s="73"/>
      <c r="H647" s="70" t="s">
        <v>28</v>
      </c>
      <c r="I647" s="72">
        <v>46.16</v>
      </c>
      <c r="J647" s="70" t="s">
        <v>58</v>
      </c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>
      <c r="A648" s="72">
        <v>1143.0</v>
      </c>
      <c r="B648" s="67" t="s">
        <v>1378</v>
      </c>
      <c r="C648" s="70" t="s">
        <v>56</v>
      </c>
      <c r="D648" s="70" t="s">
        <v>76</v>
      </c>
      <c r="E648" s="70" t="s">
        <v>1379</v>
      </c>
      <c r="F648" s="70" t="s">
        <v>1380</v>
      </c>
      <c r="G648" s="70" t="s">
        <v>1381</v>
      </c>
      <c r="H648" s="70" t="s">
        <v>1382</v>
      </c>
      <c r="I648" s="72">
        <v>58.67</v>
      </c>
      <c r="J648" s="70" t="s">
        <v>58</v>
      </c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>
      <c r="A649" s="72">
        <v>1142.0</v>
      </c>
      <c r="B649" s="67" t="s">
        <v>1383</v>
      </c>
      <c r="C649" s="70" t="s">
        <v>69</v>
      </c>
      <c r="D649" s="73"/>
      <c r="E649" s="70" t="s">
        <v>1384</v>
      </c>
      <c r="F649" s="73"/>
      <c r="G649" s="73"/>
      <c r="H649" s="70" t="s">
        <v>1385</v>
      </c>
      <c r="I649" s="72">
        <v>35.36</v>
      </c>
      <c r="J649" s="70" t="s">
        <v>73</v>
      </c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>
      <c r="A650" s="72">
        <v>1141.0</v>
      </c>
      <c r="B650" s="67" t="s">
        <v>1386</v>
      </c>
      <c r="C650" s="70" t="s">
        <v>69</v>
      </c>
      <c r="D650" s="73"/>
      <c r="E650" s="70" t="s">
        <v>1384</v>
      </c>
      <c r="F650" s="70" t="s">
        <v>1387</v>
      </c>
      <c r="G650" s="70" t="s">
        <v>1387</v>
      </c>
      <c r="H650" s="70" t="s">
        <v>1385</v>
      </c>
      <c r="I650" s="72">
        <v>54.42</v>
      </c>
      <c r="J650" s="70" t="s">
        <v>73</v>
      </c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>
      <c r="A651" s="72">
        <v>1140.0</v>
      </c>
      <c r="B651" s="67" t="s">
        <v>1388</v>
      </c>
      <c r="C651" s="70" t="s">
        <v>56</v>
      </c>
      <c r="D651" s="70" t="s">
        <v>76</v>
      </c>
      <c r="E651" s="70" t="s">
        <v>1389</v>
      </c>
      <c r="F651" s="70" t="s">
        <v>28</v>
      </c>
      <c r="G651" s="70" t="s">
        <v>28</v>
      </c>
      <c r="H651" s="70" t="s">
        <v>1389</v>
      </c>
      <c r="I651" s="72">
        <v>64.65</v>
      </c>
      <c r="J651" s="70" t="s">
        <v>58</v>
      </c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>
      <c r="A652" s="72">
        <v>1139.0</v>
      </c>
      <c r="B652" s="67" t="s">
        <v>1390</v>
      </c>
      <c r="C652" s="70" t="s">
        <v>56</v>
      </c>
      <c r="D652" s="70" t="s">
        <v>76</v>
      </c>
      <c r="E652" s="70" t="s">
        <v>1391</v>
      </c>
      <c r="F652" s="73"/>
      <c r="G652" s="70" t="s">
        <v>64</v>
      </c>
      <c r="H652" s="70" t="s">
        <v>1391</v>
      </c>
      <c r="I652" s="72">
        <v>48.6</v>
      </c>
      <c r="J652" s="70" t="s">
        <v>58</v>
      </c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>
      <c r="A653" s="72">
        <v>1138.0</v>
      </c>
      <c r="B653" s="67" t="s">
        <v>1392</v>
      </c>
      <c r="C653" s="70" t="s">
        <v>56</v>
      </c>
      <c r="D653" s="70" t="s">
        <v>89</v>
      </c>
      <c r="E653" s="70" t="s">
        <v>1393</v>
      </c>
      <c r="F653" s="70" t="s">
        <v>112</v>
      </c>
      <c r="G653" s="70" t="s">
        <v>112</v>
      </c>
      <c r="H653" s="70" t="s">
        <v>1394</v>
      </c>
      <c r="I653" s="72">
        <v>51.27</v>
      </c>
      <c r="J653" s="70" t="s">
        <v>58</v>
      </c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>
      <c r="A654" s="72">
        <v>1137.0</v>
      </c>
      <c r="B654" s="67" t="s">
        <v>1395</v>
      </c>
      <c r="C654" s="70" t="s">
        <v>69</v>
      </c>
      <c r="D654" s="70" t="s">
        <v>1396</v>
      </c>
      <c r="E654" s="75" t="s">
        <v>1397</v>
      </c>
      <c r="F654" s="73"/>
      <c r="G654" s="70" t="s">
        <v>71</v>
      </c>
      <c r="H654" s="70" t="s">
        <v>1398</v>
      </c>
      <c r="I654" s="72">
        <v>55.9</v>
      </c>
      <c r="J654" s="70" t="s">
        <v>58</v>
      </c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>
      <c r="A655" s="72">
        <v>1136.0</v>
      </c>
      <c r="B655" s="67" t="s">
        <v>1399</v>
      </c>
      <c r="C655" s="70" t="s">
        <v>56</v>
      </c>
      <c r="D655" s="75" t="s">
        <v>1400</v>
      </c>
      <c r="E655" s="76" t="s">
        <v>1401</v>
      </c>
      <c r="F655" s="70" t="s">
        <v>1402</v>
      </c>
      <c r="G655" s="70" t="s">
        <v>1403</v>
      </c>
      <c r="H655" s="70" t="s">
        <v>1404</v>
      </c>
      <c r="I655" s="72">
        <v>60.7</v>
      </c>
      <c r="J655" s="70" t="s">
        <v>58</v>
      </c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>
      <c r="A656" s="72">
        <v>1135.0</v>
      </c>
      <c r="B656" s="67" t="s">
        <v>1405</v>
      </c>
      <c r="C656" s="75" t="s">
        <v>56</v>
      </c>
      <c r="D656" s="76" t="s">
        <v>1316</v>
      </c>
      <c r="E656" s="76" t="s">
        <v>1406</v>
      </c>
      <c r="F656" s="70" t="s">
        <v>683</v>
      </c>
      <c r="G656" s="70" t="s">
        <v>683</v>
      </c>
      <c r="H656" s="70" t="s">
        <v>1407</v>
      </c>
      <c r="I656" s="72">
        <v>59.45</v>
      </c>
      <c r="J656" s="70" t="s">
        <v>58</v>
      </c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>
      <c r="A657" s="72">
        <v>1134.0</v>
      </c>
      <c r="B657" s="67" t="s">
        <v>1408</v>
      </c>
      <c r="C657" s="70" t="s">
        <v>69</v>
      </c>
      <c r="D657" s="70" t="s">
        <v>99</v>
      </c>
      <c r="E657" s="70" t="s">
        <v>64</v>
      </c>
      <c r="F657" s="73"/>
      <c r="G657" s="73"/>
      <c r="H657" s="70" t="s">
        <v>64</v>
      </c>
      <c r="I657" s="72">
        <v>78.16</v>
      </c>
      <c r="J657" s="70" t="s">
        <v>58</v>
      </c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>
      <c r="A658" s="72">
        <v>1133.0</v>
      </c>
      <c r="B658" s="67" t="s">
        <v>1409</v>
      </c>
      <c r="C658" s="70" t="s">
        <v>69</v>
      </c>
      <c r="D658" s="70" t="s">
        <v>156</v>
      </c>
      <c r="E658" s="70" t="s">
        <v>64</v>
      </c>
      <c r="F658" s="73"/>
      <c r="G658" s="73"/>
      <c r="H658" s="70" t="s">
        <v>64</v>
      </c>
      <c r="I658" s="72">
        <v>67.25</v>
      </c>
      <c r="J658" s="70" t="s">
        <v>58</v>
      </c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>
      <c r="A659" s="72">
        <v>1132.0</v>
      </c>
      <c r="B659" s="67" t="s">
        <v>1410</v>
      </c>
      <c r="C659" s="70" t="s">
        <v>56</v>
      </c>
      <c r="D659" s="73"/>
      <c r="E659" s="70" t="s">
        <v>71</v>
      </c>
      <c r="F659" s="73"/>
      <c r="G659" s="70" t="s">
        <v>71</v>
      </c>
      <c r="H659" s="70" t="s">
        <v>71</v>
      </c>
      <c r="I659" s="72">
        <v>34.64</v>
      </c>
      <c r="J659" s="70" t="s">
        <v>73</v>
      </c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>
      <c r="A660" s="72">
        <v>1131.0</v>
      </c>
      <c r="B660" s="67" t="s">
        <v>1411</v>
      </c>
      <c r="C660" s="70" t="s">
        <v>56</v>
      </c>
      <c r="D660" s="70" t="s">
        <v>1108</v>
      </c>
      <c r="E660" s="70" t="s">
        <v>241</v>
      </c>
      <c r="F660" s="70" t="s">
        <v>28</v>
      </c>
      <c r="G660" s="70" t="s">
        <v>28</v>
      </c>
      <c r="H660" s="70" t="s">
        <v>241</v>
      </c>
      <c r="I660" s="72">
        <v>51.7</v>
      </c>
      <c r="J660" s="70" t="s">
        <v>58</v>
      </c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>
      <c r="A661" s="72">
        <v>1130.0</v>
      </c>
      <c r="B661" s="67" t="s">
        <v>1412</v>
      </c>
      <c r="C661" s="70" t="s">
        <v>56</v>
      </c>
      <c r="D661" s="70" t="s">
        <v>1413</v>
      </c>
      <c r="E661" s="70" t="s">
        <v>1414</v>
      </c>
      <c r="F661" s="70" t="s">
        <v>64</v>
      </c>
      <c r="G661" s="70" t="s">
        <v>1415</v>
      </c>
      <c r="H661" s="70" t="s">
        <v>1415</v>
      </c>
      <c r="I661" s="72">
        <v>67.28</v>
      </c>
      <c r="J661" s="70" t="s">
        <v>58</v>
      </c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>
      <c r="A662" s="72">
        <v>1129.0</v>
      </c>
      <c r="B662" s="67" t="s">
        <v>1416</v>
      </c>
      <c r="C662" s="70" t="s">
        <v>56</v>
      </c>
      <c r="D662" s="70" t="s">
        <v>121</v>
      </c>
      <c r="E662" s="70" t="s">
        <v>1417</v>
      </c>
      <c r="F662" s="73"/>
      <c r="G662" s="70" t="s">
        <v>64</v>
      </c>
      <c r="H662" s="70" t="s">
        <v>1417</v>
      </c>
      <c r="I662" s="72">
        <v>40.32</v>
      </c>
      <c r="J662" s="70" t="s">
        <v>58</v>
      </c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>
      <c r="A663" s="72">
        <v>1128.0</v>
      </c>
      <c r="B663" s="67" t="s">
        <v>1418</v>
      </c>
      <c r="C663" s="70" t="s">
        <v>69</v>
      </c>
      <c r="D663" s="70" t="s">
        <v>93</v>
      </c>
      <c r="E663" s="70" t="s">
        <v>64</v>
      </c>
      <c r="F663" s="73"/>
      <c r="G663" s="73"/>
      <c r="H663" s="70" t="s">
        <v>64</v>
      </c>
      <c r="I663" s="72">
        <v>46.39</v>
      </c>
      <c r="J663" s="70" t="s">
        <v>58</v>
      </c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>
      <c r="A664" s="72">
        <v>1127.0</v>
      </c>
      <c r="B664" s="67" t="s">
        <v>1419</v>
      </c>
      <c r="C664" s="70" t="s">
        <v>60</v>
      </c>
      <c r="D664" s="73"/>
      <c r="E664" s="70" t="s">
        <v>462</v>
      </c>
      <c r="F664" s="73"/>
      <c r="G664" s="73"/>
      <c r="H664" s="70" t="s">
        <v>462</v>
      </c>
      <c r="I664" s="72">
        <v>50.51</v>
      </c>
      <c r="J664" s="70" t="s">
        <v>73</v>
      </c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>
      <c r="A665" s="72">
        <v>1126.0</v>
      </c>
      <c r="B665" s="67" t="s">
        <v>1420</v>
      </c>
      <c r="C665" s="70" t="s">
        <v>56</v>
      </c>
      <c r="D665" s="73"/>
      <c r="E665" s="70" t="s">
        <v>694</v>
      </c>
      <c r="F665" s="73"/>
      <c r="G665" s="73"/>
      <c r="H665" s="70" t="s">
        <v>694</v>
      </c>
      <c r="I665" s="72">
        <v>68.56</v>
      </c>
      <c r="J665" s="70" t="s">
        <v>73</v>
      </c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>
      <c r="A666" s="72">
        <v>1125.0</v>
      </c>
      <c r="B666" s="67" t="s">
        <v>1421</v>
      </c>
      <c r="C666" s="70" t="s">
        <v>60</v>
      </c>
      <c r="D666" s="70" t="s">
        <v>420</v>
      </c>
      <c r="E666" s="70" t="s">
        <v>28</v>
      </c>
      <c r="F666" s="73"/>
      <c r="G666" s="70" t="s">
        <v>28</v>
      </c>
      <c r="H666" s="70" t="s">
        <v>28</v>
      </c>
      <c r="I666" s="72">
        <v>47.02</v>
      </c>
      <c r="J666" s="70" t="s">
        <v>58</v>
      </c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>
      <c r="A667" s="72">
        <v>1124.0</v>
      </c>
      <c r="B667" s="67" t="s">
        <v>1422</v>
      </c>
      <c r="C667" s="70" t="s">
        <v>56</v>
      </c>
      <c r="D667" s="70" t="s">
        <v>240</v>
      </c>
      <c r="E667" s="70" t="s">
        <v>1423</v>
      </c>
      <c r="F667" s="70" t="s">
        <v>298</v>
      </c>
      <c r="G667" s="70" t="s">
        <v>298</v>
      </c>
      <c r="H667" s="70" t="s">
        <v>1424</v>
      </c>
      <c r="I667" s="72">
        <v>33.27</v>
      </c>
      <c r="J667" s="70" t="s">
        <v>58</v>
      </c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>
      <c r="A668" s="72">
        <v>1123.0</v>
      </c>
      <c r="B668" s="67" t="s">
        <v>1425</v>
      </c>
      <c r="C668" s="70" t="s">
        <v>56</v>
      </c>
      <c r="D668" s="70" t="s">
        <v>289</v>
      </c>
      <c r="E668" s="70" t="s">
        <v>1426</v>
      </c>
      <c r="F668" s="70" t="s">
        <v>71</v>
      </c>
      <c r="G668" s="70" t="s">
        <v>415</v>
      </c>
      <c r="H668" s="70" t="s">
        <v>1427</v>
      </c>
      <c r="I668" s="72">
        <v>67.95</v>
      </c>
      <c r="J668" s="70" t="s">
        <v>58</v>
      </c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>
      <c r="A669" s="72">
        <v>1122.0</v>
      </c>
      <c r="B669" s="67" t="s">
        <v>1428</v>
      </c>
      <c r="C669" s="70" t="s">
        <v>69</v>
      </c>
      <c r="D669" s="70" t="s">
        <v>370</v>
      </c>
      <c r="E669" s="70" t="s">
        <v>1429</v>
      </c>
      <c r="F669" s="73"/>
      <c r="G669" s="70" t="s">
        <v>64</v>
      </c>
      <c r="H669" s="70" t="s">
        <v>1430</v>
      </c>
      <c r="I669" s="72">
        <v>68.09</v>
      </c>
      <c r="J669" s="70" t="s">
        <v>58</v>
      </c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>
      <c r="A670" s="72">
        <v>1121.0</v>
      </c>
      <c r="B670" s="67" t="s">
        <v>1431</v>
      </c>
      <c r="C670" s="70" t="s">
        <v>60</v>
      </c>
      <c r="D670" s="70" t="s">
        <v>99</v>
      </c>
      <c r="E670" s="70" t="s">
        <v>28</v>
      </c>
      <c r="F670" s="73"/>
      <c r="G670" s="73"/>
      <c r="H670" s="70" t="s">
        <v>28</v>
      </c>
      <c r="I670" s="72">
        <v>58.22</v>
      </c>
      <c r="J670" s="70" t="s">
        <v>58</v>
      </c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>
      <c r="A671" s="72">
        <v>1120.0</v>
      </c>
      <c r="B671" s="67" t="s">
        <v>1432</v>
      </c>
      <c r="C671" s="70" t="s">
        <v>56</v>
      </c>
      <c r="D671" s="70" t="s">
        <v>320</v>
      </c>
      <c r="E671" s="70" t="s">
        <v>1433</v>
      </c>
      <c r="F671" s="70" t="s">
        <v>799</v>
      </c>
      <c r="G671" s="70" t="s">
        <v>799</v>
      </c>
      <c r="H671" s="70" t="s">
        <v>1434</v>
      </c>
      <c r="I671" s="72">
        <v>63.69</v>
      </c>
      <c r="J671" s="70" t="s">
        <v>58</v>
      </c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>
      <c r="A672" s="72">
        <v>1119.0</v>
      </c>
      <c r="B672" s="67" t="s">
        <v>1435</v>
      </c>
      <c r="C672" s="70" t="s">
        <v>69</v>
      </c>
      <c r="D672" s="70" t="s">
        <v>70</v>
      </c>
      <c r="E672" s="70" t="s">
        <v>64</v>
      </c>
      <c r="F672" s="70" t="s">
        <v>64</v>
      </c>
      <c r="G672" s="70" t="s">
        <v>64</v>
      </c>
      <c r="H672" s="70" t="s">
        <v>64</v>
      </c>
      <c r="I672" s="72">
        <v>90.5</v>
      </c>
      <c r="J672" s="70" t="s">
        <v>58</v>
      </c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>
      <c r="A673" s="72">
        <v>1118.0</v>
      </c>
      <c r="B673" s="67" t="s">
        <v>1436</v>
      </c>
      <c r="C673" s="70" t="s">
        <v>69</v>
      </c>
      <c r="D673" s="73"/>
      <c r="E673" s="70" t="s">
        <v>64</v>
      </c>
      <c r="F673" s="73"/>
      <c r="G673" s="73"/>
      <c r="H673" s="70" t="s">
        <v>64</v>
      </c>
      <c r="I673" s="72">
        <v>57.29</v>
      </c>
      <c r="J673" s="70" t="s">
        <v>58</v>
      </c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>
      <c r="A674" s="72">
        <v>1113.0</v>
      </c>
      <c r="B674" s="67" t="s">
        <v>1437</v>
      </c>
      <c r="C674" s="70" t="s">
        <v>69</v>
      </c>
      <c r="D674" s="73"/>
      <c r="E674" s="70" t="s">
        <v>71</v>
      </c>
      <c r="F674" s="73"/>
      <c r="G674" s="73"/>
      <c r="H674" s="70" t="s">
        <v>71</v>
      </c>
      <c r="I674" s="72">
        <v>65.93</v>
      </c>
      <c r="J674" s="70" t="s">
        <v>73</v>
      </c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>
      <c r="A675" s="72">
        <v>1112.0</v>
      </c>
      <c r="B675" s="67" t="s">
        <v>1438</v>
      </c>
      <c r="C675" s="70" t="s">
        <v>56</v>
      </c>
      <c r="D675" s="73"/>
      <c r="E675" s="75" t="s">
        <v>1439</v>
      </c>
      <c r="F675" s="73"/>
      <c r="G675" s="73"/>
      <c r="H675" s="70" t="s">
        <v>1439</v>
      </c>
      <c r="I675" s="72">
        <v>72.19</v>
      </c>
      <c r="J675" s="70" t="s">
        <v>73</v>
      </c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>
      <c r="A676" s="72">
        <v>1111.0</v>
      </c>
      <c r="B676" s="67" t="s">
        <v>1440</v>
      </c>
      <c r="C676" s="70" t="s">
        <v>56</v>
      </c>
      <c r="D676" s="75" t="s">
        <v>1176</v>
      </c>
      <c r="E676" s="76" t="s">
        <v>1441</v>
      </c>
      <c r="F676" s="73"/>
      <c r="G676" s="73"/>
      <c r="H676" s="70" t="s">
        <v>1441</v>
      </c>
      <c r="I676" s="72">
        <v>72.66</v>
      </c>
      <c r="J676" s="70" t="s">
        <v>58</v>
      </c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>
      <c r="A677" s="72">
        <v>1110.0</v>
      </c>
      <c r="B677" s="67" t="s">
        <v>1442</v>
      </c>
      <c r="C677" s="75" t="s">
        <v>56</v>
      </c>
      <c r="D677" s="76" t="s">
        <v>289</v>
      </c>
      <c r="E677" s="76" t="s">
        <v>1443</v>
      </c>
      <c r="F677" s="70" t="s">
        <v>1444</v>
      </c>
      <c r="G677" s="70" t="s">
        <v>1444</v>
      </c>
      <c r="H677" s="70" t="s">
        <v>1444</v>
      </c>
      <c r="I677" s="72">
        <v>67.79</v>
      </c>
      <c r="J677" s="70" t="s">
        <v>58</v>
      </c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>
      <c r="A678" s="72">
        <v>1109.0</v>
      </c>
      <c r="B678" s="67" t="s">
        <v>1445</v>
      </c>
      <c r="C678" s="70" t="s">
        <v>56</v>
      </c>
      <c r="D678" s="70" t="s">
        <v>564</v>
      </c>
      <c r="E678" s="70" t="s">
        <v>110</v>
      </c>
      <c r="F678" s="73"/>
      <c r="G678" s="73"/>
      <c r="H678" s="70" t="s">
        <v>110</v>
      </c>
      <c r="I678" s="72">
        <v>54.27</v>
      </c>
      <c r="J678" s="70" t="s">
        <v>58</v>
      </c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>
      <c r="A679" s="72">
        <v>1108.0</v>
      </c>
      <c r="B679" s="67" t="s">
        <v>1446</v>
      </c>
      <c r="C679" s="70" t="s">
        <v>69</v>
      </c>
      <c r="D679" s="70" t="s">
        <v>70</v>
      </c>
      <c r="E679" s="70" t="s">
        <v>1447</v>
      </c>
      <c r="F679" s="70" t="s">
        <v>298</v>
      </c>
      <c r="G679" s="70" t="s">
        <v>1448</v>
      </c>
      <c r="H679" s="70" t="s">
        <v>1449</v>
      </c>
      <c r="I679" s="72">
        <v>88.38</v>
      </c>
      <c r="J679" s="70" t="s">
        <v>58</v>
      </c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>
      <c r="A680" s="72">
        <v>1107.0</v>
      </c>
      <c r="B680" s="67" t="s">
        <v>1450</v>
      </c>
      <c r="C680" s="70" t="s">
        <v>56</v>
      </c>
      <c r="D680" s="73"/>
      <c r="E680" s="70" t="s">
        <v>984</v>
      </c>
      <c r="F680" s="70" t="s">
        <v>64</v>
      </c>
      <c r="G680" s="70" t="s">
        <v>64</v>
      </c>
      <c r="H680" s="70" t="s">
        <v>1451</v>
      </c>
      <c r="I680" s="72">
        <v>46.12</v>
      </c>
      <c r="J680" s="70" t="s">
        <v>73</v>
      </c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>
      <c r="A681" s="72">
        <v>1106.0</v>
      </c>
      <c r="B681" s="67" t="s">
        <v>1452</v>
      </c>
      <c r="C681" s="70" t="s">
        <v>60</v>
      </c>
      <c r="D681" s="70" t="s">
        <v>70</v>
      </c>
      <c r="E681" s="70" t="s">
        <v>1453</v>
      </c>
      <c r="F681" s="73"/>
      <c r="G681" s="73"/>
      <c r="H681" s="70" t="s">
        <v>1453</v>
      </c>
      <c r="I681" s="72">
        <v>59.26</v>
      </c>
      <c r="J681" s="70" t="s">
        <v>58</v>
      </c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>
      <c r="A682" s="72">
        <v>1105.0</v>
      </c>
      <c r="B682" s="67" t="s">
        <v>1454</v>
      </c>
      <c r="C682" s="70" t="s">
        <v>56</v>
      </c>
      <c r="D682" s="70" t="s">
        <v>76</v>
      </c>
      <c r="E682" s="70" t="s">
        <v>1139</v>
      </c>
      <c r="F682" s="70" t="s">
        <v>64</v>
      </c>
      <c r="G682" s="70" t="s">
        <v>64</v>
      </c>
      <c r="H682" s="70" t="s">
        <v>1455</v>
      </c>
      <c r="I682" s="72">
        <v>57.53</v>
      </c>
      <c r="J682" s="70" t="s">
        <v>58</v>
      </c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>
      <c r="A683" s="72">
        <v>1104.0</v>
      </c>
      <c r="B683" s="67" t="s">
        <v>1456</v>
      </c>
      <c r="C683" s="70" t="s">
        <v>56</v>
      </c>
      <c r="D683" s="70" t="s">
        <v>1457</v>
      </c>
      <c r="E683" s="70" t="s">
        <v>1458</v>
      </c>
      <c r="F683" s="73"/>
      <c r="G683" s="73"/>
      <c r="H683" s="70" t="s">
        <v>1459</v>
      </c>
      <c r="I683" s="72">
        <v>73.17</v>
      </c>
      <c r="J683" s="70" t="s">
        <v>58</v>
      </c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>
      <c r="A684" s="72">
        <v>1103.0</v>
      </c>
      <c r="B684" s="67" t="s">
        <v>1460</v>
      </c>
      <c r="C684" s="70" t="s">
        <v>69</v>
      </c>
      <c r="D684" s="70" t="s">
        <v>99</v>
      </c>
      <c r="E684" s="73"/>
      <c r="F684" s="73"/>
      <c r="G684" s="73"/>
      <c r="H684" s="73"/>
      <c r="I684" s="72">
        <v>63.47</v>
      </c>
      <c r="J684" s="70" t="s">
        <v>58</v>
      </c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>
      <c r="A685" s="72">
        <v>1102.0</v>
      </c>
      <c r="B685" s="67" t="s">
        <v>1461</v>
      </c>
      <c r="C685" s="70" t="s">
        <v>56</v>
      </c>
      <c r="D685" s="70" t="s">
        <v>1462</v>
      </c>
      <c r="E685" s="70" t="s">
        <v>936</v>
      </c>
      <c r="F685" s="70" t="s">
        <v>96</v>
      </c>
      <c r="G685" s="70" t="s">
        <v>1134</v>
      </c>
      <c r="H685" s="70" t="s">
        <v>1134</v>
      </c>
      <c r="I685" s="72">
        <v>50.62</v>
      </c>
      <c r="J685" s="70" t="s">
        <v>58</v>
      </c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>
      <c r="A686" s="72">
        <v>1101.0</v>
      </c>
      <c r="B686" s="67" t="s">
        <v>1463</v>
      </c>
      <c r="C686" s="70" t="s">
        <v>56</v>
      </c>
      <c r="D686" s="70" t="s">
        <v>467</v>
      </c>
      <c r="E686" s="70" t="s">
        <v>1464</v>
      </c>
      <c r="F686" s="73"/>
      <c r="G686" s="70" t="s">
        <v>28</v>
      </c>
      <c r="H686" s="70" t="s">
        <v>1465</v>
      </c>
      <c r="I686" s="72">
        <v>67.84</v>
      </c>
      <c r="J686" s="70" t="s">
        <v>58</v>
      </c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>
      <c r="A687" s="72">
        <v>1100.0</v>
      </c>
      <c r="B687" s="67" t="s">
        <v>1466</v>
      </c>
      <c r="C687" s="70" t="s">
        <v>56</v>
      </c>
      <c r="D687" s="70" t="s">
        <v>692</v>
      </c>
      <c r="E687" s="70" t="s">
        <v>64</v>
      </c>
      <c r="F687" s="73"/>
      <c r="G687" s="70" t="s">
        <v>64</v>
      </c>
      <c r="H687" s="70" t="s">
        <v>64</v>
      </c>
      <c r="I687" s="72">
        <v>73.03</v>
      </c>
      <c r="J687" s="70" t="s">
        <v>58</v>
      </c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>
      <c r="A688" s="72">
        <v>1099.0</v>
      </c>
      <c r="B688" s="67" t="s">
        <v>1467</v>
      </c>
      <c r="C688" s="70" t="s">
        <v>69</v>
      </c>
      <c r="D688" s="70" t="s">
        <v>1468</v>
      </c>
      <c r="E688" s="75" t="s">
        <v>87</v>
      </c>
      <c r="F688" s="70" t="s">
        <v>64</v>
      </c>
      <c r="G688" s="70" t="s">
        <v>64</v>
      </c>
      <c r="H688" s="70" t="s">
        <v>112</v>
      </c>
      <c r="I688" s="72">
        <v>60.83</v>
      </c>
      <c r="J688" s="70" t="s">
        <v>58</v>
      </c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>
      <c r="A689" s="72">
        <v>1098.0</v>
      </c>
      <c r="B689" s="67" t="s">
        <v>1469</v>
      </c>
      <c r="C689" s="70" t="s">
        <v>56</v>
      </c>
      <c r="D689" s="79"/>
      <c r="E689" s="78"/>
      <c r="F689" s="73"/>
      <c r="G689" s="73"/>
      <c r="H689" s="73"/>
      <c r="I689" s="72">
        <v>45.57</v>
      </c>
      <c r="J689" s="70" t="s">
        <v>73</v>
      </c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>
      <c r="A690" s="72">
        <v>1097.0</v>
      </c>
      <c r="B690" s="67" t="s">
        <v>1470</v>
      </c>
      <c r="C690" s="75" t="s">
        <v>60</v>
      </c>
      <c r="D690" s="78"/>
      <c r="E690" s="76" t="s">
        <v>1471</v>
      </c>
      <c r="F690" s="73"/>
      <c r="G690" s="73"/>
      <c r="H690" s="70" t="s">
        <v>1471</v>
      </c>
      <c r="I690" s="72">
        <v>56.61</v>
      </c>
      <c r="J690" s="70" t="s">
        <v>73</v>
      </c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>
      <c r="A691" s="72">
        <v>1096.0</v>
      </c>
      <c r="B691" s="67" t="s">
        <v>1472</v>
      </c>
      <c r="C691" s="70" t="s">
        <v>60</v>
      </c>
      <c r="D691" s="70" t="s">
        <v>70</v>
      </c>
      <c r="E691" s="70" t="s">
        <v>297</v>
      </c>
      <c r="F691" s="73"/>
      <c r="G691" s="73"/>
      <c r="H691" s="70" t="s">
        <v>299</v>
      </c>
      <c r="I691" s="72">
        <v>62.55</v>
      </c>
      <c r="J691" s="70" t="s">
        <v>58</v>
      </c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>
      <c r="A692" s="72">
        <v>1095.0</v>
      </c>
      <c r="B692" s="67" t="s">
        <v>1473</v>
      </c>
      <c r="C692" s="70" t="s">
        <v>60</v>
      </c>
      <c r="D692" s="70" t="s">
        <v>502</v>
      </c>
      <c r="E692" s="70" t="s">
        <v>1474</v>
      </c>
      <c r="F692" s="70" t="s">
        <v>1475</v>
      </c>
      <c r="G692" s="70" t="s">
        <v>1475</v>
      </c>
      <c r="H692" s="70" t="s">
        <v>1475</v>
      </c>
      <c r="I692" s="72">
        <v>36.09</v>
      </c>
      <c r="J692" s="70" t="s">
        <v>58</v>
      </c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>
      <c r="A693" s="72">
        <v>1094.0</v>
      </c>
      <c r="B693" s="67" t="s">
        <v>1476</v>
      </c>
      <c r="C693" s="70" t="s">
        <v>56</v>
      </c>
      <c r="D693" s="70" t="s">
        <v>61</v>
      </c>
      <c r="E693" s="70" t="s">
        <v>1477</v>
      </c>
      <c r="F693" s="73"/>
      <c r="G693" s="70" t="s">
        <v>558</v>
      </c>
      <c r="H693" s="70" t="s">
        <v>1478</v>
      </c>
      <c r="I693" s="72">
        <v>59.67</v>
      </c>
      <c r="J693" s="70" t="s">
        <v>58</v>
      </c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>
      <c r="A694" s="72">
        <v>1093.0</v>
      </c>
      <c r="B694" s="67" t="s">
        <v>1479</v>
      </c>
      <c r="C694" s="70" t="s">
        <v>56</v>
      </c>
      <c r="D694" s="70" t="s">
        <v>1480</v>
      </c>
      <c r="E694" s="70" t="s">
        <v>67</v>
      </c>
      <c r="F694" s="73"/>
      <c r="G694" s="73"/>
      <c r="H694" s="70" t="s">
        <v>67</v>
      </c>
      <c r="I694" s="72">
        <v>49.11</v>
      </c>
      <c r="J694" s="70" t="s">
        <v>58</v>
      </c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>
      <c r="A695" s="72">
        <v>1092.0</v>
      </c>
      <c r="B695" s="67" t="s">
        <v>1481</v>
      </c>
      <c r="C695" s="70" t="s">
        <v>60</v>
      </c>
      <c r="D695" s="70" t="s">
        <v>76</v>
      </c>
      <c r="E695" s="70" t="s">
        <v>411</v>
      </c>
      <c r="F695" s="70" t="s">
        <v>64</v>
      </c>
      <c r="G695" s="70" t="s">
        <v>412</v>
      </c>
      <c r="H695" s="70" t="s">
        <v>412</v>
      </c>
      <c r="I695" s="72">
        <v>53.03</v>
      </c>
      <c r="J695" s="70" t="s">
        <v>58</v>
      </c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>
      <c r="A696" s="72">
        <v>1091.0</v>
      </c>
      <c r="B696" s="67" t="s">
        <v>1482</v>
      </c>
      <c r="C696" s="70" t="s">
        <v>56</v>
      </c>
      <c r="D696" s="70" t="s">
        <v>852</v>
      </c>
      <c r="E696" s="75" t="s">
        <v>1483</v>
      </c>
      <c r="F696" s="70" t="s">
        <v>1484</v>
      </c>
      <c r="G696" s="70" t="s">
        <v>1485</v>
      </c>
      <c r="H696" s="70" t="s">
        <v>1486</v>
      </c>
      <c r="I696" s="72">
        <v>40.05</v>
      </c>
      <c r="J696" s="70" t="s">
        <v>58</v>
      </c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>
      <c r="A697" s="72">
        <v>1090.0</v>
      </c>
      <c r="B697" s="67" t="s">
        <v>1487</v>
      </c>
      <c r="C697" s="70" t="s">
        <v>56</v>
      </c>
      <c r="D697" s="75" t="s">
        <v>1488</v>
      </c>
      <c r="E697" s="76" t="s">
        <v>28</v>
      </c>
      <c r="F697" s="73"/>
      <c r="G697" s="73"/>
      <c r="H697" s="70" t="s">
        <v>28</v>
      </c>
      <c r="I697" s="72">
        <v>60.03</v>
      </c>
      <c r="J697" s="70" t="s">
        <v>58</v>
      </c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>
      <c r="A698" s="72">
        <v>1089.0</v>
      </c>
      <c r="B698" s="67" t="s">
        <v>1489</v>
      </c>
      <c r="C698" s="75" t="s">
        <v>69</v>
      </c>
      <c r="D698" s="76" t="s">
        <v>93</v>
      </c>
      <c r="E698" s="76" t="s">
        <v>28</v>
      </c>
      <c r="F698" s="73"/>
      <c r="G698" s="73"/>
      <c r="H698" s="70" t="s">
        <v>28</v>
      </c>
      <c r="I698" s="72">
        <v>51.71</v>
      </c>
      <c r="J698" s="70" t="s">
        <v>58</v>
      </c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>
      <c r="A699" s="72">
        <v>1088.0</v>
      </c>
      <c r="B699" s="67" t="s">
        <v>1490</v>
      </c>
      <c r="C699" s="70" t="s">
        <v>60</v>
      </c>
      <c r="D699" s="70" t="s">
        <v>672</v>
      </c>
      <c r="E699" s="70" t="s">
        <v>28</v>
      </c>
      <c r="F699" s="70" t="s">
        <v>28</v>
      </c>
      <c r="G699" s="70" t="s">
        <v>28</v>
      </c>
      <c r="H699" s="70" t="s">
        <v>28</v>
      </c>
      <c r="I699" s="72">
        <v>45.56</v>
      </c>
      <c r="J699" s="70" t="s">
        <v>58</v>
      </c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>
      <c r="A700" s="72">
        <v>1087.0</v>
      </c>
      <c r="B700" s="67" t="s">
        <v>1491</v>
      </c>
      <c r="C700" s="70" t="s">
        <v>56</v>
      </c>
      <c r="D700" s="70" t="s">
        <v>271</v>
      </c>
      <c r="E700" s="75" t="s">
        <v>28</v>
      </c>
      <c r="F700" s="73"/>
      <c r="G700" s="70" t="s">
        <v>28</v>
      </c>
      <c r="H700" s="70" t="s">
        <v>28</v>
      </c>
      <c r="I700" s="72">
        <v>63.09</v>
      </c>
      <c r="J700" s="70" t="s">
        <v>58</v>
      </c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>
      <c r="A701" s="72">
        <v>1086.0</v>
      </c>
      <c r="B701" s="67" t="s">
        <v>1492</v>
      </c>
      <c r="C701" s="70" t="s">
        <v>69</v>
      </c>
      <c r="D701" s="75" t="s">
        <v>362</v>
      </c>
      <c r="E701" s="76" t="s">
        <v>152</v>
      </c>
      <c r="F701" s="70" t="s">
        <v>153</v>
      </c>
      <c r="G701" s="70" t="s">
        <v>153</v>
      </c>
      <c r="H701" s="70" t="s">
        <v>153</v>
      </c>
      <c r="I701" s="72">
        <v>77.57</v>
      </c>
      <c r="J701" s="70" t="s">
        <v>58</v>
      </c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>
      <c r="A702" s="72">
        <v>1085.0</v>
      </c>
      <c r="B702" s="67" t="s">
        <v>1493</v>
      </c>
      <c r="C702" s="75" t="s">
        <v>69</v>
      </c>
      <c r="D702" s="76" t="s">
        <v>93</v>
      </c>
      <c r="E702" s="76" t="s">
        <v>64</v>
      </c>
      <c r="F702" s="73"/>
      <c r="G702" s="73"/>
      <c r="H702" s="70" t="s">
        <v>64</v>
      </c>
      <c r="I702" s="72">
        <v>75.07</v>
      </c>
      <c r="J702" s="70" t="s">
        <v>58</v>
      </c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>
      <c r="A703" s="72">
        <v>1084.0</v>
      </c>
      <c r="B703" s="67" t="s">
        <v>1494</v>
      </c>
      <c r="C703" s="70" t="s">
        <v>69</v>
      </c>
      <c r="D703" s="74"/>
      <c r="E703" s="70" t="s">
        <v>64</v>
      </c>
      <c r="F703" s="73"/>
      <c r="G703" s="70" t="s">
        <v>64</v>
      </c>
      <c r="H703" s="70" t="s">
        <v>64</v>
      </c>
      <c r="I703" s="72">
        <v>54.73</v>
      </c>
      <c r="J703" s="70" t="s">
        <v>73</v>
      </c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>
      <c r="A704" s="72">
        <v>1083.0</v>
      </c>
      <c r="B704" s="67" t="s">
        <v>1495</v>
      </c>
      <c r="C704" s="70" t="s">
        <v>69</v>
      </c>
      <c r="D704" s="73"/>
      <c r="E704" s="70" t="s">
        <v>64</v>
      </c>
      <c r="F704" s="73"/>
      <c r="G704" s="70" t="s">
        <v>64</v>
      </c>
      <c r="H704" s="70" t="s">
        <v>64</v>
      </c>
      <c r="I704" s="72">
        <v>50.85</v>
      </c>
      <c r="J704" s="70" t="s">
        <v>73</v>
      </c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>
      <c r="A705" s="72">
        <v>1082.0</v>
      </c>
      <c r="B705" s="67" t="s">
        <v>1496</v>
      </c>
      <c r="C705" s="70" t="s">
        <v>69</v>
      </c>
      <c r="D705" s="73"/>
      <c r="E705" s="70" t="s">
        <v>64</v>
      </c>
      <c r="F705" s="73"/>
      <c r="G705" s="73"/>
      <c r="H705" s="70" t="s">
        <v>64</v>
      </c>
      <c r="I705" s="72">
        <v>73.9</v>
      </c>
      <c r="J705" s="70" t="s">
        <v>73</v>
      </c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>
      <c r="A706" s="72">
        <v>1081.0</v>
      </c>
      <c r="B706" s="67" t="s">
        <v>1497</v>
      </c>
      <c r="C706" s="70" t="s">
        <v>56</v>
      </c>
      <c r="D706" s="70" t="s">
        <v>1498</v>
      </c>
      <c r="E706" s="70" t="s">
        <v>1499</v>
      </c>
      <c r="F706" s="73"/>
      <c r="G706" s="73"/>
      <c r="H706" s="70" t="s">
        <v>1500</v>
      </c>
      <c r="I706" s="72">
        <v>53.52</v>
      </c>
      <c r="J706" s="70" t="s">
        <v>58</v>
      </c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>
      <c r="A707" s="72">
        <v>1080.0</v>
      </c>
      <c r="B707" s="67" t="s">
        <v>1501</v>
      </c>
      <c r="C707" s="70" t="s">
        <v>56</v>
      </c>
      <c r="D707" s="70" t="s">
        <v>506</v>
      </c>
      <c r="E707" s="70" t="s">
        <v>64</v>
      </c>
      <c r="F707" s="73"/>
      <c r="G707" s="73"/>
      <c r="H707" s="70" t="s">
        <v>64</v>
      </c>
      <c r="I707" s="72">
        <v>49.99</v>
      </c>
      <c r="J707" s="70" t="s">
        <v>58</v>
      </c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>
      <c r="A708" s="72">
        <v>1079.0</v>
      </c>
      <c r="B708" s="67" t="s">
        <v>1502</v>
      </c>
      <c r="C708" s="70" t="s">
        <v>56</v>
      </c>
      <c r="D708" s="70" t="s">
        <v>271</v>
      </c>
      <c r="E708" s="70" t="s">
        <v>1375</v>
      </c>
      <c r="F708" s="73"/>
      <c r="G708" s="70" t="s">
        <v>67</v>
      </c>
      <c r="H708" s="70" t="s">
        <v>1503</v>
      </c>
      <c r="I708" s="72">
        <v>75.91</v>
      </c>
      <c r="J708" s="70" t="s">
        <v>58</v>
      </c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>
      <c r="A709" s="72">
        <v>1078.0</v>
      </c>
      <c r="B709" s="67" t="s">
        <v>1504</v>
      </c>
      <c r="C709" s="70" t="s">
        <v>69</v>
      </c>
      <c r="D709" s="70" t="s">
        <v>284</v>
      </c>
      <c r="E709" s="70" t="s">
        <v>28</v>
      </c>
      <c r="F709" s="73"/>
      <c r="G709" s="73"/>
      <c r="H709" s="70" t="s">
        <v>28</v>
      </c>
      <c r="I709" s="72">
        <v>64.93</v>
      </c>
      <c r="J709" s="70" t="s">
        <v>58</v>
      </c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>
      <c r="A710" s="72">
        <v>1077.0</v>
      </c>
      <c r="B710" s="67" t="s">
        <v>1505</v>
      </c>
      <c r="C710" s="70" t="s">
        <v>56</v>
      </c>
      <c r="D710" s="73"/>
      <c r="E710" s="70" t="s">
        <v>71</v>
      </c>
      <c r="F710" s="73"/>
      <c r="G710" s="73"/>
      <c r="H710" s="70" t="s">
        <v>71</v>
      </c>
      <c r="I710" s="72">
        <v>77.82</v>
      </c>
      <c r="J710" s="70" t="s">
        <v>73</v>
      </c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>
      <c r="A711" s="72">
        <v>1076.0</v>
      </c>
      <c r="B711" s="67" t="s">
        <v>1506</v>
      </c>
      <c r="C711" s="70" t="s">
        <v>69</v>
      </c>
      <c r="D711" s="73"/>
      <c r="E711" s="70" t="s">
        <v>71</v>
      </c>
      <c r="F711" s="73"/>
      <c r="G711" s="73"/>
      <c r="H711" s="70" t="s">
        <v>71</v>
      </c>
      <c r="I711" s="72">
        <v>52.89</v>
      </c>
      <c r="J711" s="70" t="s">
        <v>73</v>
      </c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>
      <c r="A712" s="72">
        <v>1075.0</v>
      </c>
      <c r="B712" s="67" t="s">
        <v>1507</v>
      </c>
      <c r="C712" s="70" t="s">
        <v>69</v>
      </c>
      <c r="D712" s="73"/>
      <c r="E712" s="70" t="s">
        <v>71</v>
      </c>
      <c r="F712" s="73"/>
      <c r="G712" s="73"/>
      <c r="H712" s="70" t="s">
        <v>71</v>
      </c>
      <c r="I712" s="72">
        <v>66.14</v>
      </c>
      <c r="J712" s="70" t="s">
        <v>73</v>
      </c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>
      <c r="A713" s="72">
        <v>1074.0</v>
      </c>
      <c r="B713" s="67" t="s">
        <v>1508</v>
      </c>
      <c r="C713" s="70" t="s">
        <v>60</v>
      </c>
      <c r="D713" s="70" t="s">
        <v>754</v>
      </c>
      <c r="E713" s="75" t="s">
        <v>936</v>
      </c>
      <c r="F713" s="70" t="s">
        <v>28</v>
      </c>
      <c r="G713" s="70" t="s">
        <v>28</v>
      </c>
      <c r="H713" s="70" t="s">
        <v>1134</v>
      </c>
      <c r="I713" s="72">
        <v>61.89</v>
      </c>
      <c r="J713" s="70" t="s">
        <v>58</v>
      </c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>
      <c r="A714" s="72">
        <v>1073.0</v>
      </c>
      <c r="B714" s="67" t="s">
        <v>1509</v>
      </c>
      <c r="C714" s="70" t="s">
        <v>56</v>
      </c>
      <c r="D714" s="75" t="s">
        <v>99</v>
      </c>
      <c r="E714" s="76" t="s">
        <v>1115</v>
      </c>
      <c r="F714" s="73"/>
      <c r="G714" s="73"/>
      <c r="H714" s="70" t="s">
        <v>1115</v>
      </c>
      <c r="I714" s="72">
        <v>34.78</v>
      </c>
      <c r="J714" s="70" t="s">
        <v>58</v>
      </c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>
      <c r="A715" s="72">
        <v>1072.0</v>
      </c>
      <c r="B715" s="67" t="s">
        <v>1510</v>
      </c>
      <c r="C715" s="75" t="s">
        <v>56</v>
      </c>
      <c r="D715" s="76" t="s">
        <v>284</v>
      </c>
      <c r="E715" s="78"/>
      <c r="F715" s="73"/>
      <c r="G715" s="73"/>
      <c r="H715" s="73"/>
      <c r="I715" s="72">
        <v>61.52</v>
      </c>
      <c r="J715" s="70" t="s">
        <v>58</v>
      </c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>
      <c r="A716" s="72">
        <v>1071.0</v>
      </c>
      <c r="B716" s="67" t="s">
        <v>1511</v>
      </c>
      <c r="C716" s="70" t="s">
        <v>69</v>
      </c>
      <c r="D716" s="70" t="s">
        <v>70</v>
      </c>
      <c r="E716" s="70" t="s">
        <v>1512</v>
      </c>
      <c r="F716" s="70" t="s">
        <v>1513</v>
      </c>
      <c r="G716" s="70" t="s">
        <v>1514</v>
      </c>
      <c r="H716" s="70" t="s">
        <v>1514</v>
      </c>
      <c r="I716" s="72">
        <v>51.3</v>
      </c>
      <c r="J716" s="70" t="s">
        <v>58</v>
      </c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>
      <c r="A717" s="72">
        <v>1070.0</v>
      </c>
      <c r="B717" s="67" t="s">
        <v>1515</v>
      </c>
      <c r="C717" s="70" t="s">
        <v>56</v>
      </c>
      <c r="D717" s="73"/>
      <c r="E717" s="77" t="s">
        <v>64</v>
      </c>
      <c r="F717" s="73"/>
      <c r="G717" s="73"/>
      <c r="H717" s="77" t="s">
        <v>64</v>
      </c>
      <c r="I717" s="72">
        <v>49.9</v>
      </c>
      <c r="J717" s="70" t="s">
        <v>73</v>
      </c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>
      <c r="A718" s="72">
        <v>1069.0</v>
      </c>
      <c r="B718" s="67" t="s">
        <v>1516</v>
      </c>
      <c r="C718" s="70" t="s">
        <v>69</v>
      </c>
      <c r="D718" s="73"/>
      <c r="E718" s="70" t="s">
        <v>64</v>
      </c>
      <c r="F718" s="73"/>
      <c r="G718" s="73"/>
      <c r="H718" s="70" t="s">
        <v>64</v>
      </c>
      <c r="I718" s="72">
        <v>83.24</v>
      </c>
      <c r="J718" s="70" t="s">
        <v>73</v>
      </c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>
      <c r="A719" s="72">
        <v>1068.0</v>
      </c>
      <c r="B719" s="67" t="s">
        <v>1517</v>
      </c>
      <c r="C719" s="70" t="s">
        <v>69</v>
      </c>
      <c r="D719" s="73"/>
      <c r="E719" s="70" t="s">
        <v>64</v>
      </c>
      <c r="F719" s="73"/>
      <c r="G719" s="73"/>
      <c r="H719" s="70" t="s">
        <v>64</v>
      </c>
      <c r="I719" s="72">
        <v>82.13</v>
      </c>
      <c r="J719" s="70" t="s">
        <v>73</v>
      </c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>
      <c r="A720" s="72">
        <v>1067.0</v>
      </c>
      <c r="B720" s="67" t="s">
        <v>1518</v>
      </c>
      <c r="C720" s="70" t="s">
        <v>60</v>
      </c>
      <c r="D720" s="70" t="s">
        <v>652</v>
      </c>
      <c r="E720" s="70" t="s">
        <v>1519</v>
      </c>
      <c r="F720" s="73"/>
      <c r="G720" s="73"/>
      <c r="H720" s="70" t="s">
        <v>1520</v>
      </c>
      <c r="I720" s="72">
        <v>41.65</v>
      </c>
      <c r="J720" s="70" t="s">
        <v>58</v>
      </c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>
      <c r="A721" s="72">
        <v>1066.0</v>
      </c>
      <c r="B721" s="67" t="s">
        <v>1521</v>
      </c>
      <c r="C721" s="70" t="s">
        <v>56</v>
      </c>
      <c r="D721" s="70" t="s">
        <v>322</v>
      </c>
      <c r="E721" s="70" t="s">
        <v>87</v>
      </c>
      <c r="F721" s="70" t="s">
        <v>28</v>
      </c>
      <c r="G721" s="70" t="s">
        <v>28</v>
      </c>
      <c r="H721" s="70" t="s">
        <v>87</v>
      </c>
      <c r="I721" s="72">
        <v>54.18</v>
      </c>
      <c r="J721" s="70" t="s">
        <v>58</v>
      </c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>
      <c r="A722" s="72">
        <v>1065.0</v>
      </c>
      <c r="B722" s="67" t="s">
        <v>1522</v>
      </c>
      <c r="C722" s="70" t="s">
        <v>69</v>
      </c>
      <c r="D722" s="70" t="s">
        <v>1523</v>
      </c>
      <c r="E722" s="70" t="s">
        <v>64</v>
      </c>
      <c r="F722" s="73"/>
      <c r="G722" s="73"/>
      <c r="H722" s="70" t="s">
        <v>64</v>
      </c>
      <c r="I722" s="72">
        <v>60.97</v>
      </c>
      <c r="J722" s="70" t="s">
        <v>58</v>
      </c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>
      <c r="A723" s="72">
        <v>1064.0</v>
      </c>
      <c r="B723" s="67" t="s">
        <v>1524</v>
      </c>
      <c r="C723" s="70" t="s">
        <v>69</v>
      </c>
      <c r="D723" s="70" t="s">
        <v>484</v>
      </c>
      <c r="E723" s="75" t="s">
        <v>116</v>
      </c>
      <c r="F723" s="73"/>
      <c r="G723" s="73"/>
      <c r="H723" s="70" t="s">
        <v>116</v>
      </c>
      <c r="I723" s="72">
        <v>64.88</v>
      </c>
      <c r="J723" s="70" t="s">
        <v>58</v>
      </c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>
      <c r="A724" s="72">
        <v>1063.0</v>
      </c>
      <c r="B724" s="67" t="s">
        <v>1525</v>
      </c>
      <c r="C724" s="70" t="s">
        <v>60</v>
      </c>
      <c r="D724" s="75" t="s">
        <v>240</v>
      </c>
      <c r="E724" s="76" t="s">
        <v>1526</v>
      </c>
      <c r="F724" s="73"/>
      <c r="G724" s="73"/>
      <c r="H724" s="70" t="s">
        <v>1526</v>
      </c>
      <c r="I724" s="72">
        <v>72.13</v>
      </c>
      <c r="J724" s="70" t="s">
        <v>58</v>
      </c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>
      <c r="A725" s="72">
        <v>1062.0</v>
      </c>
      <c r="B725" s="67" t="s">
        <v>1527</v>
      </c>
      <c r="C725" s="75" t="s">
        <v>56</v>
      </c>
      <c r="D725" s="76" t="s">
        <v>70</v>
      </c>
      <c r="E725" s="76" t="s">
        <v>1528</v>
      </c>
      <c r="F725" s="73"/>
      <c r="G725" s="70" t="s">
        <v>612</v>
      </c>
      <c r="H725" s="70" t="s">
        <v>1529</v>
      </c>
      <c r="I725" s="72">
        <v>58.35</v>
      </c>
      <c r="J725" s="70" t="s">
        <v>58</v>
      </c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>
      <c r="A726" s="72">
        <v>1061.0</v>
      </c>
      <c r="B726" s="67" t="s">
        <v>1530</v>
      </c>
      <c r="C726" s="70" t="s">
        <v>56</v>
      </c>
      <c r="D726" s="70" t="s">
        <v>627</v>
      </c>
      <c r="E726" s="73"/>
      <c r="F726" s="73"/>
      <c r="G726" s="73"/>
      <c r="H726" s="73"/>
      <c r="I726" s="72">
        <v>66.81</v>
      </c>
      <c r="J726" s="70" t="s">
        <v>58</v>
      </c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>
      <c r="A727" s="72">
        <v>1060.0</v>
      </c>
      <c r="B727" s="67" t="s">
        <v>1531</v>
      </c>
      <c r="C727" s="70" t="s">
        <v>56</v>
      </c>
      <c r="D727" s="70" t="s">
        <v>502</v>
      </c>
      <c r="E727" s="70" t="s">
        <v>1532</v>
      </c>
      <c r="F727" s="70" t="s">
        <v>415</v>
      </c>
      <c r="G727" s="70" t="s">
        <v>1533</v>
      </c>
      <c r="H727" s="70" t="s">
        <v>1534</v>
      </c>
      <c r="I727" s="72">
        <v>54.77</v>
      </c>
      <c r="J727" s="70" t="s">
        <v>58</v>
      </c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>
      <c r="A728" s="72">
        <v>1059.0</v>
      </c>
      <c r="B728" s="67" t="s">
        <v>1535</v>
      </c>
      <c r="C728" s="70" t="s">
        <v>56</v>
      </c>
      <c r="D728" s="70" t="s">
        <v>1536</v>
      </c>
      <c r="E728" s="70" t="s">
        <v>1537</v>
      </c>
      <c r="F728" s="70" t="s">
        <v>189</v>
      </c>
      <c r="G728" s="70" t="s">
        <v>636</v>
      </c>
      <c r="H728" s="70" t="s">
        <v>1538</v>
      </c>
      <c r="I728" s="72">
        <v>42.93</v>
      </c>
      <c r="J728" s="70" t="s">
        <v>58</v>
      </c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>
      <c r="A729" s="72">
        <v>1058.0</v>
      </c>
      <c r="B729" s="67" t="s">
        <v>1539</v>
      </c>
      <c r="C729" s="70" t="s">
        <v>56</v>
      </c>
      <c r="D729" s="70" t="s">
        <v>1540</v>
      </c>
      <c r="E729" s="70" t="s">
        <v>1541</v>
      </c>
      <c r="F729" s="70" t="s">
        <v>67</v>
      </c>
      <c r="G729" s="70" t="s">
        <v>67</v>
      </c>
      <c r="H729" s="70" t="s">
        <v>1542</v>
      </c>
      <c r="I729" s="72">
        <v>43.65</v>
      </c>
      <c r="J729" s="70" t="s">
        <v>58</v>
      </c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>
      <c r="A730" s="72">
        <v>1057.0</v>
      </c>
      <c r="B730" s="67" t="s">
        <v>1543</v>
      </c>
      <c r="C730" s="70" t="s">
        <v>56</v>
      </c>
      <c r="D730" s="70" t="s">
        <v>193</v>
      </c>
      <c r="E730" s="70" t="s">
        <v>1544</v>
      </c>
      <c r="F730" s="70" t="s">
        <v>1545</v>
      </c>
      <c r="G730" s="70" t="s">
        <v>1545</v>
      </c>
      <c r="H730" s="70" t="s">
        <v>1546</v>
      </c>
      <c r="I730" s="72">
        <v>57.8</v>
      </c>
      <c r="J730" s="70" t="s">
        <v>58</v>
      </c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>
      <c r="A731" s="72">
        <v>1056.0</v>
      </c>
      <c r="B731" s="67" t="s">
        <v>1547</v>
      </c>
      <c r="C731" s="70" t="s">
        <v>69</v>
      </c>
      <c r="D731" s="70" t="s">
        <v>99</v>
      </c>
      <c r="E731" s="70" t="s">
        <v>28</v>
      </c>
      <c r="F731" s="73"/>
      <c r="G731" s="73"/>
      <c r="H731" s="70" t="s">
        <v>28</v>
      </c>
      <c r="I731" s="72">
        <v>47.01</v>
      </c>
      <c r="J731" s="70" t="s">
        <v>58</v>
      </c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>
      <c r="A732" s="72">
        <v>1055.0</v>
      </c>
      <c r="B732" s="67" t="s">
        <v>1548</v>
      </c>
      <c r="C732" s="70" t="s">
        <v>56</v>
      </c>
      <c r="D732" s="70" t="s">
        <v>313</v>
      </c>
      <c r="E732" s="75" t="s">
        <v>96</v>
      </c>
      <c r="F732" s="73"/>
      <c r="G732" s="70" t="s">
        <v>71</v>
      </c>
      <c r="H732" s="70" t="s">
        <v>612</v>
      </c>
      <c r="I732" s="72">
        <v>57.22</v>
      </c>
      <c r="J732" s="70" t="s">
        <v>58</v>
      </c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>
      <c r="A733" s="72">
        <v>1054.0</v>
      </c>
      <c r="B733" s="67" t="s">
        <v>1549</v>
      </c>
      <c r="C733" s="70" t="s">
        <v>56</v>
      </c>
      <c r="D733" s="75" t="s">
        <v>1550</v>
      </c>
      <c r="E733" s="76" t="s">
        <v>635</v>
      </c>
      <c r="F733" s="73"/>
      <c r="G733" s="70" t="s">
        <v>189</v>
      </c>
      <c r="H733" s="70" t="s">
        <v>636</v>
      </c>
      <c r="I733" s="72">
        <v>44.21</v>
      </c>
      <c r="J733" s="70" t="s">
        <v>58</v>
      </c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>
      <c r="A734" s="72">
        <v>1053.0</v>
      </c>
      <c r="B734" s="67" t="s">
        <v>1551</v>
      </c>
      <c r="C734" s="75" t="s">
        <v>56</v>
      </c>
      <c r="D734" s="76" t="s">
        <v>114</v>
      </c>
      <c r="E734" s="76" t="s">
        <v>1552</v>
      </c>
      <c r="F734" s="70" t="s">
        <v>71</v>
      </c>
      <c r="G734" s="70" t="s">
        <v>71</v>
      </c>
      <c r="H734" s="70" t="s">
        <v>1553</v>
      </c>
      <c r="I734" s="72">
        <v>51.1</v>
      </c>
      <c r="J734" s="70" t="s">
        <v>58</v>
      </c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>
      <c r="A735" s="72">
        <v>1052.0</v>
      </c>
      <c r="B735" s="67" t="s">
        <v>1554</v>
      </c>
      <c r="C735" s="70" t="s">
        <v>56</v>
      </c>
      <c r="D735" s="70" t="s">
        <v>609</v>
      </c>
      <c r="E735" s="70" t="s">
        <v>1555</v>
      </c>
      <c r="F735" s="70" t="s">
        <v>1556</v>
      </c>
      <c r="G735" s="70" t="s">
        <v>1556</v>
      </c>
      <c r="H735" s="70" t="s">
        <v>1557</v>
      </c>
      <c r="I735" s="72">
        <v>55.78</v>
      </c>
      <c r="J735" s="70" t="s">
        <v>58</v>
      </c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>
      <c r="A736" s="72">
        <v>1051.0</v>
      </c>
      <c r="B736" s="67" t="s">
        <v>1558</v>
      </c>
      <c r="C736" s="70" t="s">
        <v>69</v>
      </c>
      <c r="D736" s="70" t="s">
        <v>93</v>
      </c>
      <c r="E736" s="70" t="s">
        <v>1559</v>
      </c>
      <c r="F736" s="70" t="s">
        <v>110</v>
      </c>
      <c r="G736" s="70" t="s">
        <v>110</v>
      </c>
      <c r="H736" s="70" t="s">
        <v>1560</v>
      </c>
      <c r="I736" s="72">
        <v>72.11</v>
      </c>
      <c r="J736" s="70" t="s">
        <v>58</v>
      </c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>
      <c r="A737" s="72">
        <v>1050.0</v>
      </c>
      <c r="B737" s="67" t="s">
        <v>1561</v>
      </c>
      <c r="C737" s="70" t="s">
        <v>69</v>
      </c>
      <c r="D737" s="73"/>
      <c r="E737" s="75" t="s">
        <v>64</v>
      </c>
      <c r="F737" s="73"/>
      <c r="G737" s="73"/>
      <c r="H737" s="70" t="s">
        <v>64</v>
      </c>
      <c r="I737" s="72">
        <v>72.39</v>
      </c>
      <c r="J737" s="70" t="s">
        <v>73</v>
      </c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>
      <c r="A738" s="72">
        <v>1049.0</v>
      </c>
      <c r="B738" s="67" t="s">
        <v>1562</v>
      </c>
      <c r="C738" s="70" t="s">
        <v>56</v>
      </c>
      <c r="D738" s="75" t="s">
        <v>76</v>
      </c>
      <c r="E738" s="76" t="s">
        <v>1307</v>
      </c>
      <c r="F738" s="70" t="s">
        <v>1308</v>
      </c>
      <c r="G738" s="70" t="s">
        <v>1308</v>
      </c>
      <c r="H738" s="70" t="s">
        <v>766</v>
      </c>
      <c r="I738" s="72">
        <v>45.54</v>
      </c>
      <c r="J738" s="70" t="s">
        <v>58</v>
      </c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>
      <c r="A739" s="72">
        <v>1048.0</v>
      </c>
      <c r="B739" s="67" t="s">
        <v>1563</v>
      </c>
      <c r="C739" s="75" t="s">
        <v>56</v>
      </c>
      <c r="D739" s="76" t="s">
        <v>1564</v>
      </c>
      <c r="E739" s="76" t="s">
        <v>1565</v>
      </c>
      <c r="F739" s="70" t="s">
        <v>1566</v>
      </c>
      <c r="G739" s="70" t="s">
        <v>1567</v>
      </c>
      <c r="H739" s="70" t="s">
        <v>1568</v>
      </c>
      <c r="I739" s="72">
        <v>55.54</v>
      </c>
      <c r="J739" s="70" t="s">
        <v>58</v>
      </c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>
      <c r="A740" s="72">
        <v>1047.0</v>
      </c>
      <c r="B740" s="67" t="s">
        <v>1569</v>
      </c>
      <c r="C740" s="70" t="s">
        <v>69</v>
      </c>
      <c r="D740" s="70" t="s">
        <v>240</v>
      </c>
      <c r="E740" s="70" t="s">
        <v>1570</v>
      </c>
      <c r="F740" s="70" t="s">
        <v>1571</v>
      </c>
      <c r="G740" s="70" t="s">
        <v>1572</v>
      </c>
      <c r="H740" s="70" t="s">
        <v>1573</v>
      </c>
      <c r="I740" s="72">
        <v>70.98</v>
      </c>
      <c r="J740" s="70" t="s">
        <v>58</v>
      </c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>
      <c r="A741" s="72">
        <v>1046.0</v>
      </c>
      <c r="B741" s="67" t="s">
        <v>1574</v>
      </c>
      <c r="C741" s="70" t="s">
        <v>69</v>
      </c>
      <c r="D741" s="70" t="s">
        <v>237</v>
      </c>
      <c r="E741" s="70" t="s">
        <v>112</v>
      </c>
      <c r="F741" s="73"/>
      <c r="G741" s="70" t="s">
        <v>64</v>
      </c>
      <c r="H741" s="70" t="s">
        <v>112</v>
      </c>
      <c r="I741" s="72">
        <v>62.44</v>
      </c>
      <c r="J741" s="70" t="s">
        <v>58</v>
      </c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>
      <c r="A742" s="72">
        <v>1045.0</v>
      </c>
      <c r="B742" s="67" t="s">
        <v>1575</v>
      </c>
      <c r="C742" s="70" t="s">
        <v>56</v>
      </c>
      <c r="D742" s="73"/>
      <c r="E742" s="70" t="s">
        <v>64</v>
      </c>
      <c r="F742" s="73"/>
      <c r="G742" s="73"/>
      <c r="H742" s="70" t="s">
        <v>64</v>
      </c>
      <c r="I742" s="72">
        <v>68.43</v>
      </c>
      <c r="J742" s="70" t="s">
        <v>73</v>
      </c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>
      <c r="A743" s="72">
        <v>1044.0</v>
      </c>
      <c r="B743" s="67" t="s">
        <v>1576</v>
      </c>
      <c r="C743" s="70" t="s">
        <v>60</v>
      </c>
      <c r="D743" s="70" t="s">
        <v>1577</v>
      </c>
      <c r="E743" s="70" t="s">
        <v>1578</v>
      </c>
      <c r="F743" s="73"/>
      <c r="G743" s="70" t="s">
        <v>241</v>
      </c>
      <c r="H743" s="70" t="s">
        <v>1579</v>
      </c>
      <c r="I743" s="72">
        <v>31.4</v>
      </c>
      <c r="J743" s="70" t="s">
        <v>58</v>
      </c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>
      <c r="A744" s="72">
        <v>1043.0</v>
      </c>
      <c r="B744" s="67" t="s">
        <v>1580</v>
      </c>
      <c r="C744" s="70" t="s">
        <v>56</v>
      </c>
      <c r="D744" s="70" t="s">
        <v>1581</v>
      </c>
      <c r="E744" s="70" t="s">
        <v>799</v>
      </c>
      <c r="F744" s="70" t="s">
        <v>64</v>
      </c>
      <c r="G744" s="70" t="s">
        <v>64</v>
      </c>
      <c r="H744" s="70" t="s">
        <v>800</v>
      </c>
      <c r="I744" s="72">
        <v>67.22</v>
      </c>
      <c r="J744" s="70" t="s">
        <v>58</v>
      </c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>
      <c r="A745" s="72">
        <v>1042.0</v>
      </c>
      <c r="B745" s="67" t="s">
        <v>1582</v>
      </c>
      <c r="C745" s="70" t="s">
        <v>56</v>
      </c>
      <c r="D745" s="70" t="s">
        <v>66</v>
      </c>
      <c r="E745" s="70" t="s">
        <v>462</v>
      </c>
      <c r="F745" s="73"/>
      <c r="G745" s="73"/>
      <c r="H745" s="70" t="s">
        <v>462</v>
      </c>
      <c r="I745" s="72">
        <v>48.8</v>
      </c>
      <c r="J745" s="70" t="s">
        <v>58</v>
      </c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>
      <c r="A746" s="72">
        <v>1041.0</v>
      </c>
      <c r="B746" s="67" t="s">
        <v>1583</v>
      </c>
      <c r="C746" s="70" t="s">
        <v>56</v>
      </c>
      <c r="D746" s="70" t="s">
        <v>99</v>
      </c>
      <c r="E746" s="75" t="s">
        <v>1584</v>
      </c>
      <c r="F746" s="70" t="s">
        <v>1585</v>
      </c>
      <c r="G746" s="70" t="s">
        <v>1586</v>
      </c>
      <c r="H746" s="70" t="s">
        <v>1587</v>
      </c>
      <c r="I746" s="72">
        <v>55.08</v>
      </c>
      <c r="J746" s="70" t="s">
        <v>58</v>
      </c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>
      <c r="A747" s="72">
        <v>1040.0</v>
      </c>
      <c r="B747" s="67" t="s">
        <v>1588</v>
      </c>
      <c r="C747" s="70" t="s">
        <v>56</v>
      </c>
      <c r="D747" s="75" t="s">
        <v>609</v>
      </c>
      <c r="E747" s="76" t="s">
        <v>71</v>
      </c>
      <c r="F747" s="73"/>
      <c r="G747" s="73"/>
      <c r="H747" s="70" t="s">
        <v>71</v>
      </c>
      <c r="I747" s="72">
        <v>54.06</v>
      </c>
      <c r="J747" s="70" t="s">
        <v>58</v>
      </c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>
      <c r="A748" s="72">
        <v>1039.0</v>
      </c>
      <c r="B748" s="67" t="s">
        <v>1589</v>
      </c>
      <c r="C748" s="75" t="s">
        <v>56</v>
      </c>
      <c r="D748" s="76" t="s">
        <v>76</v>
      </c>
      <c r="E748" s="76" t="s">
        <v>116</v>
      </c>
      <c r="F748" s="73"/>
      <c r="G748" s="73"/>
      <c r="H748" s="70" t="s">
        <v>116</v>
      </c>
      <c r="I748" s="72">
        <v>50.18</v>
      </c>
      <c r="J748" s="70" t="s">
        <v>58</v>
      </c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>
      <c r="A749" s="72">
        <v>1038.0</v>
      </c>
      <c r="B749" s="67" t="s">
        <v>1590</v>
      </c>
      <c r="C749" s="70" t="s">
        <v>56</v>
      </c>
      <c r="D749" s="70" t="s">
        <v>1591</v>
      </c>
      <c r="E749" s="70" t="s">
        <v>1592</v>
      </c>
      <c r="F749" s="70" t="s">
        <v>71</v>
      </c>
      <c r="G749" s="70" t="s">
        <v>1593</v>
      </c>
      <c r="H749" s="70" t="s">
        <v>1594</v>
      </c>
      <c r="I749" s="72">
        <v>82.37</v>
      </c>
      <c r="J749" s="70" t="s">
        <v>58</v>
      </c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>
      <c r="A750" s="72">
        <v>1037.0</v>
      </c>
      <c r="B750" s="67" t="s">
        <v>1595</v>
      </c>
      <c r="C750" s="70" t="s">
        <v>69</v>
      </c>
      <c r="D750" s="70" t="s">
        <v>99</v>
      </c>
      <c r="E750" s="70" t="s">
        <v>28</v>
      </c>
      <c r="F750" s="73"/>
      <c r="G750" s="73"/>
      <c r="H750" s="70" t="s">
        <v>28</v>
      </c>
      <c r="I750" s="72">
        <v>37.76</v>
      </c>
      <c r="J750" s="70" t="s">
        <v>58</v>
      </c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>
      <c r="A751" s="72">
        <v>1036.0</v>
      </c>
      <c r="B751" s="67" t="s">
        <v>1596</v>
      </c>
      <c r="C751" s="70" t="s">
        <v>60</v>
      </c>
      <c r="D751" s="70" t="s">
        <v>852</v>
      </c>
      <c r="E751" s="75" t="s">
        <v>1597</v>
      </c>
      <c r="F751" s="73"/>
      <c r="G751" s="73"/>
      <c r="H751" s="70" t="s">
        <v>1598</v>
      </c>
      <c r="I751" s="72">
        <v>34.4</v>
      </c>
      <c r="J751" s="70" t="s">
        <v>58</v>
      </c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>
      <c r="A752" s="72">
        <v>1035.0</v>
      </c>
      <c r="B752" s="67" t="s">
        <v>1599</v>
      </c>
      <c r="C752" s="70" t="s">
        <v>56</v>
      </c>
      <c r="D752" s="75" t="s">
        <v>93</v>
      </c>
      <c r="E752" s="76" t="s">
        <v>64</v>
      </c>
      <c r="F752" s="73"/>
      <c r="G752" s="73"/>
      <c r="H752" s="70" t="s">
        <v>64</v>
      </c>
      <c r="I752" s="72">
        <v>56.14</v>
      </c>
      <c r="J752" s="70" t="s">
        <v>58</v>
      </c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>
      <c r="A753" s="72">
        <v>1034.0</v>
      </c>
      <c r="B753" s="67" t="s">
        <v>1600</v>
      </c>
      <c r="C753" s="75" t="s">
        <v>56</v>
      </c>
      <c r="D753" s="76" t="s">
        <v>506</v>
      </c>
      <c r="E753" s="76" t="s">
        <v>1601</v>
      </c>
      <c r="F753" s="73"/>
      <c r="G753" s="73"/>
      <c r="H753" s="70" t="s">
        <v>1602</v>
      </c>
      <c r="I753" s="72">
        <v>45.72</v>
      </c>
      <c r="J753" s="70" t="s">
        <v>58</v>
      </c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>
      <c r="A754" s="72">
        <v>1033.0</v>
      </c>
      <c r="B754" s="67" t="s">
        <v>1603</v>
      </c>
      <c r="C754" s="70" t="s">
        <v>69</v>
      </c>
      <c r="D754" s="70" t="s">
        <v>1604</v>
      </c>
      <c r="E754" s="70" t="s">
        <v>71</v>
      </c>
      <c r="F754" s="73"/>
      <c r="G754" s="73"/>
      <c r="H754" s="70" t="s">
        <v>71</v>
      </c>
      <c r="I754" s="72">
        <v>43.26</v>
      </c>
      <c r="J754" s="70" t="s">
        <v>58</v>
      </c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>
      <c r="A755" s="72">
        <v>1032.0</v>
      </c>
      <c r="B755" s="67" t="s">
        <v>1605</v>
      </c>
      <c r="C755" s="70" t="s">
        <v>60</v>
      </c>
      <c r="D755" s="70" t="s">
        <v>1606</v>
      </c>
      <c r="E755" s="75" t="s">
        <v>936</v>
      </c>
      <c r="F755" s="70" t="s">
        <v>71</v>
      </c>
      <c r="G755" s="70" t="s">
        <v>612</v>
      </c>
      <c r="H755" s="70" t="s">
        <v>1607</v>
      </c>
      <c r="I755" s="72">
        <v>48.62</v>
      </c>
      <c r="J755" s="70" t="s">
        <v>58</v>
      </c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>
      <c r="A756" s="72">
        <v>1031.0</v>
      </c>
      <c r="B756" s="67" t="s">
        <v>1608</v>
      </c>
      <c r="C756" s="70" t="s">
        <v>56</v>
      </c>
      <c r="D756" s="75" t="s">
        <v>93</v>
      </c>
      <c r="E756" s="76" t="s">
        <v>1609</v>
      </c>
      <c r="F756" s="70" t="s">
        <v>64</v>
      </c>
      <c r="G756" s="70" t="s">
        <v>1610</v>
      </c>
      <c r="H756" s="70" t="s">
        <v>1611</v>
      </c>
      <c r="I756" s="72">
        <v>58.97</v>
      </c>
      <c r="J756" s="70" t="s">
        <v>58</v>
      </c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>
      <c r="A757" s="72">
        <v>1030.0</v>
      </c>
      <c r="B757" s="67" t="s">
        <v>1612</v>
      </c>
      <c r="C757" s="75" t="s">
        <v>69</v>
      </c>
      <c r="D757" s="76" t="s">
        <v>368</v>
      </c>
      <c r="E757" s="76" t="s">
        <v>1613</v>
      </c>
      <c r="F757" s="73"/>
      <c r="G757" s="73"/>
      <c r="H757" s="70" t="s">
        <v>1613</v>
      </c>
      <c r="I757" s="72">
        <v>67.21</v>
      </c>
      <c r="J757" s="70" t="s">
        <v>58</v>
      </c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>
      <c r="A758" s="72">
        <v>1029.0</v>
      </c>
      <c r="B758" s="67" t="s">
        <v>1614</v>
      </c>
      <c r="C758" s="75" t="s">
        <v>56</v>
      </c>
      <c r="D758" s="76" t="s">
        <v>61</v>
      </c>
      <c r="E758" s="76" t="s">
        <v>1537</v>
      </c>
      <c r="F758" s="70" t="s">
        <v>189</v>
      </c>
      <c r="G758" s="70" t="s">
        <v>1014</v>
      </c>
      <c r="H758" s="70" t="s">
        <v>1615</v>
      </c>
      <c r="I758" s="72">
        <v>58.1</v>
      </c>
      <c r="J758" s="70" t="s">
        <v>58</v>
      </c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>
      <c r="A759" s="72">
        <v>1028.0</v>
      </c>
      <c r="B759" s="67" t="s">
        <v>1616</v>
      </c>
      <c r="C759" s="70" t="s">
        <v>60</v>
      </c>
      <c r="D759" s="70" t="s">
        <v>289</v>
      </c>
      <c r="E759" s="70" t="s">
        <v>984</v>
      </c>
      <c r="F759" s="73"/>
      <c r="G759" s="70" t="s">
        <v>64</v>
      </c>
      <c r="H759" s="70" t="s">
        <v>1451</v>
      </c>
      <c r="I759" s="72">
        <v>70.94</v>
      </c>
      <c r="J759" s="70" t="s">
        <v>58</v>
      </c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>
      <c r="A760" s="72">
        <v>1027.0</v>
      </c>
      <c r="B760" s="67" t="s">
        <v>1617</v>
      </c>
      <c r="C760" s="70" t="s">
        <v>56</v>
      </c>
      <c r="D760" s="70" t="s">
        <v>76</v>
      </c>
      <c r="E760" s="70" t="s">
        <v>1618</v>
      </c>
      <c r="F760" s="70" t="s">
        <v>1619</v>
      </c>
      <c r="G760" s="70" t="s">
        <v>1619</v>
      </c>
      <c r="H760" s="70" t="s">
        <v>1620</v>
      </c>
      <c r="I760" s="72">
        <v>49.76</v>
      </c>
      <c r="J760" s="70" t="s">
        <v>58</v>
      </c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>
      <c r="A761" s="72">
        <v>1026.0</v>
      </c>
      <c r="B761" s="67" t="s">
        <v>1621</v>
      </c>
      <c r="C761" s="70" t="s">
        <v>56</v>
      </c>
      <c r="D761" s="70" t="s">
        <v>289</v>
      </c>
      <c r="E761" s="70" t="s">
        <v>937</v>
      </c>
      <c r="F761" s="70" t="s">
        <v>71</v>
      </c>
      <c r="G761" s="70" t="s">
        <v>1607</v>
      </c>
      <c r="H761" s="70" t="s">
        <v>1607</v>
      </c>
      <c r="I761" s="72">
        <v>69.56</v>
      </c>
      <c r="J761" s="70" t="s">
        <v>58</v>
      </c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>
      <c r="A762" s="72">
        <v>1025.0</v>
      </c>
      <c r="B762" s="67" t="s">
        <v>1622</v>
      </c>
      <c r="C762" s="70" t="s">
        <v>69</v>
      </c>
      <c r="D762" s="70" t="s">
        <v>652</v>
      </c>
      <c r="E762" s="70" t="s">
        <v>1623</v>
      </c>
      <c r="F762" s="70" t="s">
        <v>1624</v>
      </c>
      <c r="G762" s="70" t="s">
        <v>1624</v>
      </c>
      <c r="H762" s="70" t="s">
        <v>1625</v>
      </c>
      <c r="I762" s="72">
        <v>66.1</v>
      </c>
      <c r="J762" s="70" t="s">
        <v>58</v>
      </c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>
      <c r="A763" s="72">
        <v>1024.0</v>
      </c>
      <c r="B763" s="67" t="s">
        <v>1626</v>
      </c>
      <c r="C763" s="70" t="s">
        <v>56</v>
      </c>
      <c r="D763" s="70" t="s">
        <v>76</v>
      </c>
      <c r="E763" s="70" t="s">
        <v>87</v>
      </c>
      <c r="F763" s="70" t="s">
        <v>64</v>
      </c>
      <c r="G763" s="70" t="s">
        <v>64</v>
      </c>
      <c r="H763" s="70" t="s">
        <v>112</v>
      </c>
      <c r="I763" s="72">
        <v>49.0</v>
      </c>
      <c r="J763" s="70" t="s">
        <v>58</v>
      </c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>
      <c r="A764" s="72">
        <v>1023.0</v>
      </c>
      <c r="B764" s="67" t="s">
        <v>1627</v>
      </c>
      <c r="C764" s="70" t="s">
        <v>56</v>
      </c>
      <c r="D764" s="70" t="s">
        <v>1523</v>
      </c>
      <c r="E764" s="70" t="s">
        <v>87</v>
      </c>
      <c r="F764" s="73"/>
      <c r="G764" s="73"/>
      <c r="H764" s="70" t="s">
        <v>87</v>
      </c>
      <c r="I764" s="72">
        <v>57.55</v>
      </c>
      <c r="J764" s="70" t="s">
        <v>58</v>
      </c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>
      <c r="A765" s="72">
        <v>1022.0</v>
      </c>
      <c r="B765" s="67" t="s">
        <v>1628</v>
      </c>
      <c r="C765" s="70" t="s">
        <v>69</v>
      </c>
      <c r="D765" s="70" t="s">
        <v>320</v>
      </c>
      <c r="E765" s="70" t="s">
        <v>64</v>
      </c>
      <c r="F765" s="70" t="s">
        <v>64</v>
      </c>
      <c r="G765" s="70" t="s">
        <v>64</v>
      </c>
      <c r="H765" s="70" t="s">
        <v>64</v>
      </c>
      <c r="I765" s="72">
        <v>71.55</v>
      </c>
      <c r="J765" s="70" t="s">
        <v>58</v>
      </c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>
      <c r="A766" s="72">
        <v>1021.0</v>
      </c>
      <c r="B766" s="67" t="s">
        <v>1629</v>
      </c>
      <c r="C766" s="70" t="s">
        <v>69</v>
      </c>
      <c r="D766" s="70" t="s">
        <v>240</v>
      </c>
      <c r="E766" s="70" t="s">
        <v>1630</v>
      </c>
      <c r="F766" s="73"/>
      <c r="G766" s="70" t="s">
        <v>28</v>
      </c>
      <c r="H766" s="70" t="s">
        <v>1630</v>
      </c>
      <c r="I766" s="72">
        <v>79.12</v>
      </c>
      <c r="J766" s="70" t="s">
        <v>58</v>
      </c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>
      <c r="A767" s="72">
        <v>1020.0</v>
      </c>
      <c r="B767" s="67" t="s">
        <v>1631</v>
      </c>
      <c r="C767" s="70" t="s">
        <v>56</v>
      </c>
      <c r="D767" s="70" t="s">
        <v>506</v>
      </c>
      <c r="E767" s="70" t="s">
        <v>28</v>
      </c>
      <c r="F767" s="73"/>
      <c r="G767" s="73"/>
      <c r="H767" s="70" t="s">
        <v>28</v>
      </c>
      <c r="I767" s="72">
        <v>59.06</v>
      </c>
      <c r="J767" s="70" t="s">
        <v>58</v>
      </c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>
      <c r="A768" s="72">
        <v>1019.0</v>
      </c>
      <c r="B768" s="67" t="s">
        <v>1632</v>
      </c>
      <c r="C768" s="70" t="s">
        <v>56</v>
      </c>
      <c r="D768" s="70" t="s">
        <v>1633</v>
      </c>
      <c r="E768" s="70" t="s">
        <v>1634</v>
      </c>
      <c r="F768" s="73"/>
      <c r="G768" s="70" t="s">
        <v>1607</v>
      </c>
      <c r="H768" s="70" t="s">
        <v>1635</v>
      </c>
      <c r="I768" s="72">
        <v>58.29</v>
      </c>
      <c r="J768" s="70" t="s">
        <v>58</v>
      </c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>
      <c r="A769" s="72">
        <v>1018.0</v>
      </c>
      <c r="B769" s="67" t="s">
        <v>1636</v>
      </c>
      <c r="C769" s="70" t="s">
        <v>69</v>
      </c>
      <c r="D769" s="70" t="s">
        <v>93</v>
      </c>
      <c r="E769" s="73"/>
      <c r="F769" s="73"/>
      <c r="G769" s="73"/>
      <c r="H769" s="73"/>
      <c r="I769" s="72">
        <v>47.78</v>
      </c>
      <c r="J769" s="70" t="s">
        <v>58</v>
      </c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>
      <c r="A770" s="72">
        <v>1017.0</v>
      </c>
      <c r="B770" s="67" t="s">
        <v>1637</v>
      </c>
      <c r="C770" s="70" t="s">
        <v>56</v>
      </c>
      <c r="D770" s="70" t="s">
        <v>99</v>
      </c>
      <c r="E770" s="70" t="s">
        <v>1638</v>
      </c>
      <c r="F770" s="70" t="s">
        <v>1115</v>
      </c>
      <c r="G770" s="70" t="s">
        <v>1115</v>
      </c>
      <c r="H770" s="70" t="s">
        <v>1639</v>
      </c>
      <c r="I770" s="72">
        <v>59.8</v>
      </c>
      <c r="J770" s="70" t="s">
        <v>58</v>
      </c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>
      <c r="A771" s="72">
        <v>1016.0</v>
      </c>
      <c r="B771" s="67" t="s">
        <v>1640</v>
      </c>
      <c r="C771" s="70" t="s">
        <v>56</v>
      </c>
      <c r="D771" s="70" t="s">
        <v>70</v>
      </c>
      <c r="E771" s="75" t="s">
        <v>28</v>
      </c>
      <c r="F771" s="73"/>
      <c r="G771" s="73"/>
      <c r="H771" s="70" t="s">
        <v>28</v>
      </c>
      <c r="I771" s="72">
        <v>58.85</v>
      </c>
      <c r="J771" s="70" t="s">
        <v>58</v>
      </c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>
      <c r="A772" s="72">
        <v>1015.0</v>
      </c>
      <c r="B772" s="67" t="s">
        <v>1641</v>
      </c>
      <c r="C772" s="70" t="s">
        <v>56</v>
      </c>
      <c r="D772" s="75" t="s">
        <v>99</v>
      </c>
      <c r="E772" s="76" t="s">
        <v>28</v>
      </c>
      <c r="F772" s="73"/>
      <c r="G772" s="73"/>
      <c r="H772" s="70" t="s">
        <v>28</v>
      </c>
      <c r="I772" s="72">
        <v>41.87</v>
      </c>
      <c r="J772" s="70" t="s">
        <v>58</v>
      </c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>
      <c r="A773" s="72">
        <v>1014.0</v>
      </c>
      <c r="B773" s="67" t="s">
        <v>1642</v>
      </c>
      <c r="C773" s="75" t="s">
        <v>56</v>
      </c>
      <c r="D773" s="76" t="s">
        <v>93</v>
      </c>
      <c r="E773" s="76" t="s">
        <v>438</v>
      </c>
      <c r="F773" s="73"/>
      <c r="G773" s="73"/>
      <c r="H773" s="70" t="s">
        <v>438</v>
      </c>
      <c r="I773" s="72">
        <v>52.87</v>
      </c>
      <c r="J773" s="70" t="s">
        <v>58</v>
      </c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>
      <c r="A774" s="72">
        <v>1013.0</v>
      </c>
      <c r="B774" s="67" t="s">
        <v>1643</v>
      </c>
      <c r="C774" s="70" t="s">
        <v>69</v>
      </c>
      <c r="D774" s="75" t="s">
        <v>93</v>
      </c>
      <c r="E774" s="76" t="s">
        <v>1644</v>
      </c>
      <c r="F774" s="73"/>
      <c r="G774" s="70" t="s">
        <v>1017</v>
      </c>
      <c r="H774" s="70" t="s">
        <v>1645</v>
      </c>
      <c r="I774" s="72">
        <v>48.52</v>
      </c>
      <c r="J774" s="70" t="s">
        <v>58</v>
      </c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>
      <c r="A775" s="72">
        <v>1012.0</v>
      </c>
      <c r="B775" s="67" t="s">
        <v>1646</v>
      </c>
      <c r="C775" s="75" t="s">
        <v>60</v>
      </c>
      <c r="D775" s="76" t="s">
        <v>652</v>
      </c>
      <c r="E775" s="76" t="s">
        <v>1647</v>
      </c>
      <c r="F775" s="73"/>
      <c r="G775" s="70" t="s">
        <v>1648</v>
      </c>
      <c r="H775" s="70" t="s">
        <v>1649</v>
      </c>
      <c r="I775" s="72">
        <v>37.82</v>
      </c>
      <c r="J775" s="70" t="s">
        <v>58</v>
      </c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>
      <c r="A776" s="72">
        <v>1011.0</v>
      </c>
      <c r="B776" s="67" t="s">
        <v>1650</v>
      </c>
      <c r="C776" s="70" t="s">
        <v>56</v>
      </c>
      <c r="D776" s="70" t="s">
        <v>484</v>
      </c>
      <c r="E776" s="70" t="s">
        <v>1651</v>
      </c>
      <c r="F776" s="70" t="s">
        <v>1652</v>
      </c>
      <c r="G776" s="70" t="s">
        <v>1653</v>
      </c>
      <c r="H776" s="70" t="s">
        <v>1654</v>
      </c>
      <c r="I776" s="72">
        <v>59.77</v>
      </c>
      <c r="J776" s="70" t="s">
        <v>58</v>
      </c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>
      <c r="A777" s="72">
        <v>1010.0</v>
      </c>
      <c r="B777" s="67" t="s">
        <v>1655</v>
      </c>
      <c r="C777" s="70" t="s">
        <v>56</v>
      </c>
      <c r="D777" s="70" t="s">
        <v>93</v>
      </c>
      <c r="E777" s="70" t="s">
        <v>1656</v>
      </c>
      <c r="F777" s="70" t="s">
        <v>1657</v>
      </c>
      <c r="G777" s="70" t="s">
        <v>1658</v>
      </c>
      <c r="H777" s="70" t="s">
        <v>1659</v>
      </c>
      <c r="I777" s="72">
        <v>50.44</v>
      </c>
      <c r="J777" s="70" t="s">
        <v>58</v>
      </c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>
      <c r="A778" s="72">
        <v>1009.0</v>
      </c>
      <c r="B778" s="67" t="s">
        <v>1660</v>
      </c>
      <c r="C778" s="70" t="s">
        <v>69</v>
      </c>
      <c r="D778" s="70" t="s">
        <v>99</v>
      </c>
      <c r="E778" s="70" t="s">
        <v>1661</v>
      </c>
      <c r="F778" s="73"/>
      <c r="G778" s="73"/>
      <c r="H778" s="70" t="s">
        <v>1661</v>
      </c>
      <c r="I778" s="72">
        <v>61.45</v>
      </c>
      <c r="J778" s="70" t="s">
        <v>58</v>
      </c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>
      <c r="A779" s="72">
        <v>1008.0</v>
      </c>
      <c r="B779" s="67" t="s">
        <v>1662</v>
      </c>
      <c r="C779" s="70" t="s">
        <v>56</v>
      </c>
      <c r="D779" s="70" t="s">
        <v>320</v>
      </c>
      <c r="E779" s="70" t="s">
        <v>1663</v>
      </c>
      <c r="F779" s="70" t="s">
        <v>1664</v>
      </c>
      <c r="G779" s="70" t="s">
        <v>1665</v>
      </c>
      <c r="H779" s="70" t="s">
        <v>1665</v>
      </c>
      <c r="I779" s="72">
        <v>78.81</v>
      </c>
      <c r="J779" s="70" t="s">
        <v>58</v>
      </c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>
      <c r="A780" s="72">
        <v>1007.0</v>
      </c>
      <c r="B780" s="67" t="s">
        <v>1666</v>
      </c>
      <c r="C780" s="70" t="s">
        <v>56</v>
      </c>
      <c r="D780" s="70" t="s">
        <v>114</v>
      </c>
      <c r="E780" s="70" t="s">
        <v>87</v>
      </c>
      <c r="F780" s="70" t="s">
        <v>28</v>
      </c>
      <c r="G780" s="70" t="s">
        <v>28</v>
      </c>
      <c r="H780" s="70" t="s">
        <v>87</v>
      </c>
      <c r="I780" s="72">
        <v>50.9</v>
      </c>
      <c r="J780" s="70" t="s">
        <v>58</v>
      </c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>
      <c r="A781" s="72">
        <v>1006.0</v>
      </c>
      <c r="B781" s="67" t="s">
        <v>1667</v>
      </c>
      <c r="C781" s="70" t="s">
        <v>56</v>
      </c>
      <c r="D781" s="70" t="s">
        <v>99</v>
      </c>
      <c r="E781" s="75" t="s">
        <v>67</v>
      </c>
      <c r="F781" s="73"/>
      <c r="G781" s="73"/>
      <c r="H781" s="70" t="s">
        <v>67</v>
      </c>
      <c r="I781" s="72">
        <v>53.61</v>
      </c>
      <c r="J781" s="70" t="s">
        <v>58</v>
      </c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>
      <c r="A782" s="72">
        <v>1005.0</v>
      </c>
      <c r="B782" s="67" t="s">
        <v>1668</v>
      </c>
      <c r="C782" s="70" t="s">
        <v>69</v>
      </c>
      <c r="D782" s="75" t="s">
        <v>61</v>
      </c>
      <c r="E782" s="76" t="s">
        <v>1669</v>
      </c>
      <c r="F782" s="73"/>
      <c r="G782" s="70" t="s">
        <v>64</v>
      </c>
      <c r="H782" s="70" t="s">
        <v>1669</v>
      </c>
      <c r="I782" s="72">
        <v>52.31</v>
      </c>
      <c r="J782" s="70" t="s">
        <v>58</v>
      </c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>
      <c r="A783" s="72">
        <v>1004.0</v>
      </c>
      <c r="B783" s="67" t="s">
        <v>1670</v>
      </c>
      <c r="C783" s="75" t="s">
        <v>56</v>
      </c>
      <c r="D783" s="76" t="s">
        <v>1671</v>
      </c>
      <c r="E783" s="76" t="s">
        <v>1672</v>
      </c>
      <c r="F783" s="70" t="s">
        <v>1673</v>
      </c>
      <c r="G783" s="70" t="s">
        <v>1674</v>
      </c>
      <c r="H783" s="70" t="s">
        <v>1675</v>
      </c>
      <c r="I783" s="72">
        <v>60.88</v>
      </c>
      <c r="J783" s="70" t="s">
        <v>58</v>
      </c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>
      <c r="A784" s="72">
        <v>1003.0</v>
      </c>
      <c r="B784" s="67" t="s">
        <v>1676</v>
      </c>
      <c r="C784" s="70" t="s">
        <v>56</v>
      </c>
      <c r="D784" s="70" t="s">
        <v>531</v>
      </c>
      <c r="E784" s="75" t="s">
        <v>269</v>
      </c>
      <c r="F784" s="73"/>
      <c r="G784" s="73"/>
      <c r="H784" s="70" t="s">
        <v>269</v>
      </c>
      <c r="I784" s="72">
        <v>56.52</v>
      </c>
      <c r="J784" s="70" t="s">
        <v>58</v>
      </c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>
      <c r="A785" s="72">
        <v>1002.0</v>
      </c>
      <c r="B785" s="67" t="s">
        <v>1677</v>
      </c>
      <c r="C785" s="70" t="s">
        <v>69</v>
      </c>
      <c r="D785" s="75" t="s">
        <v>156</v>
      </c>
      <c r="E785" s="76" t="s">
        <v>1678</v>
      </c>
      <c r="F785" s="70" t="s">
        <v>1679</v>
      </c>
      <c r="G785" s="70" t="s">
        <v>1680</v>
      </c>
      <c r="H785" s="70" t="s">
        <v>1681</v>
      </c>
      <c r="I785" s="72">
        <v>68.66</v>
      </c>
      <c r="J785" s="70" t="s">
        <v>58</v>
      </c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>
      <c r="A786" s="72">
        <v>1001.0</v>
      </c>
      <c r="B786" s="67" t="s">
        <v>1682</v>
      </c>
      <c r="C786" s="75" t="s">
        <v>60</v>
      </c>
      <c r="D786" s="76" t="s">
        <v>284</v>
      </c>
      <c r="E786" s="76" t="s">
        <v>1119</v>
      </c>
      <c r="F786" s="70" t="s">
        <v>1119</v>
      </c>
      <c r="G786" s="70" t="s">
        <v>1119</v>
      </c>
      <c r="H786" s="70" t="s">
        <v>1119</v>
      </c>
      <c r="I786" s="72">
        <v>36.32</v>
      </c>
      <c r="J786" s="70" t="s">
        <v>58</v>
      </c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>
      <c r="A787" s="72">
        <v>1000.0</v>
      </c>
      <c r="B787" s="67" t="s">
        <v>1683</v>
      </c>
      <c r="C787" s="70" t="s">
        <v>60</v>
      </c>
      <c r="D787" s="70" t="s">
        <v>76</v>
      </c>
      <c r="E787" s="75" t="s">
        <v>87</v>
      </c>
      <c r="F787" s="70" t="s">
        <v>64</v>
      </c>
      <c r="G787" s="70" t="s">
        <v>64</v>
      </c>
      <c r="H787" s="70" t="s">
        <v>112</v>
      </c>
      <c r="I787" s="72">
        <v>40.49</v>
      </c>
      <c r="J787" s="70" t="s">
        <v>58</v>
      </c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>
      <c r="A788" s="72">
        <v>999.0</v>
      </c>
      <c r="B788" s="67" t="s">
        <v>1684</v>
      </c>
      <c r="C788" s="70" t="s">
        <v>69</v>
      </c>
      <c r="D788" s="75" t="s">
        <v>93</v>
      </c>
      <c r="E788" s="76" t="s">
        <v>1685</v>
      </c>
      <c r="F788" s="73"/>
      <c r="G788" s="70" t="s">
        <v>1685</v>
      </c>
      <c r="H788" s="70" t="s">
        <v>1685</v>
      </c>
      <c r="I788" s="72">
        <v>67.81</v>
      </c>
      <c r="J788" s="70" t="s">
        <v>58</v>
      </c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>
      <c r="A789" s="72">
        <v>998.0</v>
      </c>
      <c r="B789" s="67" t="s">
        <v>1686</v>
      </c>
      <c r="C789" s="75" t="s">
        <v>56</v>
      </c>
      <c r="D789" s="76" t="s">
        <v>320</v>
      </c>
      <c r="E789" s="76" t="s">
        <v>71</v>
      </c>
      <c r="F789" s="73"/>
      <c r="G789" s="73"/>
      <c r="H789" s="70" t="s">
        <v>71</v>
      </c>
      <c r="I789" s="72">
        <v>64.03</v>
      </c>
      <c r="J789" s="70" t="s">
        <v>58</v>
      </c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>
      <c r="A790" s="72">
        <v>997.0</v>
      </c>
      <c r="B790" s="67" t="s">
        <v>1687</v>
      </c>
      <c r="C790" s="75" t="s">
        <v>69</v>
      </c>
      <c r="D790" s="76" t="s">
        <v>66</v>
      </c>
      <c r="E790" s="76" t="s">
        <v>1688</v>
      </c>
      <c r="F790" s="70" t="s">
        <v>64</v>
      </c>
      <c r="G790" s="70" t="s">
        <v>64</v>
      </c>
      <c r="H790" s="70" t="s">
        <v>1689</v>
      </c>
      <c r="I790" s="72">
        <v>49.8</v>
      </c>
      <c r="J790" s="70" t="s">
        <v>58</v>
      </c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>
      <c r="A791" s="72">
        <v>996.0</v>
      </c>
      <c r="B791" s="67" t="s">
        <v>1690</v>
      </c>
      <c r="C791" s="70" t="s">
        <v>60</v>
      </c>
      <c r="D791" s="70" t="s">
        <v>1691</v>
      </c>
      <c r="E791" s="75" t="s">
        <v>1692</v>
      </c>
      <c r="F791" s="73"/>
      <c r="G791" s="70" t="s">
        <v>1693</v>
      </c>
      <c r="H791" s="70" t="s">
        <v>1693</v>
      </c>
      <c r="I791" s="72">
        <v>48.53</v>
      </c>
      <c r="J791" s="70" t="s">
        <v>58</v>
      </c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>
      <c r="A792" s="72">
        <v>995.0</v>
      </c>
      <c r="B792" s="67" t="s">
        <v>1694</v>
      </c>
      <c r="C792" s="70" t="s">
        <v>60</v>
      </c>
      <c r="D792" s="75" t="s">
        <v>1695</v>
      </c>
      <c r="E792" s="76" t="s">
        <v>1696</v>
      </c>
      <c r="F792" s="70" t="s">
        <v>112</v>
      </c>
      <c r="G792" s="70" t="s">
        <v>1135</v>
      </c>
      <c r="H792" s="70" t="s">
        <v>1697</v>
      </c>
      <c r="I792" s="72">
        <v>50.0</v>
      </c>
      <c r="J792" s="70" t="s">
        <v>58</v>
      </c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>
      <c r="A793" s="72">
        <v>994.0</v>
      </c>
      <c r="B793" s="67" t="s">
        <v>1698</v>
      </c>
      <c r="C793" s="75" t="s">
        <v>56</v>
      </c>
      <c r="D793" s="76" t="s">
        <v>852</v>
      </c>
      <c r="E793" s="76" t="s">
        <v>1699</v>
      </c>
      <c r="F793" s="70" t="s">
        <v>1700</v>
      </c>
      <c r="G793" s="70" t="s">
        <v>1701</v>
      </c>
      <c r="H793" s="70" t="s">
        <v>1702</v>
      </c>
      <c r="I793" s="72">
        <v>49.62</v>
      </c>
      <c r="J793" s="70" t="s">
        <v>58</v>
      </c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>
      <c r="A794" s="72">
        <v>993.0</v>
      </c>
      <c r="B794" s="67" t="s">
        <v>1703</v>
      </c>
      <c r="C794" s="75" t="s">
        <v>69</v>
      </c>
      <c r="D794" s="76" t="s">
        <v>442</v>
      </c>
      <c r="E794" s="76" t="s">
        <v>1704</v>
      </c>
      <c r="F794" s="70" t="s">
        <v>1092</v>
      </c>
      <c r="G794" s="70" t="s">
        <v>1705</v>
      </c>
      <c r="H794" s="70" t="s">
        <v>1706</v>
      </c>
      <c r="I794" s="72">
        <v>52.33</v>
      </c>
      <c r="J794" s="70" t="s">
        <v>58</v>
      </c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>
      <c r="A795" s="72">
        <v>992.0</v>
      </c>
      <c r="B795" s="67" t="s">
        <v>1707</v>
      </c>
      <c r="C795" s="70" t="s">
        <v>60</v>
      </c>
      <c r="D795" s="70" t="s">
        <v>1708</v>
      </c>
      <c r="E795" s="70" t="s">
        <v>1709</v>
      </c>
      <c r="F795" s="70" t="s">
        <v>87</v>
      </c>
      <c r="G795" s="70" t="s">
        <v>1537</v>
      </c>
      <c r="H795" s="70" t="s">
        <v>1710</v>
      </c>
      <c r="I795" s="72">
        <v>50.76</v>
      </c>
      <c r="J795" s="70" t="s">
        <v>58</v>
      </c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>
      <c r="A796" s="72">
        <v>991.0</v>
      </c>
      <c r="B796" s="67" t="s">
        <v>1711</v>
      </c>
      <c r="C796" s="70" t="s">
        <v>56</v>
      </c>
      <c r="D796" s="70" t="s">
        <v>216</v>
      </c>
      <c r="E796" s="70" t="s">
        <v>1712</v>
      </c>
      <c r="F796" s="73"/>
      <c r="G796" s="70" t="s">
        <v>1713</v>
      </c>
      <c r="H796" s="70" t="s">
        <v>1713</v>
      </c>
      <c r="I796" s="72">
        <v>49.75</v>
      </c>
      <c r="J796" s="70" t="s">
        <v>58</v>
      </c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>
      <c r="A797" s="72">
        <v>990.0</v>
      </c>
      <c r="B797" s="67" t="s">
        <v>1714</v>
      </c>
      <c r="C797" s="70" t="s">
        <v>56</v>
      </c>
      <c r="D797" s="70" t="s">
        <v>1316</v>
      </c>
      <c r="E797" s="75" t="s">
        <v>1715</v>
      </c>
      <c r="F797" s="73"/>
      <c r="G797" s="73"/>
      <c r="H797" s="70" t="s">
        <v>1715</v>
      </c>
      <c r="I797" s="72">
        <v>46.89</v>
      </c>
      <c r="J797" s="70" t="s">
        <v>58</v>
      </c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>
      <c r="A798" s="72">
        <v>989.0</v>
      </c>
      <c r="B798" s="67" t="s">
        <v>1716</v>
      </c>
      <c r="C798" s="70" t="s">
        <v>69</v>
      </c>
      <c r="D798" s="75" t="s">
        <v>93</v>
      </c>
      <c r="E798" s="76" t="s">
        <v>612</v>
      </c>
      <c r="F798" s="70" t="s">
        <v>71</v>
      </c>
      <c r="G798" s="70" t="s">
        <v>612</v>
      </c>
      <c r="H798" s="70" t="s">
        <v>612</v>
      </c>
      <c r="I798" s="72">
        <v>44.93</v>
      </c>
      <c r="J798" s="70" t="s">
        <v>58</v>
      </c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>
      <c r="A799" s="72">
        <v>988.0</v>
      </c>
      <c r="B799" s="67" t="s">
        <v>1717</v>
      </c>
      <c r="C799" s="75" t="s">
        <v>56</v>
      </c>
      <c r="D799" s="76" t="s">
        <v>289</v>
      </c>
      <c r="E799" s="76" t="s">
        <v>28</v>
      </c>
      <c r="F799" s="73"/>
      <c r="G799" s="73"/>
      <c r="H799" s="70" t="s">
        <v>28</v>
      </c>
      <c r="I799" s="72">
        <v>46.76</v>
      </c>
      <c r="J799" s="70" t="s">
        <v>58</v>
      </c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>
      <c r="A800" s="72">
        <v>987.0</v>
      </c>
      <c r="B800" s="67" t="s">
        <v>1718</v>
      </c>
      <c r="C800" s="70" t="s">
        <v>60</v>
      </c>
      <c r="D800" s="70" t="s">
        <v>625</v>
      </c>
      <c r="E800" s="70" t="s">
        <v>1719</v>
      </c>
      <c r="F800" s="70" t="s">
        <v>1720</v>
      </c>
      <c r="G800" s="70" t="s">
        <v>1721</v>
      </c>
      <c r="H800" s="70" t="s">
        <v>1722</v>
      </c>
      <c r="I800" s="72">
        <v>38.92</v>
      </c>
      <c r="J800" s="70" t="s">
        <v>58</v>
      </c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>
      <c r="A801" s="72">
        <v>986.0</v>
      </c>
      <c r="B801" s="67" t="s">
        <v>1723</v>
      </c>
      <c r="C801" s="70" t="s">
        <v>56</v>
      </c>
      <c r="D801" s="70" t="s">
        <v>151</v>
      </c>
      <c r="E801" s="75" t="s">
        <v>1724</v>
      </c>
      <c r="F801" s="70" t="s">
        <v>1725</v>
      </c>
      <c r="G801" s="70" t="s">
        <v>1726</v>
      </c>
      <c r="H801" s="70" t="s">
        <v>1727</v>
      </c>
      <c r="I801" s="72">
        <v>68.4</v>
      </c>
      <c r="J801" s="70" t="s">
        <v>58</v>
      </c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>
      <c r="A802" s="72">
        <v>985.0</v>
      </c>
      <c r="B802" s="67" t="s">
        <v>1728</v>
      </c>
      <c r="C802" s="70" t="s">
        <v>69</v>
      </c>
      <c r="D802" s="75" t="s">
        <v>93</v>
      </c>
      <c r="E802" s="76" t="s">
        <v>1729</v>
      </c>
      <c r="F802" s="73"/>
      <c r="G802" s="73"/>
      <c r="H802" s="70" t="s">
        <v>1729</v>
      </c>
      <c r="I802" s="72">
        <v>60.67</v>
      </c>
      <c r="J802" s="70" t="s">
        <v>58</v>
      </c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>
      <c r="A803" s="72">
        <v>984.0</v>
      </c>
      <c r="B803" s="67" t="s">
        <v>1730</v>
      </c>
      <c r="C803" s="75" t="s">
        <v>56</v>
      </c>
      <c r="D803" s="75" t="s">
        <v>61</v>
      </c>
      <c r="E803" s="75" t="s">
        <v>1731</v>
      </c>
      <c r="F803" s="73"/>
      <c r="G803" s="73"/>
      <c r="H803" s="70" t="s">
        <v>1732</v>
      </c>
      <c r="I803" s="72">
        <v>38.74</v>
      </c>
      <c r="J803" s="70" t="s">
        <v>58</v>
      </c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>
      <c r="A804" s="72">
        <v>983.0</v>
      </c>
      <c r="B804" s="67" t="s">
        <v>1733</v>
      </c>
      <c r="C804" s="75" t="s">
        <v>56</v>
      </c>
      <c r="D804" s="75" t="s">
        <v>76</v>
      </c>
      <c r="E804" s="76" t="s">
        <v>1734</v>
      </c>
      <c r="F804" s="70" t="s">
        <v>490</v>
      </c>
      <c r="G804" s="70" t="s">
        <v>1735</v>
      </c>
      <c r="H804" s="70" t="s">
        <v>1736</v>
      </c>
      <c r="I804" s="72">
        <v>62.78</v>
      </c>
      <c r="J804" s="70" t="s">
        <v>58</v>
      </c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>
      <c r="A805" s="72">
        <v>982.0</v>
      </c>
      <c r="B805" s="67" t="s">
        <v>1737</v>
      </c>
      <c r="C805" s="70" t="s">
        <v>60</v>
      </c>
      <c r="D805" s="70" t="s">
        <v>76</v>
      </c>
      <c r="E805" s="70" t="s">
        <v>755</v>
      </c>
      <c r="F805" s="73"/>
      <c r="G805" s="73"/>
      <c r="H805" s="70" t="s">
        <v>128</v>
      </c>
      <c r="I805" s="72">
        <v>56.33</v>
      </c>
      <c r="J805" s="70" t="s">
        <v>58</v>
      </c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>
      <c r="A806" s="72">
        <v>981.0</v>
      </c>
      <c r="B806" s="67" t="s">
        <v>1738</v>
      </c>
      <c r="C806" s="70" t="s">
        <v>56</v>
      </c>
      <c r="D806" s="70" t="s">
        <v>1254</v>
      </c>
      <c r="E806" s="70" t="s">
        <v>1739</v>
      </c>
      <c r="F806" s="70" t="s">
        <v>1740</v>
      </c>
      <c r="G806" s="70" t="s">
        <v>1741</v>
      </c>
      <c r="H806" s="70" t="s">
        <v>1742</v>
      </c>
      <c r="I806" s="72">
        <v>54.17</v>
      </c>
      <c r="J806" s="70" t="s">
        <v>58</v>
      </c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>
      <c r="A807" s="72">
        <v>980.0</v>
      </c>
      <c r="B807" s="67" t="s">
        <v>1743</v>
      </c>
      <c r="C807" s="70" t="s">
        <v>60</v>
      </c>
      <c r="D807" s="70" t="s">
        <v>1744</v>
      </c>
      <c r="E807" s="70" t="s">
        <v>1745</v>
      </c>
      <c r="F807" s="70" t="s">
        <v>1746</v>
      </c>
      <c r="G807" s="70" t="s">
        <v>1747</v>
      </c>
      <c r="H807" s="70" t="s">
        <v>1748</v>
      </c>
      <c r="I807" s="72">
        <v>77.05</v>
      </c>
      <c r="J807" s="70" t="s">
        <v>58</v>
      </c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>
      <c r="A808" s="72">
        <v>979.0</v>
      </c>
      <c r="B808" s="67" t="s">
        <v>1749</v>
      </c>
      <c r="C808" s="70" t="s">
        <v>56</v>
      </c>
      <c r="D808" s="70" t="s">
        <v>289</v>
      </c>
      <c r="E808" s="70" t="s">
        <v>1750</v>
      </c>
      <c r="F808" s="70" t="s">
        <v>64</v>
      </c>
      <c r="G808" s="70" t="s">
        <v>1751</v>
      </c>
      <c r="H808" s="70" t="s">
        <v>1752</v>
      </c>
      <c r="I808" s="72">
        <v>69.83</v>
      </c>
      <c r="J808" s="70" t="s">
        <v>58</v>
      </c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>
      <c r="A809" s="72">
        <v>978.0</v>
      </c>
      <c r="B809" s="67" t="s">
        <v>1753</v>
      </c>
      <c r="C809" s="70" t="s">
        <v>56</v>
      </c>
      <c r="D809" s="70" t="s">
        <v>754</v>
      </c>
      <c r="E809" s="70" t="s">
        <v>635</v>
      </c>
      <c r="F809" s="73"/>
      <c r="G809" s="73"/>
      <c r="H809" s="70" t="s">
        <v>636</v>
      </c>
      <c r="I809" s="72">
        <v>46.65</v>
      </c>
      <c r="J809" s="70" t="s">
        <v>58</v>
      </c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>
      <c r="A810" s="72">
        <v>977.0</v>
      </c>
      <c r="B810" s="67" t="s">
        <v>1754</v>
      </c>
      <c r="C810" s="70" t="s">
        <v>69</v>
      </c>
      <c r="D810" s="70" t="s">
        <v>1755</v>
      </c>
      <c r="E810" s="70" t="s">
        <v>1756</v>
      </c>
      <c r="F810" s="70" t="s">
        <v>1757</v>
      </c>
      <c r="G810" s="70" t="s">
        <v>1758</v>
      </c>
      <c r="H810" s="70" t="s">
        <v>1759</v>
      </c>
      <c r="I810" s="72">
        <v>71.93</v>
      </c>
      <c r="J810" s="70" t="s">
        <v>58</v>
      </c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>
      <c r="A811" s="72">
        <v>976.0</v>
      </c>
      <c r="B811" s="67" t="s">
        <v>1760</v>
      </c>
      <c r="C811" s="70" t="s">
        <v>69</v>
      </c>
      <c r="D811" s="70" t="s">
        <v>1288</v>
      </c>
      <c r="E811" s="70" t="s">
        <v>1761</v>
      </c>
      <c r="F811" s="73"/>
      <c r="G811" s="73"/>
      <c r="H811" s="70" t="s">
        <v>1761</v>
      </c>
      <c r="I811" s="72">
        <v>58.67</v>
      </c>
      <c r="J811" s="70" t="s">
        <v>58</v>
      </c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>
      <c r="A812" s="72">
        <v>975.0</v>
      </c>
      <c r="B812" s="67" t="s">
        <v>1762</v>
      </c>
      <c r="C812" s="70" t="s">
        <v>60</v>
      </c>
      <c r="D812" s="70" t="s">
        <v>1763</v>
      </c>
      <c r="E812" s="70" t="s">
        <v>28</v>
      </c>
      <c r="F812" s="73"/>
      <c r="G812" s="73"/>
      <c r="H812" s="70" t="s">
        <v>28</v>
      </c>
      <c r="I812" s="72">
        <v>41.53</v>
      </c>
      <c r="J812" s="70" t="s">
        <v>58</v>
      </c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>
      <c r="A813" s="72">
        <v>974.0</v>
      </c>
      <c r="B813" s="67" t="s">
        <v>1764</v>
      </c>
      <c r="C813" s="70" t="s">
        <v>56</v>
      </c>
      <c r="D813" s="70" t="s">
        <v>156</v>
      </c>
      <c r="E813" s="70" t="s">
        <v>1765</v>
      </c>
      <c r="F813" s="70" t="s">
        <v>1766</v>
      </c>
      <c r="G813" s="70" t="s">
        <v>1767</v>
      </c>
      <c r="H813" s="70" t="s">
        <v>1768</v>
      </c>
      <c r="I813" s="72">
        <v>50.91</v>
      </c>
      <c r="J813" s="70" t="s">
        <v>58</v>
      </c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>
      <c r="A814" s="72">
        <v>973.0</v>
      </c>
      <c r="B814" s="67" t="s">
        <v>1769</v>
      </c>
      <c r="C814" s="70" t="s">
        <v>56</v>
      </c>
      <c r="D814" s="70" t="s">
        <v>1770</v>
      </c>
      <c r="E814" s="70" t="s">
        <v>1771</v>
      </c>
      <c r="F814" s="70" t="s">
        <v>1772</v>
      </c>
      <c r="G814" s="70" t="s">
        <v>1773</v>
      </c>
      <c r="H814" s="70" t="s">
        <v>1774</v>
      </c>
      <c r="I814" s="72">
        <v>64.56</v>
      </c>
      <c r="J814" s="70" t="s">
        <v>58</v>
      </c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>
      <c r="A815" s="72">
        <v>972.0</v>
      </c>
      <c r="B815" s="67" t="s">
        <v>1775</v>
      </c>
      <c r="C815" s="70" t="s">
        <v>60</v>
      </c>
      <c r="D815" s="70" t="s">
        <v>99</v>
      </c>
      <c r="E815" s="70" t="s">
        <v>67</v>
      </c>
      <c r="F815" s="73"/>
      <c r="G815" s="73"/>
      <c r="H815" s="70" t="s">
        <v>67</v>
      </c>
      <c r="I815" s="72">
        <v>42.05</v>
      </c>
      <c r="J815" s="70" t="s">
        <v>58</v>
      </c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>
      <c r="A816" s="72">
        <v>971.0</v>
      </c>
      <c r="B816" s="67" t="s">
        <v>1776</v>
      </c>
      <c r="C816" s="70" t="s">
        <v>56</v>
      </c>
      <c r="D816" s="70" t="s">
        <v>289</v>
      </c>
      <c r="E816" s="70" t="s">
        <v>189</v>
      </c>
      <c r="F816" s="73"/>
      <c r="G816" s="73"/>
      <c r="H816" s="70" t="s">
        <v>189</v>
      </c>
      <c r="I816" s="72">
        <v>46.08</v>
      </c>
      <c r="J816" s="70" t="s">
        <v>58</v>
      </c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>
      <c r="A817" s="72">
        <v>970.0</v>
      </c>
      <c r="B817" s="67" t="s">
        <v>1777</v>
      </c>
      <c r="C817" s="70" t="s">
        <v>56</v>
      </c>
      <c r="D817" s="70" t="s">
        <v>479</v>
      </c>
      <c r="E817" s="73"/>
      <c r="F817" s="73"/>
      <c r="G817" s="73"/>
      <c r="H817" s="73"/>
      <c r="I817" s="72">
        <v>40.01</v>
      </c>
      <c r="J817" s="70" t="s">
        <v>58</v>
      </c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>
      <c r="A818" s="72">
        <v>969.0</v>
      </c>
      <c r="B818" s="67" t="s">
        <v>1778</v>
      </c>
      <c r="C818" s="70" t="s">
        <v>56</v>
      </c>
      <c r="D818" s="70" t="s">
        <v>370</v>
      </c>
      <c r="E818" s="70" t="s">
        <v>1779</v>
      </c>
      <c r="F818" s="70" t="s">
        <v>71</v>
      </c>
      <c r="G818" s="70" t="s">
        <v>71</v>
      </c>
      <c r="H818" s="70" t="s">
        <v>1780</v>
      </c>
      <c r="I818" s="72">
        <v>68.73</v>
      </c>
      <c r="J818" s="70" t="s">
        <v>58</v>
      </c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>
      <c r="A819" s="72">
        <v>968.0</v>
      </c>
      <c r="B819" s="67" t="s">
        <v>1781</v>
      </c>
      <c r="C819" s="70" t="s">
        <v>60</v>
      </c>
      <c r="D819" s="70" t="s">
        <v>917</v>
      </c>
      <c r="E819" s="70" t="s">
        <v>1782</v>
      </c>
      <c r="F819" s="70" t="s">
        <v>1783</v>
      </c>
      <c r="G819" s="70" t="s">
        <v>1784</v>
      </c>
      <c r="H819" s="70" t="s">
        <v>1785</v>
      </c>
      <c r="I819" s="72">
        <v>38.83</v>
      </c>
      <c r="J819" s="70" t="s">
        <v>58</v>
      </c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>
      <c r="A820" s="72">
        <v>967.0</v>
      </c>
      <c r="B820" s="67" t="s">
        <v>1786</v>
      </c>
      <c r="C820" s="70" t="s">
        <v>56</v>
      </c>
      <c r="D820" s="70" t="s">
        <v>1787</v>
      </c>
      <c r="E820" s="70" t="s">
        <v>128</v>
      </c>
      <c r="F820" s="73"/>
      <c r="G820" s="73"/>
      <c r="H820" s="70" t="s">
        <v>128</v>
      </c>
      <c r="I820" s="72">
        <v>44.98</v>
      </c>
      <c r="J820" s="70" t="s">
        <v>58</v>
      </c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>
      <c r="A821" s="72">
        <v>966.0</v>
      </c>
      <c r="B821" s="67" t="s">
        <v>1788</v>
      </c>
      <c r="C821" s="70" t="s">
        <v>56</v>
      </c>
      <c r="D821" s="70" t="s">
        <v>89</v>
      </c>
      <c r="E821" s="70" t="s">
        <v>1789</v>
      </c>
      <c r="F821" s="73"/>
      <c r="G821" s="73"/>
      <c r="H821" s="70" t="s">
        <v>1790</v>
      </c>
      <c r="I821" s="72">
        <v>47.94</v>
      </c>
      <c r="J821" s="70" t="s">
        <v>58</v>
      </c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>
      <c r="A822" s="72">
        <v>965.0</v>
      </c>
      <c r="B822" s="67" t="s">
        <v>1791</v>
      </c>
      <c r="C822" s="70" t="s">
        <v>69</v>
      </c>
      <c r="D822" s="70" t="s">
        <v>320</v>
      </c>
      <c r="E822" s="70" t="s">
        <v>1792</v>
      </c>
      <c r="F822" s="73"/>
      <c r="G822" s="70" t="s">
        <v>1793</v>
      </c>
      <c r="H822" s="70" t="s">
        <v>1794</v>
      </c>
      <c r="I822" s="72">
        <v>67.86</v>
      </c>
      <c r="J822" s="70" t="s">
        <v>58</v>
      </c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>
      <c r="A823" s="72">
        <v>964.0</v>
      </c>
      <c r="B823" s="67" t="s">
        <v>1795</v>
      </c>
      <c r="C823" s="70" t="s">
        <v>60</v>
      </c>
      <c r="D823" s="70" t="s">
        <v>652</v>
      </c>
      <c r="E823" s="70" t="s">
        <v>141</v>
      </c>
      <c r="F823" s="73"/>
      <c r="G823" s="73"/>
      <c r="H823" s="70" t="s">
        <v>141</v>
      </c>
      <c r="I823" s="72">
        <v>45.08</v>
      </c>
      <c r="J823" s="70" t="s">
        <v>58</v>
      </c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>
      <c r="A824" s="72">
        <v>963.0</v>
      </c>
      <c r="B824" s="67" t="s">
        <v>1796</v>
      </c>
      <c r="C824" s="70" t="s">
        <v>56</v>
      </c>
      <c r="D824" s="70" t="s">
        <v>1797</v>
      </c>
      <c r="E824" s="70" t="s">
        <v>936</v>
      </c>
      <c r="F824" s="70" t="s">
        <v>28</v>
      </c>
      <c r="G824" s="70" t="s">
        <v>96</v>
      </c>
      <c r="H824" s="70" t="s">
        <v>1134</v>
      </c>
      <c r="I824" s="72">
        <v>52.06</v>
      </c>
      <c r="J824" s="70" t="s">
        <v>58</v>
      </c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>
      <c r="A825" s="72">
        <v>962.0</v>
      </c>
      <c r="B825" s="67" t="s">
        <v>1798</v>
      </c>
      <c r="C825" s="70" t="s">
        <v>56</v>
      </c>
      <c r="D825" s="70" t="s">
        <v>93</v>
      </c>
      <c r="E825" s="70" t="s">
        <v>1799</v>
      </c>
      <c r="F825" s="73"/>
      <c r="G825" s="70" t="s">
        <v>71</v>
      </c>
      <c r="H825" s="70" t="s">
        <v>1800</v>
      </c>
      <c r="I825" s="72">
        <v>46.62</v>
      </c>
      <c r="J825" s="70" t="s">
        <v>58</v>
      </c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>
      <c r="A826" s="72">
        <v>961.0</v>
      </c>
      <c r="B826" s="67" t="s">
        <v>1801</v>
      </c>
      <c r="C826" s="70" t="s">
        <v>69</v>
      </c>
      <c r="D826" s="70" t="s">
        <v>284</v>
      </c>
      <c r="E826" s="70" t="s">
        <v>1802</v>
      </c>
      <c r="F826" s="73"/>
      <c r="G826" s="73"/>
      <c r="H826" s="70" t="s">
        <v>1803</v>
      </c>
      <c r="I826" s="72">
        <v>74.55</v>
      </c>
      <c r="J826" s="70" t="s">
        <v>58</v>
      </c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>
      <c r="A827" s="72">
        <v>960.0</v>
      </c>
      <c r="B827" s="67" t="s">
        <v>1804</v>
      </c>
      <c r="C827" s="70" t="s">
        <v>60</v>
      </c>
      <c r="D827" s="70" t="s">
        <v>76</v>
      </c>
      <c r="E827" s="70" t="s">
        <v>28</v>
      </c>
      <c r="F827" s="73"/>
      <c r="G827" s="73"/>
      <c r="H827" s="70" t="s">
        <v>28</v>
      </c>
      <c r="I827" s="72">
        <v>55.0</v>
      </c>
      <c r="J827" s="70" t="s">
        <v>58</v>
      </c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>
      <c r="A828" s="72">
        <v>959.0</v>
      </c>
      <c r="B828" s="67" t="s">
        <v>1805</v>
      </c>
      <c r="C828" s="70" t="s">
        <v>56</v>
      </c>
      <c r="D828" s="70" t="s">
        <v>1462</v>
      </c>
      <c r="E828" s="75" t="s">
        <v>116</v>
      </c>
      <c r="F828" s="73"/>
      <c r="G828" s="73"/>
      <c r="H828" s="70" t="s">
        <v>116</v>
      </c>
      <c r="I828" s="72">
        <v>67.16</v>
      </c>
      <c r="J828" s="70" t="s">
        <v>58</v>
      </c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>
      <c r="A829" s="72">
        <v>958.0</v>
      </c>
      <c r="B829" s="67" t="s">
        <v>1806</v>
      </c>
      <c r="C829" s="70" t="s">
        <v>56</v>
      </c>
      <c r="D829" s="75" t="s">
        <v>320</v>
      </c>
      <c r="E829" s="76" t="s">
        <v>1807</v>
      </c>
      <c r="F829" s="70" t="s">
        <v>71</v>
      </c>
      <c r="G829" s="70" t="s">
        <v>71</v>
      </c>
      <c r="H829" s="70" t="s">
        <v>1808</v>
      </c>
      <c r="I829" s="72">
        <v>52.5</v>
      </c>
      <c r="J829" s="70" t="s">
        <v>58</v>
      </c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>
      <c r="A830" s="72">
        <v>957.0</v>
      </c>
      <c r="B830" s="67" t="s">
        <v>1809</v>
      </c>
      <c r="C830" s="75" t="s">
        <v>56</v>
      </c>
      <c r="D830" s="76" t="s">
        <v>284</v>
      </c>
      <c r="E830" s="76" t="s">
        <v>635</v>
      </c>
      <c r="F830" s="70" t="s">
        <v>64</v>
      </c>
      <c r="G830" s="70" t="s">
        <v>64</v>
      </c>
      <c r="H830" s="70" t="s">
        <v>635</v>
      </c>
      <c r="I830" s="72">
        <v>40.12</v>
      </c>
      <c r="J830" s="70" t="s">
        <v>58</v>
      </c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>
      <c r="A831" s="72">
        <v>956.0</v>
      </c>
      <c r="B831" s="67" t="s">
        <v>1810</v>
      </c>
      <c r="C831" s="70" t="s">
        <v>60</v>
      </c>
      <c r="D831" s="70" t="s">
        <v>76</v>
      </c>
      <c r="E831" s="73"/>
      <c r="F831" s="73"/>
      <c r="G831" s="73"/>
      <c r="H831" s="73"/>
      <c r="I831" s="72">
        <v>39.85</v>
      </c>
      <c r="J831" s="70" t="s">
        <v>58</v>
      </c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>
      <c r="A832" s="72">
        <v>955.0</v>
      </c>
      <c r="B832" s="67" t="s">
        <v>1811</v>
      </c>
      <c r="C832" s="70" t="s">
        <v>56</v>
      </c>
      <c r="D832" s="70" t="s">
        <v>61</v>
      </c>
      <c r="E832" s="70" t="s">
        <v>28</v>
      </c>
      <c r="F832" s="73"/>
      <c r="G832" s="73"/>
      <c r="H832" s="70" t="s">
        <v>28</v>
      </c>
      <c r="I832" s="72">
        <v>33.88</v>
      </c>
      <c r="J832" s="70" t="s">
        <v>58</v>
      </c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>
      <c r="A833" s="72">
        <v>954.0</v>
      </c>
      <c r="B833" s="67" t="s">
        <v>1812</v>
      </c>
      <c r="C833" s="70" t="s">
        <v>56</v>
      </c>
      <c r="D833" s="70" t="s">
        <v>156</v>
      </c>
      <c r="E833" s="70" t="s">
        <v>853</v>
      </c>
      <c r="F833" s="73"/>
      <c r="G833" s="73"/>
      <c r="H833" s="70" t="s">
        <v>28</v>
      </c>
      <c r="I833" s="72">
        <v>35.12</v>
      </c>
      <c r="J833" s="70" t="s">
        <v>58</v>
      </c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>
      <c r="A834" s="72">
        <v>953.0</v>
      </c>
      <c r="B834" s="67" t="s">
        <v>1813</v>
      </c>
      <c r="C834" s="70" t="s">
        <v>69</v>
      </c>
      <c r="D834" s="70" t="s">
        <v>284</v>
      </c>
      <c r="E834" s="70" t="s">
        <v>1814</v>
      </c>
      <c r="F834" s="70" t="s">
        <v>1815</v>
      </c>
      <c r="G834" s="70" t="s">
        <v>1816</v>
      </c>
      <c r="H834" s="70" t="s">
        <v>1817</v>
      </c>
      <c r="I834" s="72">
        <v>51.9</v>
      </c>
      <c r="J834" s="70" t="s">
        <v>58</v>
      </c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>
      <c r="A835" s="72">
        <v>952.0</v>
      </c>
      <c r="B835" s="67" t="s">
        <v>1818</v>
      </c>
      <c r="C835" s="70" t="s">
        <v>60</v>
      </c>
      <c r="D835" s="70" t="s">
        <v>388</v>
      </c>
      <c r="E835" s="70" t="s">
        <v>28</v>
      </c>
      <c r="F835" s="73"/>
      <c r="G835" s="73"/>
      <c r="H835" s="70" t="s">
        <v>28</v>
      </c>
      <c r="I835" s="72">
        <v>36.21</v>
      </c>
      <c r="J835" s="70" t="s">
        <v>58</v>
      </c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>
      <c r="A836" s="72">
        <v>951.0</v>
      </c>
      <c r="B836" s="67" t="s">
        <v>1819</v>
      </c>
      <c r="C836" s="70" t="s">
        <v>56</v>
      </c>
      <c r="D836" s="70" t="s">
        <v>320</v>
      </c>
      <c r="E836" s="75" t="s">
        <v>1820</v>
      </c>
      <c r="F836" s="70" t="s">
        <v>242</v>
      </c>
      <c r="G836" s="70" t="s">
        <v>1821</v>
      </c>
      <c r="H836" s="70" t="s">
        <v>1822</v>
      </c>
      <c r="I836" s="72">
        <v>65.72</v>
      </c>
      <c r="J836" s="70" t="s">
        <v>58</v>
      </c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>
      <c r="A837" s="72">
        <v>950.0</v>
      </c>
      <c r="B837" s="67" t="s">
        <v>1823</v>
      </c>
      <c r="C837" s="70" t="s">
        <v>56</v>
      </c>
      <c r="D837" s="75" t="s">
        <v>93</v>
      </c>
      <c r="E837" s="76" t="s">
        <v>674</v>
      </c>
      <c r="F837" s="70" t="s">
        <v>64</v>
      </c>
      <c r="G837" s="70" t="s">
        <v>412</v>
      </c>
      <c r="H837" s="70" t="s">
        <v>1824</v>
      </c>
      <c r="I837" s="72">
        <v>75.43</v>
      </c>
      <c r="J837" s="70" t="s">
        <v>58</v>
      </c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>
      <c r="A838" s="72">
        <v>949.0</v>
      </c>
      <c r="B838" s="67" t="s">
        <v>1825</v>
      </c>
      <c r="C838" s="75" t="s">
        <v>56</v>
      </c>
      <c r="D838" s="76" t="s">
        <v>99</v>
      </c>
      <c r="E838" s="76" t="s">
        <v>1826</v>
      </c>
      <c r="F838" s="73"/>
      <c r="G838" s="70" t="s">
        <v>28</v>
      </c>
      <c r="H838" s="70" t="s">
        <v>1826</v>
      </c>
      <c r="I838" s="72">
        <v>36.19</v>
      </c>
      <c r="J838" s="70" t="s">
        <v>58</v>
      </c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>
      <c r="A839" s="72">
        <v>948.0</v>
      </c>
      <c r="B839" s="67" t="s">
        <v>1827</v>
      </c>
      <c r="C839" s="70" t="s">
        <v>56</v>
      </c>
      <c r="D839" s="75" t="s">
        <v>1828</v>
      </c>
      <c r="E839" s="76" t="s">
        <v>28</v>
      </c>
      <c r="F839" s="73"/>
      <c r="G839" s="73"/>
      <c r="H839" s="70" t="s">
        <v>28</v>
      </c>
      <c r="I839" s="72">
        <v>46.13</v>
      </c>
      <c r="J839" s="70" t="s">
        <v>58</v>
      </c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>
      <c r="A840" s="72">
        <v>947.0</v>
      </c>
      <c r="B840" s="67" t="s">
        <v>1829</v>
      </c>
      <c r="C840" s="75" t="s">
        <v>56</v>
      </c>
      <c r="D840" s="76" t="s">
        <v>627</v>
      </c>
      <c r="E840" s="76" t="s">
        <v>1830</v>
      </c>
      <c r="F840" s="70" t="s">
        <v>64</v>
      </c>
      <c r="G840" s="70" t="s">
        <v>1016</v>
      </c>
      <c r="H840" s="70" t="s">
        <v>1831</v>
      </c>
      <c r="I840" s="72">
        <v>55.47</v>
      </c>
      <c r="J840" s="70" t="s">
        <v>58</v>
      </c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>
      <c r="A841" s="72">
        <v>946.0</v>
      </c>
      <c r="B841" s="67" t="s">
        <v>1832</v>
      </c>
      <c r="C841" s="70" t="s">
        <v>56</v>
      </c>
      <c r="D841" s="70" t="s">
        <v>240</v>
      </c>
      <c r="E841" s="70" t="s">
        <v>1833</v>
      </c>
      <c r="F841" s="70" t="s">
        <v>28</v>
      </c>
      <c r="G841" s="70" t="s">
        <v>28</v>
      </c>
      <c r="H841" s="70" t="s">
        <v>1833</v>
      </c>
      <c r="I841" s="72">
        <v>64.44</v>
      </c>
      <c r="J841" s="70" t="s">
        <v>58</v>
      </c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>
      <c r="A842" s="72">
        <v>945.0</v>
      </c>
      <c r="B842" s="67" t="s">
        <v>1834</v>
      </c>
      <c r="C842" s="70" t="s">
        <v>56</v>
      </c>
      <c r="D842" s="70" t="s">
        <v>93</v>
      </c>
      <c r="E842" s="70" t="s">
        <v>1835</v>
      </c>
      <c r="F842" s="70" t="s">
        <v>1836</v>
      </c>
      <c r="G842" s="70" t="s">
        <v>1836</v>
      </c>
      <c r="H842" s="70" t="s">
        <v>1837</v>
      </c>
      <c r="I842" s="72">
        <v>46.78</v>
      </c>
      <c r="J842" s="70" t="s">
        <v>58</v>
      </c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>
      <c r="A843" s="72">
        <v>944.0</v>
      </c>
      <c r="B843" s="67" t="s">
        <v>1838</v>
      </c>
      <c r="C843" s="70" t="s">
        <v>69</v>
      </c>
      <c r="D843" s="70" t="s">
        <v>61</v>
      </c>
      <c r="E843" s="70" t="s">
        <v>28</v>
      </c>
      <c r="F843" s="73"/>
      <c r="G843" s="73"/>
      <c r="H843" s="70" t="s">
        <v>28</v>
      </c>
      <c r="I843" s="72">
        <v>70.88</v>
      </c>
      <c r="J843" s="70" t="s">
        <v>58</v>
      </c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>
      <c r="A844" s="72">
        <v>943.0</v>
      </c>
      <c r="B844" s="67" t="s">
        <v>1839</v>
      </c>
      <c r="C844" s="70" t="s">
        <v>60</v>
      </c>
      <c r="D844" s="70" t="s">
        <v>76</v>
      </c>
      <c r="E844" s="70" t="s">
        <v>87</v>
      </c>
      <c r="F844" s="73"/>
      <c r="G844" s="73"/>
      <c r="H844" s="70" t="s">
        <v>87</v>
      </c>
      <c r="I844" s="72">
        <v>43.42</v>
      </c>
      <c r="J844" s="70" t="s">
        <v>58</v>
      </c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>
      <c r="A845" s="72">
        <v>942.0</v>
      </c>
      <c r="B845" s="67" t="s">
        <v>1840</v>
      </c>
      <c r="C845" s="70" t="s">
        <v>69</v>
      </c>
      <c r="D845" s="70" t="s">
        <v>99</v>
      </c>
      <c r="E845" s="70" t="s">
        <v>1841</v>
      </c>
      <c r="F845" s="70" t="s">
        <v>116</v>
      </c>
      <c r="G845" s="70" t="s">
        <v>1842</v>
      </c>
      <c r="H845" s="70" t="s">
        <v>1843</v>
      </c>
      <c r="I845" s="72">
        <v>73.63</v>
      </c>
      <c r="J845" s="70" t="s">
        <v>58</v>
      </c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>
      <c r="A846" s="72">
        <v>941.0</v>
      </c>
      <c r="B846" s="67" t="s">
        <v>1844</v>
      </c>
      <c r="C846" s="70" t="s">
        <v>69</v>
      </c>
      <c r="D846" s="70" t="s">
        <v>93</v>
      </c>
      <c r="E846" s="75" t="s">
        <v>1845</v>
      </c>
      <c r="F846" s="70" t="s">
        <v>28</v>
      </c>
      <c r="G846" s="70" t="s">
        <v>297</v>
      </c>
      <c r="H846" s="70" t="s">
        <v>1846</v>
      </c>
      <c r="I846" s="72">
        <v>33.13</v>
      </c>
      <c r="J846" s="70" t="s">
        <v>58</v>
      </c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>
      <c r="A847" s="72">
        <v>940.0</v>
      </c>
      <c r="B847" s="67" t="s">
        <v>1847</v>
      </c>
      <c r="C847" s="70" t="s">
        <v>60</v>
      </c>
      <c r="D847" s="75" t="s">
        <v>76</v>
      </c>
      <c r="E847" s="76" t="s">
        <v>28</v>
      </c>
      <c r="F847" s="73"/>
      <c r="G847" s="73"/>
      <c r="H847" s="73"/>
      <c r="I847" s="72">
        <v>41.55</v>
      </c>
      <c r="J847" s="70" t="s">
        <v>58</v>
      </c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>
      <c r="A848" s="72">
        <v>939.0</v>
      </c>
      <c r="B848" s="67" t="s">
        <v>1848</v>
      </c>
      <c r="C848" s="75" t="s">
        <v>56</v>
      </c>
      <c r="D848" s="76" t="s">
        <v>284</v>
      </c>
      <c r="E848" s="76" t="s">
        <v>1849</v>
      </c>
      <c r="F848" s="70" t="s">
        <v>1850</v>
      </c>
      <c r="G848" s="70" t="s">
        <v>1851</v>
      </c>
      <c r="H848" s="70" t="s">
        <v>1852</v>
      </c>
      <c r="I848" s="72">
        <v>52.0</v>
      </c>
      <c r="J848" s="70" t="s">
        <v>58</v>
      </c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>
      <c r="A849" s="72">
        <v>938.0</v>
      </c>
      <c r="B849" s="67" t="s">
        <v>1853</v>
      </c>
      <c r="C849" s="70" t="s">
        <v>69</v>
      </c>
      <c r="D849" s="70" t="s">
        <v>1854</v>
      </c>
      <c r="E849" s="70" t="s">
        <v>1855</v>
      </c>
      <c r="F849" s="70" t="s">
        <v>1856</v>
      </c>
      <c r="G849" s="70" t="s">
        <v>1857</v>
      </c>
      <c r="H849" s="70" t="s">
        <v>1858</v>
      </c>
      <c r="I849" s="72">
        <v>83.1</v>
      </c>
      <c r="J849" s="70" t="s">
        <v>58</v>
      </c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>
      <c r="A850" s="72">
        <v>937.0</v>
      </c>
      <c r="B850" s="67" t="s">
        <v>1859</v>
      </c>
      <c r="C850" s="70" t="s">
        <v>69</v>
      </c>
      <c r="D850" s="70" t="s">
        <v>70</v>
      </c>
      <c r="E850" s="70" t="s">
        <v>1860</v>
      </c>
      <c r="F850" s="70" t="s">
        <v>87</v>
      </c>
      <c r="G850" s="70" t="s">
        <v>1861</v>
      </c>
      <c r="H850" s="70" t="s">
        <v>1862</v>
      </c>
      <c r="I850" s="72">
        <v>54.59</v>
      </c>
      <c r="J850" s="70" t="s">
        <v>58</v>
      </c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>
      <c r="A851" s="72">
        <v>936.0</v>
      </c>
      <c r="B851" s="67" t="s">
        <v>1863</v>
      </c>
      <c r="C851" s="70" t="s">
        <v>60</v>
      </c>
      <c r="D851" s="70" t="s">
        <v>57</v>
      </c>
      <c r="E851" s="75" t="s">
        <v>1864</v>
      </c>
      <c r="F851" s="73"/>
      <c r="G851" s="70" t="s">
        <v>71</v>
      </c>
      <c r="H851" s="70" t="s">
        <v>1865</v>
      </c>
      <c r="I851" s="72">
        <v>47.54</v>
      </c>
      <c r="J851" s="70" t="s">
        <v>58</v>
      </c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>
      <c r="A852" s="72">
        <v>935.0</v>
      </c>
      <c r="B852" s="67" t="s">
        <v>1866</v>
      </c>
      <c r="C852" s="70" t="s">
        <v>56</v>
      </c>
      <c r="D852" s="75" t="s">
        <v>76</v>
      </c>
      <c r="E852" s="76" t="s">
        <v>1867</v>
      </c>
      <c r="F852" s="70" t="s">
        <v>1256</v>
      </c>
      <c r="G852" s="70" t="s">
        <v>1868</v>
      </c>
      <c r="H852" s="70" t="s">
        <v>1869</v>
      </c>
      <c r="I852" s="72">
        <v>46.58</v>
      </c>
      <c r="J852" s="70" t="s">
        <v>58</v>
      </c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>
      <c r="A853" s="72">
        <v>934.0</v>
      </c>
      <c r="B853" s="67" t="s">
        <v>1870</v>
      </c>
      <c r="C853" s="75" t="s">
        <v>56</v>
      </c>
      <c r="D853" s="76" t="s">
        <v>394</v>
      </c>
      <c r="E853" s="76" t="s">
        <v>1871</v>
      </c>
      <c r="F853" s="70" t="s">
        <v>1872</v>
      </c>
      <c r="G853" s="70" t="s">
        <v>1873</v>
      </c>
      <c r="H853" s="70" t="s">
        <v>1874</v>
      </c>
      <c r="I853" s="72">
        <v>49.74</v>
      </c>
      <c r="J853" s="70" t="s">
        <v>58</v>
      </c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>
      <c r="A854" s="72">
        <v>933.0</v>
      </c>
      <c r="B854" s="67" t="s">
        <v>1875</v>
      </c>
      <c r="C854" s="70" t="s">
        <v>69</v>
      </c>
      <c r="D854" s="70" t="s">
        <v>1876</v>
      </c>
      <c r="E854" s="70" t="s">
        <v>1877</v>
      </c>
      <c r="F854" s="73"/>
      <c r="G854" s="70" t="s">
        <v>620</v>
      </c>
      <c r="H854" s="70" t="s">
        <v>1878</v>
      </c>
      <c r="I854" s="72">
        <v>72.39</v>
      </c>
      <c r="J854" s="70" t="s">
        <v>58</v>
      </c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>
      <c r="A855" s="72">
        <v>932.0</v>
      </c>
      <c r="B855" s="67" t="s">
        <v>1879</v>
      </c>
      <c r="C855" s="70" t="s">
        <v>56</v>
      </c>
      <c r="D855" s="70" t="s">
        <v>1078</v>
      </c>
      <c r="E855" s="75" t="s">
        <v>28</v>
      </c>
      <c r="F855" s="79"/>
      <c r="G855" s="73"/>
      <c r="H855" s="70" t="s">
        <v>28</v>
      </c>
      <c r="I855" s="72">
        <v>61.42</v>
      </c>
      <c r="J855" s="70" t="s">
        <v>58</v>
      </c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>
      <c r="A856" s="72">
        <v>931.0</v>
      </c>
      <c r="B856" s="67" t="s">
        <v>1880</v>
      </c>
      <c r="C856" s="70" t="s">
        <v>56</v>
      </c>
      <c r="D856" s="75" t="s">
        <v>76</v>
      </c>
      <c r="E856" s="76" t="s">
        <v>1881</v>
      </c>
      <c r="F856" s="76" t="s">
        <v>64</v>
      </c>
      <c r="G856" s="70" t="s">
        <v>1882</v>
      </c>
      <c r="H856" s="70" t="s">
        <v>1883</v>
      </c>
      <c r="I856" s="72">
        <v>63.58</v>
      </c>
      <c r="J856" s="70" t="s">
        <v>58</v>
      </c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>
      <c r="A857" s="72">
        <v>930.0</v>
      </c>
      <c r="B857" s="67" t="s">
        <v>1884</v>
      </c>
      <c r="C857" s="75" t="s">
        <v>56</v>
      </c>
      <c r="D857" s="76" t="s">
        <v>1219</v>
      </c>
      <c r="E857" s="76" t="s">
        <v>1761</v>
      </c>
      <c r="F857" s="78"/>
      <c r="G857" s="73"/>
      <c r="H857" s="70" t="s">
        <v>1761</v>
      </c>
      <c r="I857" s="72">
        <v>44.66</v>
      </c>
      <c r="J857" s="70" t="s">
        <v>58</v>
      </c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>
      <c r="A858" s="72">
        <v>929.0</v>
      </c>
      <c r="B858" s="67" t="s">
        <v>1885</v>
      </c>
      <c r="C858" s="70" t="s">
        <v>69</v>
      </c>
      <c r="D858" s="70" t="s">
        <v>70</v>
      </c>
      <c r="E858" s="70" t="s">
        <v>1886</v>
      </c>
      <c r="F858" s="70" t="s">
        <v>28</v>
      </c>
      <c r="G858" s="70" t="s">
        <v>28</v>
      </c>
      <c r="H858" s="70" t="s">
        <v>1887</v>
      </c>
      <c r="I858" s="72">
        <v>67.21</v>
      </c>
      <c r="J858" s="70" t="s">
        <v>58</v>
      </c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>
      <c r="A859" s="72">
        <v>928.0</v>
      </c>
      <c r="B859" s="67" t="s">
        <v>1888</v>
      </c>
      <c r="C859" s="70" t="s">
        <v>60</v>
      </c>
      <c r="D859" s="70" t="s">
        <v>1462</v>
      </c>
      <c r="E859" s="70" t="s">
        <v>1119</v>
      </c>
      <c r="F859" s="73"/>
      <c r="G859" s="73"/>
      <c r="H859" s="70" t="s">
        <v>1119</v>
      </c>
      <c r="I859" s="72">
        <v>41.54</v>
      </c>
      <c r="J859" s="70" t="s">
        <v>58</v>
      </c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>
      <c r="A860" s="72">
        <v>927.0</v>
      </c>
      <c r="B860" s="67" t="s">
        <v>1889</v>
      </c>
      <c r="C860" s="70" t="s">
        <v>60</v>
      </c>
      <c r="D860" s="70" t="s">
        <v>1890</v>
      </c>
      <c r="E860" s="70" t="s">
        <v>1891</v>
      </c>
      <c r="F860" s="73"/>
      <c r="G860" s="73"/>
      <c r="H860" s="70" t="s">
        <v>1891</v>
      </c>
      <c r="I860" s="72">
        <v>34.65</v>
      </c>
      <c r="J860" s="70" t="s">
        <v>58</v>
      </c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>
      <c r="A861" s="72">
        <v>926.0</v>
      </c>
      <c r="B861" s="67" t="s">
        <v>1892</v>
      </c>
      <c r="C861" s="70" t="s">
        <v>56</v>
      </c>
      <c r="D861" s="70" t="s">
        <v>93</v>
      </c>
      <c r="E861" s="70" t="s">
        <v>87</v>
      </c>
      <c r="F861" s="70" t="s">
        <v>64</v>
      </c>
      <c r="G861" s="70" t="s">
        <v>64</v>
      </c>
      <c r="H861" s="70" t="s">
        <v>112</v>
      </c>
      <c r="I861" s="72">
        <v>53.37</v>
      </c>
      <c r="J861" s="70" t="s">
        <v>58</v>
      </c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>
      <c r="A862" s="72">
        <v>925.0</v>
      </c>
      <c r="B862" s="67" t="s">
        <v>1893</v>
      </c>
      <c r="C862" s="70" t="s">
        <v>69</v>
      </c>
      <c r="D862" s="70" t="s">
        <v>1165</v>
      </c>
      <c r="E862" s="70" t="s">
        <v>28</v>
      </c>
      <c r="F862" s="73"/>
      <c r="G862" s="73"/>
      <c r="H862" s="70" t="s">
        <v>28</v>
      </c>
      <c r="I862" s="72">
        <v>37.68</v>
      </c>
      <c r="J862" s="70" t="s">
        <v>58</v>
      </c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>
      <c r="A863" s="72">
        <v>924.0</v>
      </c>
      <c r="B863" s="67" t="s">
        <v>1894</v>
      </c>
      <c r="C863" s="70" t="s">
        <v>60</v>
      </c>
      <c r="D863" s="70" t="s">
        <v>627</v>
      </c>
      <c r="E863" s="70" t="s">
        <v>1895</v>
      </c>
      <c r="F863" s="70" t="s">
        <v>1308</v>
      </c>
      <c r="G863" s="70" t="s">
        <v>1896</v>
      </c>
      <c r="H863" s="70" t="s">
        <v>1897</v>
      </c>
      <c r="I863" s="72">
        <v>41.94</v>
      </c>
      <c r="J863" s="70" t="s">
        <v>58</v>
      </c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>
      <c r="A864" s="72">
        <v>923.0</v>
      </c>
      <c r="B864" s="67" t="s">
        <v>1898</v>
      </c>
      <c r="C864" s="70" t="s">
        <v>56</v>
      </c>
      <c r="D864" s="70" t="s">
        <v>151</v>
      </c>
      <c r="E864" s="70" t="s">
        <v>882</v>
      </c>
      <c r="F864" s="73"/>
      <c r="G864" s="73"/>
      <c r="H864" s="70" t="s">
        <v>882</v>
      </c>
      <c r="I864" s="72">
        <v>36.3</v>
      </c>
      <c r="J864" s="70" t="s">
        <v>58</v>
      </c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>
      <c r="A865" s="72">
        <v>922.0</v>
      </c>
      <c r="B865" s="67" t="s">
        <v>1899</v>
      </c>
      <c r="C865" s="70" t="s">
        <v>69</v>
      </c>
      <c r="D865" s="70" t="s">
        <v>370</v>
      </c>
      <c r="E865" s="70" t="s">
        <v>64</v>
      </c>
      <c r="F865" s="73"/>
      <c r="G865" s="70" t="s">
        <v>64</v>
      </c>
      <c r="H865" s="70" t="s">
        <v>64</v>
      </c>
      <c r="I865" s="72">
        <v>70.63</v>
      </c>
      <c r="J865" s="70" t="s">
        <v>58</v>
      </c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>
      <c r="A866" s="72">
        <v>921.0</v>
      </c>
      <c r="B866" s="67" t="s">
        <v>1900</v>
      </c>
      <c r="C866" s="70" t="s">
        <v>56</v>
      </c>
      <c r="D866" s="70" t="s">
        <v>1901</v>
      </c>
      <c r="E866" s="70" t="s">
        <v>1902</v>
      </c>
      <c r="F866" s="70" t="s">
        <v>1903</v>
      </c>
      <c r="G866" s="70" t="s">
        <v>1903</v>
      </c>
      <c r="H866" s="70" t="s">
        <v>1904</v>
      </c>
      <c r="I866" s="72">
        <v>74.88</v>
      </c>
      <c r="J866" s="70" t="s">
        <v>58</v>
      </c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>
      <c r="A867" s="72">
        <v>920.0</v>
      </c>
      <c r="B867" s="67" t="s">
        <v>1905</v>
      </c>
      <c r="C867" s="70" t="s">
        <v>60</v>
      </c>
      <c r="D867" s="70" t="s">
        <v>76</v>
      </c>
      <c r="E867" s="70" t="s">
        <v>1906</v>
      </c>
      <c r="F867" s="70" t="s">
        <v>211</v>
      </c>
      <c r="G867" s="70" t="s">
        <v>211</v>
      </c>
      <c r="H867" s="70" t="s">
        <v>1907</v>
      </c>
      <c r="I867" s="72">
        <v>47.8</v>
      </c>
      <c r="J867" s="70" t="s">
        <v>58</v>
      </c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>
      <c r="A868" s="72">
        <v>919.0</v>
      </c>
      <c r="B868" s="67" t="s">
        <v>1908</v>
      </c>
      <c r="C868" s="70" t="s">
        <v>56</v>
      </c>
      <c r="D868" s="70" t="s">
        <v>320</v>
      </c>
      <c r="E868" s="70" t="s">
        <v>1909</v>
      </c>
      <c r="F868" s="73"/>
      <c r="G868" s="70" t="s">
        <v>558</v>
      </c>
      <c r="H868" s="70" t="s">
        <v>1910</v>
      </c>
      <c r="I868" s="72">
        <v>58.94</v>
      </c>
      <c r="J868" s="70" t="s">
        <v>58</v>
      </c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>
      <c r="A869" s="72">
        <v>918.0</v>
      </c>
      <c r="B869" s="67" t="s">
        <v>1911</v>
      </c>
      <c r="C869" s="70" t="s">
        <v>56</v>
      </c>
      <c r="D869" s="70" t="s">
        <v>93</v>
      </c>
      <c r="E869" s="70" t="s">
        <v>1912</v>
      </c>
      <c r="F869" s="70" t="s">
        <v>64</v>
      </c>
      <c r="G869" s="70" t="s">
        <v>1913</v>
      </c>
      <c r="H869" s="70" t="s">
        <v>1914</v>
      </c>
      <c r="I869" s="72">
        <v>34.28</v>
      </c>
      <c r="J869" s="70" t="s">
        <v>58</v>
      </c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>
      <c r="A870" s="72">
        <v>917.0</v>
      </c>
      <c r="B870" s="67" t="s">
        <v>1915</v>
      </c>
      <c r="C870" s="70" t="s">
        <v>69</v>
      </c>
      <c r="D870" s="70" t="s">
        <v>70</v>
      </c>
      <c r="E870" s="75" t="s">
        <v>1916</v>
      </c>
      <c r="F870" s="70" t="s">
        <v>579</v>
      </c>
      <c r="G870" s="70" t="s">
        <v>579</v>
      </c>
      <c r="H870" s="70" t="s">
        <v>1917</v>
      </c>
      <c r="I870" s="72">
        <v>59.15</v>
      </c>
      <c r="J870" s="70" t="s">
        <v>58</v>
      </c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>
      <c r="A871" s="72">
        <v>916.0</v>
      </c>
      <c r="B871" s="67" t="s">
        <v>1918</v>
      </c>
      <c r="C871" s="70" t="s">
        <v>56</v>
      </c>
      <c r="D871" s="75" t="s">
        <v>70</v>
      </c>
      <c r="E871" s="76" t="s">
        <v>936</v>
      </c>
      <c r="F871" s="73"/>
      <c r="G871" s="73"/>
      <c r="H871" s="70" t="s">
        <v>87</v>
      </c>
      <c r="I871" s="72">
        <v>48.12</v>
      </c>
      <c r="J871" s="70" t="s">
        <v>58</v>
      </c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>
      <c r="A872" s="72">
        <v>915.0</v>
      </c>
      <c r="B872" s="67" t="s">
        <v>1919</v>
      </c>
      <c r="C872" s="75" t="s">
        <v>56</v>
      </c>
      <c r="D872" s="76" t="s">
        <v>93</v>
      </c>
      <c r="E872" s="76" t="s">
        <v>1920</v>
      </c>
      <c r="F872" s="73"/>
      <c r="G872" s="70" t="s">
        <v>1115</v>
      </c>
      <c r="H872" s="70" t="s">
        <v>1920</v>
      </c>
      <c r="I872" s="72">
        <v>46.18</v>
      </c>
      <c r="J872" s="70" t="s">
        <v>58</v>
      </c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>
      <c r="A873" s="72">
        <v>914.0</v>
      </c>
      <c r="B873" s="67" t="s">
        <v>1921</v>
      </c>
      <c r="C873" s="70" t="s">
        <v>69</v>
      </c>
      <c r="D873" s="75" t="s">
        <v>564</v>
      </c>
      <c r="E873" s="76" t="s">
        <v>28</v>
      </c>
      <c r="F873" s="73"/>
      <c r="G873" s="70" t="s">
        <v>28</v>
      </c>
      <c r="H873" s="70" t="s">
        <v>28</v>
      </c>
      <c r="I873" s="72">
        <v>34.13</v>
      </c>
      <c r="J873" s="70" t="s">
        <v>58</v>
      </c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>
      <c r="A874" s="72">
        <v>913.0</v>
      </c>
      <c r="B874" s="67" t="s">
        <v>1922</v>
      </c>
      <c r="C874" s="75" t="s">
        <v>60</v>
      </c>
      <c r="D874" s="76" t="s">
        <v>1923</v>
      </c>
      <c r="E874" s="75" t="s">
        <v>28</v>
      </c>
      <c r="F874" s="70" t="s">
        <v>28</v>
      </c>
      <c r="G874" s="70" t="s">
        <v>28</v>
      </c>
      <c r="H874" s="70" t="s">
        <v>28</v>
      </c>
      <c r="I874" s="72">
        <v>34.77</v>
      </c>
      <c r="J874" s="70" t="s">
        <v>58</v>
      </c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>
      <c r="A875" s="72">
        <v>912.0</v>
      </c>
      <c r="B875" s="67" t="s">
        <v>1924</v>
      </c>
      <c r="C875" s="70" t="s">
        <v>56</v>
      </c>
      <c r="D875" s="73"/>
      <c r="E875" s="70" t="s">
        <v>973</v>
      </c>
      <c r="F875" s="70" t="s">
        <v>579</v>
      </c>
      <c r="G875" s="70" t="s">
        <v>896</v>
      </c>
      <c r="H875" s="70" t="s">
        <v>1925</v>
      </c>
      <c r="I875" s="72">
        <v>64.62</v>
      </c>
      <c r="J875" s="70" t="s">
        <v>58</v>
      </c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>
      <c r="A876" s="72">
        <v>911.0</v>
      </c>
      <c r="B876" s="67" t="s">
        <v>1926</v>
      </c>
      <c r="C876" s="70" t="s">
        <v>56</v>
      </c>
      <c r="D876" s="70" t="s">
        <v>502</v>
      </c>
      <c r="E876" s="70" t="s">
        <v>1927</v>
      </c>
      <c r="F876" s="70" t="s">
        <v>28</v>
      </c>
      <c r="G876" s="70" t="s">
        <v>28</v>
      </c>
      <c r="H876" s="70" t="s">
        <v>1927</v>
      </c>
      <c r="I876" s="72">
        <v>51.43</v>
      </c>
      <c r="J876" s="70" t="s">
        <v>58</v>
      </c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>
      <c r="A877" s="72">
        <v>910.0</v>
      </c>
      <c r="B877" s="67" t="s">
        <v>1928</v>
      </c>
      <c r="C877" s="70" t="s">
        <v>56</v>
      </c>
      <c r="D877" s="70" t="s">
        <v>216</v>
      </c>
      <c r="E877" s="70" t="s">
        <v>298</v>
      </c>
      <c r="F877" s="73"/>
      <c r="G877" s="73"/>
      <c r="H877" s="70" t="s">
        <v>298</v>
      </c>
      <c r="I877" s="72">
        <v>31.23</v>
      </c>
      <c r="J877" s="70" t="s">
        <v>58</v>
      </c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>
      <c r="A878" s="72">
        <v>909.0</v>
      </c>
      <c r="B878" s="67" t="s">
        <v>1929</v>
      </c>
      <c r="C878" s="70" t="s">
        <v>56</v>
      </c>
      <c r="D878" s="70" t="s">
        <v>852</v>
      </c>
      <c r="E878" s="70" t="s">
        <v>1930</v>
      </c>
      <c r="F878" s="70" t="s">
        <v>64</v>
      </c>
      <c r="G878" s="70" t="s">
        <v>1931</v>
      </c>
      <c r="H878" s="70" t="s">
        <v>1932</v>
      </c>
      <c r="I878" s="72">
        <v>39.34</v>
      </c>
      <c r="J878" s="70" t="s">
        <v>58</v>
      </c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>
      <c r="A879" s="72">
        <v>908.0</v>
      </c>
      <c r="B879" s="67" t="s">
        <v>1933</v>
      </c>
      <c r="C879" s="70" t="s">
        <v>69</v>
      </c>
      <c r="D879" s="70" t="s">
        <v>99</v>
      </c>
      <c r="E879" s="70" t="s">
        <v>298</v>
      </c>
      <c r="F879" s="73"/>
      <c r="G879" s="73"/>
      <c r="H879" s="70" t="s">
        <v>298</v>
      </c>
      <c r="I879" s="72">
        <v>66.36</v>
      </c>
      <c r="J879" s="70" t="s">
        <v>58</v>
      </c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>
      <c r="A880" s="72">
        <v>907.0</v>
      </c>
      <c r="B880" s="67" t="s">
        <v>1934</v>
      </c>
      <c r="C880" s="70" t="s">
        <v>56</v>
      </c>
      <c r="D880" s="70" t="s">
        <v>1935</v>
      </c>
      <c r="E880" s="70" t="s">
        <v>1936</v>
      </c>
      <c r="F880" s="70" t="s">
        <v>28</v>
      </c>
      <c r="G880" s="70" t="s">
        <v>1937</v>
      </c>
      <c r="H880" s="70" t="s">
        <v>1938</v>
      </c>
      <c r="I880" s="72">
        <v>33.11</v>
      </c>
      <c r="J880" s="70" t="s">
        <v>58</v>
      </c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>
      <c r="A881" s="72">
        <v>906.0</v>
      </c>
      <c r="B881" s="67" t="s">
        <v>1939</v>
      </c>
      <c r="C881" s="70" t="s">
        <v>60</v>
      </c>
      <c r="D881" s="70" t="s">
        <v>99</v>
      </c>
      <c r="E881" s="70" t="s">
        <v>28</v>
      </c>
      <c r="F881" s="73"/>
      <c r="G881" s="73"/>
      <c r="H881" s="70" t="s">
        <v>28</v>
      </c>
      <c r="I881" s="72">
        <v>32.74</v>
      </c>
      <c r="J881" s="70" t="s">
        <v>58</v>
      </c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>
      <c r="A882" s="72">
        <v>905.0</v>
      </c>
      <c r="B882" s="67" t="s">
        <v>1940</v>
      </c>
      <c r="C882" s="70" t="s">
        <v>69</v>
      </c>
      <c r="D882" s="70" t="s">
        <v>93</v>
      </c>
      <c r="E882" s="70" t="s">
        <v>1941</v>
      </c>
      <c r="F882" s="70" t="s">
        <v>1942</v>
      </c>
      <c r="G882" s="70" t="s">
        <v>1943</v>
      </c>
      <c r="H882" s="70" t="s">
        <v>1944</v>
      </c>
      <c r="I882" s="72">
        <v>75.0</v>
      </c>
      <c r="J882" s="70" t="s">
        <v>58</v>
      </c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>
      <c r="A883" s="72">
        <v>904.0</v>
      </c>
      <c r="B883" s="67" t="s">
        <v>1945</v>
      </c>
      <c r="C883" s="70" t="s">
        <v>56</v>
      </c>
      <c r="D883" s="70" t="s">
        <v>151</v>
      </c>
      <c r="E883" s="70" t="s">
        <v>1946</v>
      </c>
      <c r="F883" s="73"/>
      <c r="G883" s="70" t="s">
        <v>1947</v>
      </c>
      <c r="H883" s="70" t="s">
        <v>1948</v>
      </c>
      <c r="I883" s="72">
        <v>43.01</v>
      </c>
      <c r="J883" s="70" t="s">
        <v>58</v>
      </c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>
      <c r="A884" s="72">
        <v>903.0</v>
      </c>
      <c r="B884" s="67" t="s">
        <v>1949</v>
      </c>
      <c r="C884" s="70" t="s">
        <v>60</v>
      </c>
      <c r="D884" s="70" t="s">
        <v>1950</v>
      </c>
      <c r="E884" s="74"/>
      <c r="F884" s="73"/>
      <c r="G884" s="73"/>
      <c r="H884" s="73"/>
      <c r="I884" s="72">
        <v>54.18</v>
      </c>
      <c r="J884" s="70" t="s">
        <v>58</v>
      </c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>
      <c r="A885" s="72">
        <v>902.0</v>
      </c>
      <c r="B885" s="67" t="s">
        <v>1951</v>
      </c>
      <c r="C885" s="70" t="s">
        <v>60</v>
      </c>
      <c r="D885" s="70" t="s">
        <v>652</v>
      </c>
      <c r="E885" s="70" t="s">
        <v>64</v>
      </c>
      <c r="F885" s="73"/>
      <c r="G885" s="73"/>
      <c r="H885" s="70" t="s">
        <v>64</v>
      </c>
      <c r="I885" s="72">
        <v>36.11</v>
      </c>
      <c r="J885" s="70" t="s">
        <v>58</v>
      </c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>
      <c r="A886" s="72">
        <v>901.0</v>
      </c>
      <c r="B886" s="67" t="s">
        <v>1952</v>
      </c>
      <c r="C886" s="70" t="s">
        <v>56</v>
      </c>
      <c r="D886" s="70" t="s">
        <v>240</v>
      </c>
      <c r="E886" s="70" t="s">
        <v>1528</v>
      </c>
      <c r="F886" s="70" t="s">
        <v>64</v>
      </c>
      <c r="G886" s="70" t="s">
        <v>1953</v>
      </c>
      <c r="H886" s="70" t="s">
        <v>1953</v>
      </c>
      <c r="I886" s="72">
        <v>61.41</v>
      </c>
      <c r="J886" s="70" t="s">
        <v>58</v>
      </c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>
      <c r="A887" s="72">
        <v>900.0</v>
      </c>
      <c r="B887" s="67" t="s">
        <v>1954</v>
      </c>
      <c r="C887" s="70" t="s">
        <v>56</v>
      </c>
      <c r="D887" s="70" t="s">
        <v>93</v>
      </c>
      <c r="E887" s="75" t="s">
        <v>1955</v>
      </c>
      <c r="F887" s="70" t="s">
        <v>28</v>
      </c>
      <c r="G887" s="70" t="s">
        <v>28</v>
      </c>
      <c r="H887" s="70" t="s">
        <v>1956</v>
      </c>
      <c r="I887" s="72">
        <v>55.47</v>
      </c>
      <c r="J887" s="70" t="s">
        <v>58</v>
      </c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>
      <c r="A888" s="72">
        <v>899.0</v>
      </c>
      <c r="B888" s="67" t="s">
        <v>1957</v>
      </c>
      <c r="C888" s="70" t="s">
        <v>60</v>
      </c>
      <c r="D888" s="75" t="s">
        <v>588</v>
      </c>
      <c r="E888" s="75" t="s">
        <v>64</v>
      </c>
      <c r="F888" s="73"/>
      <c r="G888" s="73"/>
      <c r="H888" s="70" t="s">
        <v>64</v>
      </c>
      <c r="I888" s="72">
        <v>53.3</v>
      </c>
      <c r="J888" s="70" t="s">
        <v>58</v>
      </c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>
      <c r="A889" s="72">
        <v>898.0</v>
      </c>
      <c r="B889" s="67" t="s">
        <v>1958</v>
      </c>
      <c r="C889" s="75" t="s">
        <v>56</v>
      </c>
      <c r="D889" s="76" t="s">
        <v>420</v>
      </c>
      <c r="E889" s="76" t="s">
        <v>64</v>
      </c>
      <c r="F889" s="70" t="s">
        <v>64</v>
      </c>
      <c r="G889" s="70" t="s">
        <v>64</v>
      </c>
      <c r="H889" s="70" t="s">
        <v>64</v>
      </c>
      <c r="I889" s="72">
        <v>34.32</v>
      </c>
      <c r="J889" s="70" t="s">
        <v>58</v>
      </c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>
      <c r="A890" s="72">
        <v>897.0</v>
      </c>
      <c r="B890" s="67" t="s">
        <v>1959</v>
      </c>
      <c r="C890" s="70" t="s">
        <v>69</v>
      </c>
      <c r="D890" s="70" t="s">
        <v>1960</v>
      </c>
      <c r="E890" s="70" t="s">
        <v>1679</v>
      </c>
      <c r="F890" s="70" t="s">
        <v>579</v>
      </c>
      <c r="G890" s="70" t="s">
        <v>896</v>
      </c>
      <c r="H890" s="70" t="s">
        <v>896</v>
      </c>
      <c r="I890" s="72">
        <v>74.56</v>
      </c>
      <c r="J890" s="70" t="s">
        <v>58</v>
      </c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>
      <c r="A891" s="72">
        <v>896.0</v>
      </c>
      <c r="B891" s="67" t="s">
        <v>1961</v>
      </c>
      <c r="C891" s="70" t="s">
        <v>69</v>
      </c>
      <c r="D891" s="70" t="s">
        <v>93</v>
      </c>
      <c r="E891" s="70" t="s">
        <v>1962</v>
      </c>
      <c r="F891" s="70" t="s">
        <v>71</v>
      </c>
      <c r="G891" s="70" t="s">
        <v>799</v>
      </c>
      <c r="H891" s="70" t="s">
        <v>1962</v>
      </c>
      <c r="I891" s="72">
        <v>57.97</v>
      </c>
      <c r="J891" s="70" t="s">
        <v>58</v>
      </c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>
      <c r="A892" s="72">
        <v>895.0</v>
      </c>
      <c r="B892" s="67" t="s">
        <v>1963</v>
      </c>
      <c r="C892" s="70" t="s">
        <v>60</v>
      </c>
      <c r="D892" s="70" t="s">
        <v>1964</v>
      </c>
      <c r="E892" s="70" t="s">
        <v>1965</v>
      </c>
      <c r="F892" s="70" t="s">
        <v>1966</v>
      </c>
      <c r="G892" s="70" t="s">
        <v>1967</v>
      </c>
      <c r="H892" s="70" t="s">
        <v>1968</v>
      </c>
      <c r="I892" s="72">
        <v>63.14</v>
      </c>
      <c r="J892" s="70" t="s">
        <v>58</v>
      </c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>
      <c r="A893" s="72">
        <v>894.0</v>
      </c>
      <c r="B893" s="67" t="s">
        <v>1969</v>
      </c>
      <c r="C893" s="70" t="s">
        <v>56</v>
      </c>
      <c r="D893" s="70" t="s">
        <v>1970</v>
      </c>
      <c r="E893" s="70" t="s">
        <v>1312</v>
      </c>
      <c r="F893" s="73"/>
      <c r="G893" s="70" t="s">
        <v>112</v>
      </c>
      <c r="H893" s="70" t="s">
        <v>1971</v>
      </c>
      <c r="I893" s="72">
        <v>77.11</v>
      </c>
      <c r="J893" s="70" t="s">
        <v>58</v>
      </c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>
      <c r="A894" s="72">
        <v>893.0</v>
      </c>
      <c r="B894" s="67" t="s">
        <v>1972</v>
      </c>
      <c r="C894" s="70" t="s">
        <v>69</v>
      </c>
      <c r="D894" s="70" t="s">
        <v>70</v>
      </c>
      <c r="E894" s="70" t="s">
        <v>71</v>
      </c>
      <c r="F894" s="73"/>
      <c r="G894" s="73"/>
      <c r="H894" s="70" t="s">
        <v>71</v>
      </c>
      <c r="I894" s="72">
        <v>69.33</v>
      </c>
      <c r="J894" s="70" t="s">
        <v>58</v>
      </c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>
      <c r="A895" s="72">
        <v>892.0</v>
      </c>
      <c r="B895" s="67" t="s">
        <v>1973</v>
      </c>
      <c r="C895" s="70" t="s">
        <v>69</v>
      </c>
      <c r="D895" s="70" t="s">
        <v>1797</v>
      </c>
      <c r="E895" s="73"/>
      <c r="F895" s="73"/>
      <c r="G895" s="73"/>
      <c r="H895" s="73"/>
      <c r="I895" s="72">
        <v>59.84</v>
      </c>
      <c r="J895" s="70" t="s">
        <v>58</v>
      </c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>
      <c r="A896" s="72">
        <v>891.0</v>
      </c>
      <c r="B896" s="67" t="s">
        <v>1974</v>
      </c>
      <c r="C896" s="70" t="s">
        <v>60</v>
      </c>
      <c r="D896" s="70" t="s">
        <v>564</v>
      </c>
      <c r="E896" s="70" t="s">
        <v>1975</v>
      </c>
      <c r="F896" s="73"/>
      <c r="G896" s="73"/>
      <c r="H896" s="70" t="s">
        <v>1975</v>
      </c>
      <c r="I896" s="72">
        <v>33.08</v>
      </c>
      <c r="J896" s="70" t="s">
        <v>58</v>
      </c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>
      <c r="A897" s="72">
        <v>890.0</v>
      </c>
      <c r="B897" s="67" t="s">
        <v>1976</v>
      </c>
      <c r="C897" s="70" t="s">
        <v>56</v>
      </c>
      <c r="D897" s="70" t="s">
        <v>70</v>
      </c>
      <c r="E897" s="70" t="s">
        <v>980</v>
      </c>
      <c r="F897" s="73"/>
      <c r="G897" s="73"/>
      <c r="H897" s="70" t="s">
        <v>112</v>
      </c>
      <c r="I897" s="72">
        <v>74.18</v>
      </c>
      <c r="J897" s="70" t="s">
        <v>58</v>
      </c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>
      <c r="A898" s="72">
        <v>889.0</v>
      </c>
      <c r="B898" s="67" t="s">
        <v>1977</v>
      </c>
      <c r="C898" s="70" t="s">
        <v>56</v>
      </c>
      <c r="D898" s="70" t="s">
        <v>320</v>
      </c>
      <c r="E898" s="70" t="s">
        <v>1978</v>
      </c>
      <c r="F898" s="70" t="s">
        <v>636</v>
      </c>
      <c r="G898" s="70" t="s">
        <v>636</v>
      </c>
      <c r="H898" s="70" t="s">
        <v>1538</v>
      </c>
      <c r="I898" s="72">
        <v>67.7</v>
      </c>
      <c r="J898" s="70" t="s">
        <v>58</v>
      </c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>
      <c r="A899" s="72">
        <v>888.0</v>
      </c>
      <c r="B899" s="67" t="s">
        <v>1979</v>
      </c>
      <c r="C899" s="70" t="s">
        <v>69</v>
      </c>
      <c r="D899" s="70" t="s">
        <v>93</v>
      </c>
      <c r="E899" s="70" t="s">
        <v>1980</v>
      </c>
      <c r="F899" s="73"/>
      <c r="G899" s="70" t="s">
        <v>1613</v>
      </c>
      <c r="H899" s="70" t="s">
        <v>1981</v>
      </c>
      <c r="I899" s="72">
        <v>59.1</v>
      </c>
      <c r="J899" s="70" t="s">
        <v>58</v>
      </c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>
      <c r="A900" s="72">
        <v>887.0</v>
      </c>
      <c r="B900" s="67" t="s">
        <v>1982</v>
      </c>
      <c r="C900" s="70" t="s">
        <v>60</v>
      </c>
      <c r="D900" s="70" t="s">
        <v>1983</v>
      </c>
      <c r="E900" s="75" t="s">
        <v>1984</v>
      </c>
      <c r="F900" s="70" t="s">
        <v>64</v>
      </c>
      <c r="G900" s="70" t="s">
        <v>800</v>
      </c>
      <c r="H900" s="70" t="s">
        <v>1985</v>
      </c>
      <c r="I900" s="72">
        <v>27.03</v>
      </c>
      <c r="J900" s="70" t="s">
        <v>58</v>
      </c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>
      <c r="A901" s="72">
        <v>886.0</v>
      </c>
      <c r="B901" s="67" t="s">
        <v>1986</v>
      </c>
      <c r="C901" s="70" t="s">
        <v>56</v>
      </c>
      <c r="D901" s="75" t="s">
        <v>1536</v>
      </c>
      <c r="E901" s="76" t="s">
        <v>1987</v>
      </c>
      <c r="F901" s="73"/>
      <c r="G901" s="70" t="s">
        <v>1988</v>
      </c>
      <c r="H901" s="70" t="s">
        <v>1989</v>
      </c>
      <c r="I901" s="72">
        <v>45.21</v>
      </c>
      <c r="J901" s="70" t="s">
        <v>58</v>
      </c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>
      <c r="A902" s="72">
        <v>885.0</v>
      </c>
      <c r="B902" s="67" t="s">
        <v>1990</v>
      </c>
      <c r="C902" s="75" t="s">
        <v>56</v>
      </c>
      <c r="D902" s="76" t="s">
        <v>99</v>
      </c>
      <c r="E902" s="76" t="s">
        <v>1991</v>
      </c>
      <c r="F902" s="70" t="s">
        <v>71</v>
      </c>
      <c r="G902" s="70" t="s">
        <v>71</v>
      </c>
      <c r="H902" s="70" t="s">
        <v>1991</v>
      </c>
      <c r="I902" s="72">
        <v>70.93</v>
      </c>
      <c r="J902" s="70" t="s">
        <v>58</v>
      </c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>
      <c r="A903" s="72">
        <v>884.0</v>
      </c>
      <c r="B903" s="67" t="s">
        <v>1992</v>
      </c>
      <c r="C903" s="70" t="s">
        <v>69</v>
      </c>
      <c r="D903" s="70" t="s">
        <v>284</v>
      </c>
      <c r="E903" s="70" t="s">
        <v>1993</v>
      </c>
      <c r="F903" s="73"/>
      <c r="G903" s="70" t="s">
        <v>799</v>
      </c>
      <c r="H903" s="70" t="s">
        <v>799</v>
      </c>
      <c r="I903" s="72">
        <v>64.23</v>
      </c>
      <c r="J903" s="70" t="s">
        <v>58</v>
      </c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>
      <c r="A904" s="72">
        <v>883.0</v>
      </c>
      <c r="B904" s="67" t="s">
        <v>1994</v>
      </c>
      <c r="C904" s="70" t="s">
        <v>69</v>
      </c>
      <c r="D904" s="70" t="s">
        <v>99</v>
      </c>
      <c r="E904" s="73"/>
      <c r="F904" s="73"/>
      <c r="G904" s="73"/>
      <c r="H904" s="73"/>
      <c r="I904" s="72">
        <v>68.38</v>
      </c>
      <c r="J904" s="70" t="s">
        <v>58</v>
      </c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>
      <c r="A905" s="72">
        <v>882.0</v>
      </c>
      <c r="B905" s="67" t="s">
        <v>1995</v>
      </c>
      <c r="C905" s="70" t="s">
        <v>60</v>
      </c>
      <c r="D905" s="70" t="s">
        <v>1996</v>
      </c>
      <c r="E905" s="70" t="s">
        <v>64</v>
      </c>
      <c r="F905" s="73"/>
      <c r="G905" s="73"/>
      <c r="H905" s="70" t="s">
        <v>64</v>
      </c>
      <c r="I905" s="72">
        <v>43.02</v>
      </c>
      <c r="J905" s="70" t="s">
        <v>58</v>
      </c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>
      <c r="A906" s="72">
        <v>881.0</v>
      </c>
      <c r="B906" s="67" t="s">
        <v>1997</v>
      </c>
      <c r="C906" s="70" t="s">
        <v>56</v>
      </c>
      <c r="D906" s="70" t="s">
        <v>1998</v>
      </c>
      <c r="E906" s="75" t="s">
        <v>1999</v>
      </c>
      <c r="F906" s="70" t="s">
        <v>2000</v>
      </c>
      <c r="G906" s="70" t="s">
        <v>2001</v>
      </c>
      <c r="H906" s="70" t="s">
        <v>2002</v>
      </c>
      <c r="I906" s="72">
        <v>48.98</v>
      </c>
      <c r="J906" s="70" t="s">
        <v>58</v>
      </c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>
      <c r="A907" s="72">
        <v>880.0</v>
      </c>
      <c r="B907" s="67" t="s">
        <v>2003</v>
      </c>
      <c r="C907" s="70" t="s">
        <v>56</v>
      </c>
      <c r="D907" s="75" t="s">
        <v>240</v>
      </c>
      <c r="E907" s="76" t="s">
        <v>2004</v>
      </c>
      <c r="F907" s="73"/>
      <c r="G907" s="70" t="s">
        <v>64</v>
      </c>
      <c r="H907" s="70" t="s">
        <v>2005</v>
      </c>
      <c r="I907" s="72">
        <v>28.19</v>
      </c>
      <c r="J907" s="70" t="s">
        <v>58</v>
      </c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>
      <c r="A908" s="72">
        <v>879.0</v>
      </c>
      <c r="B908" s="67" t="s">
        <v>2006</v>
      </c>
      <c r="C908" s="75" t="s">
        <v>60</v>
      </c>
      <c r="D908" s="76" t="s">
        <v>76</v>
      </c>
      <c r="E908" s="76" t="s">
        <v>2007</v>
      </c>
      <c r="F908" s="73"/>
      <c r="G908" s="73"/>
      <c r="H908" s="70" t="s">
        <v>28</v>
      </c>
      <c r="I908" s="72">
        <v>39.94</v>
      </c>
      <c r="J908" s="70" t="s">
        <v>58</v>
      </c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>
      <c r="A909" s="72">
        <v>878.0</v>
      </c>
      <c r="B909" s="67" t="s">
        <v>2008</v>
      </c>
      <c r="C909" s="70" t="s">
        <v>60</v>
      </c>
      <c r="D909" s="70" t="s">
        <v>175</v>
      </c>
      <c r="E909" s="73"/>
      <c r="F909" s="73"/>
      <c r="G909" s="73"/>
      <c r="H909" s="73"/>
      <c r="I909" s="72">
        <v>28.8</v>
      </c>
      <c r="J909" s="70" t="s">
        <v>58</v>
      </c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>
      <c r="A910" s="72">
        <v>877.0</v>
      </c>
      <c r="B910" s="67" t="s">
        <v>2009</v>
      </c>
      <c r="C910" s="70" t="s">
        <v>56</v>
      </c>
      <c r="D910" s="70" t="s">
        <v>2010</v>
      </c>
      <c r="E910" s="75" t="s">
        <v>2011</v>
      </c>
      <c r="F910" s="73"/>
      <c r="G910" s="73"/>
      <c r="H910" s="70" t="s">
        <v>2012</v>
      </c>
      <c r="I910" s="72">
        <v>66.97</v>
      </c>
      <c r="J910" s="70" t="s">
        <v>58</v>
      </c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>
      <c r="A911" s="72">
        <v>876.0</v>
      </c>
      <c r="B911" s="67" t="s">
        <v>2013</v>
      </c>
      <c r="C911" s="70" t="s">
        <v>69</v>
      </c>
      <c r="D911" s="75" t="s">
        <v>206</v>
      </c>
      <c r="E911" s="76" t="s">
        <v>2014</v>
      </c>
      <c r="F911" s="70" t="s">
        <v>2015</v>
      </c>
      <c r="G911" s="70" t="s">
        <v>2016</v>
      </c>
      <c r="H911" s="70" t="s">
        <v>2017</v>
      </c>
      <c r="I911" s="72">
        <v>69.17</v>
      </c>
      <c r="J911" s="70" t="s">
        <v>58</v>
      </c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>
      <c r="A912" s="72">
        <v>875.0</v>
      </c>
      <c r="B912" s="67" t="s">
        <v>2018</v>
      </c>
      <c r="C912" s="75" t="s">
        <v>56</v>
      </c>
      <c r="D912" s="76" t="s">
        <v>502</v>
      </c>
      <c r="E912" s="76" t="s">
        <v>2019</v>
      </c>
      <c r="F912" s="70" t="s">
        <v>71</v>
      </c>
      <c r="G912" s="70" t="s">
        <v>2020</v>
      </c>
      <c r="H912" s="70" t="s">
        <v>2021</v>
      </c>
      <c r="I912" s="72">
        <v>53.48</v>
      </c>
      <c r="J912" s="70" t="s">
        <v>58</v>
      </c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>
      <c r="A913" s="72">
        <v>874.0</v>
      </c>
      <c r="B913" s="67" t="s">
        <v>2022</v>
      </c>
      <c r="C913" s="70" t="s">
        <v>69</v>
      </c>
      <c r="D913" s="70" t="s">
        <v>61</v>
      </c>
      <c r="E913" s="70" t="s">
        <v>2023</v>
      </c>
      <c r="F913" s="70" t="s">
        <v>2024</v>
      </c>
      <c r="G913" s="70" t="s">
        <v>2024</v>
      </c>
      <c r="H913" s="70" t="s">
        <v>2023</v>
      </c>
      <c r="I913" s="72">
        <v>36.81</v>
      </c>
      <c r="J913" s="70" t="s">
        <v>58</v>
      </c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>
      <c r="A914" s="72">
        <v>873.0</v>
      </c>
      <c r="B914" s="67" t="s">
        <v>2025</v>
      </c>
      <c r="C914" s="70" t="s">
        <v>56</v>
      </c>
      <c r="D914" s="70" t="s">
        <v>1069</v>
      </c>
      <c r="E914" s="70" t="s">
        <v>2026</v>
      </c>
      <c r="F914" s="73"/>
      <c r="G914" s="70" t="s">
        <v>64</v>
      </c>
      <c r="H914" s="70" t="s">
        <v>2027</v>
      </c>
      <c r="I914" s="72">
        <v>48.21</v>
      </c>
      <c r="J914" s="70" t="s">
        <v>58</v>
      </c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>
      <c r="A915" s="72">
        <v>872.0</v>
      </c>
      <c r="B915" s="67" t="s">
        <v>2028</v>
      </c>
      <c r="C915" s="70" t="s">
        <v>69</v>
      </c>
      <c r="D915" s="70" t="s">
        <v>289</v>
      </c>
      <c r="E915" s="70" t="s">
        <v>2029</v>
      </c>
      <c r="F915" s="70" t="s">
        <v>64</v>
      </c>
      <c r="G915" s="70" t="s">
        <v>2030</v>
      </c>
      <c r="H915" s="70" t="s">
        <v>2031</v>
      </c>
      <c r="I915" s="72">
        <v>64.51</v>
      </c>
      <c r="J915" s="70" t="s">
        <v>58</v>
      </c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>
      <c r="A916" s="72">
        <v>871.0</v>
      </c>
      <c r="B916" s="67" t="s">
        <v>2032</v>
      </c>
      <c r="C916" s="70" t="s">
        <v>60</v>
      </c>
      <c r="D916" s="70" t="s">
        <v>2033</v>
      </c>
      <c r="E916" s="70" t="s">
        <v>2034</v>
      </c>
      <c r="F916" s="70" t="s">
        <v>755</v>
      </c>
      <c r="G916" s="70" t="s">
        <v>2035</v>
      </c>
      <c r="H916" s="70" t="s">
        <v>2036</v>
      </c>
      <c r="I916" s="72">
        <v>32.36</v>
      </c>
      <c r="J916" s="70" t="s">
        <v>58</v>
      </c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>
      <c r="A917" s="72">
        <v>870.0</v>
      </c>
      <c r="B917" s="67" t="s">
        <v>2037</v>
      </c>
      <c r="C917" s="70" t="s">
        <v>56</v>
      </c>
      <c r="D917" s="70" t="s">
        <v>114</v>
      </c>
      <c r="E917" s="70" t="s">
        <v>489</v>
      </c>
      <c r="F917" s="73"/>
      <c r="G917" s="70" t="s">
        <v>489</v>
      </c>
      <c r="H917" s="70" t="s">
        <v>489</v>
      </c>
      <c r="I917" s="72">
        <v>46.95</v>
      </c>
      <c r="J917" s="70" t="s">
        <v>58</v>
      </c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>
      <c r="A918" s="72">
        <v>869.0</v>
      </c>
      <c r="B918" s="67" t="s">
        <v>2038</v>
      </c>
      <c r="C918" s="70" t="s">
        <v>56</v>
      </c>
      <c r="D918" s="70" t="s">
        <v>99</v>
      </c>
      <c r="E918" s="73"/>
      <c r="F918" s="73"/>
      <c r="G918" s="73"/>
      <c r="H918" s="73"/>
      <c r="I918" s="72">
        <v>54.41</v>
      </c>
      <c r="J918" s="70" t="s">
        <v>58</v>
      </c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>
      <c r="A919" s="72">
        <v>868.0</v>
      </c>
      <c r="B919" s="67" t="s">
        <v>2039</v>
      </c>
      <c r="C919" s="70" t="s">
        <v>69</v>
      </c>
      <c r="D919" s="70" t="s">
        <v>99</v>
      </c>
      <c r="E919" s="70" t="s">
        <v>2040</v>
      </c>
      <c r="F919" s="73"/>
      <c r="G919" s="73"/>
      <c r="H919" s="70" t="s">
        <v>2041</v>
      </c>
      <c r="I919" s="72">
        <v>60.95</v>
      </c>
      <c r="J919" s="70" t="s">
        <v>58</v>
      </c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>
      <c r="A920" s="72">
        <v>867.0</v>
      </c>
      <c r="B920" s="67" t="s">
        <v>2042</v>
      </c>
      <c r="C920" s="70" t="s">
        <v>69</v>
      </c>
      <c r="D920" s="70" t="s">
        <v>93</v>
      </c>
      <c r="E920" s="70" t="s">
        <v>2043</v>
      </c>
      <c r="F920" s="73"/>
      <c r="G920" s="70" t="s">
        <v>2044</v>
      </c>
      <c r="H920" s="70" t="s">
        <v>2045</v>
      </c>
      <c r="I920" s="72">
        <v>62.01</v>
      </c>
      <c r="J920" s="70" t="s">
        <v>58</v>
      </c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>
      <c r="A921" s="72">
        <v>866.0</v>
      </c>
      <c r="B921" s="67" t="s">
        <v>2046</v>
      </c>
      <c r="C921" s="70" t="s">
        <v>56</v>
      </c>
      <c r="D921" s="70" t="s">
        <v>99</v>
      </c>
      <c r="E921" s="70" t="s">
        <v>64</v>
      </c>
      <c r="F921" s="73"/>
      <c r="G921" s="73"/>
      <c r="H921" s="70" t="s">
        <v>64</v>
      </c>
      <c r="I921" s="72">
        <v>25.06</v>
      </c>
      <c r="J921" s="70" t="s">
        <v>58</v>
      </c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>
      <c r="A922" s="72">
        <v>865.0</v>
      </c>
      <c r="B922" s="67" t="s">
        <v>2047</v>
      </c>
      <c r="C922" s="70" t="s">
        <v>56</v>
      </c>
      <c r="D922" s="70" t="s">
        <v>835</v>
      </c>
      <c r="E922" s="70" t="s">
        <v>71</v>
      </c>
      <c r="F922" s="70" t="s">
        <v>71</v>
      </c>
      <c r="G922" s="70" t="s">
        <v>71</v>
      </c>
      <c r="H922" s="70" t="s">
        <v>71</v>
      </c>
      <c r="I922" s="72">
        <v>64.9</v>
      </c>
      <c r="J922" s="70" t="s">
        <v>58</v>
      </c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>
      <c r="A923" s="72">
        <v>864.0</v>
      </c>
      <c r="B923" s="67" t="s">
        <v>2048</v>
      </c>
      <c r="C923" s="70" t="s">
        <v>60</v>
      </c>
      <c r="D923" s="70" t="s">
        <v>1996</v>
      </c>
      <c r="E923" s="70" t="s">
        <v>2049</v>
      </c>
      <c r="F923" s="70" t="s">
        <v>2050</v>
      </c>
      <c r="G923" s="70" t="s">
        <v>2050</v>
      </c>
      <c r="H923" s="70" t="s">
        <v>2051</v>
      </c>
      <c r="I923" s="72">
        <v>42.25</v>
      </c>
      <c r="J923" s="70" t="s">
        <v>58</v>
      </c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>
      <c r="A924" s="72">
        <v>863.0</v>
      </c>
      <c r="B924" s="67" t="s">
        <v>2052</v>
      </c>
      <c r="C924" s="70" t="s">
        <v>56</v>
      </c>
      <c r="D924" s="70" t="s">
        <v>173</v>
      </c>
      <c r="E924" s="70" t="s">
        <v>2053</v>
      </c>
      <c r="F924" s="70" t="s">
        <v>1134</v>
      </c>
      <c r="G924" s="70" t="s">
        <v>2054</v>
      </c>
      <c r="H924" s="70" t="s">
        <v>2055</v>
      </c>
      <c r="I924" s="72">
        <v>58.05</v>
      </c>
      <c r="J924" s="70" t="s">
        <v>58</v>
      </c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>
      <c r="A925" s="72">
        <v>862.0</v>
      </c>
      <c r="B925" s="67" t="s">
        <v>2056</v>
      </c>
      <c r="C925" s="70" t="s">
        <v>60</v>
      </c>
      <c r="D925" s="70" t="s">
        <v>2057</v>
      </c>
      <c r="E925" s="70" t="s">
        <v>2058</v>
      </c>
      <c r="F925" s="70" t="s">
        <v>110</v>
      </c>
      <c r="G925" s="70" t="s">
        <v>804</v>
      </c>
      <c r="H925" s="70" t="s">
        <v>2059</v>
      </c>
      <c r="I925" s="72">
        <v>25.22</v>
      </c>
      <c r="J925" s="70" t="s">
        <v>58</v>
      </c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>
      <c r="A926" s="72">
        <v>861.0</v>
      </c>
      <c r="B926" s="67" t="s">
        <v>2060</v>
      </c>
      <c r="C926" s="70" t="s">
        <v>56</v>
      </c>
      <c r="D926" s="70" t="s">
        <v>61</v>
      </c>
      <c r="E926" s="75" t="s">
        <v>2061</v>
      </c>
      <c r="F926" s="73"/>
      <c r="G926" s="70" t="s">
        <v>64</v>
      </c>
      <c r="H926" s="70" t="s">
        <v>2062</v>
      </c>
      <c r="I926" s="72">
        <v>73.74</v>
      </c>
      <c r="J926" s="70" t="s">
        <v>58</v>
      </c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>
      <c r="A927" s="72">
        <v>860.0</v>
      </c>
      <c r="B927" s="67" t="s">
        <v>2063</v>
      </c>
      <c r="C927" s="70" t="s">
        <v>69</v>
      </c>
      <c r="D927" s="75" t="s">
        <v>61</v>
      </c>
      <c r="E927" s="76" t="s">
        <v>2064</v>
      </c>
      <c r="F927" s="70" t="s">
        <v>998</v>
      </c>
      <c r="G927" s="70" t="s">
        <v>2065</v>
      </c>
      <c r="H927" s="70" t="s">
        <v>2065</v>
      </c>
      <c r="I927" s="72">
        <v>51.83</v>
      </c>
      <c r="J927" s="70" t="s">
        <v>58</v>
      </c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>
      <c r="A928" s="72">
        <v>859.0</v>
      </c>
      <c r="B928" s="67" t="s">
        <v>2066</v>
      </c>
      <c r="C928" s="75" t="s">
        <v>69</v>
      </c>
      <c r="D928" s="76" t="s">
        <v>70</v>
      </c>
      <c r="E928" s="76" t="s">
        <v>96</v>
      </c>
      <c r="F928" s="73"/>
      <c r="G928" s="70" t="s">
        <v>71</v>
      </c>
      <c r="H928" s="70" t="s">
        <v>612</v>
      </c>
      <c r="I928" s="72">
        <v>29.23</v>
      </c>
      <c r="J928" s="70" t="s">
        <v>58</v>
      </c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>
      <c r="A929" s="72">
        <v>858.0</v>
      </c>
      <c r="B929" s="67" t="s">
        <v>2067</v>
      </c>
      <c r="C929" s="70" t="s">
        <v>56</v>
      </c>
      <c r="D929" s="70" t="s">
        <v>99</v>
      </c>
      <c r="E929" s="70" t="s">
        <v>96</v>
      </c>
      <c r="F929" s="73"/>
      <c r="G929" s="70" t="s">
        <v>71</v>
      </c>
      <c r="H929" s="70" t="s">
        <v>71</v>
      </c>
      <c r="I929" s="72">
        <v>59.63</v>
      </c>
      <c r="J929" s="70" t="s">
        <v>58</v>
      </c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>
      <c r="A930" s="72">
        <v>857.0</v>
      </c>
      <c r="B930" s="67" t="s">
        <v>2068</v>
      </c>
      <c r="C930" s="70" t="s">
        <v>60</v>
      </c>
      <c r="D930" s="70" t="s">
        <v>63</v>
      </c>
      <c r="E930" s="70" t="s">
        <v>87</v>
      </c>
      <c r="F930" s="70" t="s">
        <v>28</v>
      </c>
      <c r="G930" s="70" t="s">
        <v>28</v>
      </c>
      <c r="H930" s="70" t="s">
        <v>87</v>
      </c>
      <c r="I930" s="72">
        <v>50.47</v>
      </c>
      <c r="J930" s="70" t="s">
        <v>58</v>
      </c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>
      <c r="A931" s="72">
        <v>856.0</v>
      </c>
      <c r="B931" s="67" t="s">
        <v>2069</v>
      </c>
      <c r="C931" s="70" t="s">
        <v>56</v>
      </c>
      <c r="D931" s="70" t="s">
        <v>531</v>
      </c>
      <c r="E931" s="75" t="s">
        <v>2070</v>
      </c>
      <c r="F931" s="70" t="s">
        <v>87</v>
      </c>
      <c r="G931" s="70" t="s">
        <v>87</v>
      </c>
      <c r="H931" s="70" t="s">
        <v>2071</v>
      </c>
      <c r="I931" s="72">
        <v>64.85</v>
      </c>
      <c r="J931" s="70" t="s">
        <v>58</v>
      </c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>
      <c r="A932" s="72">
        <v>855.0</v>
      </c>
      <c r="B932" s="67" t="s">
        <v>2072</v>
      </c>
      <c r="C932" s="70" t="s">
        <v>56</v>
      </c>
      <c r="D932" s="75" t="s">
        <v>433</v>
      </c>
      <c r="E932" s="76" t="s">
        <v>2073</v>
      </c>
      <c r="F932" s="70" t="s">
        <v>28</v>
      </c>
      <c r="G932" s="70" t="s">
        <v>96</v>
      </c>
      <c r="H932" s="70" t="s">
        <v>2074</v>
      </c>
      <c r="I932" s="72">
        <v>43.44</v>
      </c>
      <c r="J932" s="70" t="s">
        <v>58</v>
      </c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>
      <c r="A933" s="72">
        <v>854.0</v>
      </c>
      <c r="B933" s="67" t="s">
        <v>2075</v>
      </c>
      <c r="C933" s="75" t="s">
        <v>60</v>
      </c>
      <c r="D933" s="76" t="s">
        <v>121</v>
      </c>
      <c r="E933" s="76" t="s">
        <v>87</v>
      </c>
      <c r="F933" s="73"/>
      <c r="G933" s="70" t="s">
        <v>64</v>
      </c>
      <c r="H933" s="70" t="s">
        <v>112</v>
      </c>
      <c r="I933" s="72">
        <v>38.7</v>
      </c>
      <c r="J933" s="70" t="s">
        <v>58</v>
      </c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>
      <c r="A934" s="72">
        <v>853.0</v>
      </c>
      <c r="B934" s="67" t="s">
        <v>2076</v>
      </c>
      <c r="C934" s="70" t="s">
        <v>56</v>
      </c>
      <c r="D934" s="70" t="s">
        <v>368</v>
      </c>
      <c r="E934" s="70" t="s">
        <v>1342</v>
      </c>
      <c r="F934" s="70" t="s">
        <v>1343</v>
      </c>
      <c r="G934" s="70" t="s">
        <v>1343</v>
      </c>
      <c r="H934" s="70" t="s">
        <v>1343</v>
      </c>
      <c r="I934" s="72">
        <v>44.13</v>
      </c>
      <c r="J934" s="70" t="s">
        <v>58</v>
      </c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>
      <c r="A935" s="72">
        <v>852.0</v>
      </c>
      <c r="B935" s="67" t="s">
        <v>2077</v>
      </c>
      <c r="C935" s="70" t="s">
        <v>69</v>
      </c>
      <c r="D935" s="70" t="s">
        <v>502</v>
      </c>
      <c r="E935" s="70" t="s">
        <v>2078</v>
      </c>
      <c r="F935" s="70" t="s">
        <v>1613</v>
      </c>
      <c r="G935" s="70" t="s">
        <v>2079</v>
      </c>
      <c r="H935" s="70" t="s">
        <v>2080</v>
      </c>
      <c r="I935" s="72">
        <v>71.63</v>
      </c>
      <c r="J935" s="70" t="s">
        <v>58</v>
      </c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>
      <c r="A936" s="72">
        <v>851.0</v>
      </c>
      <c r="B936" s="67" t="s">
        <v>2081</v>
      </c>
      <c r="C936" s="70" t="s">
        <v>56</v>
      </c>
      <c r="D936" s="70" t="s">
        <v>506</v>
      </c>
      <c r="E936" s="75" t="s">
        <v>64</v>
      </c>
      <c r="F936" s="73"/>
      <c r="G936" s="73"/>
      <c r="H936" s="70" t="s">
        <v>64</v>
      </c>
      <c r="I936" s="72">
        <v>52.71</v>
      </c>
      <c r="J936" s="70" t="s">
        <v>58</v>
      </c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>
      <c r="A937" s="72">
        <v>850.0</v>
      </c>
      <c r="B937" s="67" t="s">
        <v>2082</v>
      </c>
      <c r="C937" s="70" t="s">
        <v>60</v>
      </c>
      <c r="D937" s="75" t="s">
        <v>2083</v>
      </c>
      <c r="E937" s="76" t="s">
        <v>2084</v>
      </c>
      <c r="F937" s="70" t="s">
        <v>1715</v>
      </c>
      <c r="G937" s="70" t="s">
        <v>2085</v>
      </c>
      <c r="H937" s="70" t="s">
        <v>2085</v>
      </c>
      <c r="I937" s="72">
        <v>48.3</v>
      </c>
      <c r="J937" s="70" t="s">
        <v>58</v>
      </c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>
      <c r="A938" s="72">
        <v>849.0</v>
      </c>
      <c r="B938" s="67" t="s">
        <v>2086</v>
      </c>
      <c r="C938" s="75" t="s">
        <v>56</v>
      </c>
      <c r="D938" s="76" t="s">
        <v>93</v>
      </c>
      <c r="E938" s="76" t="s">
        <v>2087</v>
      </c>
      <c r="F938" s="70" t="s">
        <v>2088</v>
      </c>
      <c r="G938" s="70" t="s">
        <v>2089</v>
      </c>
      <c r="H938" s="70" t="s">
        <v>2089</v>
      </c>
      <c r="I938" s="72">
        <v>44.49</v>
      </c>
      <c r="J938" s="70" t="s">
        <v>58</v>
      </c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>
      <c r="A939" s="72">
        <v>848.0</v>
      </c>
      <c r="B939" s="67" t="s">
        <v>2090</v>
      </c>
      <c r="C939" s="70" t="s">
        <v>56</v>
      </c>
      <c r="D939" s="70" t="s">
        <v>70</v>
      </c>
      <c r="E939" s="70" t="s">
        <v>71</v>
      </c>
      <c r="F939" s="73"/>
      <c r="G939" s="73"/>
      <c r="H939" s="73"/>
      <c r="I939" s="72">
        <v>45.24</v>
      </c>
      <c r="J939" s="70" t="s">
        <v>58</v>
      </c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>
      <c r="A940" s="72">
        <v>847.0</v>
      </c>
      <c r="B940" s="67" t="s">
        <v>2091</v>
      </c>
      <c r="C940" s="70" t="s">
        <v>60</v>
      </c>
      <c r="D940" s="70" t="s">
        <v>331</v>
      </c>
      <c r="E940" s="70" t="s">
        <v>2092</v>
      </c>
      <c r="F940" s="70" t="s">
        <v>28</v>
      </c>
      <c r="G940" s="70" t="s">
        <v>28</v>
      </c>
      <c r="H940" s="70" t="s">
        <v>2093</v>
      </c>
      <c r="I940" s="72">
        <v>53.9</v>
      </c>
      <c r="J940" s="70" t="s">
        <v>58</v>
      </c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>
      <c r="A941" s="72">
        <v>846.0</v>
      </c>
      <c r="B941" s="67" t="s">
        <v>2094</v>
      </c>
      <c r="C941" s="70" t="s">
        <v>56</v>
      </c>
      <c r="D941" s="70" t="s">
        <v>433</v>
      </c>
      <c r="E941" s="70" t="s">
        <v>2095</v>
      </c>
      <c r="F941" s="70" t="s">
        <v>2096</v>
      </c>
      <c r="G941" s="70" t="s">
        <v>2096</v>
      </c>
      <c r="H941" s="70" t="s">
        <v>2097</v>
      </c>
      <c r="I941" s="72">
        <v>55.46</v>
      </c>
      <c r="J941" s="70" t="s">
        <v>58</v>
      </c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>
      <c r="A942" s="72">
        <v>845.0</v>
      </c>
      <c r="B942" s="67" t="s">
        <v>2098</v>
      </c>
      <c r="C942" s="70" t="s">
        <v>56</v>
      </c>
      <c r="D942" s="70" t="s">
        <v>151</v>
      </c>
      <c r="E942" s="75" t="s">
        <v>2099</v>
      </c>
      <c r="F942" s="70" t="s">
        <v>2100</v>
      </c>
      <c r="G942" s="70" t="s">
        <v>2101</v>
      </c>
      <c r="H942" s="70" t="s">
        <v>2102</v>
      </c>
      <c r="I942" s="72">
        <v>38.62</v>
      </c>
      <c r="J942" s="70" t="s">
        <v>58</v>
      </c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>
      <c r="A943" s="72">
        <v>844.0</v>
      </c>
      <c r="B943" s="67" t="s">
        <v>2103</v>
      </c>
      <c r="C943" s="70" t="s">
        <v>69</v>
      </c>
      <c r="D943" s="75" t="s">
        <v>2104</v>
      </c>
      <c r="E943" s="76" t="s">
        <v>2105</v>
      </c>
      <c r="F943" s="70" t="s">
        <v>2106</v>
      </c>
      <c r="G943" s="70" t="s">
        <v>2107</v>
      </c>
      <c r="H943" s="70" t="s">
        <v>2108</v>
      </c>
      <c r="I943" s="72">
        <v>47.09</v>
      </c>
      <c r="J943" s="70" t="s">
        <v>58</v>
      </c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>
      <c r="A944" s="72">
        <v>843.0</v>
      </c>
      <c r="B944" s="67" t="s">
        <v>2109</v>
      </c>
      <c r="C944" s="75" t="s">
        <v>60</v>
      </c>
      <c r="D944" s="76" t="s">
        <v>2110</v>
      </c>
      <c r="E944" s="76" t="s">
        <v>2111</v>
      </c>
      <c r="F944" s="70" t="s">
        <v>28</v>
      </c>
      <c r="G944" s="70" t="s">
        <v>87</v>
      </c>
      <c r="H944" s="70" t="s">
        <v>2112</v>
      </c>
      <c r="I944" s="72">
        <v>46.45</v>
      </c>
      <c r="J944" s="70" t="s">
        <v>58</v>
      </c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>
      <c r="A945" s="72">
        <v>842.0</v>
      </c>
      <c r="B945" s="67" t="s">
        <v>2113</v>
      </c>
      <c r="C945" s="75" t="s">
        <v>56</v>
      </c>
      <c r="D945" s="76" t="s">
        <v>2114</v>
      </c>
      <c r="E945" s="76" t="s">
        <v>64</v>
      </c>
      <c r="F945" s="73"/>
      <c r="G945" s="73"/>
      <c r="H945" s="70" t="s">
        <v>64</v>
      </c>
      <c r="I945" s="72">
        <v>36.97</v>
      </c>
      <c r="J945" s="70" t="s">
        <v>58</v>
      </c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>
      <c r="A946" s="72">
        <v>841.0</v>
      </c>
      <c r="B946" s="67" t="s">
        <v>2115</v>
      </c>
      <c r="C946" s="70" t="s">
        <v>56</v>
      </c>
      <c r="D946" s="75" t="s">
        <v>1536</v>
      </c>
      <c r="E946" s="76" t="s">
        <v>2116</v>
      </c>
      <c r="F946" s="70" t="s">
        <v>64</v>
      </c>
      <c r="G946" s="70" t="s">
        <v>2117</v>
      </c>
      <c r="H946" s="70" t="s">
        <v>2118</v>
      </c>
      <c r="I946" s="72">
        <v>66.09</v>
      </c>
      <c r="J946" s="70" t="s">
        <v>58</v>
      </c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>
      <c r="A947" s="72">
        <v>840.0</v>
      </c>
      <c r="B947" s="67" t="s">
        <v>2119</v>
      </c>
      <c r="C947" s="75" t="s">
        <v>56</v>
      </c>
      <c r="D947" s="76" t="s">
        <v>93</v>
      </c>
      <c r="E947" s="76" t="s">
        <v>2120</v>
      </c>
      <c r="F947" s="73"/>
      <c r="G947" s="70" t="s">
        <v>28</v>
      </c>
      <c r="H947" s="70" t="s">
        <v>2120</v>
      </c>
      <c r="I947" s="72">
        <v>37.87</v>
      </c>
      <c r="J947" s="70" t="s">
        <v>58</v>
      </c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>
      <c r="A948" s="72">
        <v>839.0</v>
      </c>
      <c r="B948" s="67" t="s">
        <v>2121</v>
      </c>
      <c r="C948" s="70" t="s">
        <v>60</v>
      </c>
      <c r="D948" s="70" t="s">
        <v>1462</v>
      </c>
      <c r="E948" s="70" t="s">
        <v>2122</v>
      </c>
      <c r="F948" s="70" t="s">
        <v>71</v>
      </c>
      <c r="G948" s="70" t="s">
        <v>799</v>
      </c>
      <c r="H948" s="70" t="s">
        <v>2123</v>
      </c>
      <c r="I948" s="72">
        <v>41.13</v>
      </c>
      <c r="J948" s="70" t="s">
        <v>58</v>
      </c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>
      <c r="A949" s="72">
        <v>838.0</v>
      </c>
      <c r="B949" s="67" t="s">
        <v>2124</v>
      </c>
      <c r="C949" s="70" t="s">
        <v>56</v>
      </c>
      <c r="D949" s="70" t="s">
        <v>2125</v>
      </c>
      <c r="E949" s="70" t="s">
        <v>28</v>
      </c>
      <c r="F949" s="73"/>
      <c r="G949" s="73"/>
      <c r="H949" s="70" t="s">
        <v>28</v>
      </c>
      <c r="I949" s="72">
        <v>49.89</v>
      </c>
      <c r="J949" s="70" t="s">
        <v>58</v>
      </c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>
      <c r="A950" s="72">
        <v>837.0</v>
      </c>
      <c r="B950" s="67" t="s">
        <v>2126</v>
      </c>
      <c r="C950" s="70" t="s">
        <v>56</v>
      </c>
      <c r="D950" s="70" t="s">
        <v>76</v>
      </c>
      <c r="E950" s="70" t="s">
        <v>2127</v>
      </c>
      <c r="F950" s="70" t="s">
        <v>28</v>
      </c>
      <c r="G950" s="70" t="s">
        <v>1927</v>
      </c>
      <c r="H950" s="70" t="s">
        <v>2128</v>
      </c>
      <c r="I950" s="72">
        <v>35.45</v>
      </c>
      <c r="J950" s="70" t="s">
        <v>58</v>
      </c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>
      <c r="A951" s="72">
        <v>836.0</v>
      </c>
      <c r="B951" s="67" t="s">
        <v>2129</v>
      </c>
      <c r="C951" s="70" t="s">
        <v>69</v>
      </c>
      <c r="D951" s="70" t="s">
        <v>99</v>
      </c>
      <c r="E951" s="75" t="s">
        <v>2130</v>
      </c>
      <c r="F951" s="70" t="s">
        <v>2131</v>
      </c>
      <c r="G951" s="70" t="s">
        <v>2132</v>
      </c>
      <c r="H951" s="70" t="s">
        <v>2133</v>
      </c>
      <c r="I951" s="72">
        <v>44.0</v>
      </c>
      <c r="J951" s="70" t="s">
        <v>58</v>
      </c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>
      <c r="A952" s="72">
        <v>835.0</v>
      </c>
      <c r="B952" s="67" t="s">
        <v>2134</v>
      </c>
      <c r="C952" s="70" t="s">
        <v>56</v>
      </c>
      <c r="D952" s="75" t="s">
        <v>93</v>
      </c>
      <c r="E952" s="76" t="s">
        <v>28</v>
      </c>
      <c r="F952" s="73"/>
      <c r="G952" s="73"/>
      <c r="H952" s="70" t="s">
        <v>28</v>
      </c>
      <c r="I952" s="72">
        <v>61.67</v>
      </c>
      <c r="J952" s="70" t="s">
        <v>58</v>
      </c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>
      <c r="A953" s="72">
        <v>834.0</v>
      </c>
      <c r="B953" s="67" t="s">
        <v>2135</v>
      </c>
      <c r="C953" s="75" t="s">
        <v>60</v>
      </c>
      <c r="D953" s="76" t="s">
        <v>289</v>
      </c>
      <c r="E953" s="76" t="s">
        <v>2136</v>
      </c>
      <c r="F953" s="70" t="s">
        <v>2137</v>
      </c>
      <c r="G953" s="70" t="s">
        <v>2137</v>
      </c>
      <c r="H953" s="70" t="s">
        <v>2138</v>
      </c>
      <c r="I953" s="72">
        <v>46.3</v>
      </c>
      <c r="J953" s="70" t="s">
        <v>58</v>
      </c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>
      <c r="A954" s="72">
        <v>833.0</v>
      </c>
      <c r="B954" s="67" t="s">
        <v>2139</v>
      </c>
      <c r="C954" s="70" t="s">
        <v>56</v>
      </c>
      <c r="D954" s="70" t="s">
        <v>70</v>
      </c>
      <c r="E954" s="70" t="s">
        <v>2140</v>
      </c>
      <c r="F954" s="70" t="s">
        <v>28</v>
      </c>
      <c r="G954" s="70" t="s">
        <v>297</v>
      </c>
      <c r="H954" s="70" t="s">
        <v>2141</v>
      </c>
      <c r="I954" s="72">
        <v>51.48</v>
      </c>
      <c r="J954" s="70" t="s">
        <v>58</v>
      </c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>
      <c r="A955" s="72">
        <v>832.0</v>
      </c>
      <c r="B955" s="67" t="s">
        <v>2142</v>
      </c>
      <c r="C955" s="70" t="s">
        <v>69</v>
      </c>
      <c r="D955" s="70" t="s">
        <v>93</v>
      </c>
      <c r="E955" s="70" t="s">
        <v>2143</v>
      </c>
      <c r="F955" s="73"/>
      <c r="G955" s="70" t="s">
        <v>558</v>
      </c>
      <c r="H955" s="70" t="s">
        <v>1910</v>
      </c>
      <c r="I955" s="72">
        <v>78.23</v>
      </c>
      <c r="J955" s="70" t="s">
        <v>58</v>
      </c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>
      <c r="A956" s="72">
        <v>831.0</v>
      </c>
      <c r="B956" s="67" t="s">
        <v>2144</v>
      </c>
      <c r="C956" s="70" t="s">
        <v>56</v>
      </c>
      <c r="D956" s="70" t="s">
        <v>70</v>
      </c>
      <c r="E956" s="70" t="s">
        <v>82</v>
      </c>
      <c r="F956" s="73"/>
      <c r="G956" s="73"/>
      <c r="H956" s="70" t="s">
        <v>82</v>
      </c>
      <c r="I956" s="72">
        <v>44.79</v>
      </c>
      <c r="J956" s="70" t="s">
        <v>58</v>
      </c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>
      <c r="A957" s="72">
        <v>830.0</v>
      </c>
      <c r="B957" s="67" t="s">
        <v>2145</v>
      </c>
      <c r="C957" s="70" t="s">
        <v>69</v>
      </c>
      <c r="D957" s="70" t="s">
        <v>93</v>
      </c>
      <c r="E957" s="70" t="s">
        <v>28</v>
      </c>
      <c r="F957" s="73"/>
      <c r="G957" s="70" t="s">
        <v>28</v>
      </c>
      <c r="H957" s="70" t="s">
        <v>28</v>
      </c>
      <c r="I957" s="72">
        <v>50.42</v>
      </c>
      <c r="J957" s="70" t="s">
        <v>58</v>
      </c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>
      <c r="A958" s="72">
        <v>829.0</v>
      </c>
      <c r="B958" s="67" t="s">
        <v>2146</v>
      </c>
      <c r="C958" s="70" t="s">
        <v>60</v>
      </c>
      <c r="D958" s="70" t="s">
        <v>99</v>
      </c>
      <c r="E958" s="70" t="s">
        <v>2147</v>
      </c>
      <c r="F958" s="70" t="s">
        <v>2148</v>
      </c>
      <c r="G958" s="70" t="s">
        <v>2149</v>
      </c>
      <c r="H958" s="70" t="s">
        <v>2150</v>
      </c>
      <c r="I958" s="72">
        <v>39.26</v>
      </c>
      <c r="J958" s="70" t="s">
        <v>58</v>
      </c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>
      <c r="A959" s="72">
        <v>828.0</v>
      </c>
      <c r="B959" s="67" t="s">
        <v>2151</v>
      </c>
      <c r="C959" s="70" t="s">
        <v>60</v>
      </c>
      <c r="D959" s="70" t="s">
        <v>151</v>
      </c>
      <c r="E959" s="70" t="s">
        <v>2152</v>
      </c>
      <c r="F959" s="73"/>
      <c r="G959" s="70" t="s">
        <v>67</v>
      </c>
      <c r="H959" s="70" t="s">
        <v>2153</v>
      </c>
      <c r="I959" s="72">
        <v>46.82</v>
      </c>
      <c r="J959" s="70" t="s">
        <v>58</v>
      </c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>
      <c r="A960" s="72">
        <v>827.0</v>
      </c>
      <c r="B960" s="67" t="s">
        <v>2154</v>
      </c>
      <c r="C960" s="70" t="s">
        <v>60</v>
      </c>
      <c r="D960" s="70" t="s">
        <v>394</v>
      </c>
      <c r="E960" s="75" t="s">
        <v>2155</v>
      </c>
      <c r="F960" s="70" t="s">
        <v>1135</v>
      </c>
      <c r="G960" s="70" t="s">
        <v>1135</v>
      </c>
      <c r="H960" s="70" t="s">
        <v>2156</v>
      </c>
      <c r="I960" s="72">
        <v>47.36</v>
      </c>
      <c r="J960" s="70" t="s">
        <v>58</v>
      </c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>
      <c r="A961" s="72">
        <v>826.0</v>
      </c>
      <c r="B961" s="67" t="s">
        <v>2157</v>
      </c>
      <c r="C961" s="70" t="s">
        <v>56</v>
      </c>
      <c r="D961" s="75" t="s">
        <v>151</v>
      </c>
      <c r="E961" s="76" t="s">
        <v>2158</v>
      </c>
      <c r="F961" s="70" t="s">
        <v>64</v>
      </c>
      <c r="G961" s="70" t="s">
        <v>64</v>
      </c>
      <c r="H961" s="70" t="s">
        <v>2159</v>
      </c>
      <c r="I961" s="72">
        <v>39.21</v>
      </c>
      <c r="J961" s="70" t="s">
        <v>58</v>
      </c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>
      <c r="A962" s="72">
        <v>825.0</v>
      </c>
      <c r="B962" s="67" t="s">
        <v>2160</v>
      </c>
      <c r="C962" s="75" t="s">
        <v>56</v>
      </c>
      <c r="D962" s="76" t="s">
        <v>93</v>
      </c>
      <c r="E962" s="76" t="s">
        <v>71</v>
      </c>
      <c r="F962" s="70" t="s">
        <v>71</v>
      </c>
      <c r="G962" s="70" t="s">
        <v>71</v>
      </c>
      <c r="H962" s="70" t="s">
        <v>71</v>
      </c>
      <c r="I962" s="72">
        <v>44.22</v>
      </c>
      <c r="J962" s="70" t="s">
        <v>58</v>
      </c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>
      <c r="A963" s="72">
        <v>824.0</v>
      </c>
      <c r="B963" s="67" t="s">
        <v>2161</v>
      </c>
      <c r="C963" s="70" t="s">
        <v>69</v>
      </c>
      <c r="D963" s="70" t="s">
        <v>70</v>
      </c>
      <c r="E963" s="70" t="s">
        <v>489</v>
      </c>
      <c r="F963" s="70" t="s">
        <v>71</v>
      </c>
      <c r="G963" s="70" t="s">
        <v>71</v>
      </c>
      <c r="H963" s="70" t="s">
        <v>489</v>
      </c>
      <c r="I963" s="72">
        <v>66.72</v>
      </c>
      <c r="J963" s="70" t="s">
        <v>58</v>
      </c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>
      <c r="A964" s="72">
        <v>823.0</v>
      </c>
      <c r="B964" s="67" t="s">
        <v>2162</v>
      </c>
      <c r="C964" s="70" t="s">
        <v>56</v>
      </c>
      <c r="D964" s="73"/>
      <c r="E964" s="73"/>
      <c r="F964" s="73"/>
      <c r="G964" s="73"/>
      <c r="H964" s="73"/>
      <c r="I964" s="72">
        <v>43.77</v>
      </c>
      <c r="J964" s="70" t="s">
        <v>58</v>
      </c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>
      <c r="A965" s="72">
        <v>822.0</v>
      </c>
      <c r="B965" s="67" t="s">
        <v>2163</v>
      </c>
      <c r="C965" s="70" t="s">
        <v>56</v>
      </c>
      <c r="D965" s="74"/>
      <c r="E965" s="73"/>
      <c r="F965" s="73"/>
      <c r="G965" s="73"/>
      <c r="H965" s="73"/>
      <c r="I965" s="72">
        <v>43.7</v>
      </c>
      <c r="J965" s="70" t="s">
        <v>58</v>
      </c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>
      <c r="A966" s="72">
        <v>821.0</v>
      </c>
      <c r="B966" s="67" t="s">
        <v>2164</v>
      </c>
      <c r="C966" s="70" t="s">
        <v>69</v>
      </c>
      <c r="D966" s="73"/>
      <c r="E966" s="70" t="s">
        <v>2165</v>
      </c>
      <c r="F966" s="73"/>
      <c r="G966" s="70" t="s">
        <v>579</v>
      </c>
      <c r="H966" s="70" t="s">
        <v>2166</v>
      </c>
      <c r="I966" s="72">
        <v>70.0</v>
      </c>
      <c r="J966" s="70" t="s">
        <v>58</v>
      </c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>
      <c r="A967" s="72">
        <v>820.0</v>
      </c>
      <c r="B967" s="67" t="s">
        <v>2167</v>
      </c>
      <c r="C967" s="70" t="s">
        <v>56</v>
      </c>
      <c r="D967" s="73"/>
      <c r="E967" s="73"/>
      <c r="F967" s="73"/>
      <c r="G967" s="73"/>
      <c r="H967" s="73"/>
      <c r="I967" s="72">
        <v>55.1</v>
      </c>
      <c r="J967" s="70" t="s">
        <v>58</v>
      </c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>
      <c r="A968" s="72">
        <v>819.0</v>
      </c>
      <c r="B968" s="67" t="s">
        <v>2168</v>
      </c>
      <c r="C968" s="70" t="s">
        <v>69</v>
      </c>
      <c r="D968" s="70" t="s">
        <v>70</v>
      </c>
      <c r="E968" s="70" t="s">
        <v>2169</v>
      </c>
      <c r="F968" s="70" t="s">
        <v>64</v>
      </c>
      <c r="G968" s="70" t="s">
        <v>64</v>
      </c>
      <c r="H968" s="70" t="s">
        <v>2170</v>
      </c>
      <c r="I968" s="72">
        <v>45.48</v>
      </c>
      <c r="J968" s="70" t="s">
        <v>58</v>
      </c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>
      <c r="A969" s="72">
        <v>818.0</v>
      </c>
      <c r="B969" s="67" t="s">
        <v>2171</v>
      </c>
      <c r="C969" s="70" t="s">
        <v>60</v>
      </c>
      <c r="D969" s="70" t="s">
        <v>2033</v>
      </c>
      <c r="E969" s="70" t="s">
        <v>87</v>
      </c>
      <c r="F969" s="70" t="s">
        <v>28</v>
      </c>
      <c r="G969" s="70" t="s">
        <v>28</v>
      </c>
      <c r="H969" s="70" t="s">
        <v>87</v>
      </c>
      <c r="I969" s="72">
        <v>40.13</v>
      </c>
      <c r="J969" s="70" t="s">
        <v>58</v>
      </c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>
      <c r="A970" s="72">
        <v>817.0</v>
      </c>
      <c r="B970" s="67" t="s">
        <v>2172</v>
      </c>
      <c r="C970" s="70" t="s">
        <v>56</v>
      </c>
      <c r="D970" s="70" t="s">
        <v>206</v>
      </c>
      <c r="E970" s="70" t="s">
        <v>28</v>
      </c>
      <c r="F970" s="70" t="s">
        <v>28</v>
      </c>
      <c r="G970" s="70" t="s">
        <v>28</v>
      </c>
      <c r="H970" s="70" t="s">
        <v>28</v>
      </c>
      <c r="I970" s="72">
        <v>57.79</v>
      </c>
      <c r="J970" s="70" t="s">
        <v>58</v>
      </c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>
      <c r="A971" s="72">
        <v>816.0</v>
      </c>
      <c r="B971" s="67" t="s">
        <v>2173</v>
      </c>
      <c r="C971" s="70" t="s">
        <v>56</v>
      </c>
      <c r="D971" s="70" t="s">
        <v>70</v>
      </c>
      <c r="E971" s="70" t="s">
        <v>28</v>
      </c>
      <c r="F971" s="73"/>
      <c r="G971" s="73"/>
      <c r="H971" s="70" t="s">
        <v>28</v>
      </c>
      <c r="I971" s="72">
        <v>48.06</v>
      </c>
      <c r="J971" s="70" t="s">
        <v>58</v>
      </c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>
      <c r="A972" s="72">
        <v>815.0</v>
      </c>
      <c r="B972" s="67" t="s">
        <v>2174</v>
      </c>
      <c r="C972" s="70" t="s">
        <v>60</v>
      </c>
      <c r="D972" s="70" t="s">
        <v>852</v>
      </c>
      <c r="E972" s="70" t="s">
        <v>2175</v>
      </c>
      <c r="F972" s="70" t="s">
        <v>2176</v>
      </c>
      <c r="G972" s="70" t="s">
        <v>2177</v>
      </c>
      <c r="H972" s="70" t="s">
        <v>2178</v>
      </c>
      <c r="I972" s="72">
        <v>43.43</v>
      </c>
      <c r="J972" s="70" t="s">
        <v>58</v>
      </c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>
      <c r="A973" s="72">
        <v>814.0</v>
      </c>
      <c r="B973" s="67" t="s">
        <v>2179</v>
      </c>
      <c r="C973" s="70" t="s">
        <v>56</v>
      </c>
      <c r="D973" s="70" t="s">
        <v>320</v>
      </c>
      <c r="E973" s="70" t="s">
        <v>2180</v>
      </c>
      <c r="F973" s="70" t="s">
        <v>64</v>
      </c>
      <c r="G973" s="70" t="s">
        <v>2181</v>
      </c>
      <c r="H973" s="70" t="s">
        <v>2182</v>
      </c>
      <c r="I973" s="72">
        <v>72.19</v>
      </c>
      <c r="J973" s="70" t="s">
        <v>58</v>
      </c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>
      <c r="A974" s="72">
        <v>813.0</v>
      </c>
      <c r="B974" s="67" t="s">
        <v>2183</v>
      </c>
      <c r="C974" s="70" t="s">
        <v>56</v>
      </c>
      <c r="D974" s="70" t="s">
        <v>76</v>
      </c>
      <c r="E974" s="70" t="s">
        <v>1139</v>
      </c>
      <c r="F974" s="73"/>
      <c r="G974" s="70" t="s">
        <v>64</v>
      </c>
      <c r="H974" s="70" t="s">
        <v>1455</v>
      </c>
      <c r="I974" s="72">
        <v>51.16</v>
      </c>
      <c r="J974" s="70" t="s">
        <v>58</v>
      </c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>
      <c r="A975" s="72">
        <v>812.0</v>
      </c>
      <c r="B975" s="67" t="s">
        <v>2184</v>
      </c>
      <c r="C975" s="70" t="s">
        <v>69</v>
      </c>
      <c r="D975" s="70" t="s">
        <v>99</v>
      </c>
      <c r="E975" s="70" t="s">
        <v>28</v>
      </c>
      <c r="F975" s="73"/>
      <c r="G975" s="73"/>
      <c r="H975" s="70" t="s">
        <v>28</v>
      </c>
      <c r="I975" s="72">
        <v>58.97</v>
      </c>
      <c r="J975" s="70" t="s">
        <v>58</v>
      </c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>
      <c r="A976" s="72">
        <v>811.0</v>
      </c>
      <c r="B976" s="67" t="s">
        <v>2185</v>
      </c>
      <c r="C976" s="70" t="s">
        <v>69</v>
      </c>
      <c r="D976" s="70" t="s">
        <v>284</v>
      </c>
      <c r="E976" s="70" t="s">
        <v>2186</v>
      </c>
      <c r="F976" s="70" t="s">
        <v>2187</v>
      </c>
      <c r="G976" s="70" t="s">
        <v>2187</v>
      </c>
      <c r="H976" s="70" t="s">
        <v>2188</v>
      </c>
      <c r="I976" s="72">
        <v>71.64</v>
      </c>
      <c r="J976" s="70" t="s">
        <v>58</v>
      </c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>
      <c r="A977" s="72">
        <v>810.0</v>
      </c>
      <c r="B977" s="67" t="s">
        <v>2189</v>
      </c>
      <c r="C977" s="70" t="s">
        <v>60</v>
      </c>
      <c r="D977" s="70" t="s">
        <v>99</v>
      </c>
      <c r="E977" s="70" t="s">
        <v>2190</v>
      </c>
      <c r="F977" s="73"/>
      <c r="G977" s="73"/>
      <c r="H977" s="70" t="s">
        <v>2190</v>
      </c>
      <c r="I977" s="72">
        <v>49.81</v>
      </c>
      <c r="J977" s="70" t="s">
        <v>58</v>
      </c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>
      <c r="A978" s="72">
        <v>809.0</v>
      </c>
      <c r="B978" s="67" t="s">
        <v>2191</v>
      </c>
      <c r="C978" s="70" t="s">
        <v>56</v>
      </c>
      <c r="D978" s="70" t="s">
        <v>70</v>
      </c>
      <c r="E978" s="70" t="s">
        <v>87</v>
      </c>
      <c r="F978" s="70" t="s">
        <v>28</v>
      </c>
      <c r="G978" s="70" t="s">
        <v>87</v>
      </c>
      <c r="H978" s="70" t="s">
        <v>87</v>
      </c>
      <c r="I978" s="72">
        <v>46.44</v>
      </c>
      <c r="J978" s="70" t="s">
        <v>58</v>
      </c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>
      <c r="A979" s="72">
        <v>808.0</v>
      </c>
      <c r="B979" s="67" t="s">
        <v>2192</v>
      </c>
      <c r="C979" s="70" t="s">
        <v>56</v>
      </c>
      <c r="D979" s="70" t="s">
        <v>76</v>
      </c>
      <c r="E979" s="70" t="s">
        <v>28</v>
      </c>
      <c r="F979" s="73"/>
      <c r="G979" s="73"/>
      <c r="H979" s="70" t="s">
        <v>28</v>
      </c>
      <c r="I979" s="72">
        <v>41.03</v>
      </c>
      <c r="J979" s="70" t="s">
        <v>58</v>
      </c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>
      <c r="A980" s="72">
        <v>807.0</v>
      </c>
      <c r="B980" s="67" t="s">
        <v>2193</v>
      </c>
      <c r="C980" s="70" t="s">
        <v>56</v>
      </c>
      <c r="D980" s="73"/>
      <c r="E980" s="70" t="s">
        <v>87</v>
      </c>
      <c r="F980" s="73"/>
      <c r="G980" s="73"/>
      <c r="H980" s="70" t="s">
        <v>28</v>
      </c>
      <c r="I980" s="72">
        <v>84.37</v>
      </c>
      <c r="J980" s="70" t="s">
        <v>58</v>
      </c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>
      <c r="A981" s="72">
        <v>806.0</v>
      </c>
      <c r="B981" s="67" t="s">
        <v>2194</v>
      </c>
      <c r="C981" s="70" t="s">
        <v>69</v>
      </c>
      <c r="D981" s="74"/>
      <c r="E981" s="70" t="s">
        <v>28</v>
      </c>
      <c r="F981" s="73"/>
      <c r="G981" s="73"/>
      <c r="H981" s="70" t="s">
        <v>28</v>
      </c>
      <c r="I981" s="72">
        <v>65.47</v>
      </c>
      <c r="J981" s="70" t="s">
        <v>58</v>
      </c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>
      <c r="A982" s="72">
        <v>805.0</v>
      </c>
      <c r="B982" s="67" t="s">
        <v>2195</v>
      </c>
      <c r="C982" s="70" t="s">
        <v>60</v>
      </c>
      <c r="D982" s="70" t="s">
        <v>99</v>
      </c>
      <c r="E982" s="70" t="s">
        <v>2196</v>
      </c>
      <c r="F982" s="73"/>
      <c r="G982" s="70" t="s">
        <v>579</v>
      </c>
      <c r="H982" s="70" t="s">
        <v>2197</v>
      </c>
      <c r="I982" s="72">
        <v>26.93</v>
      </c>
      <c r="J982" s="70" t="s">
        <v>58</v>
      </c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>
      <c r="A983" s="72">
        <v>804.0</v>
      </c>
      <c r="B983" s="67" t="s">
        <v>2198</v>
      </c>
      <c r="C983" s="70" t="s">
        <v>69</v>
      </c>
      <c r="D983" s="70" t="s">
        <v>70</v>
      </c>
      <c r="E983" s="70" t="s">
        <v>1927</v>
      </c>
      <c r="F983" s="73"/>
      <c r="G983" s="73"/>
      <c r="H983" s="70" t="s">
        <v>579</v>
      </c>
      <c r="I983" s="72">
        <v>79.0</v>
      </c>
      <c r="J983" s="70" t="s">
        <v>58</v>
      </c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>
      <c r="A984" s="72">
        <v>803.0</v>
      </c>
      <c r="B984" s="67" t="s">
        <v>2199</v>
      </c>
      <c r="C984" s="70" t="s">
        <v>60</v>
      </c>
      <c r="D984" s="70" t="s">
        <v>467</v>
      </c>
      <c r="E984" s="70" t="s">
        <v>28</v>
      </c>
      <c r="F984" s="73"/>
      <c r="G984" s="70" t="s">
        <v>28</v>
      </c>
      <c r="H984" s="70" t="s">
        <v>28</v>
      </c>
      <c r="I984" s="72">
        <v>31.53</v>
      </c>
      <c r="J984" s="70" t="s">
        <v>58</v>
      </c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>
      <c r="A985" s="72">
        <v>802.0</v>
      </c>
      <c r="B985" s="67" t="s">
        <v>2200</v>
      </c>
      <c r="C985" s="70" t="s">
        <v>56</v>
      </c>
      <c r="D985" s="70" t="s">
        <v>1536</v>
      </c>
      <c r="E985" s="70" t="s">
        <v>1927</v>
      </c>
      <c r="F985" s="73"/>
      <c r="G985" s="73"/>
      <c r="H985" s="70" t="s">
        <v>2137</v>
      </c>
      <c r="I985" s="72">
        <v>49.9</v>
      </c>
      <c r="J985" s="70" t="s">
        <v>58</v>
      </c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>
      <c r="A986" s="72">
        <v>801.0</v>
      </c>
      <c r="B986" s="67" t="s">
        <v>2201</v>
      </c>
      <c r="C986" s="70" t="s">
        <v>56</v>
      </c>
      <c r="D986" s="70" t="s">
        <v>76</v>
      </c>
      <c r="E986" s="70" t="s">
        <v>2202</v>
      </c>
      <c r="F986" s="70" t="s">
        <v>778</v>
      </c>
      <c r="G986" s="70" t="s">
        <v>778</v>
      </c>
      <c r="H986" s="70" t="s">
        <v>2203</v>
      </c>
      <c r="I986" s="72">
        <v>38.98</v>
      </c>
      <c r="J986" s="70" t="s">
        <v>58</v>
      </c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>
      <c r="A987" s="72">
        <v>800.0</v>
      </c>
      <c r="B987" s="67" t="s">
        <v>2204</v>
      </c>
      <c r="C987" s="70" t="s">
        <v>69</v>
      </c>
      <c r="D987" s="70" t="s">
        <v>588</v>
      </c>
      <c r="E987" s="70" t="s">
        <v>28</v>
      </c>
      <c r="F987" s="73"/>
      <c r="G987" s="73"/>
      <c r="H987" s="70" t="s">
        <v>28</v>
      </c>
      <c r="I987" s="72">
        <v>62.39</v>
      </c>
      <c r="J987" s="70" t="s">
        <v>58</v>
      </c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>
      <c r="A988" s="72">
        <v>799.0</v>
      </c>
      <c r="B988" s="67" t="s">
        <v>2205</v>
      </c>
      <c r="C988" s="70" t="s">
        <v>56</v>
      </c>
      <c r="D988" s="70" t="s">
        <v>76</v>
      </c>
      <c r="E988" s="75" t="s">
        <v>2206</v>
      </c>
      <c r="F988" s="70" t="s">
        <v>265</v>
      </c>
      <c r="G988" s="70" t="s">
        <v>265</v>
      </c>
      <c r="H988" s="70" t="s">
        <v>2207</v>
      </c>
      <c r="I988" s="72">
        <v>44.07</v>
      </c>
      <c r="J988" s="70" t="s">
        <v>58</v>
      </c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>
      <c r="A989" s="72">
        <v>798.0</v>
      </c>
      <c r="B989" s="67" t="s">
        <v>2208</v>
      </c>
      <c r="C989" s="70" t="s">
        <v>60</v>
      </c>
      <c r="D989" s="79"/>
      <c r="E989" s="78"/>
      <c r="F989" s="73"/>
      <c r="G989" s="73"/>
      <c r="H989" s="73"/>
      <c r="I989" s="72">
        <v>45.02</v>
      </c>
      <c r="J989" s="70" t="s">
        <v>58</v>
      </c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>
      <c r="A990" s="72">
        <v>797.0</v>
      </c>
      <c r="B990" s="67" t="s">
        <v>2209</v>
      </c>
      <c r="C990" s="75" t="s">
        <v>56</v>
      </c>
      <c r="D990" s="76" t="s">
        <v>2210</v>
      </c>
      <c r="E990" s="76" t="s">
        <v>2211</v>
      </c>
      <c r="F990" s="70" t="s">
        <v>635</v>
      </c>
      <c r="G990" s="70" t="s">
        <v>635</v>
      </c>
      <c r="H990" s="70" t="s">
        <v>2212</v>
      </c>
      <c r="I990" s="72">
        <v>78.5</v>
      </c>
      <c r="J990" s="70" t="s">
        <v>58</v>
      </c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>
      <c r="A991" s="72">
        <v>796.0</v>
      </c>
      <c r="B991" s="67" t="s">
        <v>2213</v>
      </c>
      <c r="C991" s="70" t="s">
        <v>69</v>
      </c>
      <c r="D991" s="73"/>
      <c r="E991" s="70" t="s">
        <v>2214</v>
      </c>
      <c r="F991" s="70" t="s">
        <v>67</v>
      </c>
      <c r="G991" s="70" t="s">
        <v>2215</v>
      </c>
      <c r="H991" s="70" t="s">
        <v>2216</v>
      </c>
      <c r="I991" s="72">
        <v>49.14</v>
      </c>
      <c r="J991" s="70" t="s">
        <v>58</v>
      </c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>
      <c r="A992" s="72">
        <v>795.0</v>
      </c>
      <c r="B992" s="67" t="s">
        <v>2217</v>
      </c>
      <c r="C992" s="70" t="s">
        <v>56</v>
      </c>
      <c r="D992" s="70" t="s">
        <v>93</v>
      </c>
      <c r="E992" s="70" t="s">
        <v>2218</v>
      </c>
      <c r="F992" s="70" t="s">
        <v>871</v>
      </c>
      <c r="G992" s="70" t="s">
        <v>871</v>
      </c>
      <c r="H992" s="70" t="s">
        <v>2219</v>
      </c>
      <c r="I992" s="72">
        <v>47.77</v>
      </c>
      <c r="J992" s="70" t="s">
        <v>58</v>
      </c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>
      <c r="A993" s="72">
        <v>794.0</v>
      </c>
      <c r="B993" s="67" t="s">
        <v>2220</v>
      </c>
      <c r="C993" s="70" t="s">
        <v>56</v>
      </c>
      <c r="D993" s="70" t="s">
        <v>2221</v>
      </c>
      <c r="E993" s="70" t="s">
        <v>2222</v>
      </c>
      <c r="F993" s="70" t="s">
        <v>2223</v>
      </c>
      <c r="G993" s="70" t="s">
        <v>2224</v>
      </c>
      <c r="H993" s="70" t="s">
        <v>2225</v>
      </c>
      <c r="I993" s="72">
        <v>33.68</v>
      </c>
      <c r="J993" s="70" t="s">
        <v>58</v>
      </c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>
      <c r="A994" s="72">
        <v>793.0</v>
      </c>
      <c r="B994" s="67" t="s">
        <v>2226</v>
      </c>
      <c r="C994" s="70" t="s">
        <v>60</v>
      </c>
      <c r="D994" s="70" t="s">
        <v>502</v>
      </c>
      <c r="E994" s="70" t="s">
        <v>1016</v>
      </c>
      <c r="F994" s="73"/>
      <c r="G994" s="73"/>
      <c r="H994" s="70" t="s">
        <v>298</v>
      </c>
      <c r="I994" s="72">
        <v>40.6</v>
      </c>
      <c r="J994" s="70" t="s">
        <v>58</v>
      </c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>
      <c r="A995" s="72">
        <v>792.0</v>
      </c>
      <c r="B995" s="67" t="s">
        <v>2227</v>
      </c>
      <c r="C995" s="70" t="s">
        <v>56</v>
      </c>
      <c r="D995" s="70" t="s">
        <v>93</v>
      </c>
      <c r="E995" s="70" t="s">
        <v>936</v>
      </c>
      <c r="F995" s="70" t="s">
        <v>28</v>
      </c>
      <c r="G995" s="70" t="s">
        <v>28</v>
      </c>
      <c r="H995" s="70" t="s">
        <v>87</v>
      </c>
      <c r="I995" s="72">
        <v>48.21</v>
      </c>
      <c r="J995" s="70" t="s">
        <v>58</v>
      </c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>
      <c r="A996" s="72">
        <v>791.0</v>
      </c>
      <c r="B996" s="67" t="s">
        <v>2228</v>
      </c>
      <c r="C996" s="70" t="s">
        <v>56</v>
      </c>
      <c r="D996" s="70" t="s">
        <v>70</v>
      </c>
      <c r="E996" s="70" t="s">
        <v>2229</v>
      </c>
      <c r="F996" s="70" t="s">
        <v>71</v>
      </c>
      <c r="G996" s="70" t="s">
        <v>612</v>
      </c>
      <c r="H996" s="70" t="s">
        <v>2230</v>
      </c>
      <c r="I996" s="72">
        <v>65.9</v>
      </c>
      <c r="J996" s="70" t="s">
        <v>58</v>
      </c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>
      <c r="A997" s="72">
        <v>790.0</v>
      </c>
      <c r="B997" s="67" t="s">
        <v>2231</v>
      </c>
      <c r="C997" s="70" t="s">
        <v>56</v>
      </c>
      <c r="D997" s="70" t="s">
        <v>76</v>
      </c>
      <c r="E997" s="75" t="s">
        <v>28</v>
      </c>
      <c r="F997" s="73"/>
      <c r="G997" s="73"/>
      <c r="H997" s="70" t="s">
        <v>28</v>
      </c>
      <c r="I997" s="72">
        <v>40.2</v>
      </c>
      <c r="J997" s="70" t="s">
        <v>58</v>
      </c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>
      <c r="A998" s="72">
        <v>789.0</v>
      </c>
      <c r="B998" s="67" t="s">
        <v>2232</v>
      </c>
      <c r="C998" s="70" t="s">
        <v>56</v>
      </c>
      <c r="D998" s="75" t="s">
        <v>99</v>
      </c>
      <c r="E998" s="76" t="s">
        <v>28</v>
      </c>
      <c r="F998" s="73"/>
      <c r="G998" s="73"/>
      <c r="H998" s="70" t="s">
        <v>28</v>
      </c>
      <c r="I998" s="72">
        <v>58.44</v>
      </c>
      <c r="J998" s="70" t="s">
        <v>58</v>
      </c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  <row r="999">
      <c r="A999" s="72">
        <v>788.0</v>
      </c>
      <c r="B999" s="67" t="s">
        <v>2233</v>
      </c>
      <c r="C999" s="75" t="s">
        <v>69</v>
      </c>
      <c r="D999" s="76" t="s">
        <v>70</v>
      </c>
      <c r="E999" s="76" t="s">
        <v>2143</v>
      </c>
      <c r="F999" s="73"/>
      <c r="G999" s="70" t="s">
        <v>67</v>
      </c>
      <c r="H999" s="70" t="s">
        <v>1910</v>
      </c>
      <c r="I999" s="72">
        <v>57.34</v>
      </c>
      <c r="J999" s="70" t="s">
        <v>58</v>
      </c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</row>
    <row r="1000">
      <c r="A1000" s="72">
        <v>787.0</v>
      </c>
      <c r="B1000" s="67" t="s">
        <v>2234</v>
      </c>
      <c r="C1000" s="70" t="s">
        <v>56</v>
      </c>
      <c r="D1000" s="70" t="s">
        <v>2235</v>
      </c>
      <c r="E1000" s="70" t="s">
        <v>2236</v>
      </c>
      <c r="F1000" s="70" t="s">
        <v>2237</v>
      </c>
      <c r="G1000" s="70" t="s">
        <v>2238</v>
      </c>
      <c r="H1000" s="70" t="s">
        <v>2239</v>
      </c>
      <c r="I1000" s="72">
        <v>39.59</v>
      </c>
      <c r="J1000" s="70" t="s">
        <v>58</v>
      </c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</row>
    <row r="1001">
      <c r="A1001" s="72">
        <v>786.0</v>
      </c>
      <c r="B1001" s="67" t="s">
        <v>2240</v>
      </c>
      <c r="C1001" s="70" t="s">
        <v>60</v>
      </c>
      <c r="D1001" s="70" t="s">
        <v>127</v>
      </c>
      <c r="E1001" s="70" t="s">
        <v>2241</v>
      </c>
      <c r="F1001" s="70" t="s">
        <v>167</v>
      </c>
      <c r="G1001" s="70" t="s">
        <v>167</v>
      </c>
      <c r="H1001" s="70" t="s">
        <v>2242</v>
      </c>
      <c r="I1001" s="72">
        <v>42.96</v>
      </c>
      <c r="J1001" s="70" t="s">
        <v>58</v>
      </c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</row>
    <row r="1002">
      <c r="A1002" s="72">
        <v>785.0</v>
      </c>
      <c r="B1002" s="67" t="s">
        <v>2243</v>
      </c>
      <c r="C1002" s="70" t="s">
        <v>56</v>
      </c>
      <c r="D1002" s="70" t="s">
        <v>95</v>
      </c>
      <c r="E1002" s="70" t="s">
        <v>2244</v>
      </c>
      <c r="F1002" s="70" t="s">
        <v>2245</v>
      </c>
      <c r="G1002" s="70" t="s">
        <v>2246</v>
      </c>
      <c r="H1002" s="70" t="s">
        <v>2247</v>
      </c>
      <c r="I1002" s="72">
        <v>48.65</v>
      </c>
      <c r="J1002" s="70" t="s">
        <v>58</v>
      </c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</row>
    <row r="1003">
      <c r="A1003" s="72">
        <v>784.0</v>
      </c>
      <c r="B1003" s="67" t="s">
        <v>2248</v>
      </c>
      <c r="C1003" s="70" t="s">
        <v>56</v>
      </c>
      <c r="D1003" s="70" t="s">
        <v>1145</v>
      </c>
      <c r="E1003" s="70" t="s">
        <v>2249</v>
      </c>
      <c r="F1003" s="73"/>
      <c r="G1003" s="70" t="s">
        <v>2250</v>
      </c>
      <c r="H1003" s="70" t="s">
        <v>2251</v>
      </c>
      <c r="I1003" s="72">
        <v>68.62</v>
      </c>
      <c r="J1003" s="70" t="s">
        <v>58</v>
      </c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</row>
    <row r="1004">
      <c r="A1004" s="72">
        <v>783.0</v>
      </c>
      <c r="B1004" s="67" t="s">
        <v>2252</v>
      </c>
      <c r="C1004" s="70" t="s">
        <v>69</v>
      </c>
      <c r="D1004" s="70" t="s">
        <v>1854</v>
      </c>
      <c r="E1004" s="70" t="s">
        <v>87</v>
      </c>
      <c r="F1004" s="70" t="s">
        <v>64</v>
      </c>
      <c r="G1004" s="70" t="s">
        <v>64</v>
      </c>
      <c r="H1004" s="70" t="s">
        <v>112</v>
      </c>
      <c r="I1004" s="72">
        <v>53.99</v>
      </c>
      <c r="J1004" s="70" t="s">
        <v>58</v>
      </c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</row>
    <row r="1005">
      <c r="A1005" s="72">
        <v>782.0</v>
      </c>
      <c r="B1005" s="67" t="s">
        <v>2253</v>
      </c>
      <c r="C1005" s="70" t="s">
        <v>60</v>
      </c>
      <c r="D1005" s="70" t="s">
        <v>564</v>
      </c>
      <c r="E1005" s="70" t="s">
        <v>28</v>
      </c>
      <c r="F1005" s="73"/>
      <c r="G1005" s="73"/>
      <c r="H1005" s="70" t="s">
        <v>28</v>
      </c>
      <c r="I1005" s="72">
        <v>47.04</v>
      </c>
      <c r="J1005" s="70" t="s">
        <v>58</v>
      </c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</row>
    <row r="1006">
      <c r="A1006" s="72">
        <v>781.0</v>
      </c>
      <c r="B1006" s="67" t="s">
        <v>2254</v>
      </c>
      <c r="C1006" s="70" t="s">
        <v>56</v>
      </c>
      <c r="D1006" s="70" t="s">
        <v>479</v>
      </c>
      <c r="E1006" s="70" t="s">
        <v>434</v>
      </c>
      <c r="F1006" s="73"/>
      <c r="G1006" s="73"/>
      <c r="H1006" s="70" t="s">
        <v>434</v>
      </c>
      <c r="I1006" s="72">
        <v>55.63</v>
      </c>
      <c r="J1006" s="70" t="s">
        <v>58</v>
      </c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</row>
    <row r="1007">
      <c r="A1007" s="72">
        <v>780.0</v>
      </c>
      <c r="B1007" s="67" t="s">
        <v>2255</v>
      </c>
      <c r="C1007" s="70" t="s">
        <v>60</v>
      </c>
      <c r="D1007" s="70" t="s">
        <v>99</v>
      </c>
      <c r="E1007" s="70" t="s">
        <v>2256</v>
      </c>
      <c r="F1007" s="70" t="s">
        <v>2257</v>
      </c>
      <c r="G1007" s="70" t="s">
        <v>2257</v>
      </c>
      <c r="H1007" s="70" t="s">
        <v>2258</v>
      </c>
      <c r="I1007" s="72">
        <v>30.44</v>
      </c>
      <c r="J1007" s="70" t="s">
        <v>58</v>
      </c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</row>
    <row r="1008">
      <c r="A1008" s="72">
        <v>779.0</v>
      </c>
      <c r="B1008" s="67" t="s">
        <v>2259</v>
      </c>
      <c r="C1008" s="70" t="s">
        <v>56</v>
      </c>
      <c r="D1008" s="70" t="s">
        <v>1396</v>
      </c>
      <c r="E1008" s="70" t="s">
        <v>936</v>
      </c>
      <c r="F1008" s="73"/>
      <c r="G1008" s="70" t="s">
        <v>799</v>
      </c>
      <c r="H1008" s="70" t="s">
        <v>2260</v>
      </c>
      <c r="I1008" s="72">
        <v>38.57</v>
      </c>
      <c r="J1008" s="70" t="s">
        <v>58</v>
      </c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</row>
    <row r="1009">
      <c r="A1009" s="72">
        <v>778.0</v>
      </c>
      <c r="B1009" s="67" t="s">
        <v>2261</v>
      </c>
      <c r="C1009" s="70" t="s">
        <v>60</v>
      </c>
      <c r="D1009" s="70" t="s">
        <v>2262</v>
      </c>
      <c r="E1009" s="70" t="s">
        <v>1134</v>
      </c>
      <c r="F1009" s="73"/>
      <c r="G1009" s="73"/>
      <c r="H1009" s="70" t="s">
        <v>1135</v>
      </c>
      <c r="I1009" s="72">
        <v>54.76</v>
      </c>
      <c r="J1009" s="70" t="s">
        <v>58</v>
      </c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</row>
    <row r="1010">
      <c r="A1010" s="72">
        <v>777.0</v>
      </c>
      <c r="B1010" s="67" t="s">
        <v>2263</v>
      </c>
      <c r="C1010" s="70" t="s">
        <v>56</v>
      </c>
      <c r="D1010" s="70" t="s">
        <v>1604</v>
      </c>
      <c r="E1010" s="70" t="s">
        <v>381</v>
      </c>
      <c r="F1010" s="70" t="s">
        <v>28</v>
      </c>
      <c r="G1010" s="70" t="s">
        <v>381</v>
      </c>
      <c r="H1010" s="70" t="s">
        <v>381</v>
      </c>
      <c r="I1010" s="72">
        <v>35.68</v>
      </c>
      <c r="J1010" s="70" t="s">
        <v>58</v>
      </c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</row>
    <row r="1011">
      <c r="A1011" s="72">
        <v>776.0</v>
      </c>
      <c r="B1011" s="67" t="s">
        <v>2264</v>
      </c>
      <c r="C1011" s="70" t="s">
        <v>56</v>
      </c>
      <c r="D1011" s="70" t="s">
        <v>1970</v>
      </c>
      <c r="E1011" s="70" t="s">
        <v>2265</v>
      </c>
      <c r="F1011" s="70" t="s">
        <v>212</v>
      </c>
      <c r="G1011" s="70" t="s">
        <v>212</v>
      </c>
      <c r="H1011" s="70" t="s">
        <v>2266</v>
      </c>
      <c r="I1011" s="72">
        <v>56.62</v>
      </c>
      <c r="J1011" s="70" t="s">
        <v>58</v>
      </c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</row>
    <row r="1012">
      <c r="A1012" s="72">
        <v>775.0</v>
      </c>
      <c r="B1012" s="67" t="s">
        <v>2267</v>
      </c>
      <c r="C1012" s="70" t="s">
        <v>56</v>
      </c>
      <c r="D1012" s="70" t="s">
        <v>564</v>
      </c>
      <c r="E1012" s="70" t="s">
        <v>64</v>
      </c>
      <c r="F1012" s="73"/>
      <c r="G1012" s="70" t="s">
        <v>64</v>
      </c>
      <c r="H1012" s="70" t="s">
        <v>64</v>
      </c>
      <c r="I1012" s="72">
        <v>42.62</v>
      </c>
      <c r="J1012" s="70" t="s">
        <v>58</v>
      </c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</row>
    <row r="1013">
      <c r="A1013" s="72">
        <v>774.0</v>
      </c>
      <c r="B1013" s="67" t="s">
        <v>2268</v>
      </c>
      <c r="C1013" s="70" t="s">
        <v>60</v>
      </c>
      <c r="D1013" s="70" t="s">
        <v>502</v>
      </c>
      <c r="E1013" s="75" t="s">
        <v>28</v>
      </c>
      <c r="F1013" s="73"/>
      <c r="G1013" s="73"/>
      <c r="H1013" s="70" t="s">
        <v>28</v>
      </c>
      <c r="I1013" s="72">
        <v>48.35</v>
      </c>
      <c r="J1013" s="70" t="s">
        <v>58</v>
      </c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</row>
    <row r="1014">
      <c r="A1014" s="72">
        <v>773.0</v>
      </c>
      <c r="B1014" s="67" t="s">
        <v>2269</v>
      </c>
      <c r="C1014" s="70" t="s">
        <v>60</v>
      </c>
      <c r="D1014" s="75" t="s">
        <v>852</v>
      </c>
      <c r="E1014" s="76" t="s">
        <v>2270</v>
      </c>
      <c r="F1014" s="70" t="s">
        <v>2271</v>
      </c>
      <c r="G1014" s="70" t="s">
        <v>2272</v>
      </c>
      <c r="H1014" s="70" t="s">
        <v>2273</v>
      </c>
      <c r="I1014" s="72">
        <v>61.01</v>
      </c>
      <c r="J1014" s="70" t="s">
        <v>58</v>
      </c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</row>
    <row r="1015">
      <c r="A1015" s="72">
        <v>772.0</v>
      </c>
      <c r="B1015" s="67" t="s">
        <v>2274</v>
      </c>
      <c r="C1015" s="75" t="s">
        <v>60</v>
      </c>
      <c r="D1015" s="76" t="s">
        <v>531</v>
      </c>
      <c r="E1015" s="76" t="s">
        <v>2275</v>
      </c>
      <c r="F1015" s="70" t="s">
        <v>2276</v>
      </c>
      <c r="G1015" s="70" t="s">
        <v>2277</v>
      </c>
      <c r="H1015" s="70" t="s">
        <v>2278</v>
      </c>
      <c r="I1015" s="72">
        <v>43.82</v>
      </c>
      <c r="J1015" s="70" t="s">
        <v>58</v>
      </c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</row>
    <row r="1016">
      <c r="A1016" s="72">
        <v>771.0</v>
      </c>
      <c r="B1016" s="67" t="s">
        <v>2279</v>
      </c>
      <c r="C1016" s="70" t="s">
        <v>69</v>
      </c>
      <c r="D1016" s="75" t="s">
        <v>284</v>
      </c>
      <c r="E1016" s="76" t="s">
        <v>2280</v>
      </c>
      <c r="F1016" s="70" t="s">
        <v>579</v>
      </c>
      <c r="G1016" s="70" t="s">
        <v>2281</v>
      </c>
      <c r="H1016" s="70" t="s">
        <v>2282</v>
      </c>
      <c r="I1016" s="72">
        <v>86.95</v>
      </c>
      <c r="J1016" s="70" t="s">
        <v>58</v>
      </c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</row>
    <row r="1017">
      <c r="A1017" s="72">
        <v>770.0</v>
      </c>
      <c r="B1017" s="67" t="s">
        <v>2283</v>
      </c>
      <c r="C1017" s="75" t="s">
        <v>60</v>
      </c>
      <c r="D1017" s="76" t="s">
        <v>2284</v>
      </c>
      <c r="E1017" s="76" t="s">
        <v>2285</v>
      </c>
      <c r="F1017" s="70" t="s">
        <v>519</v>
      </c>
      <c r="G1017" s="70" t="s">
        <v>519</v>
      </c>
      <c r="H1017" s="70" t="s">
        <v>2286</v>
      </c>
      <c r="I1017" s="72">
        <v>54.29</v>
      </c>
      <c r="J1017" s="70" t="s">
        <v>58</v>
      </c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</row>
    <row r="1018">
      <c r="A1018" s="72">
        <v>769.0</v>
      </c>
      <c r="B1018" s="67" t="s">
        <v>2287</v>
      </c>
      <c r="C1018" s="70" t="s">
        <v>56</v>
      </c>
      <c r="D1018" s="70" t="s">
        <v>93</v>
      </c>
      <c r="E1018" s="70" t="s">
        <v>2288</v>
      </c>
      <c r="F1018" s="70" t="s">
        <v>28</v>
      </c>
      <c r="G1018" s="70" t="s">
        <v>28</v>
      </c>
      <c r="H1018" s="70" t="s">
        <v>241</v>
      </c>
      <c r="I1018" s="72">
        <v>55.77</v>
      </c>
      <c r="J1018" s="70" t="s">
        <v>58</v>
      </c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  <c r="AB1018" s="65"/>
      <c r="AC1018" s="65"/>
    </row>
    <row r="1019">
      <c r="A1019" s="72">
        <v>768.0</v>
      </c>
      <c r="B1019" s="67" t="s">
        <v>2289</v>
      </c>
      <c r="C1019" s="70" t="s">
        <v>60</v>
      </c>
      <c r="D1019" s="70" t="s">
        <v>93</v>
      </c>
      <c r="E1019" s="75" t="s">
        <v>241</v>
      </c>
      <c r="F1019" s="73"/>
      <c r="G1019" s="73"/>
      <c r="H1019" s="70" t="s">
        <v>241</v>
      </c>
      <c r="I1019" s="72">
        <v>49.83</v>
      </c>
      <c r="J1019" s="70" t="s">
        <v>58</v>
      </c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65"/>
      <c r="AB1019" s="65"/>
      <c r="AC1019" s="65"/>
    </row>
    <row r="1020">
      <c r="A1020" s="72">
        <v>767.0</v>
      </c>
      <c r="B1020" s="67" t="s">
        <v>2290</v>
      </c>
      <c r="C1020" s="70" t="s">
        <v>56</v>
      </c>
      <c r="D1020" s="75" t="s">
        <v>2291</v>
      </c>
      <c r="E1020" s="76" t="s">
        <v>2292</v>
      </c>
      <c r="F1020" s="70" t="s">
        <v>2293</v>
      </c>
      <c r="G1020" s="70" t="s">
        <v>2294</v>
      </c>
      <c r="H1020" s="70" t="s">
        <v>2295</v>
      </c>
      <c r="I1020" s="72">
        <v>50.2</v>
      </c>
      <c r="J1020" s="70" t="s">
        <v>58</v>
      </c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</row>
    <row r="1021">
      <c r="A1021" s="72">
        <v>766.0</v>
      </c>
      <c r="B1021" s="67" t="s">
        <v>2296</v>
      </c>
      <c r="C1021" s="75" t="s">
        <v>69</v>
      </c>
      <c r="D1021" s="76" t="s">
        <v>93</v>
      </c>
      <c r="E1021" s="76" t="s">
        <v>1630</v>
      </c>
      <c r="F1021" s="70" t="s">
        <v>71</v>
      </c>
      <c r="G1021" s="70" t="s">
        <v>612</v>
      </c>
      <c r="H1021" s="70" t="s">
        <v>612</v>
      </c>
      <c r="I1021" s="72">
        <v>65.9</v>
      </c>
      <c r="J1021" s="70" t="s">
        <v>58</v>
      </c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  <c r="AB1021" s="65"/>
      <c r="AC1021" s="65"/>
    </row>
    <row r="1022">
      <c r="A1022" s="72">
        <v>765.0</v>
      </c>
      <c r="B1022" s="67" t="s">
        <v>2297</v>
      </c>
      <c r="C1022" s="70" t="s">
        <v>60</v>
      </c>
      <c r="D1022" s="70" t="s">
        <v>2298</v>
      </c>
      <c r="E1022" s="70" t="s">
        <v>87</v>
      </c>
      <c r="F1022" s="73"/>
      <c r="G1022" s="73"/>
      <c r="H1022" s="70" t="s">
        <v>28</v>
      </c>
      <c r="I1022" s="72">
        <v>55.52</v>
      </c>
      <c r="J1022" s="70" t="s">
        <v>58</v>
      </c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  <c r="AB1022" s="65"/>
      <c r="AC1022" s="65"/>
    </row>
    <row r="1023">
      <c r="A1023" s="72">
        <v>764.0</v>
      </c>
      <c r="B1023" s="67" t="s">
        <v>2299</v>
      </c>
      <c r="C1023" s="70" t="s">
        <v>56</v>
      </c>
      <c r="D1023" s="70" t="s">
        <v>76</v>
      </c>
      <c r="E1023" s="75" t="s">
        <v>96</v>
      </c>
      <c r="F1023" s="73"/>
      <c r="G1023" s="73"/>
      <c r="H1023" s="70" t="s">
        <v>71</v>
      </c>
      <c r="I1023" s="72">
        <v>46.6</v>
      </c>
      <c r="J1023" s="70" t="s">
        <v>58</v>
      </c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65"/>
      <c r="Z1023" s="65"/>
      <c r="AA1023" s="65"/>
      <c r="AB1023" s="65"/>
      <c r="AC1023" s="65"/>
    </row>
    <row r="1024">
      <c r="A1024" s="72">
        <v>763.0</v>
      </c>
      <c r="B1024" s="67" t="s">
        <v>2300</v>
      </c>
      <c r="C1024" s="70" t="s">
        <v>56</v>
      </c>
      <c r="D1024" s="75" t="s">
        <v>1998</v>
      </c>
      <c r="E1024" s="76" t="s">
        <v>2301</v>
      </c>
      <c r="F1024" s="70" t="s">
        <v>1624</v>
      </c>
      <c r="G1024" s="70" t="s">
        <v>2302</v>
      </c>
      <c r="H1024" s="70" t="s">
        <v>2303</v>
      </c>
      <c r="I1024" s="72">
        <v>78.09</v>
      </c>
      <c r="J1024" s="70" t="s">
        <v>58</v>
      </c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  <c r="AB1024" s="65"/>
      <c r="AC1024" s="65"/>
    </row>
    <row r="1025">
      <c r="A1025" s="72">
        <v>762.0</v>
      </c>
      <c r="B1025" s="67" t="s">
        <v>2304</v>
      </c>
      <c r="C1025" s="75" t="s">
        <v>69</v>
      </c>
      <c r="D1025" s="76" t="s">
        <v>182</v>
      </c>
      <c r="E1025" s="76" t="s">
        <v>64</v>
      </c>
      <c r="F1025" s="73"/>
      <c r="G1025" s="73"/>
      <c r="H1025" s="70" t="s">
        <v>64</v>
      </c>
      <c r="I1025" s="72">
        <v>64.42</v>
      </c>
      <c r="J1025" s="70" t="s">
        <v>58</v>
      </c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  <c r="X1025" s="65"/>
      <c r="Y1025" s="65"/>
      <c r="Z1025" s="65"/>
      <c r="AA1025" s="65"/>
      <c r="AB1025" s="65"/>
      <c r="AC1025" s="65"/>
    </row>
    <row r="1026">
      <c r="A1026" s="72">
        <v>761.0</v>
      </c>
      <c r="B1026" s="67" t="s">
        <v>2305</v>
      </c>
      <c r="C1026" s="75" t="s">
        <v>60</v>
      </c>
      <c r="D1026" s="76" t="s">
        <v>2306</v>
      </c>
      <c r="E1026" s="76" t="s">
        <v>2307</v>
      </c>
      <c r="F1026" s="73"/>
      <c r="G1026" s="70" t="s">
        <v>556</v>
      </c>
      <c r="H1026" s="70" t="s">
        <v>2308</v>
      </c>
      <c r="I1026" s="72">
        <v>58.69</v>
      </c>
      <c r="J1026" s="70" t="s">
        <v>58</v>
      </c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  <c r="X1026" s="65"/>
      <c r="Y1026" s="65"/>
      <c r="Z1026" s="65"/>
      <c r="AA1026" s="65"/>
      <c r="AB1026" s="65"/>
      <c r="AC1026" s="65"/>
    </row>
    <row r="1027">
      <c r="A1027" s="72">
        <v>760.0</v>
      </c>
      <c r="B1027" s="67" t="s">
        <v>2309</v>
      </c>
      <c r="C1027" s="70" t="s">
        <v>69</v>
      </c>
      <c r="D1027" s="70" t="s">
        <v>284</v>
      </c>
      <c r="E1027" s="70" t="s">
        <v>28</v>
      </c>
      <c r="F1027" s="73"/>
      <c r="G1027" s="73"/>
      <c r="H1027" s="70" t="s">
        <v>28</v>
      </c>
      <c r="I1027" s="72">
        <v>81.87</v>
      </c>
      <c r="J1027" s="70" t="s">
        <v>58</v>
      </c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65"/>
      <c r="Z1027" s="65"/>
      <c r="AA1027" s="65"/>
      <c r="AB1027" s="65"/>
      <c r="AC1027" s="65"/>
    </row>
    <row r="1028">
      <c r="A1028" s="72">
        <v>759.0</v>
      </c>
      <c r="B1028" s="67" t="s">
        <v>2310</v>
      </c>
      <c r="C1028" s="70" t="s">
        <v>60</v>
      </c>
      <c r="D1028" s="70" t="s">
        <v>237</v>
      </c>
      <c r="E1028" s="70" t="s">
        <v>2311</v>
      </c>
      <c r="F1028" s="70" t="s">
        <v>2312</v>
      </c>
      <c r="G1028" s="70" t="s">
        <v>2313</v>
      </c>
      <c r="H1028" s="70" t="s">
        <v>2314</v>
      </c>
      <c r="I1028" s="72">
        <v>68.29</v>
      </c>
      <c r="J1028" s="70" t="s">
        <v>58</v>
      </c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  <c r="AB1028" s="65"/>
      <c r="AC1028" s="65"/>
    </row>
    <row r="1029">
      <c r="A1029" s="72">
        <v>758.0</v>
      </c>
      <c r="B1029" s="67" t="s">
        <v>2315</v>
      </c>
      <c r="C1029" s="70" t="s">
        <v>69</v>
      </c>
      <c r="D1029" s="70" t="s">
        <v>70</v>
      </c>
      <c r="E1029" s="70" t="s">
        <v>28</v>
      </c>
      <c r="F1029" s="73"/>
      <c r="G1029" s="73"/>
      <c r="H1029" s="70" t="s">
        <v>28</v>
      </c>
      <c r="I1029" s="72">
        <v>47.44</v>
      </c>
      <c r="J1029" s="70" t="s">
        <v>58</v>
      </c>
      <c r="K1029" s="65"/>
      <c r="L1029" s="65"/>
      <c r="M1029" s="65"/>
      <c r="N1029" s="65"/>
      <c r="O1029" s="65"/>
      <c r="P1029" s="65"/>
      <c r="Q1029" s="65"/>
      <c r="R1029" s="65"/>
      <c r="S1029" s="65"/>
      <c r="T1029" s="65"/>
      <c r="U1029" s="65"/>
      <c r="V1029" s="65"/>
      <c r="W1029" s="65"/>
      <c r="X1029" s="65"/>
      <c r="Y1029" s="65"/>
      <c r="Z1029" s="65"/>
      <c r="AA1029" s="65"/>
      <c r="AB1029" s="65"/>
      <c r="AC1029" s="65"/>
    </row>
    <row r="1030">
      <c r="A1030" s="72">
        <v>757.0</v>
      </c>
      <c r="B1030" s="67" t="s">
        <v>2316</v>
      </c>
      <c r="C1030" s="70" t="s">
        <v>60</v>
      </c>
      <c r="D1030" s="70" t="s">
        <v>61</v>
      </c>
      <c r="E1030" s="70" t="s">
        <v>2317</v>
      </c>
      <c r="F1030" s="70" t="s">
        <v>116</v>
      </c>
      <c r="G1030" s="70" t="s">
        <v>116</v>
      </c>
      <c r="H1030" s="70" t="s">
        <v>2317</v>
      </c>
      <c r="I1030" s="72">
        <v>42.55</v>
      </c>
      <c r="J1030" s="70" t="s">
        <v>58</v>
      </c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  <c r="AB1030" s="65"/>
      <c r="AC1030" s="65"/>
    </row>
    <row r="1031">
      <c r="A1031" s="72">
        <v>756.0</v>
      </c>
      <c r="B1031" s="67" t="s">
        <v>2318</v>
      </c>
      <c r="C1031" s="70" t="s">
        <v>56</v>
      </c>
      <c r="D1031" s="70" t="s">
        <v>2319</v>
      </c>
      <c r="E1031" s="70" t="s">
        <v>2320</v>
      </c>
      <c r="F1031" s="73"/>
      <c r="G1031" s="70" t="s">
        <v>64</v>
      </c>
      <c r="H1031" s="70" t="s">
        <v>1322</v>
      </c>
      <c r="I1031" s="72">
        <v>55.63</v>
      </c>
      <c r="J1031" s="70" t="s">
        <v>58</v>
      </c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5"/>
      <c r="AC1031" s="65"/>
    </row>
    <row r="1032">
      <c r="A1032" s="72">
        <v>755.0</v>
      </c>
      <c r="B1032" s="67" t="s">
        <v>2321</v>
      </c>
      <c r="C1032" s="70" t="s">
        <v>56</v>
      </c>
      <c r="D1032" s="70" t="s">
        <v>93</v>
      </c>
      <c r="E1032" s="70" t="s">
        <v>2322</v>
      </c>
      <c r="F1032" s="70" t="s">
        <v>516</v>
      </c>
      <c r="G1032" s="70" t="s">
        <v>516</v>
      </c>
      <c r="H1032" s="70" t="s">
        <v>2322</v>
      </c>
      <c r="I1032" s="72">
        <v>44.18</v>
      </c>
      <c r="J1032" s="70" t="s">
        <v>58</v>
      </c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</row>
    <row r="1033">
      <c r="A1033" s="72">
        <v>754.0</v>
      </c>
      <c r="B1033" s="67" t="s">
        <v>2323</v>
      </c>
      <c r="C1033" s="70" t="s">
        <v>56</v>
      </c>
      <c r="D1033" s="70" t="s">
        <v>99</v>
      </c>
      <c r="E1033" s="70" t="s">
        <v>2324</v>
      </c>
      <c r="F1033" s="73"/>
      <c r="G1033" s="73"/>
      <c r="H1033" s="70" t="s">
        <v>2324</v>
      </c>
      <c r="I1033" s="72">
        <v>40.54</v>
      </c>
      <c r="J1033" s="70" t="s">
        <v>58</v>
      </c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  <c r="AB1033" s="65"/>
      <c r="AC1033" s="65"/>
    </row>
    <row r="1034">
      <c r="A1034" s="72">
        <v>753.0</v>
      </c>
      <c r="B1034" s="67" t="s">
        <v>2325</v>
      </c>
      <c r="C1034" s="70" t="s">
        <v>60</v>
      </c>
      <c r="D1034" s="70" t="s">
        <v>2326</v>
      </c>
      <c r="E1034" s="75" t="s">
        <v>28</v>
      </c>
      <c r="F1034" s="70" t="s">
        <v>28</v>
      </c>
      <c r="G1034" s="70" t="s">
        <v>28</v>
      </c>
      <c r="H1034" s="70" t="s">
        <v>28</v>
      </c>
      <c r="I1034" s="72">
        <v>52.43</v>
      </c>
      <c r="J1034" s="70" t="s">
        <v>58</v>
      </c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  <c r="AB1034" s="65"/>
      <c r="AC1034" s="65"/>
    </row>
    <row r="1035">
      <c r="A1035" s="72">
        <v>752.0</v>
      </c>
      <c r="B1035" s="67" t="s">
        <v>2327</v>
      </c>
      <c r="C1035" s="70" t="s">
        <v>56</v>
      </c>
      <c r="D1035" s="75" t="s">
        <v>852</v>
      </c>
      <c r="E1035" s="76" t="s">
        <v>2328</v>
      </c>
      <c r="F1035" s="70" t="s">
        <v>2329</v>
      </c>
      <c r="G1035" s="70" t="s">
        <v>2330</v>
      </c>
      <c r="H1035" s="70" t="s">
        <v>2331</v>
      </c>
      <c r="I1035" s="72">
        <v>52.86</v>
      </c>
      <c r="J1035" s="70" t="s">
        <v>58</v>
      </c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</row>
    <row r="1036">
      <c r="A1036" s="72">
        <v>751.0</v>
      </c>
      <c r="B1036" s="67" t="s">
        <v>2332</v>
      </c>
      <c r="C1036" s="75" t="s">
        <v>56</v>
      </c>
      <c r="D1036" s="76" t="s">
        <v>182</v>
      </c>
      <c r="E1036" s="76" t="s">
        <v>516</v>
      </c>
      <c r="F1036" s="70" t="s">
        <v>516</v>
      </c>
      <c r="G1036" s="70" t="s">
        <v>516</v>
      </c>
      <c r="H1036" s="70" t="s">
        <v>516</v>
      </c>
      <c r="I1036" s="72">
        <v>59.47</v>
      </c>
      <c r="J1036" s="70" t="s">
        <v>58</v>
      </c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</row>
    <row r="1037">
      <c r="A1037" s="72">
        <v>750.0</v>
      </c>
      <c r="B1037" s="67" t="s">
        <v>2333</v>
      </c>
      <c r="C1037" s="76" t="s">
        <v>56</v>
      </c>
      <c r="D1037" s="76" t="s">
        <v>76</v>
      </c>
      <c r="E1037" s="70" t="s">
        <v>96</v>
      </c>
      <c r="F1037" s="73"/>
      <c r="G1037" s="73"/>
      <c r="H1037" s="70" t="s">
        <v>71</v>
      </c>
      <c r="I1037" s="72">
        <v>67.17</v>
      </c>
      <c r="J1037" s="70" t="s">
        <v>58</v>
      </c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</row>
    <row r="1038">
      <c r="A1038" s="72">
        <v>749.0</v>
      </c>
      <c r="B1038" s="67" t="s">
        <v>2334</v>
      </c>
      <c r="C1038" s="70" t="s">
        <v>60</v>
      </c>
      <c r="D1038" s="70" t="s">
        <v>506</v>
      </c>
      <c r="E1038" s="70" t="s">
        <v>2335</v>
      </c>
      <c r="F1038" s="73"/>
      <c r="G1038" s="70" t="s">
        <v>1166</v>
      </c>
      <c r="H1038" s="70" t="s">
        <v>2336</v>
      </c>
      <c r="I1038" s="72">
        <v>48.23</v>
      </c>
      <c r="J1038" s="70" t="s">
        <v>58</v>
      </c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</row>
    <row r="1039">
      <c r="A1039" s="72">
        <v>748.0</v>
      </c>
      <c r="B1039" s="67" t="s">
        <v>2337</v>
      </c>
      <c r="C1039" s="70" t="s">
        <v>69</v>
      </c>
      <c r="D1039" s="70" t="s">
        <v>284</v>
      </c>
      <c r="E1039" s="70" t="s">
        <v>28</v>
      </c>
      <c r="F1039" s="73"/>
      <c r="G1039" s="73"/>
      <c r="H1039" s="70" t="s">
        <v>28</v>
      </c>
      <c r="I1039" s="72">
        <v>57.56</v>
      </c>
      <c r="J1039" s="70" t="s">
        <v>58</v>
      </c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</row>
    <row r="1040">
      <c r="A1040" s="72">
        <v>747.0</v>
      </c>
      <c r="B1040" s="67" t="s">
        <v>2338</v>
      </c>
      <c r="C1040" s="70" t="s">
        <v>69</v>
      </c>
      <c r="D1040" s="70" t="s">
        <v>93</v>
      </c>
      <c r="E1040" s="75" t="s">
        <v>28</v>
      </c>
      <c r="F1040" s="73"/>
      <c r="G1040" s="70" t="s">
        <v>28</v>
      </c>
      <c r="H1040" s="70" t="s">
        <v>28</v>
      </c>
      <c r="I1040" s="72">
        <v>43.11</v>
      </c>
      <c r="J1040" s="70" t="s">
        <v>58</v>
      </c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</row>
    <row r="1041">
      <c r="A1041" s="72">
        <v>746.0</v>
      </c>
      <c r="B1041" s="67" t="s">
        <v>2339</v>
      </c>
      <c r="C1041" s="70" t="s">
        <v>69</v>
      </c>
      <c r="D1041" s="75" t="s">
        <v>1069</v>
      </c>
      <c r="E1041" s="76" t="s">
        <v>2340</v>
      </c>
      <c r="F1041" s="70" t="s">
        <v>110</v>
      </c>
      <c r="G1041" s="70" t="s">
        <v>152</v>
      </c>
      <c r="H1041" s="70" t="s">
        <v>2341</v>
      </c>
      <c r="I1041" s="72">
        <v>50.92</v>
      </c>
      <c r="J1041" s="70" t="s">
        <v>58</v>
      </c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  <c r="AB1041" s="65"/>
      <c r="AC1041" s="65"/>
    </row>
    <row r="1042">
      <c r="A1042" s="72">
        <v>745.0</v>
      </c>
      <c r="B1042" s="67" t="s">
        <v>2342</v>
      </c>
      <c r="C1042" s="75" t="s">
        <v>60</v>
      </c>
      <c r="D1042" s="76" t="s">
        <v>1606</v>
      </c>
      <c r="E1042" s="76" t="s">
        <v>1134</v>
      </c>
      <c r="F1042" s="73"/>
      <c r="G1042" s="73"/>
      <c r="H1042" s="70" t="s">
        <v>799</v>
      </c>
      <c r="I1042" s="72">
        <v>35.43</v>
      </c>
      <c r="J1042" s="70" t="s">
        <v>58</v>
      </c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</row>
    <row r="1043">
      <c r="A1043" s="72">
        <v>744.0</v>
      </c>
      <c r="B1043" s="67" t="s">
        <v>2343</v>
      </c>
      <c r="C1043" s="70" t="s">
        <v>69</v>
      </c>
      <c r="D1043" s="70" t="s">
        <v>502</v>
      </c>
      <c r="E1043" s="70" t="s">
        <v>462</v>
      </c>
      <c r="F1043" s="73"/>
      <c r="G1043" s="73"/>
      <c r="H1043" s="70" t="s">
        <v>462</v>
      </c>
      <c r="I1043" s="72">
        <v>45.55</v>
      </c>
      <c r="J1043" s="70" t="s">
        <v>58</v>
      </c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  <c r="AB1043" s="65"/>
      <c r="AC1043" s="65"/>
    </row>
    <row r="1044">
      <c r="A1044" s="72">
        <v>743.0</v>
      </c>
      <c r="B1044" s="67" t="s">
        <v>2344</v>
      </c>
      <c r="C1044" s="70" t="s">
        <v>56</v>
      </c>
      <c r="D1044" s="70" t="s">
        <v>2345</v>
      </c>
      <c r="E1044" s="70" t="s">
        <v>2346</v>
      </c>
      <c r="F1044" s="70" t="s">
        <v>64</v>
      </c>
      <c r="G1044" s="70" t="s">
        <v>112</v>
      </c>
      <c r="H1044" s="70" t="s">
        <v>2347</v>
      </c>
      <c r="I1044" s="72">
        <v>45.6</v>
      </c>
      <c r="J1044" s="70" t="s">
        <v>58</v>
      </c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  <c r="AB1044" s="65"/>
      <c r="AC1044" s="65"/>
    </row>
    <row r="1045">
      <c r="A1045" s="72">
        <v>742.0</v>
      </c>
      <c r="B1045" s="67" t="s">
        <v>2348</v>
      </c>
      <c r="C1045" s="70" t="s">
        <v>56</v>
      </c>
      <c r="D1045" s="70" t="s">
        <v>320</v>
      </c>
      <c r="E1045" s="70" t="s">
        <v>2349</v>
      </c>
      <c r="F1045" s="70" t="s">
        <v>71</v>
      </c>
      <c r="G1045" s="70" t="s">
        <v>2350</v>
      </c>
      <c r="H1045" s="70" t="s">
        <v>2351</v>
      </c>
      <c r="I1045" s="72">
        <v>44.48</v>
      </c>
      <c r="J1045" s="70" t="s">
        <v>58</v>
      </c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  <c r="X1045" s="65"/>
      <c r="Y1045" s="65"/>
      <c r="Z1045" s="65"/>
      <c r="AA1045" s="65"/>
      <c r="AB1045" s="65"/>
      <c r="AC1045" s="65"/>
    </row>
    <row r="1046">
      <c r="A1046" s="72">
        <v>741.0</v>
      </c>
      <c r="B1046" s="67" t="s">
        <v>2352</v>
      </c>
      <c r="C1046" s="70" t="s">
        <v>60</v>
      </c>
      <c r="D1046" s="70" t="s">
        <v>76</v>
      </c>
      <c r="E1046" s="70" t="s">
        <v>2353</v>
      </c>
      <c r="F1046" s="70" t="s">
        <v>2354</v>
      </c>
      <c r="G1046" s="70" t="s">
        <v>2355</v>
      </c>
      <c r="H1046" s="70" t="s">
        <v>2356</v>
      </c>
      <c r="I1046" s="72">
        <v>35.16</v>
      </c>
      <c r="J1046" s="70" t="s">
        <v>58</v>
      </c>
      <c r="K1046" s="65"/>
      <c r="L1046" s="65"/>
      <c r="M1046" s="65"/>
      <c r="N1046" s="65"/>
      <c r="O1046" s="65"/>
      <c r="P1046" s="65"/>
      <c r="Q1046" s="65"/>
      <c r="R1046" s="65"/>
      <c r="S1046" s="65"/>
      <c r="T1046" s="65"/>
      <c r="U1046" s="65"/>
      <c r="V1046" s="65"/>
      <c r="W1046" s="65"/>
      <c r="X1046" s="65"/>
      <c r="Y1046" s="65"/>
      <c r="Z1046" s="65"/>
      <c r="AA1046" s="65"/>
      <c r="AB1046" s="65"/>
      <c r="AC1046" s="65"/>
    </row>
    <row r="1047">
      <c r="A1047" s="72">
        <v>740.0</v>
      </c>
      <c r="B1047" s="67" t="s">
        <v>2357</v>
      </c>
      <c r="C1047" s="70" t="s">
        <v>56</v>
      </c>
      <c r="D1047" s="70" t="s">
        <v>76</v>
      </c>
      <c r="E1047" s="70" t="s">
        <v>2358</v>
      </c>
      <c r="F1047" s="70" t="s">
        <v>110</v>
      </c>
      <c r="G1047" s="70" t="s">
        <v>110</v>
      </c>
      <c r="H1047" s="70" t="s">
        <v>2359</v>
      </c>
      <c r="I1047" s="72">
        <v>49.62</v>
      </c>
      <c r="J1047" s="70" t="s">
        <v>58</v>
      </c>
      <c r="K1047" s="65"/>
      <c r="L1047" s="65"/>
      <c r="M1047" s="65"/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65"/>
      <c r="Z1047" s="65"/>
      <c r="AA1047" s="65"/>
      <c r="AB1047" s="65"/>
      <c r="AC1047" s="65"/>
    </row>
    <row r="1048">
      <c r="A1048" s="72">
        <v>739.0</v>
      </c>
      <c r="B1048" s="67" t="s">
        <v>2360</v>
      </c>
      <c r="C1048" s="70" t="s">
        <v>56</v>
      </c>
      <c r="D1048" s="70" t="s">
        <v>1964</v>
      </c>
      <c r="E1048" s="70" t="s">
        <v>2361</v>
      </c>
      <c r="F1048" s="70" t="s">
        <v>2362</v>
      </c>
      <c r="G1048" s="70" t="s">
        <v>2363</v>
      </c>
      <c r="H1048" s="70" t="s">
        <v>2364</v>
      </c>
      <c r="I1048" s="72">
        <v>64.72</v>
      </c>
      <c r="J1048" s="70" t="s">
        <v>58</v>
      </c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  <c r="AB1048" s="65"/>
      <c r="AC1048" s="65"/>
    </row>
    <row r="1049">
      <c r="A1049" s="72">
        <v>738.0</v>
      </c>
      <c r="B1049" s="67" t="s">
        <v>2365</v>
      </c>
      <c r="C1049" s="70" t="s">
        <v>56</v>
      </c>
      <c r="D1049" s="70" t="s">
        <v>61</v>
      </c>
      <c r="E1049" s="70" t="s">
        <v>2366</v>
      </c>
      <c r="F1049" s="70" t="s">
        <v>899</v>
      </c>
      <c r="G1049" s="70" t="s">
        <v>899</v>
      </c>
      <c r="H1049" s="70" t="s">
        <v>2367</v>
      </c>
      <c r="I1049" s="72">
        <v>45.75</v>
      </c>
      <c r="J1049" s="70" t="s">
        <v>58</v>
      </c>
      <c r="K1049" s="65"/>
      <c r="L1049" s="65"/>
      <c r="M1049" s="65"/>
      <c r="N1049" s="65"/>
      <c r="O1049" s="65"/>
      <c r="P1049" s="65"/>
      <c r="Q1049" s="65"/>
      <c r="R1049" s="65"/>
      <c r="S1049" s="65"/>
      <c r="T1049" s="65"/>
      <c r="U1049" s="65"/>
      <c r="V1049" s="65"/>
      <c r="W1049" s="65"/>
      <c r="X1049" s="65"/>
      <c r="Y1049" s="65"/>
      <c r="Z1049" s="65"/>
      <c r="AA1049" s="65"/>
      <c r="AB1049" s="65"/>
      <c r="AC1049" s="65"/>
    </row>
    <row r="1050">
      <c r="A1050" s="72">
        <v>737.0</v>
      </c>
      <c r="B1050" s="67" t="s">
        <v>2368</v>
      </c>
      <c r="C1050" s="70" t="s">
        <v>56</v>
      </c>
      <c r="D1050" s="70" t="s">
        <v>627</v>
      </c>
      <c r="E1050" s="70" t="s">
        <v>1537</v>
      </c>
      <c r="F1050" s="73"/>
      <c r="G1050" s="70" t="s">
        <v>64</v>
      </c>
      <c r="H1050" s="70" t="s">
        <v>112</v>
      </c>
      <c r="I1050" s="72">
        <v>46.59</v>
      </c>
      <c r="J1050" s="70" t="s">
        <v>58</v>
      </c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  <c r="X1050" s="65"/>
      <c r="Y1050" s="65"/>
      <c r="Z1050" s="65"/>
      <c r="AA1050" s="65"/>
      <c r="AB1050" s="65"/>
      <c r="AC1050" s="65"/>
    </row>
    <row r="1051">
      <c r="A1051" s="72">
        <v>736.0</v>
      </c>
      <c r="B1051" s="67" t="s">
        <v>2369</v>
      </c>
      <c r="C1051" s="70" t="s">
        <v>60</v>
      </c>
      <c r="D1051" s="70" t="s">
        <v>70</v>
      </c>
      <c r="E1051" s="70" t="s">
        <v>2370</v>
      </c>
      <c r="F1051" s="73"/>
      <c r="G1051" s="70" t="s">
        <v>28</v>
      </c>
      <c r="H1051" s="70" t="s">
        <v>2370</v>
      </c>
      <c r="I1051" s="72">
        <v>49.71</v>
      </c>
      <c r="J1051" s="70" t="s">
        <v>58</v>
      </c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65"/>
      <c r="Z1051" s="65"/>
      <c r="AA1051" s="65"/>
      <c r="AB1051" s="65"/>
      <c r="AC1051" s="65"/>
    </row>
    <row r="1052">
      <c r="A1052" s="72">
        <v>735.0</v>
      </c>
      <c r="B1052" s="67" t="s">
        <v>2371</v>
      </c>
      <c r="C1052" s="70" t="s">
        <v>56</v>
      </c>
      <c r="D1052" s="70" t="s">
        <v>240</v>
      </c>
      <c r="E1052" s="70" t="s">
        <v>2372</v>
      </c>
      <c r="F1052" s="70" t="s">
        <v>2373</v>
      </c>
      <c r="G1052" s="70" t="s">
        <v>2374</v>
      </c>
      <c r="H1052" s="70" t="s">
        <v>2375</v>
      </c>
      <c r="I1052" s="72">
        <v>43.27</v>
      </c>
      <c r="J1052" s="70" t="s">
        <v>58</v>
      </c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  <c r="AB1052" s="65"/>
      <c r="AC1052" s="65"/>
    </row>
    <row r="1053">
      <c r="A1053" s="72">
        <v>734.0</v>
      </c>
      <c r="B1053" s="67" t="s">
        <v>2376</v>
      </c>
      <c r="C1053" s="70" t="s">
        <v>69</v>
      </c>
      <c r="D1053" s="70" t="s">
        <v>284</v>
      </c>
      <c r="E1053" s="70" t="s">
        <v>96</v>
      </c>
      <c r="F1053" s="73"/>
      <c r="G1053" s="70" t="s">
        <v>71</v>
      </c>
      <c r="H1053" s="70" t="s">
        <v>612</v>
      </c>
      <c r="I1053" s="72">
        <v>42.38</v>
      </c>
      <c r="J1053" s="70" t="s">
        <v>58</v>
      </c>
      <c r="K1053" s="65"/>
      <c r="L1053" s="65"/>
      <c r="M1053" s="65"/>
      <c r="N1053" s="65"/>
      <c r="O1053" s="65"/>
      <c r="P1053" s="65"/>
      <c r="Q1053" s="65"/>
      <c r="R1053" s="65"/>
      <c r="S1053" s="65"/>
      <c r="T1053" s="65"/>
      <c r="U1053" s="65"/>
      <c r="V1053" s="65"/>
      <c r="W1053" s="65"/>
      <c r="X1053" s="65"/>
      <c r="Y1053" s="65"/>
      <c r="Z1053" s="65"/>
      <c r="AA1053" s="65"/>
      <c r="AB1053" s="65"/>
      <c r="AC1053" s="65"/>
    </row>
    <row r="1054">
      <c r="A1054" s="72">
        <v>733.0</v>
      </c>
      <c r="B1054" s="67" t="s">
        <v>2377</v>
      </c>
      <c r="C1054" s="70" t="s">
        <v>69</v>
      </c>
      <c r="D1054" s="70" t="s">
        <v>506</v>
      </c>
      <c r="E1054" s="70" t="s">
        <v>2378</v>
      </c>
      <c r="F1054" s="70" t="s">
        <v>674</v>
      </c>
      <c r="G1054" s="70" t="s">
        <v>2379</v>
      </c>
      <c r="H1054" s="70" t="s">
        <v>2380</v>
      </c>
      <c r="I1054" s="72">
        <v>55.93</v>
      </c>
      <c r="J1054" s="70" t="s">
        <v>58</v>
      </c>
      <c r="K1054" s="65"/>
      <c r="L1054" s="65"/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  <c r="AB1054" s="65"/>
      <c r="AC1054" s="65"/>
    </row>
    <row r="1055">
      <c r="A1055" s="72">
        <v>732.0</v>
      </c>
      <c r="B1055" s="67" t="s">
        <v>2381</v>
      </c>
      <c r="C1055" s="70" t="s">
        <v>60</v>
      </c>
      <c r="D1055" s="70" t="s">
        <v>2382</v>
      </c>
      <c r="E1055" s="75" t="s">
        <v>87</v>
      </c>
      <c r="F1055" s="70" t="s">
        <v>28</v>
      </c>
      <c r="G1055" s="70" t="s">
        <v>28</v>
      </c>
      <c r="H1055" s="70" t="s">
        <v>87</v>
      </c>
      <c r="I1055" s="72">
        <v>62.07</v>
      </c>
      <c r="J1055" s="70" t="s">
        <v>58</v>
      </c>
      <c r="K1055" s="65"/>
      <c r="L1055" s="65"/>
      <c r="M1055" s="65"/>
      <c r="N1055" s="65"/>
      <c r="O1055" s="65"/>
      <c r="P1055" s="65"/>
      <c r="Q1055" s="65"/>
      <c r="R1055" s="65"/>
      <c r="S1055" s="65"/>
      <c r="T1055" s="65"/>
      <c r="U1055" s="65"/>
      <c r="V1055" s="65"/>
      <c r="W1055" s="65"/>
      <c r="X1055" s="65"/>
      <c r="Y1055" s="65"/>
      <c r="Z1055" s="65"/>
      <c r="AA1055" s="65"/>
      <c r="AB1055" s="65"/>
      <c r="AC1055" s="65"/>
    </row>
    <row r="1056">
      <c r="A1056" s="72">
        <v>731.0</v>
      </c>
      <c r="B1056" s="67" t="s">
        <v>2383</v>
      </c>
      <c r="C1056" s="70" t="s">
        <v>56</v>
      </c>
      <c r="D1056" s="75" t="s">
        <v>433</v>
      </c>
      <c r="E1056" s="76" t="s">
        <v>1537</v>
      </c>
      <c r="F1056" s="70" t="s">
        <v>189</v>
      </c>
      <c r="G1056" s="70" t="s">
        <v>1014</v>
      </c>
      <c r="H1056" s="70" t="s">
        <v>1615</v>
      </c>
      <c r="I1056" s="72">
        <v>50.77</v>
      </c>
      <c r="J1056" s="70" t="s">
        <v>58</v>
      </c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  <c r="X1056" s="65"/>
      <c r="Y1056" s="65"/>
      <c r="Z1056" s="65"/>
      <c r="AA1056" s="65"/>
      <c r="AB1056" s="65"/>
      <c r="AC1056" s="65"/>
    </row>
    <row r="1057">
      <c r="A1057" s="72">
        <v>730.0</v>
      </c>
      <c r="B1057" s="67" t="s">
        <v>2384</v>
      </c>
      <c r="C1057" s="75" t="s">
        <v>60</v>
      </c>
      <c r="D1057" s="76" t="s">
        <v>161</v>
      </c>
      <c r="E1057" s="76" t="s">
        <v>2385</v>
      </c>
      <c r="F1057" s="73"/>
      <c r="G1057" s="73"/>
      <c r="H1057" s="70" t="s">
        <v>2386</v>
      </c>
      <c r="I1057" s="72">
        <v>43.43</v>
      </c>
      <c r="J1057" s="70" t="s">
        <v>58</v>
      </c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  <c r="X1057" s="65"/>
      <c r="Y1057" s="65"/>
      <c r="Z1057" s="65"/>
      <c r="AA1057" s="65"/>
      <c r="AB1057" s="65"/>
      <c r="AC1057" s="65"/>
    </row>
    <row r="1058">
      <c r="A1058" s="72">
        <v>729.0</v>
      </c>
      <c r="B1058" s="67" t="s">
        <v>2387</v>
      </c>
      <c r="C1058" s="70" t="s">
        <v>56</v>
      </c>
      <c r="D1058" s="70" t="s">
        <v>93</v>
      </c>
      <c r="E1058" s="70" t="s">
        <v>2388</v>
      </c>
      <c r="F1058" s="70" t="s">
        <v>2389</v>
      </c>
      <c r="G1058" s="70" t="s">
        <v>2390</v>
      </c>
      <c r="H1058" s="70" t="s">
        <v>2391</v>
      </c>
      <c r="I1058" s="72">
        <v>53.46</v>
      </c>
      <c r="J1058" s="70" t="s">
        <v>58</v>
      </c>
      <c r="K1058" s="65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  <c r="X1058" s="65"/>
      <c r="Y1058" s="65"/>
      <c r="Z1058" s="65"/>
      <c r="AA1058" s="65"/>
      <c r="AB1058" s="65"/>
      <c r="AC1058" s="65"/>
    </row>
    <row r="1059">
      <c r="A1059" s="72">
        <v>728.0</v>
      </c>
      <c r="B1059" s="67" t="s">
        <v>2392</v>
      </c>
      <c r="C1059" s="70" t="s">
        <v>69</v>
      </c>
      <c r="D1059" s="70" t="s">
        <v>99</v>
      </c>
      <c r="E1059" s="70" t="s">
        <v>2393</v>
      </c>
      <c r="F1059" s="73"/>
      <c r="G1059" s="73"/>
      <c r="H1059" s="70" t="s">
        <v>2394</v>
      </c>
      <c r="I1059" s="72">
        <v>75.53</v>
      </c>
      <c r="J1059" s="70" t="s">
        <v>58</v>
      </c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  <c r="AB1059" s="65"/>
      <c r="AC1059" s="65"/>
    </row>
    <row r="1060">
      <c r="A1060" s="72">
        <v>727.0</v>
      </c>
      <c r="B1060" s="67" t="s">
        <v>2395</v>
      </c>
      <c r="C1060" s="70" t="s">
        <v>60</v>
      </c>
      <c r="D1060" s="70" t="s">
        <v>2396</v>
      </c>
      <c r="E1060" s="70" t="s">
        <v>2397</v>
      </c>
      <c r="F1060" s="70" t="s">
        <v>2260</v>
      </c>
      <c r="G1060" s="70" t="s">
        <v>2398</v>
      </c>
      <c r="H1060" s="70" t="s">
        <v>2399</v>
      </c>
      <c r="I1060" s="72">
        <v>42.27</v>
      </c>
      <c r="J1060" s="70" t="s">
        <v>58</v>
      </c>
      <c r="K1060" s="65"/>
      <c r="L1060" s="65"/>
      <c r="M1060" s="65"/>
      <c r="N1060" s="65"/>
      <c r="O1060" s="65"/>
      <c r="P1060" s="65"/>
      <c r="Q1060" s="65"/>
      <c r="R1060" s="65"/>
      <c r="S1060" s="65"/>
      <c r="T1060" s="65"/>
      <c r="U1060" s="65"/>
      <c r="V1060" s="65"/>
      <c r="W1060" s="65"/>
      <c r="X1060" s="65"/>
      <c r="Y1060" s="65"/>
      <c r="Z1060" s="65"/>
      <c r="AA1060" s="65"/>
      <c r="AB1060" s="65"/>
      <c r="AC1060" s="65"/>
    </row>
    <row r="1061">
      <c r="A1061" s="72">
        <v>726.0</v>
      </c>
      <c r="B1061" s="67" t="s">
        <v>2400</v>
      </c>
      <c r="C1061" s="70" t="s">
        <v>60</v>
      </c>
      <c r="D1061" s="70" t="s">
        <v>2401</v>
      </c>
      <c r="E1061" s="75" t="s">
        <v>2402</v>
      </c>
      <c r="F1061" s="70" t="s">
        <v>2403</v>
      </c>
      <c r="G1061" s="70" t="s">
        <v>2403</v>
      </c>
      <c r="H1061" s="70" t="s">
        <v>2404</v>
      </c>
      <c r="I1061" s="72">
        <v>50.98</v>
      </c>
      <c r="J1061" s="70" t="s">
        <v>58</v>
      </c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65"/>
      <c r="Z1061" s="65"/>
      <c r="AA1061" s="65"/>
      <c r="AB1061" s="65"/>
      <c r="AC1061" s="65"/>
    </row>
    <row r="1062">
      <c r="A1062" s="72">
        <v>725.0</v>
      </c>
      <c r="B1062" s="67" t="s">
        <v>2405</v>
      </c>
      <c r="C1062" s="70" t="s">
        <v>56</v>
      </c>
      <c r="D1062" s="75" t="s">
        <v>206</v>
      </c>
      <c r="E1062" s="76" t="s">
        <v>1830</v>
      </c>
      <c r="F1062" s="73"/>
      <c r="G1062" s="73"/>
      <c r="H1062" s="70" t="s">
        <v>1016</v>
      </c>
      <c r="I1062" s="72">
        <v>53.06</v>
      </c>
      <c r="J1062" s="70" t="s">
        <v>58</v>
      </c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  <c r="AB1062" s="65"/>
      <c r="AC1062" s="65"/>
    </row>
    <row r="1063">
      <c r="A1063" s="72">
        <v>724.0</v>
      </c>
      <c r="B1063" s="67" t="s">
        <v>2406</v>
      </c>
      <c r="C1063" s="75" t="s">
        <v>69</v>
      </c>
      <c r="D1063" s="76" t="s">
        <v>93</v>
      </c>
      <c r="E1063" s="76" t="s">
        <v>2407</v>
      </c>
      <c r="F1063" s="70" t="s">
        <v>2408</v>
      </c>
      <c r="G1063" s="70" t="s">
        <v>2409</v>
      </c>
      <c r="H1063" s="70" t="s">
        <v>2410</v>
      </c>
      <c r="I1063" s="72">
        <v>45.81</v>
      </c>
      <c r="J1063" s="70" t="s">
        <v>58</v>
      </c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  <c r="X1063" s="65"/>
      <c r="Y1063" s="65"/>
      <c r="Z1063" s="65"/>
      <c r="AA1063" s="65"/>
      <c r="AB1063" s="65"/>
      <c r="AC1063" s="65"/>
    </row>
    <row r="1064">
      <c r="A1064" s="72">
        <v>723.0</v>
      </c>
      <c r="B1064" s="67" t="s">
        <v>2411</v>
      </c>
      <c r="C1064" s="70" t="s">
        <v>56</v>
      </c>
      <c r="D1064" s="70" t="s">
        <v>1755</v>
      </c>
      <c r="E1064" s="70" t="s">
        <v>2412</v>
      </c>
      <c r="F1064" s="70" t="s">
        <v>1013</v>
      </c>
      <c r="G1064" s="70" t="s">
        <v>2413</v>
      </c>
      <c r="H1064" s="70" t="s">
        <v>2414</v>
      </c>
      <c r="I1064" s="72">
        <v>72.84</v>
      </c>
      <c r="J1064" s="70" t="s">
        <v>58</v>
      </c>
      <c r="K1064" s="65"/>
      <c r="L1064" s="65"/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  <c r="X1064" s="65"/>
      <c r="Y1064" s="65"/>
      <c r="Z1064" s="65"/>
      <c r="AA1064" s="65"/>
      <c r="AB1064" s="65"/>
      <c r="AC1064" s="65"/>
    </row>
    <row r="1065">
      <c r="A1065" s="72">
        <v>722.0</v>
      </c>
      <c r="B1065" s="67" t="s">
        <v>2415</v>
      </c>
      <c r="C1065" s="70" t="s">
        <v>56</v>
      </c>
      <c r="D1065" s="70" t="s">
        <v>70</v>
      </c>
      <c r="E1065" s="70" t="s">
        <v>2416</v>
      </c>
      <c r="F1065" s="70" t="s">
        <v>2417</v>
      </c>
      <c r="G1065" s="70" t="s">
        <v>2418</v>
      </c>
      <c r="H1065" s="70" t="s">
        <v>2419</v>
      </c>
      <c r="I1065" s="72">
        <v>36.29</v>
      </c>
      <c r="J1065" s="70" t="s">
        <v>58</v>
      </c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  <c r="X1065" s="65"/>
      <c r="Y1065" s="65"/>
      <c r="Z1065" s="65"/>
      <c r="AA1065" s="65"/>
      <c r="AB1065" s="65"/>
      <c r="AC1065" s="65"/>
    </row>
    <row r="1066">
      <c r="A1066" s="72">
        <v>721.0</v>
      </c>
      <c r="B1066" s="67" t="s">
        <v>2420</v>
      </c>
      <c r="C1066" s="70" t="s">
        <v>56</v>
      </c>
      <c r="D1066" s="70" t="s">
        <v>627</v>
      </c>
      <c r="E1066" s="70" t="s">
        <v>2421</v>
      </c>
      <c r="F1066" s="70" t="s">
        <v>2422</v>
      </c>
      <c r="G1066" s="70" t="s">
        <v>2423</v>
      </c>
      <c r="H1066" s="70" t="s">
        <v>2424</v>
      </c>
      <c r="I1066" s="72">
        <v>52.05</v>
      </c>
      <c r="J1066" s="70" t="s">
        <v>58</v>
      </c>
      <c r="K1066" s="65"/>
      <c r="L1066" s="65"/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  <c r="X1066" s="65"/>
      <c r="Y1066" s="65"/>
      <c r="Z1066" s="65"/>
      <c r="AA1066" s="65"/>
      <c r="AB1066" s="65"/>
      <c r="AC1066" s="65"/>
    </row>
    <row r="1067">
      <c r="A1067" s="72">
        <v>720.0</v>
      </c>
      <c r="B1067" s="67" t="s">
        <v>2425</v>
      </c>
      <c r="C1067" s="70" t="s">
        <v>69</v>
      </c>
      <c r="D1067" s="70" t="s">
        <v>2426</v>
      </c>
      <c r="E1067" s="70" t="s">
        <v>2427</v>
      </c>
      <c r="F1067" s="70" t="s">
        <v>110</v>
      </c>
      <c r="G1067" s="70" t="s">
        <v>2428</v>
      </c>
      <c r="H1067" s="70" t="s">
        <v>2429</v>
      </c>
      <c r="I1067" s="72">
        <v>49.31</v>
      </c>
      <c r="J1067" s="70" t="s">
        <v>58</v>
      </c>
      <c r="K1067" s="65"/>
      <c r="L1067" s="65"/>
      <c r="M1067" s="65"/>
      <c r="N1067" s="65"/>
      <c r="O1067" s="65"/>
      <c r="P1067" s="65"/>
      <c r="Q1067" s="65"/>
      <c r="R1067" s="65"/>
      <c r="S1067" s="65"/>
      <c r="T1067" s="65"/>
      <c r="U1067" s="65"/>
      <c r="V1067" s="65"/>
      <c r="W1067" s="65"/>
      <c r="X1067" s="65"/>
      <c r="Y1067" s="65"/>
      <c r="Z1067" s="65"/>
      <c r="AA1067" s="65"/>
      <c r="AB1067" s="65"/>
      <c r="AC1067" s="65"/>
    </row>
    <row r="1068">
      <c r="A1068" s="72">
        <v>719.0</v>
      </c>
      <c r="B1068" s="67" t="s">
        <v>2430</v>
      </c>
      <c r="C1068" s="70" t="s">
        <v>60</v>
      </c>
      <c r="D1068" s="70" t="s">
        <v>2431</v>
      </c>
      <c r="E1068" s="70" t="s">
        <v>87</v>
      </c>
      <c r="F1068" s="73"/>
      <c r="G1068" s="73"/>
      <c r="H1068" s="70" t="s">
        <v>112</v>
      </c>
      <c r="I1068" s="72">
        <v>32.62</v>
      </c>
      <c r="J1068" s="70" t="s">
        <v>58</v>
      </c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  <c r="AB1068" s="65"/>
      <c r="AC1068" s="65"/>
    </row>
    <row r="1069">
      <c r="A1069" s="72">
        <v>718.0</v>
      </c>
      <c r="B1069" s="67" t="s">
        <v>2432</v>
      </c>
      <c r="C1069" s="70" t="s">
        <v>56</v>
      </c>
      <c r="D1069" s="70" t="s">
        <v>2433</v>
      </c>
      <c r="E1069" s="70" t="s">
        <v>2434</v>
      </c>
      <c r="F1069" s="70" t="s">
        <v>2435</v>
      </c>
      <c r="G1069" s="70" t="s">
        <v>2435</v>
      </c>
      <c r="H1069" s="70" t="s">
        <v>2436</v>
      </c>
      <c r="I1069" s="72">
        <v>50.4</v>
      </c>
      <c r="J1069" s="70" t="s">
        <v>58</v>
      </c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65"/>
      <c r="Z1069" s="65"/>
      <c r="AA1069" s="65"/>
      <c r="AB1069" s="65"/>
      <c r="AC1069" s="65"/>
    </row>
    <row r="1070">
      <c r="A1070" s="72">
        <v>717.0</v>
      </c>
      <c r="B1070" s="67" t="s">
        <v>2437</v>
      </c>
      <c r="C1070" s="70" t="s">
        <v>69</v>
      </c>
      <c r="D1070" s="70" t="s">
        <v>93</v>
      </c>
      <c r="E1070" s="70" t="s">
        <v>2438</v>
      </c>
      <c r="F1070" s="70" t="s">
        <v>64</v>
      </c>
      <c r="G1070" s="70" t="s">
        <v>64</v>
      </c>
      <c r="H1070" s="70" t="s">
        <v>2439</v>
      </c>
      <c r="I1070" s="72">
        <v>47.0</v>
      </c>
      <c r="J1070" s="70" t="s">
        <v>58</v>
      </c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/>
      <c r="AB1070" s="65"/>
      <c r="AC1070" s="65"/>
    </row>
    <row r="1071">
      <c r="A1071" s="72">
        <v>716.0</v>
      </c>
      <c r="B1071" s="67" t="s">
        <v>2440</v>
      </c>
      <c r="C1071" s="70" t="s">
        <v>69</v>
      </c>
      <c r="D1071" s="70" t="s">
        <v>440</v>
      </c>
      <c r="E1071" s="70" t="s">
        <v>2441</v>
      </c>
      <c r="F1071" s="70" t="s">
        <v>2442</v>
      </c>
      <c r="G1071" s="70" t="s">
        <v>2443</v>
      </c>
      <c r="H1071" s="70" t="s">
        <v>2444</v>
      </c>
      <c r="I1071" s="72">
        <v>43.08</v>
      </c>
      <c r="J1071" s="70" t="s">
        <v>58</v>
      </c>
      <c r="K1071" s="65"/>
      <c r="L1071" s="65"/>
      <c r="M1071" s="65"/>
      <c r="N1071" s="65"/>
      <c r="O1071" s="65"/>
      <c r="P1071" s="65"/>
      <c r="Q1071" s="65"/>
      <c r="R1071" s="65"/>
      <c r="S1071" s="65"/>
      <c r="T1071" s="65"/>
      <c r="U1071" s="65"/>
      <c r="V1071" s="65"/>
      <c r="W1071" s="65"/>
      <c r="X1071" s="65"/>
      <c r="Y1071" s="65"/>
      <c r="Z1071" s="65"/>
      <c r="AA1071" s="65"/>
      <c r="AB1071" s="65"/>
      <c r="AC1071" s="65"/>
    </row>
    <row r="1072">
      <c r="A1072" s="72">
        <v>715.0</v>
      </c>
      <c r="B1072" s="67" t="s">
        <v>2445</v>
      </c>
      <c r="C1072" s="70" t="s">
        <v>60</v>
      </c>
      <c r="D1072" s="70" t="s">
        <v>2382</v>
      </c>
      <c r="E1072" s="70" t="s">
        <v>2446</v>
      </c>
      <c r="F1072" s="70" t="s">
        <v>112</v>
      </c>
      <c r="G1072" s="70" t="s">
        <v>112</v>
      </c>
      <c r="H1072" s="70" t="s">
        <v>2447</v>
      </c>
      <c r="I1072" s="72">
        <v>40.37</v>
      </c>
      <c r="J1072" s="70" t="s">
        <v>58</v>
      </c>
      <c r="K1072" s="65"/>
      <c r="L1072" s="65"/>
      <c r="M1072" s="65"/>
      <c r="N1072" s="65"/>
      <c r="O1072" s="65"/>
      <c r="P1072" s="65"/>
      <c r="Q1072" s="65"/>
      <c r="R1072" s="65"/>
      <c r="S1072" s="65"/>
      <c r="T1072" s="65"/>
      <c r="U1072" s="65"/>
      <c r="V1072" s="65"/>
      <c r="W1072" s="65"/>
      <c r="X1072" s="65"/>
      <c r="Y1072" s="65"/>
      <c r="Z1072" s="65"/>
      <c r="AA1072" s="65"/>
      <c r="AB1072" s="65"/>
      <c r="AC1072" s="65"/>
    </row>
    <row r="1073">
      <c r="A1073" s="72">
        <v>714.0</v>
      </c>
      <c r="B1073" s="67" t="s">
        <v>2448</v>
      </c>
      <c r="C1073" s="70" t="s">
        <v>56</v>
      </c>
      <c r="D1073" s="70" t="s">
        <v>2449</v>
      </c>
      <c r="E1073" s="70" t="s">
        <v>2450</v>
      </c>
      <c r="F1073" s="70" t="s">
        <v>64</v>
      </c>
      <c r="G1073" s="70" t="s">
        <v>635</v>
      </c>
      <c r="H1073" s="70" t="s">
        <v>2451</v>
      </c>
      <c r="I1073" s="72">
        <v>57.97</v>
      </c>
      <c r="J1073" s="70" t="s">
        <v>58</v>
      </c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  <c r="AB1073" s="65"/>
      <c r="AC1073" s="65"/>
    </row>
    <row r="1074">
      <c r="A1074" s="72">
        <v>713.0</v>
      </c>
      <c r="B1074" s="67" t="s">
        <v>2452</v>
      </c>
      <c r="C1074" s="70" t="s">
        <v>56</v>
      </c>
      <c r="D1074" s="70" t="s">
        <v>1755</v>
      </c>
      <c r="E1074" s="70" t="s">
        <v>2453</v>
      </c>
      <c r="F1074" s="70" t="s">
        <v>2454</v>
      </c>
      <c r="G1074" s="70" t="s">
        <v>2454</v>
      </c>
      <c r="H1074" s="70" t="s">
        <v>2455</v>
      </c>
      <c r="I1074" s="72">
        <v>40.51</v>
      </c>
      <c r="J1074" s="70" t="s">
        <v>58</v>
      </c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  <c r="AB1074" s="65"/>
      <c r="AC1074" s="65"/>
    </row>
    <row r="1075">
      <c r="A1075" s="72">
        <v>712.0</v>
      </c>
      <c r="B1075" s="67" t="s">
        <v>2456</v>
      </c>
      <c r="C1075" s="70" t="s">
        <v>56</v>
      </c>
      <c r="D1075" s="70" t="s">
        <v>76</v>
      </c>
      <c r="E1075" s="70" t="s">
        <v>2457</v>
      </c>
      <c r="F1075" s="70" t="s">
        <v>2457</v>
      </c>
      <c r="G1075" s="70" t="s">
        <v>2457</v>
      </c>
      <c r="H1075" s="70" t="s">
        <v>2457</v>
      </c>
      <c r="I1075" s="72">
        <v>59.48</v>
      </c>
      <c r="J1075" s="70" t="s">
        <v>58</v>
      </c>
      <c r="K1075" s="65"/>
      <c r="L1075" s="65"/>
      <c r="M1075" s="65"/>
      <c r="N1075" s="65"/>
      <c r="O1075" s="65"/>
      <c r="P1075" s="65"/>
      <c r="Q1075" s="65"/>
      <c r="R1075" s="65"/>
      <c r="S1075" s="65"/>
      <c r="T1075" s="65"/>
      <c r="U1075" s="65"/>
      <c r="V1075" s="65"/>
      <c r="W1075" s="65"/>
      <c r="X1075" s="65"/>
      <c r="Y1075" s="65"/>
      <c r="Z1075" s="65"/>
      <c r="AA1075" s="65"/>
      <c r="AB1075" s="65"/>
      <c r="AC1075" s="65"/>
    </row>
    <row r="1076">
      <c r="A1076" s="72">
        <v>711.0</v>
      </c>
      <c r="B1076" s="67" t="s">
        <v>2458</v>
      </c>
      <c r="C1076" s="70" t="s">
        <v>60</v>
      </c>
      <c r="D1076" s="70" t="s">
        <v>2459</v>
      </c>
      <c r="E1076" s="70" t="s">
        <v>64</v>
      </c>
      <c r="F1076" s="73"/>
      <c r="G1076" s="73"/>
      <c r="H1076" s="70" t="s">
        <v>64</v>
      </c>
      <c r="I1076" s="72">
        <v>49.36</v>
      </c>
      <c r="J1076" s="70" t="s">
        <v>58</v>
      </c>
      <c r="K1076" s="65"/>
      <c r="L1076" s="65"/>
      <c r="M1076" s="65"/>
      <c r="N1076" s="65"/>
      <c r="O1076" s="65"/>
      <c r="P1076" s="65"/>
      <c r="Q1076" s="65"/>
      <c r="R1076" s="65"/>
      <c r="S1076" s="65"/>
      <c r="T1076" s="65"/>
      <c r="U1076" s="65"/>
      <c r="V1076" s="65"/>
      <c r="W1076" s="65"/>
      <c r="X1076" s="65"/>
      <c r="Y1076" s="65"/>
      <c r="Z1076" s="65"/>
      <c r="AA1076" s="65"/>
      <c r="AB1076" s="65"/>
      <c r="AC1076" s="65"/>
    </row>
    <row r="1077">
      <c r="A1077" s="72">
        <v>710.0</v>
      </c>
      <c r="B1077" s="67" t="s">
        <v>2460</v>
      </c>
      <c r="C1077" s="70" t="s">
        <v>60</v>
      </c>
      <c r="D1077" s="70" t="s">
        <v>2461</v>
      </c>
      <c r="E1077" s="70" t="s">
        <v>2462</v>
      </c>
      <c r="F1077" s="70" t="s">
        <v>2463</v>
      </c>
      <c r="G1077" s="70" t="s">
        <v>2463</v>
      </c>
      <c r="H1077" s="70" t="s">
        <v>2464</v>
      </c>
      <c r="I1077" s="72">
        <v>32.96</v>
      </c>
      <c r="J1077" s="70" t="s">
        <v>58</v>
      </c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65"/>
      <c r="Z1077" s="65"/>
      <c r="AA1077" s="65"/>
      <c r="AB1077" s="65"/>
      <c r="AC1077" s="65"/>
    </row>
    <row r="1078">
      <c r="A1078" s="72">
        <v>709.0</v>
      </c>
      <c r="B1078" s="67" t="s">
        <v>2465</v>
      </c>
      <c r="C1078" s="70" t="s">
        <v>69</v>
      </c>
      <c r="D1078" s="70" t="s">
        <v>70</v>
      </c>
      <c r="E1078" s="70" t="s">
        <v>2011</v>
      </c>
      <c r="F1078" s="73"/>
      <c r="G1078" s="73"/>
      <c r="H1078" s="70" t="s">
        <v>2466</v>
      </c>
      <c r="I1078" s="72">
        <v>80.2</v>
      </c>
      <c r="J1078" s="70" t="s">
        <v>58</v>
      </c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/>
      <c r="AB1078" s="65"/>
      <c r="AC1078" s="65"/>
    </row>
    <row r="1079">
      <c r="A1079" s="72">
        <v>708.0</v>
      </c>
      <c r="B1079" s="67" t="s">
        <v>2467</v>
      </c>
      <c r="C1079" s="70" t="s">
        <v>56</v>
      </c>
      <c r="D1079" s="70" t="s">
        <v>206</v>
      </c>
      <c r="E1079" s="70" t="s">
        <v>2468</v>
      </c>
      <c r="F1079" s="70" t="s">
        <v>2469</v>
      </c>
      <c r="G1079" s="70" t="s">
        <v>2470</v>
      </c>
      <c r="H1079" s="70" t="s">
        <v>2471</v>
      </c>
      <c r="I1079" s="72">
        <v>32.58</v>
      </c>
      <c r="J1079" s="70" t="s">
        <v>58</v>
      </c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65"/>
      <c r="Z1079" s="65"/>
      <c r="AA1079" s="65"/>
      <c r="AB1079" s="65"/>
      <c r="AC1079" s="65"/>
    </row>
    <row r="1080">
      <c r="A1080" s="72">
        <v>707.0</v>
      </c>
      <c r="B1080" s="67" t="s">
        <v>2472</v>
      </c>
      <c r="C1080" s="70" t="s">
        <v>56</v>
      </c>
      <c r="D1080" s="70" t="s">
        <v>2473</v>
      </c>
      <c r="E1080" s="70" t="s">
        <v>2474</v>
      </c>
      <c r="F1080" s="70" t="s">
        <v>412</v>
      </c>
      <c r="G1080" s="70" t="s">
        <v>412</v>
      </c>
      <c r="H1080" s="70" t="s">
        <v>2475</v>
      </c>
      <c r="I1080" s="72">
        <v>25.95</v>
      </c>
      <c r="J1080" s="70" t="s">
        <v>58</v>
      </c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/>
      <c r="AA1080" s="65"/>
      <c r="AB1080" s="65"/>
      <c r="AC1080" s="65"/>
    </row>
    <row r="1081">
      <c r="A1081" s="72">
        <v>706.0</v>
      </c>
      <c r="B1081" s="67" t="s">
        <v>2476</v>
      </c>
      <c r="C1081" s="70" t="s">
        <v>69</v>
      </c>
      <c r="D1081" s="70" t="s">
        <v>737</v>
      </c>
      <c r="E1081" s="70" t="s">
        <v>2477</v>
      </c>
      <c r="F1081" s="70" t="s">
        <v>2478</v>
      </c>
      <c r="G1081" s="70" t="s">
        <v>2479</v>
      </c>
      <c r="H1081" s="70" t="s">
        <v>2480</v>
      </c>
      <c r="I1081" s="72">
        <v>64.2</v>
      </c>
      <c r="J1081" s="70" t="s">
        <v>58</v>
      </c>
      <c r="K1081" s="65"/>
      <c r="L1081" s="65"/>
      <c r="M1081" s="65"/>
      <c r="N1081" s="65"/>
      <c r="O1081" s="65"/>
      <c r="P1081" s="65"/>
      <c r="Q1081" s="65"/>
      <c r="R1081" s="65"/>
      <c r="S1081" s="65"/>
      <c r="T1081" s="65"/>
      <c r="U1081" s="65"/>
      <c r="V1081" s="65"/>
      <c r="W1081" s="65"/>
      <c r="X1081" s="65"/>
      <c r="Y1081" s="65"/>
      <c r="Z1081" s="65"/>
      <c r="AA1081" s="65"/>
      <c r="AB1081" s="65"/>
      <c r="AC1081" s="65"/>
    </row>
    <row r="1082">
      <c r="A1082" s="72">
        <v>705.0</v>
      </c>
      <c r="B1082" s="67" t="s">
        <v>2481</v>
      </c>
      <c r="C1082" s="70" t="s">
        <v>69</v>
      </c>
      <c r="D1082" s="70" t="s">
        <v>737</v>
      </c>
      <c r="E1082" s="70" t="s">
        <v>297</v>
      </c>
      <c r="F1082" s="73"/>
      <c r="G1082" s="73"/>
      <c r="H1082" s="70" t="s">
        <v>299</v>
      </c>
      <c r="I1082" s="72">
        <v>64.59</v>
      </c>
      <c r="J1082" s="70" t="s">
        <v>58</v>
      </c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  <c r="AB1082" s="65"/>
      <c r="AC1082" s="65"/>
    </row>
    <row r="1083">
      <c r="A1083" s="72">
        <v>704.0</v>
      </c>
      <c r="B1083" s="67" t="s">
        <v>502</v>
      </c>
      <c r="C1083" s="70" t="s">
        <v>69</v>
      </c>
      <c r="D1083" s="70" t="s">
        <v>502</v>
      </c>
      <c r="E1083" s="70" t="s">
        <v>2482</v>
      </c>
      <c r="F1083" s="70" t="s">
        <v>2483</v>
      </c>
      <c r="G1083" s="70" t="s">
        <v>2484</v>
      </c>
      <c r="H1083" s="70" t="s">
        <v>2485</v>
      </c>
      <c r="I1083" s="72">
        <v>54.11</v>
      </c>
      <c r="J1083" s="70" t="s">
        <v>58</v>
      </c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  <c r="X1083" s="65"/>
      <c r="Y1083" s="65"/>
      <c r="Z1083" s="65"/>
      <c r="AA1083" s="65"/>
      <c r="AB1083" s="65"/>
      <c r="AC1083" s="65"/>
    </row>
    <row r="1084">
      <c r="A1084" s="72">
        <v>703.0</v>
      </c>
      <c r="B1084" s="67" t="s">
        <v>2486</v>
      </c>
      <c r="C1084" s="70" t="s">
        <v>69</v>
      </c>
      <c r="D1084" s="70" t="s">
        <v>2487</v>
      </c>
      <c r="E1084" s="70" t="s">
        <v>2488</v>
      </c>
      <c r="F1084" s="70" t="s">
        <v>2489</v>
      </c>
      <c r="G1084" s="70" t="s">
        <v>2490</v>
      </c>
      <c r="H1084" s="70" t="s">
        <v>2491</v>
      </c>
      <c r="I1084" s="72">
        <v>50.81</v>
      </c>
      <c r="J1084" s="70" t="s">
        <v>58</v>
      </c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  <c r="AB1084" s="65"/>
      <c r="AC1084" s="65"/>
    </row>
    <row r="1085">
      <c r="A1085" s="72">
        <v>702.0</v>
      </c>
      <c r="B1085" s="67" t="s">
        <v>2492</v>
      </c>
      <c r="C1085" s="70" t="s">
        <v>56</v>
      </c>
      <c r="D1085" s="70" t="s">
        <v>502</v>
      </c>
      <c r="E1085" s="70" t="s">
        <v>2493</v>
      </c>
      <c r="F1085" s="73"/>
      <c r="G1085" s="70" t="s">
        <v>2494</v>
      </c>
      <c r="H1085" s="70" t="s">
        <v>2495</v>
      </c>
      <c r="I1085" s="72">
        <v>68.88</v>
      </c>
      <c r="J1085" s="70" t="s">
        <v>58</v>
      </c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65"/>
      <c r="Z1085" s="65"/>
      <c r="AA1085" s="65"/>
      <c r="AB1085" s="65"/>
      <c r="AC1085" s="65"/>
    </row>
    <row r="1086">
      <c r="A1086" s="72">
        <v>701.0</v>
      </c>
      <c r="B1086" s="67" t="s">
        <v>2496</v>
      </c>
      <c r="C1086" s="70" t="s">
        <v>56</v>
      </c>
      <c r="D1086" s="70" t="s">
        <v>320</v>
      </c>
      <c r="E1086" s="70" t="s">
        <v>2497</v>
      </c>
      <c r="F1086" s="73"/>
      <c r="G1086" s="70" t="s">
        <v>674</v>
      </c>
      <c r="H1086" s="70" t="s">
        <v>2498</v>
      </c>
      <c r="I1086" s="72">
        <v>75.45</v>
      </c>
      <c r="J1086" s="70" t="s">
        <v>58</v>
      </c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  <c r="AB1086" s="65"/>
      <c r="AC1086" s="65"/>
    </row>
    <row r="1087">
      <c r="A1087" s="72">
        <v>700.0</v>
      </c>
      <c r="B1087" s="67" t="s">
        <v>2499</v>
      </c>
      <c r="C1087" s="70" t="s">
        <v>69</v>
      </c>
      <c r="D1087" s="70" t="s">
        <v>320</v>
      </c>
      <c r="E1087" s="70" t="s">
        <v>2500</v>
      </c>
      <c r="F1087" s="73"/>
      <c r="G1087" s="70" t="s">
        <v>1066</v>
      </c>
      <c r="H1087" s="70" t="s">
        <v>1066</v>
      </c>
      <c r="I1087" s="72">
        <v>73.44</v>
      </c>
      <c r="J1087" s="70" t="s">
        <v>58</v>
      </c>
      <c r="K1087" s="65"/>
      <c r="L1087" s="65"/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  <c r="X1087" s="65"/>
      <c r="Y1087" s="65"/>
      <c r="Z1087" s="65"/>
      <c r="AA1087" s="65"/>
      <c r="AB1087" s="65"/>
      <c r="AC1087" s="65"/>
    </row>
    <row r="1088">
      <c r="A1088" s="72">
        <v>699.0</v>
      </c>
      <c r="B1088" s="67" t="s">
        <v>2501</v>
      </c>
      <c r="C1088" s="70" t="s">
        <v>60</v>
      </c>
      <c r="D1088" s="70" t="s">
        <v>2382</v>
      </c>
      <c r="E1088" s="75" t="s">
        <v>2502</v>
      </c>
      <c r="F1088" s="73"/>
      <c r="G1088" s="73"/>
      <c r="H1088" s="70" t="s">
        <v>2503</v>
      </c>
      <c r="I1088" s="72">
        <v>42.62</v>
      </c>
      <c r="J1088" s="70" t="s">
        <v>58</v>
      </c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  <c r="AB1088" s="65"/>
      <c r="AC1088" s="65"/>
    </row>
    <row r="1089">
      <c r="A1089" s="72">
        <v>698.0</v>
      </c>
      <c r="B1089" s="67" t="s">
        <v>2504</v>
      </c>
      <c r="C1089" s="70" t="s">
        <v>56</v>
      </c>
      <c r="D1089" s="75" t="s">
        <v>2505</v>
      </c>
      <c r="E1089" s="76" t="s">
        <v>2506</v>
      </c>
      <c r="F1089" s="70" t="s">
        <v>2507</v>
      </c>
      <c r="G1089" s="70" t="s">
        <v>2508</v>
      </c>
      <c r="H1089" s="70" t="s">
        <v>2509</v>
      </c>
      <c r="I1089" s="72">
        <v>45.75</v>
      </c>
      <c r="J1089" s="70" t="s">
        <v>58</v>
      </c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65"/>
      <c r="Z1089" s="65"/>
      <c r="AA1089" s="65"/>
      <c r="AB1089" s="65"/>
      <c r="AC1089" s="65"/>
    </row>
    <row r="1090">
      <c r="A1090" s="72">
        <v>697.0</v>
      </c>
      <c r="B1090" s="67" t="s">
        <v>2510</v>
      </c>
      <c r="C1090" s="75" t="s">
        <v>69</v>
      </c>
      <c r="D1090" s="76" t="s">
        <v>93</v>
      </c>
      <c r="E1090" s="76" t="s">
        <v>2511</v>
      </c>
      <c r="F1090" s="70" t="s">
        <v>2512</v>
      </c>
      <c r="G1090" s="70" t="s">
        <v>2513</v>
      </c>
      <c r="H1090" s="70" t="s">
        <v>2514</v>
      </c>
      <c r="I1090" s="72">
        <v>54.47</v>
      </c>
      <c r="J1090" s="70" t="s">
        <v>58</v>
      </c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  <c r="AB1090" s="65"/>
      <c r="AC1090" s="65"/>
    </row>
    <row r="1091">
      <c r="A1091" s="72">
        <v>696.0</v>
      </c>
      <c r="B1091" s="67" t="s">
        <v>2515</v>
      </c>
      <c r="C1091" s="70" t="s">
        <v>69</v>
      </c>
      <c r="D1091" s="70" t="s">
        <v>70</v>
      </c>
      <c r="E1091" s="70" t="s">
        <v>2516</v>
      </c>
      <c r="F1091" s="70" t="s">
        <v>2517</v>
      </c>
      <c r="G1091" s="70" t="s">
        <v>2517</v>
      </c>
      <c r="H1091" s="70" t="s">
        <v>2518</v>
      </c>
      <c r="I1091" s="72">
        <v>57.98</v>
      </c>
      <c r="J1091" s="70" t="s">
        <v>58</v>
      </c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65"/>
      <c r="Z1091" s="65"/>
      <c r="AA1091" s="65"/>
      <c r="AB1091" s="65"/>
      <c r="AC1091" s="65"/>
    </row>
    <row r="1092">
      <c r="A1092" s="72">
        <v>695.0</v>
      </c>
      <c r="B1092" s="67" t="s">
        <v>2519</v>
      </c>
      <c r="C1092" s="70" t="s">
        <v>56</v>
      </c>
      <c r="D1092" s="70" t="s">
        <v>2520</v>
      </c>
      <c r="E1092" s="70" t="s">
        <v>2521</v>
      </c>
      <c r="F1092" s="70" t="s">
        <v>2522</v>
      </c>
      <c r="G1092" s="70" t="s">
        <v>2523</v>
      </c>
      <c r="H1092" s="70" t="s">
        <v>2524</v>
      </c>
      <c r="I1092" s="72">
        <v>64.92</v>
      </c>
      <c r="J1092" s="70" t="s">
        <v>58</v>
      </c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  <c r="AB1092" s="65"/>
      <c r="AC1092" s="65"/>
    </row>
    <row r="1093">
      <c r="A1093" s="72">
        <v>694.0</v>
      </c>
      <c r="B1093" s="67" t="s">
        <v>2525</v>
      </c>
      <c r="C1093" s="70" t="s">
        <v>56</v>
      </c>
      <c r="D1093" s="70" t="s">
        <v>2526</v>
      </c>
      <c r="E1093" s="70" t="s">
        <v>2527</v>
      </c>
      <c r="F1093" s="70" t="s">
        <v>739</v>
      </c>
      <c r="G1093" s="70" t="s">
        <v>2528</v>
      </c>
      <c r="H1093" s="70" t="s">
        <v>2529</v>
      </c>
      <c r="I1093" s="72">
        <v>57.94</v>
      </c>
      <c r="J1093" s="70" t="s">
        <v>58</v>
      </c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65"/>
      <c r="Z1093" s="65"/>
      <c r="AA1093" s="65"/>
      <c r="AB1093" s="65"/>
      <c r="AC1093" s="65"/>
    </row>
    <row r="1094">
      <c r="A1094" s="72">
        <v>693.0</v>
      </c>
      <c r="B1094" s="67" t="s">
        <v>2530</v>
      </c>
      <c r="C1094" s="70" t="s">
        <v>69</v>
      </c>
      <c r="D1094" s="70" t="s">
        <v>182</v>
      </c>
      <c r="E1094" s="70" t="s">
        <v>1613</v>
      </c>
      <c r="F1094" s="73"/>
      <c r="G1094" s="73"/>
      <c r="H1094" s="70" t="s">
        <v>1613</v>
      </c>
      <c r="I1094" s="72">
        <v>59.93</v>
      </c>
      <c r="J1094" s="70" t="s">
        <v>58</v>
      </c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  <c r="X1094" s="65"/>
      <c r="Y1094" s="65"/>
      <c r="Z1094" s="65"/>
      <c r="AA1094" s="65"/>
      <c r="AB1094" s="65"/>
      <c r="AC1094" s="65"/>
    </row>
    <row r="1095">
      <c r="A1095" s="72">
        <v>692.0</v>
      </c>
      <c r="B1095" s="67" t="s">
        <v>2531</v>
      </c>
      <c r="C1095" s="70" t="s">
        <v>56</v>
      </c>
      <c r="D1095" s="70" t="s">
        <v>2532</v>
      </c>
      <c r="E1095" s="70" t="s">
        <v>2533</v>
      </c>
      <c r="F1095" s="70" t="s">
        <v>2534</v>
      </c>
      <c r="G1095" s="70" t="s">
        <v>2535</v>
      </c>
      <c r="H1095" s="70" t="s">
        <v>2536</v>
      </c>
      <c r="I1095" s="72">
        <v>53.17</v>
      </c>
      <c r="J1095" s="70" t="s">
        <v>58</v>
      </c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  <c r="X1095" s="65"/>
      <c r="Y1095" s="65"/>
      <c r="Z1095" s="65"/>
      <c r="AA1095" s="65"/>
      <c r="AB1095" s="65"/>
      <c r="AC1095" s="65"/>
    </row>
    <row r="1096">
      <c r="A1096" s="72">
        <v>691.0</v>
      </c>
      <c r="B1096" s="67" t="s">
        <v>2537</v>
      </c>
      <c r="C1096" s="70" t="s">
        <v>60</v>
      </c>
      <c r="D1096" s="70" t="s">
        <v>322</v>
      </c>
      <c r="E1096" s="70" t="s">
        <v>2538</v>
      </c>
      <c r="F1096" s="70" t="s">
        <v>71</v>
      </c>
      <c r="G1096" s="70" t="s">
        <v>71</v>
      </c>
      <c r="H1096" s="70" t="s">
        <v>2538</v>
      </c>
      <c r="I1096" s="72">
        <v>44.85</v>
      </c>
      <c r="J1096" s="70" t="s">
        <v>58</v>
      </c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  <c r="AB1096" s="65"/>
      <c r="AC1096" s="65"/>
    </row>
    <row r="1097">
      <c r="A1097" s="72">
        <v>690.0</v>
      </c>
      <c r="B1097" s="67" t="s">
        <v>2539</v>
      </c>
      <c r="C1097" s="70" t="s">
        <v>69</v>
      </c>
      <c r="D1097" s="70" t="s">
        <v>2526</v>
      </c>
      <c r="E1097" s="70" t="s">
        <v>2540</v>
      </c>
      <c r="F1097" s="70" t="s">
        <v>242</v>
      </c>
      <c r="G1097" s="70" t="s">
        <v>2541</v>
      </c>
      <c r="H1097" s="70" t="s">
        <v>2542</v>
      </c>
      <c r="I1097" s="72">
        <v>58.86</v>
      </c>
      <c r="J1097" s="70" t="s">
        <v>58</v>
      </c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  <c r="X1097" s="65"/>
      <c r="Y1097" s="65"/>
      <c r="Z1097" s="65"/>
      <c r="AA1097" s="65"/>
      <c r="AB1097" s="65"/>
      <c r="AC1097" s="65"/>
    </row>
    <row r="1098">
      <c r="A1098" s="72">
        <v>689.0</v>
      </c>
      <c r="B1098" s="67" t="s">
        <v>2543</v>
      </c>
      <c r="C1098" s="70" t="s">
        <v>60</v>
      </c>
      <c r="D1098" s="70" t="s">
        <v>1069</v>
      </c>
      <c r="E1098" s="70" t="s">
        <v>96</v>
      </c>
      <c r="F1098" s="70" t="s">
        <v>71</v>
      </c>
      <c r="G1098" s="70" t="s">
        <v>612</v>
      </c>
      <c r="H1098" s="70" t="s">
        <v>612</v>
      </c>
      <c r="I1098" s="72">
        <v>47.24</v>
      </c>
      <c r="J1098" s="70" t="s">
        <v>58</v>
      </c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  <c r="AB1098" s="65"/>
      <c r="AC1098" s="65"/>
    </row>
    <row r="1099">
      <c r="A1099" s="72">
        <v>688.0</v>
      </c>
      <c r="B1099" s="67" t="s">
        <v>2544</v>
      </c>
      <c r="C1099" s="70" t="s">
        <v>56</v>
      </c>
      <c r="D1099" s="70" t="s">
        <v>76</v>
      </c>
      <c r="E1099" s="70" t="s">
        <v>2545</v>
      </c>
      <c r="F1099" s="70" t="s">
        <v>2546</v>
      </c>
      <c r="G1099" s="70" t="s">
        <v>2547</v>
      </c>
      <c r="H1099" s="70" t="s">
        <v>2548</v>
      </c>
      <c r="I1099" s="72">
        <v>50.19</v>
      </c>
      <c r="J1099" s="70" t="s">
        <v>58</v>
      </c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  <c r="X1099" s="65"/>
      <c r="Y1099" s="65"/>
      <c r="Z1099" s="65"/>
      <c r="AA1099" s="65"/>
      <c r="AB1099" s="65"/>
      <c r="AC1099" s="65"/>
    </row>
    <row r="1100">
      <c r="A1100" s="72">
        <v>687.0</v>
      </c>
      <c r="B1100" s="67" t="s">
        <v>2549</v>
      </c>
      <c r="C1100" s="70" t="s">
        <v>56</v>
      </c>
      <c r="D1100" s="70" t="s">
        <v>1970</v>
      </c>
      <c r="E1100" s="70" t="s">
        <v>2550</v>
      </c>
      <c r="F1100" s="70" t="s">
        <v>635</v>
      </c>
      <c r="G1100" s="70" t="s">
        <v>635</v>
      </c>
      <c r="H1100" s="70" t="s">
        <v>2551</v>
      </c>
      <c r="I1100" s="72">
        <v>37.36</v>
      </c>
      <c r="J1100" s="70" t="s">
        <v>58</v>
      </c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  <c r="AB1100" s="65"/>
      <c r="AC1100" s="65"/>
    </row>
    <row r="1101">
      <c r="A1101" s="72">
        <v>686.0</v>
      </c>
      <c r="B1101" s="67" t="s">
        <v>2552</v>
      </c>
      <c r="C1101" s="70" t="s">
        <v>56</v>
      </c>
      <c r="D1101" s="70" t="s">
        <v>70</v>
      </c>
      <c r="E1101" s="70" t="s">
        <v>2553</v>
      </c>
      <c r="F1101" s="73"/>
      <c r="G1101" s="70" t="s">
        <v>1135</v>
      </c>
      <c r="H1101" s="70" t="s">
        <v>1135</v>
      </c>
      <c r="I1101" s="72">
        <v>32.85</v>
      </c>
      <c r="J1101" s="70" t="s">
        <v>58</v>
      </c>
      <c r="K1101" s="65"/>
      <c r="L1101" s="65"/>
      <c r="M1101" s="65"/>
      <c r="N1101" s="65"/>
      <c r="O1101" s="65"/>
      <c r="P1101" s="65"/>
      <c r="Q1101" s="65"/>
      <c r="R1101" s="65"/>
      <c r="S1101" s="65"/>
      <c r="T1101" s="65"/>
      <c r="U1101" s="65"/>
      <c r="V1101" s="65"/>
      <c r="W1101" s="65"/>
      <c r="X1101" s="65"/>
      <c r="Y1101" s="65"/>
      <c r="Z1101" s="65"/>
      <c r="AA1101" s="65"/>
      <c r="AB1101" s="65"/>
      <c r="AC1101" s="65"/>
    </row>
    <row r="1102">
      <c r="A1102" s="72">
        <v>685.0</v>
      </c>
      <c r="B1102" s="67" t="s">
        <v>2554</v>
      </c>
      <c r="C1102" s="70" t="s">
        <v>60</v>
      </c>
      <c r="D1102" s="70" t="s">
        <v>2555</v>
      </c>
      <c r="E1102" s="70" t="s">
        <v>980</v>
      </c>
      <c r="F1102" s="70" t="s">
        <v>64</v>
      </c>
      <c r="G1102" s="70" t="s">
        <v>64</v>
      </c>
      <c r="H1102" s="70" t="s">
        <v>2556</v>
      </c>
      <c r="I1102" s="72">
        <v>33.03</v>
      </c>
      <c r="J1102" s="70" t="s">
        <v>58</v>
      </c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  <c r="Z1102" s="65"/>
      <c r="AA1102" s="65"/>
      <c r="AB1102" s="65"/>
      <c r="AC1102" s="65"/>
    </row>
    <row r="1103">
      <c r="A1103" s="72">
        <v>684.0</v>
      </c>
      <c r="B1103" s="67" t="s">
        <v>2557</v>
      </c>
      <c r="C1103" s="70" t="s">
        <v>56</v>
      </c>
      <c r="D1103" s="70" t="s">
        <v>2558</v>
      </c>
      <c r="E1103" s="70" t="s">
        <v>87</v>
      </c>
      <c r="F1103" s="70" t="s">
        <v>64</v>
      </c>
      <c r="G1103" s="70" t="s">
        <v>64</v>
      </c>
      <c r="H1103" s="70" t="s">
        <v>112</v>
      </c>
      <c r="I1103" s="72">
        <v>59.05</v>
      </c>
      <c r="J1103" s="70" t="s">
        <v>58</v>
      </c>
      <c r="K1103" s="65"/>
      <c r="L1103" s="65"/>
      <c r="M1103" s="65"/>
      <c r="N1103" s="65"/>
      <c r="O1103" s="65"/>
      <c r="P1103" s="65"/>
      <c r="Q1103" s="65"/>
      <c r="R1103" s="65"/>
      <c r="S1103" s="65"/>
      <c r="T1103" s="65"/>
      <c r="U1103" s="65"/>
      <c r="V1103" s="65"/>
      <c r="W1103" s="65"/>
      <c r="X1103" s="65"/>
      <c r="Y1103" s="65"/>
      <c r="Z1103" s="65"/>
      <c r="AA1103" s="65"/>
      <c r="AB1103" s="65"/>
      <c r="AC1103" s="65"/>
    </row>
    <row r="1104">
      <c r="A1104" s="72">
        <v>683.0</v>
      </c>
      <c r="B1104" s="67" t="s">
        <v>2559</v>
      </c>
      <c r="C1104" s="70" t="s">
        <v>60</v>
      </c>
      <c r="D1104" s="70" t="s">
        <v>433</v>
      </c>
      <c r="E1104" s="75" t="s">
        <v>87</v>
      </c>
      <c r="F1104" s="73"/>
      <c r="G1104" s="73"/>
      <c r="H1104" s="70" t="s">
        <v>28</v>
      </c>
      <c r="I1104" s="72">
        <v>36.07</v>
      </c>
      <c r="J1104" s="70" t="s">
        <v>58</v>
      </c>
      <c r="K1104" s="65"/>
      <c r="L1104" s="65"/>
      <c r="M1104" s="65"/>
      <c r="N1104" s="65"/>
      <c r="O1104" s="65"/>
      <c r="P1104" s="65"/>
      <c r="Q1104" s="65"/>
      <c r="R1104" s="65"/>
      <c r="S1104" s="65"/>
      <c r="T1104" s="65"/>
      <c r="U1104" s="65"/>
      <c r="V1104" s="65"/>
      <c r="W1104" s="65"/>
      <c r="X1104" s="65"/>
      <c r="Y1104" s="65"/>
      <c r="Z1104" s="65"/>
      <c r="AA1104" s="65"/>
      <c r="AB1104" s="65"/>
      <c r="AC1104" s="65"/>
    </row>
    <row r="1105">
      <c r="A1105" s="72">
        <v>682.0</v>
      </c>
      <c r="B1105" s="67" t="s">
        <v>2560</v>
      </c>
      <c r="C1105" s="70" t="s">
        <v>69</v>
      </c>
      <c r="D1105" s="75" t="s">
        <v>240</v>
      </c>
      <c r="E1105" s="76" t="s">
        <v>112</v>
      </c>
      <c r="F1105" s="70" t="s">
        <v>64</v>
      </c>
      <c r="G1105" s="70" t="s">
        <v>112</v>
      </c>
      <c r="H1105" s="70" t="s">
        <v>112</v>
      </c>
      <c r="I1105" s="72">
        <v>67.2</v>
      </c>
      <c r="J1105" s="70" t="s">
        <v>58</v>
      </c>
      <c r="K1105" s="65"/>
      <c r="L1105" s="65"/>
      <c r="M1105" s="65"/>
      <c r="N1105" s="65"/>
      <c r="O1105" s="65"/>
      <c r="P1105" s="65"/>
      <c r="Q1105" s="65"/>
      <c r="R1105" s="65"/>
      <c r="S1105" s="65"/>
      <c r="T1105" s="65"/>
      <c r="U1105" s="65"/>
      <c r="V1105" s="65"/>
      <c r="W1105" s="65"/>
      <c r="X1105" s="65"/>
      <c r="Y1105" s="65"/>
      <c r="Z1105" s="65"/>
      <c r="AA1105" s="65"/>
      <c r="AB1105" s="65"/>
      <c r="AC1105" s="65"/>
    </row>
    <row r="1106">
      <c r="A1106" s="72">
        <v>681.0</v>
      </c>
      <c r="B1106" s="67" t="s">
        <v>2561</v>
      </c>
      <c r="C1106" s="75" t="s">
        <v>56</v>
      </c>
      <c r="D1106" s="76" t="s">
        <v>70</v>
      </c>
      <c r="E1106" s="76" t="s">
        <v>2562</v>
      </c>
      <c r="F1106" s="70" t="s">
        <v>64</v>
      </c>
      <c r="G1106" s="70" t="s">
        <v>2563</v>
      </c>
      <c r="H1106" s="70" t="s">
        <v>2564</v>
      </c>
      <c r="I1106" s="72">
        <v>45.96</v>
      </c>
      <c r="J1106" s="70" t="s">
        <v>58</v>
      </c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  <c r="Z1106" s="65"/>
      <c r="AA1106" s="65"/>
      <c r="AB1106" s="65"/>
      <c r="AC1106" s="65"/>
    </row>
    <row r="1107">
      <c r="A1107" s="72">
        <v>680.0</v>
      </c>
      <c r="B1107" s="67" t="s">
        <v>2565</v>
      </c>
      <c r="C1107" s="70" t="s">
        <v>69</v>
      </c>
      <c r="D1107" s="70" t="s">
        <v>70</v>
      </c>
      <c r="E1107" s="70" t="s">
        <v>2566</v>
      </c>
      <c r="F1107" s="70" t="s">
        <v>2567</v>
      </c>
      <c r="G1107" s="70" t="s">
        <v>2568</v>
      </c>
      <c r="H1107" s="70" t="s">
        <v>2569</v>
      </c>
      <c r="I1107" s="72">
        <v>37.09</v>
      </c>
      <c r="J1107" s="70" t="s">
        <v>58</v>
      </c>
      <c r="K1107" s="65"/>
      <c r="L1107" s="65"/>
      <c r="M1107" s="65"/>
      <c r="N1107" s="65"/>
      <c r="O1107" s="65"/>
      <c r="P1107" s="65"/>
      <c r="Q1107" s="65"/>
      <c r="R1107" s="65"/>
      <c r="S1107" s="65"/>
      <c r="T1107" s="65"/>
      <c r="U1107" s="65"/>
      <c r="V1107" s="65"/>
      <c r="W1107" s="65"/>
      <c r="X1107" s="65"/>
      <c r="Y1107" s="65"/>
      <c r="Z1107" s="65"/>
      <c r="AA1107" s="65"/>
      <c r="AB1107" s="65"/>
      <c r="AC1107" s="65"/>
    </row>
    <row r="1108">
      <c r="A1108" s="72">
        <v>679.0</v>
      </c>
      <c r="B1108" s="67" t="s">
        <v>2570</v>
      </c>
      <c r="C1108" s="70" t="s">
        <v>60</v>
      </c>
      <c r="D1108" s="70" t="s">
        <v>506</v>
      </c>
      <c r="E1108" s="70" t="s">
        <v>2571</v>
      </c>
      <c r="F1108" s="70" t="s">
        <v>64</v>
      </c>
      <c r="G1108" s="70" t="s">
        <v>2572</v>
      </c>
      <c r="H1108" s="70" t="s">
        <v>2573</v>
      </c>
      <c r="I1108" s="72">
        <v>47.25</v>
      </c>
      <c r="J1108" s="70" t="s">
        <v>58</v>
      </c>
      <c r="K1108" s="65"/>
      <c r="L1108" s="65"/>
      <c r="M1108" s="65"/>
      <c r="N1108" s="65"/>
      <c r="O1108" s="65"/>
      <c r="P1108" s="65"/>
      <c r="Q1108" s="65"/>
      <c r="R1108" s="65"/>
      <c r="S1108" s="65"/>
      <c r="T1108" s="65"/>
      <c r="U1108" s="65"/>
      <c r="V1108" s="65"/>
      <c r="W1108" s="65"/>
      <c r="X1108" s="65"/>
      <c r="Y1108" s="65"/>
      <c r="Z1108" s="65"/>
      <c r="AA1108" s="65"/>
      <c r="AB1108" s="65"/>
      <c r="AC1108" s="65"/>
    </row>
    <row r="1109">
      <c r="A1109" s="72">
        <v>678.0</v>
      </c>
      <c r="B1109" s="67" t="s">
        <v>2574</v>
      </c>
      <c r="C1109" s="70" t="s">
        <v>56</v>
      </c>
      <c r="D1109" s="70" t="s">
        <v>70</v>
      </c>
      <c r="E1109" s="70" t="s">
        <v>2575</v>
      </c>
      <c r="F1109" s="70" t="s">
        <v>2576</v>
      </c>
      <c r="G1109" s="70" t="s">
        <v>2577</v>
      </c>
      <c r="H1109" s="70" t="s">
        <v>2578</v>
      </c>
      <c r="I1109" s="72">
        <v>31.71</v>
      </c>
      <c r="J1109" s="70" t="s">
        <v>58</v>
      </c>
      <c r="K1109" s="65"/>
      <c r="L1109" s="65"/>
      <c r="M1109" s="65"/>
      <c r="N1109" s="65"/>
      <c r="O1109" s="65"/>
      <c r="P1109" s="65"/>
      <c r="Q1109" s="65"/>
      <c r="R1109" s="65"/>
      <c r="S1109" s="65"/>
      <c r="T1109" s="65"/>
      <c r="U1109" s="65"/>
      <c r="V1109" s="65"/>
      <c r="W1109" s="65"/>
      <c r="X1109" s="65"/>
      <c r="Y1109" s="65"/>
      <c r="Z1109" s="65"/>
      <c r="AA1109" s="65"/>
      <c r="AB1109" s="65"/>
      <c r="AC1109" s="65"/>
    </row>
    <row r="1110">
      <c r="A1110" s="72">
        <v>677.0</v>
      </c>
      <c r="B1110" s="67" t="s">
        <v>2579</v>
      </c>
      <c r="C1110" s="70" t="s">
        <v>56</v>
      </c>
      <c r="D1110" s="70" t="s">
        <v>1606</v>
      </c>
      <c r="E1110" s="70" t="s">
        <v>311</v>
      </c>
      <c r="F1110" s="73"/>
      <c r="G1110" s="73"/>
      <c r="H1110" s="70" t="s">
        <v>311</v>
      </c>
      <c r="I1110" s="72">
        <v>54.02</v>
      </c>
      <c r="J1110" s="70" t="s">
        <v>58</v>
      </c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  <c r="Z1110" s="65"/>
      <c r="AA1110" s="65"/>
      <c r="AB1110" s="65"/>
      <c r="AC1110" s="65"/>
    </row>
    <row r="1111">
      <c r="A1111" s="72">
        <v>676.0</v>
      </c>
      <c r="B1111" s="67" t="s">
        <v>2580</v>
      </c>
      <c r="C1111" s="70" t="s">
        <v>56</v>
      </c>
      <c r="D1111" s="70" t="s">
        <v>2426</v>
      </c>
      <c r="E1111" s="75" t="s">
        <v>2581</v>
      </c>
      <c r="F1111" s="73"/>
      <c r="G1111" s="70" t="s">
        <v>1308</v>
      </c>
      <c r="H1111" s="70" t="s">
        <v>1546</v>
      </c>
      <c r="I1111" s="72">
        <v>55.31</v>
      </c>
      <c r="J1111" s="70" t="s">
        <v>58</v>
      </c>
      <c r="K1111" s="65"/>
      <c r="L1111" s="65"/>
      <c r="M1111" s="65"/>
      <c r="N1111" s="65"/>
      <c r="O1111" s="65"/>
      <c r="P1111" s="65"/>
      <c r="Q1111" s="65"/>
      <c r="R1111" s="65"/>
      <c r="S1111" s="65"/>
      <c r="T1111" s="65"/>
      <c r="U1111" s="65"/>
      <c r="V1111" s="65"/>
      <c r="W1111" s="65"/>
      <c r="X1111" s="65"/>
      <c r="Y1111" s="65"/>
      <c r="Z1111" s="65"/>
      <c r="AA1111" s="65"/>
      <c r="AB1111" s="65"/>
      <c r="AC1111" s="65"/>
    </row>
    <row r="1112">
      <c r="A1112" s="72">
        <v>675.0</v>
      </c>
      <c r="B1112" s="67" t="s">
        <v>2582</v>
      </c>
      <c r="C1112" s="70" t="s">
        <v>60</v>
      </c>
      <c r="D1112" s="75" t="s">
        <v>852</v>
      </c>
      <c r="E1112" s="76" t="s">
        <v>2583</v>
      </c>
      <c r="F1112" s="70" t="s">
        <v>579</v>
      </c>
      <c r="G1112" s="70" t="s">
        <v>2584</v>
      </c>
      <c r="H1112" s="70" t="s">
        <v>2585</v>
      </c>
      <c r="I1112" s="72">
        <v>35.4</v>
      </c>
      <c r="J1112" s="70" t="s">
        <v>58</v>
      </c>
      <c r="K1112" s="65"/>
      <c r="L1112" s="65"/>
      <c r="M1112" s="65"/>
      <c r="N1112" s="65"/>
      <c r="O1112" s="65"/>
      <c r="P1112" s="65"/>
      <c r="Q1112" s="65"/>
      <c r="R1112" s="65"/>
      <c r="S1112" s="65"/>
      <c r="T1112" s="65"/>
      <c r="U1112" s="65"/>
      <c r="V1112" s="65"/>
      <c r="W1112" s="65"/>
      <c r="X1112" s="65"/>
      <c r="Y1112" s="65"/>
      <c r="Z1112" s="65"/>
      <c r="AA1112" s="65"/>
      <c r="AB1112" s="65"/>
      <c r="AC1112" s="65"/>
    </row>
    <row r="1113">
      <c r="A1113" s="72">
        <v>674.0</v>
      </c>
      <c r="B1113" s="67" t="s">
        <v>2586</v>
      </c>
      <c r="C1113" s="75" t="s">
        <v>69</v>
      </c>
      <c r="D1113" s="76" t="s">
        <v>93</v>
      </c>
      <c r="E1113" s="76" t="s">
        <v>1168</v>
      </c>
      <c r="F1113" s="70" t="s">
        <v>64</v>
      </c>
      <c r="G1113" s="70" t="s">
        <v>800</v>
      </c>
      <c r="H1113" s="70" t="s">
        <v>2587</v>
      </c>
      <c r="I1113" s="72">
        <v>45.99</v>
      </c>
      <c r="J1113" s="70" t="s">
        <v>58</v>
      </c>
      <c r="K1113" s="65"/>
      <c r="L1113" s="65"/>
      <c r="M1113" s="65"/>
      <c r="N1113" s="65"/>
      <c r="O1113" s="65"/>
      <c r="P1113" s="65"/>
      <c r="Q1113" s="65"/>
      <c r="R1113" s="65"/>
      <c r="S1113" s="65"/>
      <c r="T1113" s="65"/>
      <c r="U1113" s="65"/>
      <c r="V1113" s="65"/>
      <c r="W1113" s="65"/>
      <c r="X1113" s="65"/>
      <c r="Y1113" s="65"/>
      <c r="Z1113" s="65"/>
      <c r="AA1113" s="65"/>
      <c r="AB1113" s="65"/>
      <c r="AC1113" s="65"/>
    </row>
    <row r="1114">
      <c r="A1114" s="72">
        <v>673.0</v>
      </c>
      <c r="B1114" s="67" t="s">
        <v>2588</v>
      </c>
      <c r="C1114" s="70" t="s">
        <v>56</v>
      </c>
      <c r="D1114" s="70" t="s">
        <v>76</v>
      </c>
      <c r="E1114" s="70" t="s">
        <v>2589</v>
      </c>
      <c r="F1114" s="73"/>
      <c r="G1114" s="73"/>
      <c r="H1114" s="70" t="s">
        <v>1092</v>
      </c>
      <c r="I1114" s="72">
        <v>38.56</v>
      </c>
      <c r="J1114" s="70" t="s">
        <v>58</v>
      </c>
      <c r="K1114" s="65"/>
      <c r="L1114" s="65"/>
      <c r="M1114" s="65"/>
      <c r="N1114" s="65"/>
      <c r="O1114" s="65"/>
      <c r="P1114" s="65"/>
      <c r="Q1114" s="65"/>
      <c r="R1114" s="65"/>
      <c r="S1114" s="65"/>
      <c r="T1114" s="65"/>
      <c r="U1114" s="65"/>
      <c r="V1114" s="65"/>
      <c r="W1114" s="65"/>
      <c r="X1114" s="65"/>
      <c r="Y1114" s="65"/>
      <c r="Z1114" s="65"/>
      <c r="AA1114" s="65"/>
      <c r="AB1114" s="65"/>
      <c r="AC1114" s="65"/>
    </row>
    <row r="1115">
      <c r="A1115" s="72">
        <v>672.0</v>
      </c>
      <c r="B1115" s="67" t="s">
        <v>2590</v>
      </c>
      <c r="C1115" s="70" t="s">
        <v>56</v>
      </c>
      <c r="D1115" s="70" t="s">
        <v>99</v>
      </c>
      <c r="E1115" s="70" t="s">
        <v>67</v>
      </c>
      <c r="F1115" s="73"/>
      <c r="G1115" s="73"/>
      <c r="H1115" s="70" t="s">
        <v>67</v>
      </c>
      <c r="I1115" s="72">
        <v>51.14</v>
      </c>
      <c r="J1115" s="70" t="s">
        <v>58</v>
      </c>
      <c r="K1115" s="65"/>
      <c r="L1115" s="65"/>
      <c r="M1115" s="65"/>
      <c r="N1115" s="65"/>
      <c r="O1115" s="65"/>
      <c r="P1115" s="65"/>
      <c r="Q1115" s="65"/>
      <c r="R1115" s="65"/>
      <c r="S1115" s="65"/>
      <c r="T1115" s="65"/>
      <c r="U1115" s="65"/>
      <c r="V1115" s="65"/>
      <c r="W1115" s="65"/>
      <c r="X1115" s="65"/>
      <c r="Y1115" s="65"/>
      <c r="Z1115" s="65"/>
      <c r="AA1115" s="65"/>
      <c r="AB1115" s="65"/>
      <c r="AC1115" s="65"/>
    </row>
    <row r="1116">
      <c r="A1116" s="72">
        <v>671.0</v>
      </c>
      <c r="B1116" s="67" t="s">
        <v>2591</v>
      </c>
      <c r="C1116" s="70" t="s">
        <v>69</v>
      </c>
      <c r="D1116" s="70" t="s">
        <v>320</v>
      </c>
      <c r="E1116" s="70" t="s">
        <v>2592</v>
      </c>
      <c r="F1116" s="70" t="s">
        <v>2593</v>
      </c>
      <c r="G1116" s="70" t="s">
        <v>2594</v>
      </c>
      <c r="H1116" s="70" t="s">
        <v>2595</v>
      </c>
      <c r="I1116" s="72">
        <v>42.8</v>
      </c>
      <c r="J1116" s="70" t="s">
        <v>58</v>
      </c>
      <c r="K1116" s="65"/>
      <c r="L1116" s="65"/>
      <c r="M1116" s="65"/>
      <c r="N1116" s="65"/>
      <c r="O1116" s="65"/>
      <c r="P1116" s="65"/>
      <c r="Q1116" s="65"/>
      <c r="R1116" s="65"/>
      <c r="S1116" s="65"/>
      <c r="T1116" s="65"/>
      <c r="U1116" s="65"/>
      <c r="V1116" s="65"/>
      <c r="W1116" s="65"/>
      <c r="X1116" s="65"/>
      <c r="Y1116" s="65"/>
      <c r="Z1116" s="65"/>
      <c r="AA1116" s="65"/>
      <c r="AB1116" s="65"/>
      <c r="AC1116" s="65"/>
    </row>
    <row r="1117">
      <c r="A1117" s="72">
        <v>670.0</v>
      </c>
      <c r="B1117" s="67" t="s">
        <v>2596</v>
      </c>
      <c r="C1117" s="70" t="s">
        <v>56</v>
      </c>
      <c r="D1117" s="70" t="s">
        <v>564</v>
      </c>
      <c r="E1117" s="70" t="s">
        <v>2597</v>
      </c>
      <c r="F1117" s="70" t="s">
        <v>800</v>
      </c>
      <c r="G1117" s="70" t="s">
        <v>2598</v>
      </c>
      <c r="H1117" s="70" t="s">
        <v>2599</v>
      </c>
      <c r="I1117" s="72">
        <v>45.21</v>
      </c>
      <c r="J1117" s="70" t="s">
        <v>58</v>
      </c>
      <c r="K1117" s="65"/>
      <c r="L1117" s="65"/>
      <c r="M1117" s="65"/>
      <c r="N1117" s="65"/>
      <c r="O1117" s="65"/>
      <c r="P1117" s="65"/>
      <c r="Q1117" s="65"/>
      <c r="R1117" s="65"/>
      <c r="S1117" s="65"/>
      <c r="T1117" s="65"/>
      <c r="U1117" s="65"/>
      <c r="V1117" s="65"/>
      <c r="W1117" s="65"/>
      <c r="X1117" s="65"/>
      <c r="Y1117" s="65"/>
      <c r="Z1117" s="65"/>
      <c r="AA1117" s="65"/>
      <c r="AB1117" s="65"/>
      <c r="AC1117" s="65"/>
    </row>
    <row r="1118">
      <c r="A1118" s="72">
        <v>669.0</v>
      </c>
      <c r="B1118" s="67" t="s">
        <v>2600</v>
      </c>
      <c r="C1118" s="70" t="s">
        <v>56</v>
      </c>
      <c r="D1118" s="70" t="s">
        <v>1970</v>
      </c>
      <c r="E1118" s="70" t="s">
        <v>2601</v>
      </c>
      <c r="F1118" s="73"/>
      <c r="G1118" s="70" t="s">
        <v>2602</v>
      </c>
      <c r="H1118" s="70" t="s">
        <v>2603</v>
      </c>
      <c r="I1118" s="72">
        <v>64.36</v>
      </c>
      <c r="J1118" s="70" t="s">
        <v>58</v>
      </c>
      <c r="K1118" s="65"/>
      <c r="L1118" s="65"/>
      <c r="M1118" s="65"/>
      <c r="N1118" s="65"/>
      <c r="O1118" s="65"/>
      <c r="P1118" s="65"/>
      <c r="Q1118" s="65"/>
      <c r="R1118" s="65"/>
      <c r="S1118" s="65"/>
      <c r="T1118" s="65"/>
      <c r="U1118" s="65"/>
      <c r="V1118" s="65"/>
      <c r="W1118" s="65"/>
      <c r="X1118" s="65"/>
      <c r="Y1118" s="65"/>
      <c r="Z1118" s="65"/>
      <c r="AA1118" s="65"/>
      <c r="AB1118" s="65"/>
      <c r="AC1118" s="65"/>
    </row>
    <row r="1119">
      <c r="A1119" s="72">
        <v>668.0</v>
      </c>
      <c r="B1119" s="67" t="s">
        <v>2604</v>
      </c>
      <c r="C1119" s="70" t="s">
        <v>60</v>
      </c>
      <c r="D1119" s="70" t="s">
        <v>502</v>
      </c>
      <c r="E1119" s="70" t="s">
        <v>853</v>
      </c>
      <c r="F1119" s="73"/>
      <c r="G1119" s="73"/>
      <c r="H1119" s="70" t="s">
        <v>853</v>
      </c>
      <c r="I1119" s="72">
        <v>47.81</v>
      </c>
      <c r="J1119" s="70" t="s">
        <v>58</v>
      </c>
      <c r="K1119" s="65"/>
      <c r="L1119" s="65"/>
      <c r="M1119" s="65"/>
      <c r="N1119" s="65"/>
      <c r="O1119" s="65"/>
      <c r="P1119" s="65"/>
      <c r="Q1119" s="65"/>
      <c r="R1119" s="65"/>
      <c r="S1119" s="65"/>
      <c r="T1119" s="65"/>
      <c r="U1119" s="65"/>
      <c r="V1119" s="65"/>
      <c r="W1119" s="65"/>
      <c r="X1119" s="65"/>
      <c r="Y1119" s="65"/>
      <c r="Z1119" s="65"/>
      <c r="AA1119" s="65"/>
      <c r="AB1119" s="65"/>
      <c r="AC1119" s="65"/>
    </row>
    <row r="1120">
      <c r="A1120" s="72">
        <v>667.0</v>
      </c>
      <c r="B1120" s="67" t="s">
        <v>2605</v>
      </c>
      <c r="C1120" s="70" t="s">
        <v>56</v>
      </c>
      <c r="D1120" s="70" t="s">
        <v>93</v>
      </c>
      <c r="E1120" s="70" t="s">
        <v>28</v>
      </c>
      <c r="F1120" s="73"/>
      <c r="G1120" s="73"/>
      <c r="H1120" s="70" t="s">
        <v>28</v>
      </c>
      <c r="I1120" s="72">
        <v>55.19</v>
      </c>
      <c r="J1120" s="70" t="s">
        <v>58</v>
      </c>
      <c r="K1120" s="65"/>
      <c r="L1120" s="65"/>
      <c r="M1120" s="65"/>
      <c r="N1120" s="65"/>
      <c r="O1120" s="65"/>
      <c r="P1120" s="65"/>
      <c r="Q1120" s="65"/>
      <c r="R1120" s="65"/>
      <c r="S1120" s="65"/>
      <c r="T1120" s="65"/>
      <c r="U1120" s="65"/>
      <c r="V1120" s="65"/>
      <c r="W1120" s="65"/>
      <c r="X1120" s="65"/>
      <c r="Y1120" s="65"/>
      <c r="Z1120" s="65"/>
      <c r="AA1120" s="65"/>
      <c r="AB1120" s="65"/>
      <c r="AC1120" s="65"/>
    </row>
    <row r="1121">
      <c r="A1121" s="72">
        <v>666.0</v>
      </c>
      <c r="B1121" s="67" t="s">
        <v>2606</v>
      </c>
      <c r="C1121" s="70" t="s">
        <v>56</v>
      </c>
      <c r="D1121" s="70" t="s">
        <v>320</v>
      </c>
      <c r="E1121" s="70" t="s">
        <v>2607</v>
      </c>
      <c r="F1121" s="70" t="s">
        <v>71</v>
      </c>
      <c r="G1121" s="70" t="s">
        <v>71</v>
      </c>
      <c r="H1121" s="70" t="s">
        <v>2608</v>
      </c>
      <c r="I1121" s="72">
        <v>56.54</v>
      </c>
      <c r="J1121" s="70" t="s">
        <v>58</v>
      </c>
      <c r="K1121" s="65"/>
      <c r="L1121" s="65"/>
      <c r="M1121" s="65"/>
      <c r="N1121" s="65"/>
      <c r="O1121" s="65"/>
      <c r="P1121" s="65"/>
      <c r="Q1121" s="65"/>
      <c r="R1121" s="65"/>
      <c r="S1121" s="65"/>
      <c r="T1121" s="65"/>
      <c r="U1121" s="65"/>
      <c r="V1121" s="65"/>
      <c r="W1121" s="65"/>
      <c r="X1121" s="65"/>
      <c r="Y1121" s="65"/>
      <c r="Z1121" s="65"/>
      <c r="AA1121" s="65"/>
      <c r="AB1121" s="65"/>
      <c r="AC1121" s="65"/>
    </row>
    <row r="1122">
      <c r="A1122" s="72">
        <v>665.0</v>
      </c>
      <c r="B1122" s="67" t="s">
        <v>2609</v>
      </c>
      <c r="C1122" s="70" t="s">
        <v>56</v>
      </c>
      <c r="D1122" s="70" t="s">
        <v>93</v>
      </c>
      <c r="E1122" s="70" t="s">
        <v>2610</v>
      </c>
      <c r="F1122" s="70" t="s">
        <v>558</v>
      </c>
      <c r="G1122" s="70" t="s">
        <v>2611</v>
      </c>
      <c r="H1122" s="70" t="s">
        <v>2612</v>
      </c>
      <c r="I1122" s="72">
        <v>19.81</v>
      </c>
      <c r="J1122" s="70" t="s">
        <v>58</v>
      </c>
      <c r="K1122" s="65"/>
      <c r="L1122" s="65"/>
      <c r="M1122" s="65"/>
      <c r="N1122" s="65"/>
      <c r="O1122" s="65"/>
      <c r="P1122" s="65"/>
      <c r="Q1122" s="65"/>
      <c r="R1122" s="65"/>
      <c r="S1122" s="65"/>
      <c r="T1122" s="65"/>
      <c r="U1122" s="65"/>
      <c r="V1122" s="65"/>
      <c r="W1122" s="65"/>
      <c r="X1122" s="65"/>
      <c r="Y1122" s="65"/>
      <c r="Z1122" s="65"/>
      <c r="AA1122" s="65"/>
      <c r="AB1122" s="65"/>
      <c r="AC1122" s="65"/>
    </row>
    <row r="1123">
      <c r="A1123" s="72">
        <v>664.0</v>
      </c>
      <c r="B1123" s="67" t="s">
        <v>2613</v>
      </c>
      <c r="C1123" s="70" t="s">
        <v>60</v>
      </c>
      <c r="D1123" s="70" t="s">
        <v>1080</v>
      </c>
      <c r="E1123" s="70" t="s">
        <v>2614</v>
      </c>
      <c r="F1123" s="73"/>
      <c r="G1123" s="73"/>
      <c r="H1123" s="70" t="s">
        <v>2614</v>
      </c>
      <c r="I1123" s="72">
        <v>41.51</v>
      </c>
      <c r="J1123" s="70" t="s">
        <v>58</v>
      </c>
      <c r="K1123" s="65"/>
      <c r="L1123" s="65"/>
      <c r="M1123" s="65"/>
      <c r="N1123" s="65"/>
      <c r="O1123" s="65"/>
      <c r="P1123" s="65"/>
      <c r="Q1123" s="65"/>
      <c r="R1123" s="65"/>
      <c r="S1123" s="65"/>
      <c r="T1123" s="65"/>
      <c r="U1123" s="65"/>
      <c r="V1123" s="65"/>
      <c r="W1123" s="65"/>
      <c r="X1123" s="65"/>
      <c r="Y1123" s="65"/>
      <c r="Z1123" s="65"/>
      <c r="AA1123" s="65"/>
      <c r="AB1123" s="65"/>
      <c r="AC1123" s="65"/>
    </row>
    <row r="1124">
      <c r="A1124" s="72">
        <v>663.0</v>
      </c>
      <c r="B1124" s="67" t="s">
        <v>2615</v>
      </c>
      <c r="C1124" s="70" t="s">
        <v>56</v>
      </c>
      <c r="D1124" s="70" t="s">
        <v>320</v>
      </c>
      <c r="E1124" s="75" t="s">
        <v>800</v>
      </c>
      <c r="F1124" s="73"/>
      <c r="G1124" s="73"/>
      <c r="H1124" s="70" t="s">
        <v>64</v>
      </c>
      <c r="I1124" s="72">
        <v>39.76</v>
      </c>
      <c r="J1124" s="70" t="s">
        <v>58</v>
      </c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  <c r="AB1124" s="65"/>
      <c r="AC1124" s="65"/>
    </row>
    <row r="1125">
      <c r="A1125" s="72">
        <v>662.0</v>
      </c>
      <c r="B1125" s="67" t="s">
        <v>2616</v>
      </c>
      <c r="C1125" s="70" t="s">
        <v>56</v>
      </c>
      <c r="D1125" s="75" t="s">
        <v>320</v>
      </c>
      <c r="E1125" s="76" t="s">
        <v>2617</v>
      </c>
      <c r="F1125" s="70" t="s">
        <v>67</v>
      </c>
      <c r="G1125" s="70" t="s">
        <v>2611</v>
      </c>
      <c r="H1125" s="70" t="s">
        <v>2618</v>
      </c>
      <c r="I1125" s="72">
        <v>39.8</v>
      </c>
      <c r="J1125" s="70" t="s">
        <v>58</v>
      </c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65"/>
      <c r="Z1125" s="65"/>
      <c r="AA1125" s="65"/>
      <c r="AB1125" s="65"/>
      <c r="AC1125" s="65"/>
    </row>
    <row r="1126">
      <c r="A1126" s="72">
        <v>661.0</v>
      </c>
      <c r="B1126" s="67" t="s">
        <v>2619</v>
      </c>
      <c r="C1126" s="75" t="s">
        <v>69</v>
      </c>
      <c r="D1126" s="76" t="s">
        <v>93</v>
      </c>
      <c r="E1126" s="76" t="s">
        <v>1679</v>
      </c>
      <c r="F1126" s="73"/>
      <c r="G1126" s="73"/>
      <c r="H1126" s="70" t="s">
        <v>1679</v>
      </c>
      <c r="I1126" s="72">
        <v>52.3</v>
      </c>
      <c r="J1126" s="70" t="s">
        <v>58</v>
      </c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  <c r="Z1126" s="65"/>
      <c r="AA1126" s="65"/>
      <c r="AB1126" s="65"/>
      <c r="AC1126" s="65"/>
    </row>
    <row r="1127">
      <c r="A1127" s="72">
        <v>660.0</v>
      </c>
      <c r="B1127" s="67" t="s">
        <v>2620</v>
      </c>
      <c r="C1127" s="70" t="s">
        <v>60</v>
      </c>
      <c r="D1127" s="70" t="s">
        <v>99</v>
      </c>
      <c r="E1127" s="70" t="s">
        <v>2621</v>
      </c>
      <c r="F1127" s="73"/>
      <c r="G1127" s="73"/>
      <c r="H1127" s="70" t="s">
        <v>2622</v>
      </c>
      <c r="I1127" s="72">
        <v>54.26</v>
      </c>
      <c r="J1127" s="70" t="s">
        <v>58</v>
      </c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65"/>
      <c r="Z1127" s="65"/>
      <c r="AA1127" s="65"/>
      <c r="AB1127" s="65"/>
      <c r="AC1127" s="65"/>
    </row>
    <row r="1128">
      <c r="A1128" s="72">
        <v>659.0</v>
      </c>
      <c r="B1128" s="67" t="s">
        <v>2623</v>
      </c>
      <c r="C1128" s="70" t="s">
        <v>56</v>
      </c>
      <c r="D1128" s="70" t="s">
        <v>237</v>
      </c>
      <c r="E1128" s="70" t="s">
        <v>853</v>
      </c>
      <c r="F1128" s="70" t="s">
        <v>116</v>
      </c>
      <c r="G1128" s="70" t="s">
        <v>1402</v>
      </c>
      <c r="H1128" s="70" t="s">
        <v>1402</v>
      </c>
      <c r="I1128" s="72">
        <v>44.42</v>
      </c>
      <c r="J1128" s="70" t="s">
        <v>58</v>
      </c>
      <c r="K1128" s="65"/>
      <c r="L1128" s="65"/>
      <c r="M1128" s="65"/>
      <c r="N1128" s="65"/>
      <c r="O1128" s="65"/>
      <c r="P1128" s="65"/>
      <c r="Q1128" s="65"/>
      <c r="R1128" s="65"/>
      <c r="S1128" s="65"/>
      <c r="T1128" s="65"/>
      <c r="U1128" s="65"/>
      <c r="V1128" s="65"/>
      <c r="W1128" s="65"/>
      <c r="X1128" s="65"/>
      <c r="Y1128" s="65"/>
      <c r="Z1128" s="65"/>
      <c r="AA1128" s="65"/>
      <c r="AB1128" s="65"/>
      <c r="AC1128" s="65"/>
    </row>
    <row r="1129">
      <c r="A1129" s="72">
        <v>658.0</v>
      </c>
      <c r="B1129" s="67" t="s">
        <v>2624</v>
      </c>
      <c r="C1129" s="70" t="s">
        <v>56</v>
      </c>
      <c r="D1129" s="70" t="s">
        <v>502</v>
      </c>
      <c r="E1129" s="70" t="s">
        <v>2625</v>
      </c>
      <c r="F1129" s="70" t="s">
        <v>2626</v>
      </c>
      <c r="G1129" s="70" t="s">
        <v>2627</v>
      </c>
      <c r="H1129" s="70" t="s">
        <v>2628</v>
      </c>
      <c r="I1129" s="72">
        <v>42.1</v>
      </c>
      <c r="J1129" s="70" t="s">
        <v>58</v>
      </c>
      <c r="K1129" s="65"/>
      <c r="L1129" s="65"/>
      <c r="M1129" s="65"/>
      <c r="N1129" s="65"/>
      <c r="O1129" s="65"/>
      <c r="P1129" s="65"/>
      <c r="Q1129" s="65"/>
      <c r="R1129" s="65"/>
      <c r="S1129" s="65"/>
      <c r="T1129" s="65"/>
      <c r="U1129" s="65"/>
      <c r="V1129" s="65"/>
      <c r="W1129" s="65"/>
      <c r="X1129" s="65"/>
      <c r="Y1129" s="65"/>
      <c r="Z1129" s="65"/>
      <c r="AA1129" s="65"/>
      <c r="AB1129" s="65"/>
      <c r="AC1129" s="65"/>
    </row>
    <row r="1130">
      <c r="A1130" s="72">
        <v>657.0</v>
      </c>
      <c r="B1130" s="67" t="s">
        <v>2629</v>
      </c>
      <c r="C1130" s="70" t="s">
        <v>69</v>
      </c>
      <c r="D1130" s="70" t="s">
        <v>70</v>
      </c>
      <c r="E1130" s="70" t="s">
        <v>2630</v>
      </c>
      <c r="F1130" s="70" t="s">
        <v>153</v>
      </c>
      <c r="G1130" s="70" t="s">
        <v>153</v>
      </c>
      <c r="H1130" s="70" t="s">
        <v>805</v>
      </c>
      <c r="I1130" s="72">
        <v>73.93</v>
      </c>
      <c r="J1130" s="70" t="s">
        <v>58</v>
      </c>
      <c r="K1130" s="65"/>
      <c r="L1130" s="65"/>
      <c r="M1130" s="65"/>
      <c r="N1130" s="65"/>
      <c r="O1130" s="65"/>
      <c r="P1130" s="65"/>
      <c r="Q1130" s="65"/>
      <c r="R1130" s="65"/>
      <c r="S1130" s="65"/>
      <c r="T1130" s="65"/>
      <c r="U1130" s="65"/>
      <c r="V1130" s="65"/>
      <c r="W1130" s="65"/>
      <c r="X1130" s="65"/>
      <c r="Y1130" s="65"/>
      <c r="Z1130" s="65"/>
      <c r="AA1130" s="65"/>
      <c r="AB1130" s="65"/>
      <c r="AC1130" s="65"/>
    </row>
    <row r="1131">
      <c r="A1131" s="72">
        <v>656.0</v>
      </c>
      <c r="B1131" s="67" t="s">
        <v>2631</v>
      </c>
      <c r="C1131" s="70" t="s">
        <v>60</v>
      </c>
      <c r="D1131" s="70" t="s">
        <v>76</v>
      </c>
      <c r="E1131" s="70" t="s">
        <v>28</v>
      </c>
      <c r="F1131" s="73"/>
      <c r="G1131" s="73"/>
      <c r="H1131" s="70" t="s">
        <v>28</v>
      </c>
      <c r="I1131" s="72">
        <v>29.68</v>
      </c>
      <c r="J1131" s="70" t="s">
        <v>58</v>
      </c>
      <c r="K1131" s="65"/>
      <c r="L1131" s="65"/>
      <c r="M1131" s="65"/>
      <c r="N1131" s="65"/>
      <c r="O1131" s="65"/>
      <c r="P1131" s="65"/>
      <c r="Q1131" s="65"/>
      <c r="R1131" s="65"/>
      <c r="S1131" s="65"/>
      <c r="T1131" s="65"/>
      <c r="U1131" s="65"/>
      <c r="V1131" s="65"/>
      <c r="W1131" s="65"/>
      <c r="X1131" s="65"/>
      <c r="Y1131" s="65"/>
      <c r="Z1131" s="65"/>
      <c r="AA1131" s="65"/>
      <c r="AB1131" s="65"/>
      <c r="AC1131" s="65"/>
    </row>
    <row r="1132">
      <c r="A1132" s="72">
        <v>655.0</v>
      </c>
      <c r="B1132" s="67" t="s">
        <v>2632</v>
      </c>
      <c r="C1132" s="70" t="s">
        <v>56</v>
      </c>
      <c r="D1132" s="70" t="s">
        <v>320</v>
      </c>
      <c r="E1132" s="75" t="s">
        <v>2633</v>
      </c>
      <c r="F1132" s="70" t="s">
        <v>116</v>
      </c>
      <c r="G1132" s="70" t="s">
        <v>116</v>
      </c>
      <c r="H1132" s="70" t="s">
        <v>2634</v>
      </c>
      <c r="I1132" s="72">
        <v>56.22</v>
      </c>
      <c r="J1132" s="70" t="s">
        <v>58</v>
      </c>
      <c r="K1132" s="65"/>
      <c r="L1132" s="65"/>
      <c r="M1132" s="65"/>
      <c r="N1132" s="65"/>
      <c r="O1132" s="65"/>
      <c r="P1132" s="65"/>
      <c r="Q1132" s="65"/>
      <c r="R1132" s="65"/>
      <c r="S1132" s="65"/>
      <c r="T1132" s="65"/>
      <c r="U1132" s="65"/>
      <c r="V1132" s="65"/>
      <c r="W1132" s="65"/>
      <c r="X1132" s="65"/>
      <c r="Y1132" s="65"/>
      <c r="Z1132" s="65"/>
      <c r="AA1132" s="65"/>
      <c r="AB1132" s="65"/>
      <c r="AC1132" s="65"/>
    </row>
    <row r="1133">
      <c r="A1133" s="72">
        <v>654.0</v>
      </c>
      <c r="B1133" s="67" t="s">
        <v>2635</v>
      </c>
      <c r="C1133" s="70" t="s">
        <v>56</v>
      </c>
      <c r="D1133" s="75" t="s">
        <v>320</v>
      </c>
      <c r="E1133" s="76" t="s">
        <v>1528</v>
      </c>
      <c r="F1133" s="73"/>
      <c r="G1133" s="70" t="s">
        <v>28</v>
      </c>
      <c r="H1133" s="70" t="s">
        <v>674</v>
      </c>
      <c r="I1133" s="72">
        <v>81.25</v>
      </c>
      <c r="J1133" s="70" t="s">
        <v>58</v>
      </c>
      <c r="K1133" s="65"/>
      <c r="L1133" s="65"/>
      <c r="M1133" s="65"/>
      <c r="N1133" s="65"/>
      <c r="O1133" s="65"/>
      <c r="P1133" s="65"/>
      <c r="Q1133" s="65"/>
      <c r="R1133" s="65"/>
      <c r="S1133" s="65"/>
      <c r="T1133" s="65"/>
      <c r="U1133" s="65"/>
      <c r="V1133" s="65"/>
      <c r="W1133" s="65"/>
      <c r="X1133" s="65"/>
      <c r="Y1133" s="65"/>
      <c r="Z1133" s="65"/>
      <c r="AA1133" s="65"/>
      <c r="AB1133" s="65"/>
      <c r="AC1133" s="65"/>
    </row>
    <row r="1134">
      <c r="A1134" s="72">
        <v>653.0</v>
      </c>
      <c r="B1134" s="67" t="s">
        <v>2636</v>
      </c>
      <c r="C1134" s="75" t="s">
        <v>69</v>
      </c>
      <c r="D1134" s="76" t="s">
        <v>320</v>
      </c>
      <c r="E1134" s="76" t="s">
        <v>2637</v>
      </c>
      <c r="F1134" s="70" t="s">
        <v>67</v>
      </c>
      <c r="G1134" s="70" t="s">
        <v>2638</v>
      </c>
      <c r="H1134" s="70" t="s">
        <v>2639</v>
      </c>
      <c r="I1134" s="72">
        <v>56.31</v>
      </c>
      <c r="J1134" s="70" t="s">
        <v>58</v>
      </c>
      <c r="K1134" s="65"/>
      <c r="L1134" s="65"/>
      <c r="M1134" s="65"/>
      <c r="N1134" s="65"/>
      <c r="O1134" s="65"/>
      <c r="P1134" s="65"/>
      <c r="Q1134" s="65"/>
      <c r="R1134" s="65"/>
      <c r="S1134" s="65"/>
      <c r="T1134" s="65"/>
      <c r="U1134" s="65"/>
      <c r="V1134" s="65"/>
      <c r="W1134" s="65"/>
      <c r="X1134" s="65"/>
      <c r="Y1134" s="65"/>
      <c r="Z1134" s="65"/>
      <c r="AA1134" s="65"/>
      <c r="AB1134" s="65"/>
      <c r="AC1134" s="65"/>
    </row>
    <row r="1135">
      <c r="A1135" s="72">
        <v>652.0</v>
      </c>
      <c r="B1135" s="67" t="s">
        <v>2640</v>
      </c>
      <c r="C1135" s="70" t="s">
        <v>56</v>
      </c>
      <c r="D1135" s="75" t="s">
        <v>320</v>
      </c>
      <c r="E1135" s="76" t="s">
        <v>2641</v>
      </c>
      <c r="F1135" s="70" t="s">
        <v>112</v>
      </c>
      <c r="G1135" s="70" t="s">
        <v>2642</v>
      </c>
      <c r="H1135" s="70" t="s">
        <v>2643</v>
      </c>
      <c r="I1135" s="72">
        <v>52.7</v>
      </c>
      <c r="J1135" s="70" t="s">
        <v>58</v>
      </c>
      <c r="K1135" s="65"/>
      <c r="L1135" s="65"/>
      <c r="M1135" s="65"/>
      <c r="N1135" s="65"/>
      <c r="O1135" s="65"/>
      <c r="P1135" s="65"/>
      <c r="Q1135" s="65"/>
      <c r="R1135" s="65"/>
      <c r="S1135" s="65"/>
      <c r="T1135" s="65"/>
      <c r="U1135" s="65"/>
      <c r="V1135" s="65"/>
      <c r="W1135" s="65"/>
      <c r="X1135" s="65"/>
      <c r="Y1135" s="65"/>
      <c r="Z1135" s="65"/>
      <c r="AA1135" s="65"/>
      <c r="AB1135" s="65"/>
      <c r="AC1135" s="65"/>
    </row>
    <row r="1136">
      <c r="A1136" s="72">
        <v>651.0</v>
      </c>
      <c r="B1136" s="67" t="s">
        <v>2644</v>
      </c>
      <c r="C1136" s="75" t="s">
        <v>56</v>
      </c>
      <c r="D1136" s="76" t="s">
        <v>1540</v>
      </c>
      <c r="E1136" s="76" t="s">
        <v>241</v>
      </c>
      <c r="F1136" s="73"/>
      <c r="G1136" s="73"/>
      <c r="H1136" s="70" t="s">
        <v>242</v>
      </c>
      <c r="I1136" s="72">
        <v>53.19</v>
      </c>
      <c r="J1136" s="70" t="s">
        <v>58</v>
      </c>
      <c r="K1136" s="65"/>
      <c r="L1136" s="65"/>
      <c r="M1136" s="65"/>
      <c r="N1136" s="65"/>
      <c r="O1136" s="65"/>
      <c r="P1136" s="65"/>
      <c r="Q1136" s="65"/>
      <c r="R1136" s="65"/>
      <c r="S1136" s="65"/>
      <c r="T1136" s="65"/>
      <c r="U1136" s="65"/>
      <c r="V1136" s="65"/>
      <c r="W1136" s="65"/>
      <c r="X1136" s="65"/>
      <c r="Y1136" s="65"/>
      <c r="Z1136" s="65"/>
      <c r="AA1136" s="65"/>
      <c r="AB1136" s="65"/>
      <c r="AC1136" s="65"/>
    </row>
    <row r="1137">
      <c r="A1137" s="72">
        <v>650.0</v>
      </c>
      <c r="B1137" s="67" t="s">
        <v>2645</v>
      </c>
      <c r="C1137" s="70" t="s">
        <v>56</v>
      </c>
      <c r="D1137" s="70" t="s">
        <v>76</v>
      </c>
      <c r="E1137" s="70" t="s">
        <v>739</v>
      </c>
      <c r="F1137" s="70" t="s">
        <v>411</v>
      </c>
      <c r="G1137" s="70" t="s">
        <v>411</v>
      </c>
      <c r="H1137" s="70" t="s">
        <v>1458</v>
      </c>
      <c r="I1137" s="72">
        <v>50.17</v>
      </c>
      <c r="J1137" s="70" t="s">
        <v>58</v>
      </c>
      <c r="K1137" s="65"/>
      <c r="L1137" s="65"/>
      <c r="M1137" s="65"/>
      <c r="N1137" s="65"/>
      <c r="O1137" s="65"/>
      <c r="P1137" s="65"/>
      <c r="Q1137" s="65"/>
      <c r="R1137" s="65"/>
      <c r="S1137" s="65"/>
      <c r="T1137" s="65"/>
      <c r="U1137" s="65"/>
      <c r="V1137" s="65"/>
      <c r="W1137" s="65"/>
      <c r="X1137" s="65"/>
      <c r="Y1137" s="65"/>
      <c r="Z1137" s="65"/>
      <c r="AA1137" s="65"/>
      <c r="AB1137" s="65"/>
      <c r="AC1137" s="65"/>
    </row>
    <row r="1138">
      <c r="A1138" s="72">
        <v>649.0</v>
      </c>
      <c r="B1138" s="67" t="s">
        <v>2646</v>
      </c>
      <c r="C1138" s="70" t="s">
        <v>56</v>
      </c>
      <c r="D1138" s="70" t="s">
        <v>61</v>
      </c>
      <c r="E1138" s="70" t="s">
        <v>2647</v>
      </c>
      <c r="F1138" s="73"/>
      <c r="G1138" s="73"/>
      <c r="H1138" s="70" t="s">
        <v>2647</v>
      </c>
      <c r="I1138" s="72">
        <v>39.42</v>
      </c>
      <c r="J1138" s="70" t="s">
        <v>58</v>
      </c>
      <c r="K1138" s="65"/>
      <c r="L1138" s="65"/>
      <c r="M1138" s="65"/>
      <c r="N1138" s="65"/>
      <c r="O1138" s="65"/>
      <c r="P1138" s="65"/>
      <c r="Q1138" s="65"/>
      <c r="R1138" s="65"/>
      <c r="S1138" s="65"/>
      <c r="T1138" s="65"/>
      <c r="U1138" s="65"/>
      <c r="V1138" s="65"/>
      <c r="W1138" s="65"/>
      <c r="X1138" s="65"/>
      <c r="Y1138" s="65"/>
      <c r="Z1138" s="65"/>
      <c r="AA1138" s="65"/>
      <c r="AB1138" s="65"/>
      <c r="AC1138" s="65"/>
    </row>
    <row r="1139">
      <c r="A1139" s="72">
        <v>648.0</v>
      </c>
      <c r="B1139" s="67" t="s">
        <v>2648</v>
      </c>
      <c r="C1139" s="70" t="s">
        <v>56</v>
      </c>
      <c r="D1139" s="70" t="s">
        <v>2426</v>
      </c>
      <c r="E1139" s="70" t="s">
        <v>116</v>
      </c>
      <c r="F1139" s="73"/>
      <c r="G1139" s="73"/>
      <c r="H1139" s="70" t="s">
        <v>116</v>
      </c>
      <c r="I1139" s="72">
        <v>58.77</v>
      </c>
      <c r="J1139" s="70" t="s">
        <v>58</v>
      </c>
      <c r="K1139" s="65"/>
      <c r="L1139" s="65"/>
      <c r="M1139" s="65"/>
      <c r="N1139" s="65"/>
      <c r="O1139" s="65"/>
      <c r="P1139" s="65"/>
      <c r="Q1139" s="65"/>
      <c r="R1139" s="65"/>
      <c r="S1139" s="65"/>
      <c r="T1139" s="65"/>
      <c r="U1139" s="65"/>
      <c r="V1139" s="65"/>
      <c r="W1139" s="65"/>
      <c r="X1139" s="65"/>
      <c r="Y1139" s="65"/>
      <c r="Z1139" s="65"/>
      <c r="AA1139" s="65"/>
      <c r="AB1139" s="65"/>
      <c r="AC1139" s="65"/>
    </row>
    <row r="1140">
      <c r="A1140" s="72">
        <v>647.0</v>
      </c>
      <c r="B1140" s="67" t="s">
        <v>2649</v>
      </c>
      <c r="C1140" s="70" t="s">
        <v>56</v>
      </c>
      <c r="D1140" s="70" t="s">
        <v>161</v>
      </c>
      <c r="E1140" s="75" t="s">
        <v>2650</v>
      </c>
      <c r="F1140" s="70" t="s">
        <v>2651</v>
      </c>
      <c r="G1140" s="70" t="s">
        <v>2652</v>
      </c>
      <c r="H1140" s="70" t="s">
        <v>2653</v>
      </c>
      <c r="I1140" s="72">
        <v>61.95</v>
      </c>
      <c r="J1140" s="70" t="s">
        <v>58</v>
      </c>
      <c r="K1140" s="65"/>
      <c r="L1140" s="65"/>
      <c r="M1140" s="65"/>
      <c r="N1140" s="65"/>
      <c r="O1140" s="65"/>
      <c r="P1140" s="65"/>
      <c r="Q1140" s="65"/>
      <c r="R1140" s="65"/>
      <c r="S1140" s="65"/>
      <c r="T1140" s="65"/>
      <c r="U1140" s="65"/>
      <c r="V1140" s="65"/>
      <c r="W1140" s="65"/>
      <c r="X1140" s="65"/>
      <c r="Y1140" s="65"/>
      <c r="Z1140" s="65"/>
      <c r="AA1140" s="65"/>
      <c r="AB1140" s="65"/>
      <c r="AC1140" s="65"/>
    </row>
    <row r="1141">
      <c r="A1141" s="72">
        <v>646.0</v>
      </c>
      <c r="B1141" s="67" t="s">
        <v>2654</v>
      </c>
      <c r="C1141" s="70" t="s">
        <v>56</v>
      </c>
      <c r="D1141" s="75" t="s">
        <v>76</v>
      </c>
      <c r="E1141" s="76" t="s">
        <v>2655</v>
      </c>
      <c r="F1141" s="70" t="s">
        <v>683</v>
      </c>
      <c r="G1141" s="70" t="s">
        <v>683</v>
      </c>
      <c r="H1141" s="70" t="s">
        <v>2656</v>
      </c>
      <c r="I1141" s="72">
        <v>53.01</v>
      </c>
      <c r="J1141" s="70" t="s">
        <v>58</v>
      </c>
      <c r="K1141" s="65"/>
      <c r="L1141" s="65"/>
      <c r="M1141" s="65"/>
      <c r="N1141" s="65"/>
      <c r="O1141" s="65"/>
      <c r="P1141" s="65"/>
      <c r="Q1141" s="65"/>
      <c r="R1141" s="65"/>
      <c r="S1141" s="65"/>
      <c r="T1141" s="65"/>
      <c r="U1141" s="65"/>
      <c r="V1141" s="65"/>
      <c r="W1141" s="65"/>
      <c r="X1141" s="65"/>
      <c r="Y1141" s="65"/>
      <c r="Z1141" s="65"/>
      <c r="AA1141" s="65"/>
      <c r="AB1141" s="65"/>
      <c r="AC1141" s="65"/>
    </row>
    <row r="1142">
      <c r="A1142" s="72">
        <v>645.0</v>
      </c>
      <c r="B1142" s="67" t="s">
        <v>2657</v>
      </c>
      <c r="C1142" s="75" t="s">
        <v>69</v>
      </c>
      <c r="D1142" s="75" t="s">
        <v>479</v>
      </c>
      <c r="E1142" s="76" t="s">
        <v>1679</v>
      </c>
      <c r="F1142" s="73"/>
      <c r="G1142" s="73"/>
      <c r="H1142" s="70" t="s">
        <v>1679</v>
      </c>
      <c r="I1142" s="72">
        <v>41.64</v>
      </c>
      <c r="J1142" s="70" t="s">
        <v>58</v>
      </c>
      <c r="K1142" s="65"/>
      <c r="L1142" s="65"/>
      <c r="M1142" s="65"/>
      <c r="N1142" s="65"/>
      <c r="O1142" s="65"/>
      <c r="P1142" s="65"/>
      <c r="Q1142" s="65"/>
      <c r="R1142" s="65"/>
      <c r="S1142" s="65"/>
      <c r="T1142" s="65"/>
      <c r="U1142" s="65"/>
      <c r="V1142" s="65"/>
      <c r="W1142" s="65"/>
      <c r="X1142" s="65"/>
      <c r="Y1142" s="65"/>
      <c r="Z1142" s="65"/>
      <c r="AA1142" s="65"/>
      <c r="AB1142" s="65"/>
      <c r="AC1142" s="65"/>
    </row>
    <row r="1143">
      <c r="A1143" s="72">
        <v>644.0</v>
      </c>
      <c r="B1143" s="67" t="s">
        <v>2658</v>
      </c>
      <c r="C1143" s="75" t="s">
        <v>60</v>
      </c>
      <c r="D1143" s="75" t="s">
        <v>484</v>
      </c>
      <c r="E1143" s="76" t="s">
        <v>28</v>
      </c>
      <c r="F1143" s="73"/>
      <c r="G1143" s="73"/>
      <c r="H1143" s="70" t="s">
        <v>28</v>
      </c>
      <c r="I1143" s="72">
        <v>34.12</v>
      </c>
      <c r="J1143" s="70" t="s">
        <v>58</v>
      </c>
      <c r="K1143" s="65"/>
      <c r="L1143" s="65"/>
      <c r="M1143" s="65"/>
      <c r="N1143" s="65"/>
      <c r="O1143" s="65"/>
      <c r="P1143" s="65"/>
      <c r="Q1143" s="65"/>
      <c r="R1143" s="65"/>
      <c r="S1143" s="65"/>
      <c r="T1143" s="65"/>
      <c r="U1143" s="65"/>
      <c r="V1143" s="65"/>
      <c r="W1143" s="65"/>
      <c r="X1143" s="65"/>
      <c r="Y1143" s="65"/>
      <c r="Z1143" s="65"/>
      <c r="AA1143" s="65"/>
      <c r="AB1143" s="65"/>
      <c r="AC1143" s="65"/>
    </row>
    <row r="1144">
      <c r="A1144" s="72">
        <v>643.0</v>
      </c>
      <c r="B1144" s="67" t="s">
        <v>2659</v>
      </c>
      <c r="C1144" s="70" t="s">
        <v>69</v>
      </c>
      <c r="D1144" s="70" t="s">
        <v>93</v>
      </c>
      <c r="E1144" s="70" t="s">
        <v>674</v>
      </c>
      <c r="F1144" s="73"/>
      <c r="G1144" s="70" t="s">
        <v>64</v>
      </c>
      <c r="H1144" s="70" t="s">
        <v>112</v>
      </c>
      <c r="I1144" s="72">
        <v>41.98</v>
      </c>
      <c r="J1144" s="70" t="s">
        <v>58</v>
      </c>
      <c r="K1144" s="65"/>
      <c r="L1144" s="65"/>
      <c r="M1144" s="65"/>
      <c r="N1144" s="65"/>
      <c r="O1144" s="65"/>
      <c r="P1144" s="65"/>
      <c r="Q1144" s="65"/>
      <c r="R1144" s="65"/>
      <c r="S1144" s="65"/>
      <c r="T1144" s="65"/>
      <c r="U1144" s="65"/>
      <c r="V1144" s="65"/>
      <c r="W1144" s="65"/>
      <c r="X1144" s="65"/>
      <c r="Y1144" s="65"/>
      <c r="Z1144" s="65"/>
      <c r="AA1144" s="65"/>
      <c r="AB1144" s="65"/>
      <c r="AC1144" s="65"/>
    </row>
    <row r="1145">
      <c r="A1145" s="72">
        <v>642.0</v>
      </c>
      <c r="B1145" s="67" t="s">
        <v>2660</v>
      </c>
      <c r="C1145" s="70" t="s">
        <v>60</v>
      </c>
      <c r="D1145" s="70" t="s">
        <v>2661</v>
      </c>
      <c r="E1145" s="70" t="s">
        <v>2662</v>
      </c>
      <c r="F1145" s="70" t="s">
        <v>2663</v>
      </c>
      <c r="G1145" s="70" t="s">
        <v>2664</v>
      </c>
      <c r="H1145" s="70" t="s">
        <v>2665</v>
      </c>
      <c r="I1145" s="72">
        <v>46.34</v>
      </c>
      <c r="J1145" s="70" t="s">
        <v>58</v>
      </c>
      <c r="K1145" s="65"/>
      <c r="L1145" s="65"/>
      <c r="M1145" s="65"/>
      <c r="N1145" s="65"/>
      <c r="O1145" s="65"/>
      <c r="P1145" s="65"/>
      <c r="Q1145" s="65"/>
      <c r="R1145" s="65"/>
      <c r="S1145" s="65"/>
      <c r="T1145" s="65"/>
      <c r="U1145" s="65"/>
      <c r="V1145" s="65"/>
      <c r="W1145" s="65"/>
      <c r="X1145" s="65"/>
      <c r="Y1145" s="65"/>
      <c r="Z1145" s="65"/>
      <c r="AA1145" s="65"/>
      <c r="AB1145" s="65"/>
      <c r="AC1145" s="65"/>
    </row>
    <row r="1146">
      <c r="A1146" s="72">
        <v>641.0</v>
      </c>
      <c r="B1146" s="67" t="s">
        <v>2666</v>
      </c>
      <c r="C1146" s="70" t="s">
        <v>56</v>
      </c>
      <c r="D1146" s="70" t="s">
        <v>2667</v>
      </c>
      <c r="E1146" s="70" t="s">
        <v>799</v>
      </c>
      <c r="F1146" s="70" t="s">
        <v>64</v>
      </c>
      <c r="G1146" s="70" t="s">
        <v>64</v>
      </c>
      <c r="H1146" s="70" t="s">
        <v>800</v>
      </c>
      <c r="I1146" s="72">
        <v>56.28</v>
      </c>
      <c r="J1146" s="70" t="s">
        <v>58</v>
      </c>
      <c r="K1146" s="65"/>
      <c r="L1146" s="65"/>
      <c r="M1146" s="65"/>
      <c r="N1146" s="65"/>
      <c r="O1146" s="65"/>
      <c r="P1146" s="65"/>
      <c r="Q1146" s="65"/>
      <c r="R1146" s="65"/>
      <c r="S1146" s="65"/>
      <c r="T1146" s="65"/>
      <c r="U1146" s="65"/>
      <c r="V1146" s="65"/>
      <c r="W1146" s="65"/>
      <c r="X1146" s="65"/>
      <c r="Y1146" s="65"/>
      <c r="Z1146" s="65"/>
      <c r="AA1146" s="65"/>
      <c r="AB1146" s="65"/>
      <c r="AC1146" s="65"/>
    </row>
    <row r="1147">
      <c r="A1147" s="72">
        <v>640.0</v>
      </c>
      <c r="B1147" s="67" t="s">
        <v>2668</v>
      </c>
      <c r="C1147" s="70" t="s">
        <v>56</v>
      </c>
      <c r="D1147" s="70" t="s">
        <v>99</v>
      </c>
      <c r="E1147" s="70" t="s">
        <v>2669</v>
      </c>
      <c r="F1147" s="73"/>
      <c r="G1147" s="70" t="s">
        <v>64</v>
      </c>
      <c r="H1147" s="70" t="s">
        <v>112</v>
      </c>
      <c r="I1147" s="72">
        <v>42.76</v>
      </c>
      <c r="J1147" s="70" t="s">
        <v>58</v>
      </c>
      <c r="K1147" s="65"/>
      <c r="L1147" s="65"/>
      <c r="M1147" s="65"/>
      <c r="N1147" s="65"/>
      <c r="O1147" s="65"/>
      <c r="P1147" s="65"/>
      <c r="Q1147" s="65"/>
      <c r="R1147" s="65"/>
      <c r="S1147" s="65"/>
      <c r="T1147" s="65"/>
      <c r="U1147" s="65"/>
      <c r="V1147" s="65"/>
      <c r="W1147" s="65"/>
      <c r="X1147" s="65"/>
      <c r="Y1147" s="65"/>
      <c r="Z1147" s="65"/>
      <c r="AA1147" s="65"/>
      <c r="AB1147" s="65"/>
      <c r="AC1147" s="65"/>
    </row>
    <row r="1148">
      <c r="A1148" s="72">
        <v>639.0</v>
      </c>
      <c r="B1148" s="67" t="s">
        <v>2670</v>
      </c>
      <c r="C1148" s="70" t="s">
        <v>60</v>
      </c>
      <c r="D1148" s="70" t="s">
        <v>76</v>
      </c>
      <c r="E1148" s="70" t="s">
        <v>96</v>
      </c>
      <c r="F1148" s="73"/>
      <c r="G1148" s="70" t="s">
        <v>28</v>
      </c>
      <c r="H1148" s="70" t="s">
        <v>96</v>
      </c>
      <c r="I1148" s="72">
        <v>27.63</v>
      </c>
      <c r="J1148" s="70" t="s">
        <v>58</v>
      </c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  <c r="W1148" s="65"/>
      <c r="X1148" s="65"/>
      <c r="Y1148" s="65"/>
      <c r="Z1148" s="65"/>
      <c r="AA1148" s="65"/>
      <c r="AB1148" s="65"/>
      <c r="AC1148" s="65"/>
    </row>
    <row r="1149">
      <c r="A1149" s="72">
        <v>638.0</v>
      </c>
      <c r="B1149" s="67" t="s">
        <v>2671</v>
      </c>
      <c r="C1149" s="70" t="s">
        <v>56</v>
      </c>
      <c r="D1149" s="70" t="s">
        <v>1080</v>
      </c>
      <c r="E1149" s="70" t="s">
        <v>1927</v>
      </c>
      <c r="F1149" s="70" t="s">
        <v>28</v>
      </c>
      <c r="G1149" s="70" t="s">
        <v>28</v>
      </c>
      <c r="H1149" s="70" t="s">
        <v>1927</v>
      </c>
      <c r="I1149" s="72">
        <v>53.02</v>
      </c>
      <c r="J1149" s="70" t="s">
        <v>58</v>
      </c>
      <c r="K1149" s="65"/>
      <c r="L1149" s="65"/>
      <c r="M1149" s="65"/>
      <c r="N1149" s="65"/>
      <c r="O1149" s="65"/>
      <c r="P1149" s="65"/>
      <c r="Q1149" s="65"/>
      <c r="R1149" s="65"/>
      <c r="S1149" s="65"/>
      <c r="T1149" s="65"/>
      <c r="U1149" s="65"/>
      <c r="V1149" s="65"/>
      <c r="W1149" s="65"/>
      <c r="X1149" s="65"/>
      <c r="Y1149" s="65"/>
      <c r="Z1149" s="65"/>
      <c r="AA1149" s="65"/>
      <c r="AB1149" s="65"/>
      <c r="AC1149" s="65"/>
    </row>
    <row r="1150">
      <c r="A1150" s="72">
        <v>637.0</v>
      </c>
      <c r="B1150" s="67" t="s">
        <v>2672</v>
      </c>
      <c r="C1150" s="70" t="s">
        <v>69</v>
      </c>
      <c r="D1150" s="70" t="s">
        <v>320</v>
      </c>
      <c r="E1150" s="70" t="s">
        <v>800</v>
      </c>
      <c r="F1150" s="70" t="s">
        <v>71</v>
      </c>
      <c r="G1150" s="70" t="s">
        <v>799</v>
      </c>
      <c r="H1150" s="70" t="s">
        <v>799</v>
      </c>
      <c r="I1150" s="72">
        <v>66.03</v>
      </c>
      <c r="J1150" s="70" t="s">
        <v>58</v>
      </c>
      <c r="K1150" s="65"/>
      <c r="L1150" s="65"/>
      <c r="M1150" s="65"/>
      <c r="N1150" s="65"/>
      <c r="O1150" s="65"/>
      <c r="P1150" s="65"/>
      <c r="Q1150" s="65"/>
      <c r="R1150" s="65"/>
      <c r="S1150" s="65"/>
      <c r="T1150" s="65"/>
      <c r="U1150" s="65"/>
      <c r="V1150" s="65"/>
      <c r="W1150" s="65"/>
      <c r="X1150" s="65"/>
      <c r="Y1150" s="65"/>
      <c r="Z1150" s="65"/>
      <c r="AA1150" s="65"/>
      <c r="AB1150" s="65"/>
      <c r="AC1150" s="65"/>
    </row>
    <row r="1151">
      <c r="A1151" s="72">
        <v>636.0</v>
      </c>
      <c r="B1151" s="67" t="s">
        <v>2673</v>
      </c>
      <c r="C1151" s="70" t="s">
        <v>56</v>
      </c>
      <c r="D1151" s="70" t="s">
        <v>240</v>
      </c>
      <c r="E1151" s="70" t="s">
        <v>2674</v>
      </c>
      <c r="F1151" s="70" t="s">
        <v>2675</v>
      </c>
      <c r="G1151" s="70" t="s">
        <v>2676</v>
      </c>
      <c r="H1151" s="70" t="s">
        <v>2677</v>
      </c>
      <c r="I1151" s="72">
        <v>54.73</v>
      </c>
      <c r="J1151" s="70" t="s">
        <v>58</v>
      </c>
      <c r="K1151" s="65"/>
      <c r="L1151" s="65"/>
      <c r="M1151" s="65"/>
      <c r="N1151" s="65"/>
      <c r="O1151" s="65"/>
      <c r="P1151" s="65"/>
      <c r="Q1151" s="65"/>
      <c r="R1151" s="65"/>
      <c r="S1151" s="65"/>
      <c r="T1151" s="65"/>
      <c r="U1151" s="65"/>
      <c r="V1151" s="65"/>
      <c r="W1151" s="65"/>
      <c r="X1151" s="65"/>
      <c r="Y1151" s="65"/>
      <c r="Z1151" s="65"/>
      <c r="AA1151" s="65"/>
      <c r="AB1151" s="65"/>
      <c r="AC1151" s="65"/>
    </row>
    <row r="1152">
      <c r="A1152" s="72">
        <v>635.0</v>
      </c>
      <c r="B1152" s="67" t="s">
        <v>2678</v>
      </c>
      <c r="C1152" s="70" t="s">
        <v>56</v>
      </c>
      <c r="D1152" s="70" t="s">
        <v>2679</v>
      </c>
      <c r="E1152" s="70" t="s">
        <v>2680</v>
      </c>
      <c r="F1152" s="70" t="s">
        <v>2681</v>
      </c>
      <c r="G1152" s="70" t="s">
        <v>2681</v>
      </c>
      <c r="H1152" s="70" t="s">
        <v>2682</v>
      </c>
      <c r="I1152" s="72">
        <v>59.99</v>
      </c>
      <c r="J1152" s="70" t="s">
        <v>58</v>
      </c>
      <c r="K1152" s="65"/>
      <c r="L1152" s="65"/>
      <c r="M1152" s="65"/>
      <c r="N1152" s="65"/>
      <c r="O1152" s="65"/>
      <c r="P1152" s="65"/>
      <c r="Q1152" s="65"/>
      <c r="R1152" s="65"/>
      <c r="S1152" s="65"/>
      <c r="T1152" s="65"/>
      <c r="U1152" s="65"/>
      <c r="V1152" s="65"/>
      <c r="W1152" s="65"/>
      <c r="X1152" s="65"/>
      <c r="Y1152" s="65"/>
      <c r="Z1152" s="65"/>
      <c r="AA1152" s="65"/>
      <c r="AB1152" s="65"/>
      <c r="AC1152" s="65"/>
    </row>
    <row r="1153">
      <c r="A1153" s="72">
        <v>634.0</v>
      </c>
      <c r="B1153" s="67" t="s">
        <v>2683</v>
      </c>
      <c r="C1153" s="70" t="s">
        <v>56</v>
      </c>
      <c r="D1153" s="70" t="s">
        <v>99</v>
      </c>
      <c r="E1153" s="70" t="s">
        <v>2684</v>
      </c>
      <c r="F1153" s="73"/>
      <c r="G1153" s="73"/>
      <c r="H1153" s="70" t="s">
        <v>2685</v>
      </c>
      <c r="I1153" s="72">
        <v>40.59</v>
      </c>
      <c r="J1153" s="70" t="s">
        <v>58</v>
      </c>
      <c r="K1153" s="65"/>
      <c r="L1153" s="65"/>
      <c r="M1153" s="65"/>
      <c r="N1153" s="65"/>
      <c r="O1153" s="65"/>
      <c r="P1153" s="65"/>
      <c r="Q1153" s="65"/>
      <c r="R1153" s="65"/>
      <c r="S1153" s="65"/>
      <c r="T1153" s="65"/>
      <c r="U1153" s="65"/>
      <c r="V1153" s="65"/>
      <c r="W1153" s="65"/>
      <c r="X1153" s="65"/>
      <c r="Y1153" s="65"/>
      <c r="Z1153" s="65"/>
      <c r="AA1153" s="65"/>
      <c r="AB1153" s="65"/>
      <c r="AC1153" s="65"/>
    </row>
    <row r="1154">
      <c r="A1154" s="72">
        <v>633.0</v>
      </c>
      <c r="B1154" s="67" t="s">
        <v>2686</v>
      </c>
      <c r="C1154" s="70" t="s">
        <v>56</v>
      </c>
      <c r="D1154" s="70" t="s">
        <v>99</v>
      </c>
      <c r="E1154" s="70" t="s">
        <v>2687</v>
      </c>
      <c r="F1154" s="73"/>
      <c r="G1154" s="70" t="s">
        <v>579</v>
      </c>
      <c r="H1154" s="70" t="s">
        <v>2688</v>
      </c>
      <c r="I1154" s="72">
        <v>32.6</v>
      </c>
      <c r="J1154" s="70" t="s">
        <v>58</v>
      </c>
      <c r="K1154" s="65"/>
      <c r="L1154" s="65"/>
      <c r="M1154" s="65"/>
      <c r="N1154" s="65"/>
      <c r="O1154" s="65"/>
      <c r="P1154" s="65"/>
      <c r="Q1154" s="65"/>
      <c r="R1154" s="65"/>
      <c r="S1154" s="65"/>
      <c r="T1154" s="65"/>
      <c r="U1154" s="65"/>
      <c r="V1154" s="65"/>
      <c r="W1154" s="65"/>
      <c r="X1154" s="65"/>
      <c r="Y1154" s="65"/>
      <c r="Z1154" s="65"/>
      <c r="AA1154" s="65"/>
      <c r="AB1154" s="65"/>
      <c r="AC1154" s="65"/>
    </row>
    <row r="1155">
      <c r="A1155" s="72">
        <v>632.0</v>
      </c>
      <c r="B1155" s="67" t="s">
        <v>2689</v>
      </c>
      <c r="C1155" s="70" t="s">
        <v>60</v>
      </c>
      <c r="D1155" s="70" t="s">
        <v>2690</v>
      </c>
      <c r="E1155" s="70" t="s">
        <v>2691</v>
      </c>
      <c r="F1155" s="73"/>
      <c r="G1155" s="70" t="s">
        <v>64</v>
      </c>
      <c r="H1155" s="70" t="s">
        <v>2692</v>
      </c>
      <c r="I1155" s="72">
        <v>54.35</v>
      </c>
      <c r="J1155" s="70" t="s">
        <v>58</v>
      </c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  <c r="W1155" s="65"/>
      <c r="X1155" s="65"/>
      <c r="Y1155" s="65"/>
      <c r="Z1155" s="65"/>
      <c r="AA1155" s="65"/>
      <c r="AB1155" s="65"/>
      <c r="AC1155" s="65"/>
    </row>
    <row r="1156">
      <c r="A1156" s="72">
        <v>631.0</v>
      </c>
      <c r="B1156" s="67" t="s">
        <v>2693</v>
      </c>
      <c r="C1156" s="70" t="s">
        <v>60</v>
      </c>
      <c r="D1156" s="70" t="s">
        <v>440</v>
      </c>
      <c r="E1156" s="70" t="s">
        <v>2694</v>
      </c>
      <c r="F1156" s="70" t="s">
        <v>2695</v>
      </c>
      <c r="G1156" s="70" t="s">
        <v>2695</v>
      </c>
      <c r="H1156" s="70" t="s">
        <v>2696</v>
      </c>
      <c r="I1156" s="72">
        <v>32.12</v>
      </c>
      <c r="J1156" s="70" t="s">
        <v>58</v>
      </c>
      <c r="K1156" s="65"/>
      <c r="L1156" s="65"/>
      <c r="M1156" s="65"/>
      <c r="N1156" s="65"/>
      <c r="O1156" s="65"/>
      <c r="P1156" s="65"/>
      <c r="Q1156" s="65"/>
      <c r="R1156" s="65"/>
      <c r="S1156" s="65"/>
      <c r="T1156" s="65"/>
      <c r="U1156" s="65"/>
      <c r="V1156" s="65"/>
      <c r="W1156" s="65"/>
      <c r="X1156" s="65"/>
      <c r="Y1156" s="65"/>
      <c r="Z1156" s="65"/>
      <c r="AA1156" s="65"/>
      <c r="AB1156" s="65"/>
      <c r="AC1156" s="65"/>
    </row>
    <row r="1157">
      <c r="A1157" s="72">
        <v>630.0</v>
      </c>
      <c r="B1157" s="67" t="s">
        <v>2697</v>
      </c>
      <c r="C1157" s="70" t="s">
        <v>60</v>
      </c>
      <c r="D1157" s="70" t="s">
        <v>61</v>
      </c>
      <c r="E1157" s="70" t="s">
        <v>2698</v>
      </c>
      <c r="F1157" s="73"/>
      <c r="G1157" s="70" t="s">
        <v>242</v>
      </c>
      <c r="H1157" s="70" t="s">
        <v>2699</v>
      </c>
      <c r="I1157" s="72">
        <v>33.81</v>
      </c>
      <c r="J1157" s="70" t="s">
        <v>58</v>
      </c>
      <c r="K1157" s="65"/>
      <c r="L1157" s="65"/>
      <c r="M1157" s="65"/>
      <c r="N1157" s="65"/>
      <c r="O1157" s="65"/>
      <c r="P1157" s="65"/>
      <c r="Q1157" s="65"/>
      <c r="R1157" s="65"/>
      <c r="S1157" s="65"/>
      <c r="T1157" s="65"/>
      <c r="U1157" s="65"/>
      <c r="V1157" s="65"/>
      <c r="W1157" s="65"/>
      <c r="X1157" s="65"/>
      <c r="Y1157" s="65"/>
      <c r="Z1157" s="65"/>
      <c r="AA1157" s="65"/>
      <c r="AB1157" s="65"/>
      <c r="AC1157" s="65"/>
    </row>
    <row r="1158">
      <c r="A1158" s="72">
        <v>629.0</v>
      </c>
      <c r="B1158" s="67" t="s">
        <v>2700</v>
      </c>
      <c r="C1158" s="70" t="s">
        <v>60</v>
      </c>
      <c r="D1158" s="70" t="s">
        <v>76</v>
      </c>
      <c r="E1158" s="70" t="s">
        <v>2701</v>
      </c>
      <c r="F1158" s="73"/>
      <c r="G1158" s="73"/>
      <c r="H1158" s="70" t="s">
        <v>2701</v>
      </c>
      <c r="I1158" s="72">
        <v>31.71</v>
      </c>
      <c r="J1158" s="70" t="s">
        <v>58</v>
      </c>
      <c r="K1158" s="65"/>
      <c r="L1158" s="65"/>
      <c r="M1158" s="65"/>
      <c r="N1158" s="65"/>
      <c r="O1158" s="65"/>
      <c r="P1158" s="65"/>
      <c r="Q1158" s="65"/>
      <c r="R1158" s="65"/>
      <c r="S1158" s="65"/>
      <c r="T1158" s="65"/>
      <c r="U1158" s="65"/>
      <c r="V1158" s="65"/>
      <c r="W1158" s="65"/>
      <c r="X1158" s="65"/>
      <c r="Y1158" s="65"/>
      <c r="Z1158" s="65"/>
      <c r="AA1158" s="65"/>
      <c r="AB1158" s="65"/>
      <c r="AC1158" s="65"/>
    </row>
    <row r="1159">
      <c r="A1159" s="72">
        <v>628.0</v>
      </c>
      <c r="B1159" s="67" t="s">
        <v>2702</v>
      </c>
      <c r="C1159" s="70" t="s">
        <v>69</v>
      </c>
      <c r="D1159" s="70" t="s">
        <v>564</v>
      </c>
      <c r="E1159" s="70" t="s">
        <v>2703</v>
      </c>
      <c r="F1159" s="70" t="s">
        <v>64</v>
      </c>
      <c r="G1159" s="70" t="s">
        <v>2704</v>
      </c>
      <c r="H1159" s="70" t="s">
        <v>2705</v>
      </c>
      <c r="I1159" s="72">
        <v>46.83</v>
      </c>
      <c r="J1159" s="70" t="s">
        <v>58</v>
      </c>
      <c r="K1159" s="65"/>
      <c r="L1159" s="65"/>
      <c r="M1159" s="65"/>
      <c r="N1159" s="65"/>
      <c r="O1159" s="65"/>
      <c r="P1159" s="65"/>
      <c r="Q1159" s="65"/>
      <c r="R1159" s="65"/>
      <c r="S1159" s="65"/>
      <c r="T1159" s="65"/>
      <c r="U1159" s="65"/>
      <c r="V1159" s="65"/>
      <c r="W1159" s="65"/>
      <c r="X1159" s="65"/>
      <c r="Y1159" s="65"/>
      <c r="Z1159" s="65"/>
      <c r="AA1159" s="65"/>
      <c r="AB1159" s="65"/>
      <c r="AC1159" s="65"/>
    </row>
    <row r="1160">
      <c r="A1160" s="72">
        <v>627.0</v>
      </c>
      <c r="B1160" s="67" t="s">
        <v>2706</v>
      </c>
      <c r="C1160" s="70" t="s">
        <v>69</v>
      </c>
      <c r="D1160" s="73"/>
      <c r="E1160" s="70" t="s">
        <v>64</v>
      </c>
      <c r="F1160" s="73"/>
      <c r="G1160" s="73"/>
      <c r="H1160" s="70" t="s">
        <v>64</v>
      </c>
      <c r="I1160" s="72">
        <v>77.84</v>
      </c>
      <c r="J1160" s="70" t="s">
        <v>73</v>
      </c>
      <c r="K1160" s="65"/>
      <c r="L1160" s="65"/>
      <c r="M1160" s="65"/>
      <c r="N1160" s="65"/>
      <c r="O1160" s="65"/>
      <c r="P1160" s="65"/>
      <c r="Q1160" s="65"/>
      <c r="R1160" s="65"/>
      <c r="S1160" s="65"/>
      <c r="T1160" s="65"/>
      <c r="U1160" s="65"/>
      <c r="V1160" s="65"/>
      <c r="W1160" s="65"/>
      <c r="X1160" s="65"/>
      <c r="Y1160" s="65"/>
      <c r="Z1160" s="65"/>
      <c r="AA1160" s="65"/>
      <c r="AB1160" s="65"/>
      <c r="AC1160" s="65"/>
    </row>
    <row r="1161">
      <c r="A1161" s="72">
        <v>626.0</v>
      </c>
      <c r="B1161" s="67" t="s">
        <v>2707</v>
      </c>
      <c r="C1161" s="70" t="s">
        <v>56</v>
      </c>
      <c r="D1161" s="73"/>
      <c r="E1161" s="70" t="s">
        <v>64</v>
      </c>
      <c r="F1161" s="70" t="s">
        <v>64</v>
      </c>
      <c r="G1161" s="70" t="s">
        <v>64</v>
      </c>
      <c r="H1161" s="70" t="s">
        <v>64</v>
      </c>
      <c r="I1161" s="72">
        <v>65.89</v>
      </c>
      <c r="J1161" s="70" t="s">
        <v>73</v>
      </c>
      <c r="K1161" s="65"/>
      <c r="L1161" s="65"/>
      <c r="M1161" s="65"/>
      <c r="N1161" s="65"/>
      <c r="O1161" s="65"/>
      <c r="P1161" s="65"/>
      <c r="Q1161" s="65"/>
      <c r="R1161" s="65"/>
      <c r="S1161" s="65"/>
      <c r="T1161" s="65"/>
      <c r="U1161" s="65"/>
      <c r="V1161" s="65"/>
      <c r="W1161" s="65"/>
      <c r="X1161" s="65"/>
      <c r="Y1161" s="65"/>
      <c r="Z1161" s="65"/>
      <c r="AA1161" s="65"/>
      <c r="AB1161" s="65"/>
      <c r="AC1161" s="65"/>
    </row>
    <row r="1162">
      <c r="A1162" s="72">
        <v>625.0</v>
      </c>
      <c r="B1162" s="67" t="s">
        <v>2708</v>
      </c>
      <c r="C1162" s="70" t="s">
        <v>56</v>
      </c>
      <c r="D1162" s="70" t="s">
        <v>2221</v>
      </c>
      <c r="E1162" s="70" t="s">
        <v>2709</v>
      </c>
      <c r="F1162" s="73"/>
      <c r="G1162" s="73"/>
      <c r="H1162" s="70" t="s">
        <v>2709</v>
      </c>
      <c r="I1162" s="72">
        <v>32.94</v>
      </c>
      <c r="J1162" s="70" t="s">
        <v>58</v>
      </c>
      <c r="K1162" s="65"/>
      <c r="L1162" s="65"/>
      <c r="M1162" s="65"/>
      <c r="N1162" s="65"/>
      <c r="O1162" s="65"/>
      <c r="P1162" s="65"/>
      <c r="Q1162" s="65"/>
      <c r="R1162" s="65"/>
      <c r="S1162" s="65"/>
      <c r="T1162" s="65"/>
      <c r="U1162" s="65"/>
      <c r="V1162" s="65"/>
      <c r="W1162" s="65"/>
      <c r="X1162" s="65"/>
      <c r="Y1162" s="65"/>
      <c r="Z1162" s="65"/>
      <c r="AA1162" s="65"/>
      <c r="AB1162" s="65"/>
      <c r="AC1162" s="65"/>
    </row>
    <row r="1163">
      <c r="A1163" s="72">
        <v>624.0</v>
      </c>
      <c r="B1163" s="67" t="s">
        <v>2710</v>
      </c>
      <c r="C1163" s="70" t="s">
        <v>56</v>
      </c>
      <c r="D1163" s="70" t="s">
        <v>156</v>
      </c>
      <c r="E1163" s="70" t="s">
        <v>1613</v>
      </c>
      <c r="F1163" s="73"/>
      <c r="G1163" s="73"/>
      <c r="H1163" s="70" t="s">
        <v>1613</v>
      </c>
      <c r="I1163" s="72">
        <v>39.6</v>
      </c>
      <c r="J1163" s="70" t="s">
        <v>58</v>
      </c>
      <c r="K1163" s="65"/>
      <c r="L1163" s="65"/>
      <c r="M1163" s="65"/>
      <c r="N1163" s="65"/>
      <c r="O1163" s="65"/>
      <c r="P1163" s="65"/>
      <c r="Q1163" s="65"/>
      <c r="R1163" s="65"/>
      <c r="S1163" s="65"/>
      <c r="T1163" s="65"/>
      <c r="U1163" s="65"/>
      <c r="V1163" s="65"/>
      <c r="W1163" s="65"/>
      <c r="X1163" s="65"/>
      <c r="Y1163" s="65"/>
      <c r="Z1163" s="65"/>
      <c r="AA1163" s="65"/>
      <c r="AB1163" s="65"/>
      <c r="AC1163" s="65"/>
    </row>
    <row r="1164">
      <c r="A1164" s="72">
        <v>623.0</v>
      </c>
      <c r="B1164" s="67" t="s">
        <v>2711</v>
      </c>
      <c r="C1164" s="70" t="s">
        <v>56</v>
      </c>
      <c r="D1164" s="70" t="s">
        <v>320</v>
      </c>
      <c r="E1164" s="70" t="s">
        <v>2712</v>
      </c>
      <c r="F1164" s="73"/>
      <c r="G1164" s="73"/>
      <c r="H1164" s="70" t="s">
        <v>2712</v>
      </c>
      <c r="I1164" s="72">
        <v>53.03</v>
      </c>
      <c r="J1164" s="70" t="s">
        <v>58</v>
      </c>
      <c r="K1164" s="65"/>
      <c r="L1164" s="65"/>
      <c r="M1164" s="65"/>
      <c r="N1164" s="65"/>
      <c r="O1164" s="65"/>
      <c r="P1164" s="65"/>
      <c r="Q1164" s="65"/>
      <c r="R1164" s="65"/>
      <c r="S1164" s="65"/>
      <c r="T1164" s="65"/>
      <c r="U1164" s="65"/>
      <c r="V1164" s="65"/>
      <c r="W1164" s="65"/>
      <c r="X1164" s="65"/>
      <c r="Y1164" s="65"/>
      <c r="Z1164" s="65"/>
      <c r="AA1164" s="65"/>
      <c r="AB1164" s="65"/>
      <c r="AC1164" s="65"/>
    </row>
    <row r="1165">
      <c r="A1165" s="72">
        <v>622.0</v>
      </c>
      <c r="B1165" s="67" t="s">
        <v>2713</v>
      </c>
      <c r="C1165" s="70" t="s">
        <v>56</v>
      </c>
      <c r="D1165" s="70" t="s">
        <v>2667</v>
      </c>
      <c r="E1165" s="70" t="s">
        <v>2714</v>
      </c>
      <c r="F1165" s="70" t="s">
        <v>2715</v>
      </c>
      <c r="G1165" s="70" t="s">
        <v>2716</v>
      </c>
      <c r="H1165" s="70" t="s">
        <v>2717</v>
      </c>
      <c r="I1165" s="72">
        <v>45.9</v>
      </c>
      <c r="J1165" s="70" t="s">
        <v>58</v>
      </c>
      <c r="K1165" s="65"/>
      <c r="L1165" s="65"/>
      <c r="M1165" s="65"/>
      <c r="N1165" s="65"/>
      <c r="O1165" s="65"/>
      <c r="P1165" s="65"/>
      <c r="Q1165" s="65"/>
      <c r="R1165" s="65"/>
      <c r="S1165" s="65"/>
      <c r="T1165" s="65"/>
      <c r="U1165" s="65"/>
      <c r="V1165" s="65"/>
      <c r="W1165" s="65"/>
      <c r="X1165" s="65"/>
      <c r="Y1165" s="65"/>
      <c r="Z1165" s="65"/>
      <c r="AA1165" s="65"/>
      <c r="AB1165" s="65"/>
      <c r="AC1165" s="65"/>
    </row>
    <row r="1166">
      <c r="A1166" s="72">
        <v>621.0</v>
      </c>
      <c r="B1166" s="67" t="s">
        <v>2718</v>
      </c>
      <c r="C1166" s="70" t="s">
        <v>56</v>
      </c>
      <c r="D1166" s="70" t="s">
        <v>2719</v>
      </c>
      <c r="E1166" s="70" t="s">
        <v>2720</v>
      </c>
      <c r="F1166" s="70" t="s">
        <v>2721</v>
      </c>
      <c r="G1166" s="70" t="s">
        <v>2722</v>
      </c>
      <c r="H1166" s="70" t="s">
        <v>2723</v>
      </c>
      <c r="I1166" s="72">
        <v>52.06</v>
      </c>
      <c r="J1166" s="70" t="s">
        <v>58</v>
      </c>
      <c r="K1166" s="65"/>
      <c r="L1166" s="65"/>
      <c r="M1166" s="65"/>
      <c r="N1166" s="65"/>
      <c r="O1166" s="65"/>
      <c r="P1166" s="65"/>
      <c r="Q1166" s="65"/>
      <c r="R1166" s="65"/>
      <c r="S1166" s="65"/>
      <c r="T1166" s="65"/>
      <c r="U1166" s="65"/>
      <c r="V1166" s="65"/>
      <c r="W1166" s="65"/>
      <c r="X1166" s="65"/>
      <c r="Y1166" s="65"/>
      <c r="Z1166" s="65"/>
      <c r="AA1166" s="65"/>
      <c r="AB1166" s="65"/>
      <c r="AC1166" s="65"/>
    </row>
    <row r="1167">
      <c r="A1167" s="72">
        <v>620.0</v>
      </c>
      <c r="B1167" s="67" t="s">
        <v>2724</v>
      </c>
      <c r="C1167" s="70" t="s">
        <v>69</v>
      </c>
      <c r="D1167" s="73"/>
      <c r="E1167" s="73"/>
      <c r="F1167" s="73"/>
      <c r="G1167" s="73"/>
      <c r="H1167" s="73"/>
      <c r="I1167" s="72">
        <v>70.01</v>
      </c>
      <c r="J1167" s="70" t="s">
        <v>73</v>
      </c>
      <c r="K1167" s="65"/>
      <c r="L1167" s="65"/>
      <c r="M1167" s="65"/>
      <c r="N1167" s="65"/>
      <c r="O1167" s="65"/>
      <c r="P1167" s="65"/>
      <c r="Q1167" s="65"/>
      <c r="R1167" s="65"/>
      <c r="S1167" s="65"/>
      <c r="T1167" s="65"/>
      <c r="U1167" s="65"/>
      <c r="V1167" s="65"/>
      <c r="W1167" s="65"/>
      <c r="X1167" s="65"/>
      <c r="Y1167" s="65"/>
      <c r="Z1167" s="65"/>
      <c r="AA1167" s="65"/>
      <c r="AB1167" s="65"/>
      <c r="AC1167" s="65"/>
    </row>
    <row r="1168">
      <c r="A1168" s="72">
        <v>619.0</v>
      </c>
      <c r="B1168" s="67" t="s">
        <v>2725</v>
      </c>
      <c r="C1168" s="70" t="s">
        <v>69</v>
      </c>
      <c r="D1168" s="73"/>
      <c r="E1168" s="73"/>
      <c r="F1168" s="73"/>
      <c r="G1168" s="73"/>
      <c r="H1168" s="73"/>
      <c r="I1168" s="72">
        <v>45.02</v>
      </c>
      <c r="J1168" s="70" t="s">
        <v>73</v>
      </c>
      <c r="K1168" s="65"/>
      <c r="L1168" s="65"/>
      <c r="M1168" s="65"/>
      <c r="N1168" s="65"/>
      <c r="O1168" s="65"/>
      <c r="P1168" s="65"/>
      <c r="Q1168" s="65"/>
      <c r="R1168" s="65"/>
      <c r="S1168" s="65"/>
      <c r="T1168" s="65"/>
      <c r="U1168" s="65"/>
      <c r="V1168" s="65"/>
      <c r="W1168" s="65"/>
      <c r="X1168" s="65"/>
      <c r="Y1168" s="65"/>
      <c r="Z1168" s="65"/>
      <c r="AA1168" s="65"/>
      <c r="AB1168" s="65"/>
      <c r="AC1168" s="65"/>
    </row>
    <row r="1169">
      <c r="A1169" s="72">
        <v>618.0</v>
      </c>
      <c r="B1169" s="67" t="s">
        <v>2726</v>
      </c>
      <c r="C1169" s="70" t="s">
        <v>60</v>
      </c>
      <c r="D1169" s="73"/>
      <c r="E1169" s="70" t="s">
        <v>64</v>
      </c>
      <c r="F1169" s="73"/>
      <c r="G1169" s="73"/>
      <c r="H1169" s="70" t="s">
        <v>64</v>
      </c>
      <c r="I1169" s="72">
        <v>60.25</v>
      </c>
      <c r="J1169" s="70" t="s">
        <v>73</v>
      </c>
      <c r="K1169" s="65"/>
      <c r="L1169" s="65"/>
      <c r="M1169" s="65"/>
      <c r="N1169" s="65"/>
      <c r="O1169" s="65"/>
      <c r="P1169" s="65"/>
      <c r="Q1169" s="65"/>
      <c r="R1169" s="65"/>
      <c r="S1169" s="65"/>
      <c r="T1169" s="65"/>
      <c r="U1169" s="65"/>
      <c r="V1169" s="65"/>
      <c r="W1169" s="65"/>
      <c r="X1169" s="65"/>
      <c r="Y1169" s="65"/>
      <c r="Z1169" s="65"/>
      <c r="AA1169" s="65"/>
      <c r="AB1169" s="65"/>
      <c r="AC1169" s="65"/>
    </row>
    <row r="1170">
      <c r="A1170" s="72">
        <v>617.0</v>
      </c>
      <c r="B1170" s="67" t="s">
        <v>2727</v>
      </c>
      <c r="C1170" s="70" t="s">
        <v>69</v>
      </c>
      <c r="D1170" s="70" t="s">
        <v>320</v>
      </c>
      <c r="E1170" s="70" t="s">
        <v>2728</v>
      </c>
      <c r="F1170" s="70" t="s">
        <v>1735</v>
      </c>
      <c r="G1170" s="70" t="s">
        <v>2729</v>
      </c>
      <c r="H1170" s="70" t="s">
        <v>2730</v>
      </c>
      <c r="I1170" s="72">
        <v>75.44</v>
      </c>
      <c r="J1170" s="70" t="s">
        <v>58</v>
      </c>
      <c r="K1170" s="65"/>
      <c r="L1170" s="65"/>
      <c r="M1170" s="65"/>
      <c r="N1170" s="65"/>
      <c r="O1170" s="65"/>
      <c r="P1170" s="65"/>
      <c r="Q1170" s="65"/>
      <c r="R1170" s="65"/>
      <c r="S1170" s="65"/>
      <c r="T1170" s="65"/>
      <c r="U1170" s="65"/>
      <c r="V1170" s="65"/>
      <c r="W1170" s="65"/>
      <c r="X1170" s="65"/>
      <c r="Y1170" s="65"/>
      <c r="Z1170" s="65"/>
      <c r="AA1170" s="65"/>
      <c r="AB1170" s="65"/>
      <c r="AC1170" s="65"/>
    </row>
    <row r="1171">
      <c r="A1171" s="72">
        <v>616.0</v>
      </c>
      <c r="B1171" s="67" t="s">
        <v>2731</v>
      </c>
      <c r="C1171" s="70" t="s">
        <v>56</v>
      </c>
      <c r="D1171" s="70" t="s">
        <v>70</v>
      </c>
      <c r="E1171" s="70" t="s">
        <v>2732</v>
      </c>
      <c r="F1171" s="70" t="s">
        <v>71</v>
      </c>
      <c r="G1171" s="70" t="s">
        <v>2733</v>
      </c>
      <c r="H1171" s="70" t="s">
        <v>2734</v>
      </c>
      <c r="I1171" s="72">
        <v>44.8</v>
      </c>
      <c r="J1171" s="70" t="s">
        <v>58</v>
      </c>
      <c r="K1171" s="65"/>
      <c r="L1171" s="65"/>
      <c r="M1171" s="65"/>
      <c r="N1171" s="65"/>
      <c r="O1171" s="65"/>
      <c r="P1171" s="65"/>
      <c r="Q1171" s="65"/>
      <c r="R1171" s="65"/>
      <c r="S1171" s="65"/>
      <c r="T1171" s="65"/>
      <c r="U1171" s="65"/>
      <c r="V1171" s="65"/>
      <c r="W1171" s="65"/>
      <c r="X1171" s="65"/>
      <c r="Y1171" s="65"/>
      <c r="Z1171" s="65"/>
      <c r="AA1171" s="65"/>
      <c r="AB1171" s="65"/>
      <c r="AC1171" s="65"/>
    </row>
    <row r="1172">
      <c r="A1172" s="72">
        <v>615.0</v>
      </c>
      <c r="B1172" s="67" t="s">
        <v>2735</v>
      </c>
      <c r="C1172" s="70" t="s">
        <v>60</v>
      </c>
      <c r="D1172" s="73"/>
      <c r="E1172" s="70" t="s">
        <v>64</v>
      </c>
      <c r="F1172" s="73"/>
      <c r="G1172" s="70" t="s">
        <v>64</v>
      </c>
      <c r="H1172" s="70" t="s">
        <v>64</v>
      </c>
      <c r="I1172" s="72">
        <v>52.82</v>
      </c>
      <c r="J1172" s="70" t="s">
        <v>73</v>
      </c>
      <c r="K1172" s="65"/>
      <c r="L1172" s="65"/>
      <c r="M1172" s="65"/>
      <c r="N1172" s="65"/>
      <c r="O1172" s="65"/>
      <c r="P1172" s="65"/>
      <c r="Q1172" s="65"/>
      <c r="R1172" s="65"/>
      <c r="S1172" s="65"/>
      <c r="T1172" s="65"/>
      <c r="U1172" s="65"/>
      <c r="V1172" s="65"/>
      <c r="W1172" s="65"/>
      <c r="X1172" s="65"/>
      <c r="Y1172" s="65"/>
      <c r="Z1172" s="65"/>
      <c r="AA1172" s="65"/>
      <c r="AB1172" s="65"/>
      <c r="AC1172" s="65"/>
    </row>
    <row r="1173">
      <c r="A1173" s="72">
        <v>614.0</v>
      </c>
      <c r="B1173" s="67" t="s">
        <v>2736</v>
      </c>
      <c r="C1173" s="70" t="s">
        <v>56</v>
      </c>
      <c r="D1173" s="73"/>
      <c r="E1173" s="70" t="s">
        <v>2737</v>
      </c>
      <c r="F1173" s="73"/>
      <c r="G1173" s="73"/>
      <c r="H1173" s="70" t="s">
        <v>2738</v>
      </c>
      <c r="I1173" s="72">
        <v>32.67</v>
      </c>
      <c r="J1173" s="70" t="s">
        <v>73</v>
      </c>
      <c r="K1173" s="65"/>
      <c r="L1173" s="65"/>
      <c r="M1173" s="65"/>
      <c r="N1173" s="65"/>
      <c r="O1173" s="65"/>
      <c r="P1173" s="65"/>
      <c r="Q1173" s="65"/>
      <c r="R1173" s="65"/>
      <c r="S1173" s="65"/>
      <c r="T1173" s="65"/>
      <c r="U1173" s="65"/>
      <c r="V1173" s="65"/>
      <c r="W1173" s="65"/>
      <c r="X1173" s="65"/>
      <c r="Y1173" s="65"/>
      <c r="Z1173" s="65"/>
      <c r="AA1173" s="65"/>
      <c r="AB1173" s="65"/>
      <c r="AC1173" s="65"/>
    </row>
    <row r="1174">
      <c r="A1174" s="72">
        <v>613.0</v>
      </c>
      <c r="B1174" s="67" t="s">
        <v>2739</v>
      </c>
      <c r="C1174" s="70" t="s">
        <v>69</v>
      </c>
      <c r="D1174" s="73"/>
      <c r="E1174" s="73"/>
      <c r="F1174" s="73"/>
      <c r="G1174" s="73"/>
      <c r="H1174" s="73"/>
      <c r="I1174" s="72">
        <v>79.76</v>
      </c>
      <c r="J1174" s="70" t="s">
        <v>73</v>
      </c>
      <c r="K1174" s="65"/>
      <c r="L1174" s="65"/>
      <c r="M1174" s="65"/>
      <c r="N1174" s="65"/>
      <c r="O1174" s="65"/>
      <c r="P1174" s="65"/>
      <c r="Q1174" s="65"/>
      <c r="R1174" s="65"/>
      <c r="S1174" s="65"/>
      <c r="T1174" s="65"/>
      <c r="U1174" s="65"/>
      <c r="V1174" s="65"/>
      <c r="W1174" s="65"/>
      <c r="X1174" s="65"/>
      <c r="Y1174" s="65"/>
      <c r="Z1174" s="65"/>
      <c r="AA1174" s="65"/>
      <c r="AB1174" s="65"/>
      <c r="AC1174" s="65"/>
    </row>
    <row r="1175">
      <c r="A1175" s="72">
        <v>612.0</v>
      </c>
      <c r="B1175" s="67" t="s">
        <v>2740</v>
      </c>
      <c r="C1175" s="70" t="s">
        <v>56</v>
      </c>
      <c r="D1175" s="73"/>
      <c r="E1175" s="70" t="s">
        <v>67</v>
      </c>
      <c r="F1175" s="73"/>
      <c r="G1175" s="73"/>
      <c r="H1175" s="70" t="s">
        <v>67</v>
      </c>
      <c r="I1175" s="72">
        <v>61.48</v>
      </c>
      <c r="J1175" s="70" t="s">
        <v>73</v>
      </c>
      <c r="K1175" s="65"/>
      <c r="L1175" s="65"/>
      <c r="M1175" s="65"/>
      <c r="N1175" s="65"/>
      <c r="O1175" s="65"/>
      <c r="P1175" s="65"/>
      <c r="Q1175" s="65"/>
      <c r="R1175" s="65"/>
      <c r="S1175" s="65"/>
      <c r="T1175" s="65"/>
      <c r="U1175" s="65"/>
      <c r="V1175" s="65"/>
      <c r="W1175" s="65"/>
      <c r="X1175" s="65"/>
      <c r="Y1175" s="65"/>
      <c r="Z1175" s="65"/>
      <c r="AA1175" s="65"/>
      <c r="AB1175" s="65"/>
      <c r="AC1175" s="65"/>
    </row>
    <row r="1176">
      <c r="A1176" s="72">
        <v>611.0</v>
      </c>
      <c r="B1176" s="67" t="s">
        <v>2741</v>
      </c>
      <c r="C1176" s="70" t="s">
        <v>56</v>
      </c>
      <c r="D1176" s="70" t="s">
        <v>93</v>
      </c>
      <c r="E1176" s="70" t="s">
        <v>2742</v>
      </c>
      <c r="F1176" s="70" t="s">
        <v>2743</v>
      </c>
      <c r="G1176" s="70" t="s">
        <v>2744</v>
      </c>
      <c r="H1176" s="70" t="s">
        <v>2745</v>
      </c>
      <c r="I1176" s="72">
        <v>49.37</v>
      </c>
      <c r="J1176" s="70" t="s">
        <v>58</v>
      </c>
      <c r="K1176" s="65"/>
      <c r="L1176" s="65"/>
      <c r="M1176" s="65"/>
      <c r="N1176" s="65"/>
      <c r="O1176" s="65"/>
      <c r="P1176" s="65"/>
      <c r="Q1176" s="65"/>
      <c r="R1176" s="65"/>
      <c r="S1176" s="65"/>
      <c r="T1176" s="65"/>
      <c r="U1176" s="65"/>
      <c r="V1176" s="65"/>
      <c r="W1176" s="65"/>
      <c r="X1176" s="65"/>
      <c r="Y1176" s="65"/>
      <c r="Z1176" s="65"/>
      <c r="AA1176" s="65"/>
      <c r="AB1176" s="65"/>
      <c r="AC1176" s="65"/>
    </row>
    <row r="1177">
      <c r="A1177" s="72">
        <v>610.0</v>
      </c>
      <c r="B1177" s="67" t="s">
        <v>2746</v>
      </c>
      <c r="C1177" s="70" t="s">
        <v>69</v>
      </c>
      <c r="D1177" s="73"/>
      <c r="E1177" s="79"/>
      <c r="F1177" s="73"/>
      <c r="G1177" s="73"/>
      <c r="H1177" s="73"/>
      <c r="I1177" s="72">
        <v>68.67</v>
      </c>
      <c r="J1177" s="70" t="s">
        <v>73</v>
      </c>
      <c r="K1177" s="65"/>
      <c r="L1177" s="65"/>
      <c r="M1177" s="65"/>
      <c r="N1177" s="65"/>
      <c r="O1177" s="65"/>
      <c r="P1177" s="65"/>
      <c r="Q1177" s="65"/>
      <c r="R1177" s="65"/>
      <c r="S1177" s="65"/>
      <c r="T1177" s="65"/>
      <c r="U1177" s="65"/>
      <c r="V1177" s="65"/>
      <c r="W1177" s="65"/>
      <c r="X1177" s="65"/>
      <c r="Y1177" s="65"/>
      <c r="Z1177" s="65"/>
      <c r="AA1177" s="65"/>
      <c r="AB1177" s="65"/>
      <c r="AC1177" s="65"/>
    </row>
    <row r="1178">
      <c r="A1178" s="72">
        <v>609.0</v>
      </c>
      <c r="B1178" s="67" t="s">
        <v>2747</v>
      </c>
      <c r="C1178" s="70" t="s">
        <v>56</v>
      </c>
      <c r="D1178" s="75" t="s">
        <v>89</v>
      </c>
      <c r="E1178" s="76" t="s">
        <v>2748</v>
      </c>
      <c r="F1178" s="70" t="s">
        <v>2749</v>
      </c>
      <c r="G1178" s="70" t="s">
        <v>2750</v>
      </c>
      <c r="H1178" s="70" t="s">
        <v>2751</v>
      </c>
      <c r="I1178" s="72">
        <v>61.12</v>
      </c>
      <c r="J1178" s="70" t="s">
        <v>58</v>
      </c>
      <c r="K1178" s="65"/>
      <c r="L1178" s="65"/>
      <c r="M1178" s="65"/>
      <c r="N1178" s="65"/>
      <c r="O1178" s="65"/>
      <c r="P1178" s="65"/>
      <c r="Q1178" s="65"/>
      <c r="R1178" s="65"/>
      <c r="S1178" s="65"/>
      <c r="T1178" s="65"/>
      <c r="U1178" s="65"/>
      <c r="V1178" s="65"/>
      <c r="W1178" s="65"/>
      <c r="X1178" s="65"/>
      <c r="Y1178" s="65"/>
      <c r="Z1178" s="65"/>
      <c r="AA1178" s="65"/>
      <c r="AB1178" s="65"/>
      <c r="AC1178" s="65"/>
    </row>
    <row r="1179">
      <c r="A1179" s="72">
        <v>608.0</v>
      </c>
      <c r="B1179" s="67" t="s">
        <v>2752</v>
      </c>
      <c r="C1179" s="75" t="s">
        <v>56</v>
      </c>
      <c r="D1179" s="78"/>
      <c r="E1179" s="76" t="s">
        <v>2753</v>
      </c>
      <c r="F1179" s="73"/>
      <c r="G1179" s="73"/>
      <c r="H1179" s="70" t="s">
        <v>2753</v>
      </c>
      <c r="I1179" s="72">
        <v>69.78</v>
      </c>
      <c r="J1179" s="70" t="s">
        <v>73</v>
      </c>
      <c r="K1179" s="65"/>
      <c r="L1179" s="65"/>
      <c r="M1179" s="65"/>
      <c r="N1179" s="65"/>
      <c r="O1179" s="65"/>
      <c r="P1179" s="65"/>
      <c r="Q1179" s="65"/>
      <c r="R1179" s="65"/>
      <c r="S1179" s="65"/>
      <c r="T1179" s="65"/>
      <c r="U1179" s="65"/>
      <c r="V1179" s="65"/>
      <c r="W1179" s="65"/>
      <c r="X1179" s="65"/>
      <c r="Y1179" s="65"/>
      <c r="Z1179" s="65"/>
      <c r="AA1179" s="65"/>
      <c r="AB1179" s="65"/>
      <c r="AC1179" s="65"/>
    </row>
    <row r="1180">
      <c r="A1180" s="72">
        <v>607.0</v>
      </c>
      <c r="B1180" s="67" t="s">
        <v>2754</v>
      </c>
      <c r="C1180" s="70" t="s">
        <v>69</v>
      </c>
      <c r="D1180" s="73"/>
      <c r="E1180" s="73"/>
      <c r="F1180" s="73"/>
      <c r="G1180" s="73"/>
      <c r="H1180" s="73"/>
      <c r="I1180" s="72">
        <v>65.18</v>
      </c>
      <c r="J1180" s="70" t="s">
        <v>73</v>
      </c>
      <c r="K1180" s="65"/>
      <c r="L1180" s="65"/>
      <c r="M1180" s="65"/>
      <c r="N1180" s="65"/>
      <c r="O1180" s="65"/>
      <c r="P1180" s="65"/>
      <c r="Q1180" s="65"/>
      <c r="R1180" s="65"/>
      <c r="S1180" s="65"/>
      <c r="T1180" s="65"/>
      <c r="U1180" s="65"/>
      <c r="V1180" s="65"/>
      <c r="W1180" s="65"/>
      <c r="X1180" s="65"/>
      <c r="Y1180" s="65"/>
      <c r="Z1180" s="65"/>
      <c r="AA1180" s="65"/>
      <c r="AB1180" s="65"/>
      <c r="AC1180" s="65"/>
    </row>
    <row r="1181">
      <c r="A1181" s="72">
        <v>606.0</v>
      </c>
      <c r="B1181" s="67" t="s">
        <v>2755</v>
      </c>
      <c r="C1181" s="70" t="s">
        <v>69</v>
      </c>
      <c r="D1181" s="70" t="s">
        <v>450</v>
      </c>
      <c r="E1181" s="70" t="s">
        <v>2756</v>
      </c>
      <c r="F1181" s="73"/>
      <c r="G1181" s="70" t="s">
        <v>189</v>
      </c>
      <c r="H1181" s="70" t="s">
        <v>2757</v>
      </c>
      <c r="I1181" s="72">
        <v>55.42</v>
      </c>
      <c r="J1181" s="70" t="s">
        <v>58</v>
      </c>
      <c r="K1181" s="65"/>
      <c r="L1181" s="65"/>
      <c r="M1181" s="65"/>
      <c r="N1181" s="65"/>
      <c r="O1181" s="65"/>
      <c r="P1181" s="65"/>
      <c r="Q1181" s="65"/>
      <c r="R1181" s="65"/>
      <c r="S1181" s="65"/>
      <c r="T1181" s="65"/>
      <c r="U1181" s="65"/>
      <c r="V1181" s="65"/>
      <c r="W1181" s="65"/>
      <c r="X1181" s="65"/>
      <c r="Y1181" s="65"/>
      <c r="Z1181" s="65"/>
      <c r="AA1181" s="65"/>
      <c r="AB1181" s="65"/>
      <c r="AC1181" s="65"/>
    </row>
    <row r="1182">
      <c r="A1182" s="72">
        <v>605.0</v>
      </c>
      <c r="B1182" s="67" t="s">
        <v>2758</v>
      </c>
      <c r="C1182" s="70" t="s">
        <v>69</v>
      </c>
      <c r="D1182" s="70" t="s">
        <v>114</v>
      </c>
      <c r="E1182" s="70" t="s">
        <v>2759</v>
      </c>
      <c r="F1182" s="70" t="s">
        <v>2760</v>
      </c>
      <c r="G1182" s="70" t="s">
        <v>2761</v>
      </c>
      <c r="H1182" s="70" t="s">
        <v>2762</v>
      </c>
      <c r="I1182" s="72">
        <v>31.75</v>
      </c>
      <c r="J1182" s="70" t="s">
        <v>58</v>
      </c>
      <c r="K1182" s="65"/>
      <c r="L1182" s="65"/>
      <c r="M1182" s="65"/>
      <c r="N1182" s="65"/>
      <c r="O1182" s="65"/>
      <c r="P1182" s="65"/>
      <c r="Q1182" s="65"/>
      <c r="R1182" s="65"/>
      <c r="S1182" s="65"/>
      <c r="T1182" s="65"/>
      <c r="U1182" s="65"/>
      <c r="V1182" s="65"/>
      <c r="W1182" s="65"/>
      <c r="X1182" s="65"/>
      <c r="Y1182" s="65"/>
      <c r="Z1182" s="65"/>
      <c r="AA1182" s="65"/>
      <c r="AB1182" s="65"/>
      <c r="AC1182" s="65"/>
    </row>
    <row r="1183">
      <c r="A1183" s="72">
        <v>604.0</v>
      </c>
      <c r="B1183" s="67" t="s">
        <v>2763</v>
      </c>
      <c r="C1183" s="70" t="s">
        <v>69</v>
      </c>
      <c r="D1183" s="70" t="s">
        <v>440</v>
      </c>
      <c r="E1183" s="70" t="s">
        <v>87</v>
      </c>
      <c r="F1183" s="73"/>
      <c r="G1183" s="73"/>
      <c r="H1183" s="70" t="s">
        <v>112</v>
      </c>
      <c r="I1183" s="72">
        <v>38.2</v>
      </c>
      <c r="J1183" s="70" t="s">
        <v>58</v>
      </c>
      <c r="K1183" s="65"/>
      <c r="L1183" s="65"/>
      <c r="M1183" s="65"/>
      <c r="N1183" s="65"/>
      <c r="O1183" s="65"/>
      <c r="P1183" s="65"/>
      <c r="Q1183" s="65"/>
      <c r="R1183" s="65"/>
      <c r="S1183" s="65"/>
      <c r="T1183" s="65"/>
      <c r="U1183" s="65"/>
      <c r="V1183" s="65"/>
      <c r="W1183" s="65"/>
      <c r="X1183" s="65"/>
      <c r="Y1183" s="65"/>
      <c r="Z1183" s="65"/>
      <c r="AA1183" s="65"/>
      <c r="AB1183" s="65"/>
      <c r="AC1183" s="65"/>
    </row>
    <row r="1184">
      <c r="A1184" s="72">
        <v>603.0</v>
      </c>
      <c r="B1184" s="67" t="s">
        <v>2764</v>
      </c>
      <c r="C1184" s="70" t="s">
        <v>69</v>
      </c>
      <c r="D1184" s="73"/>
      <c r="E1184" s="70" t="s">
        <v>64</v>
      </c>
      <c r="F1184" s="73"/>
      <c r="G1184" s="70" t="s">
        <v>64</v>
      </c>
      <c r="H1184" s="70" t="s">
        <v>64</v>
      </c>
      <c r="I1184" s="72">
        <v>66.16</v>
      </c>
      <c r="J1184" s="70" t="s">
        <v>73</v>
      </c>
      <c r="K1184" s="65"/>
      <c r="L1184" s="65"/>
      <c r="M1184" s="65"/>
      <c r="N1184" s="65"/>
      <c r="O1184" s="65"/>
      <c r="P1184" s="65"/>
      <c r="Q1184" s="65"/>
      <c r="R1184" s="65"/>
      <c r="S1184" s="65"/>
      <c r="T1184" s="65"/>
      <c r="U1184" s="65"/>
      <c r="V1184" s="65"/>
      <c r="W1184" s="65"/>
      <c r="X1184" s="65"/>
      <c r="Y1184" s="65"/>
      <c r="Z1184" s="65"/>
      <c r="AA1184" s="65"/>
      <c r="AB1184" s="65"/>
      <c r="AC1184" s="65"/>
    </row>
    <row r="1185">
      <c r="A1185" s="72">
        <v>602.0</v>
      </c>
      <c r="B1185" s="67" t="s">
        <v>2765</v>
      </c>
      <c r="C1185" s="70" t="s">
        <v>56</v>
      </c>
      <c r="D1185" s="73"/>
      <c r="E1185" s="70" t="s">
        <v>799</v>
      </c>
      <c r="F1185" s="73"/>
      <c r="G1185" s="70" t="s">
        <v>64</v>
      </c>
      <c r="H1185" s="70" t="s">
        <v>800</v>
      </c>
      <c r="I1185" s="72">
        <v>57.6</v>
      </c>
      <c r="J1185" s="70" t="s">
        <v>73</v>
      </c>
      <c r="K1185" s="65"/>
      <c r="L1185" s="65"/>
      <c r="M1185" s="65"/>
      <c r="N1185" s="65"/>
      <c r="O1185" s="65"/>
      <c r="P1185" s="65"/>
      <c r="Q1185" s="65"/>
      <c r="R1185" s="65"/>
      <c r="S1185" s="65"/>
      <c r="T1185" s="65"/>
      <c r="U1185" s="65"/>
      <c r="V1185" s="65"/>
      <c r="W1185" s="65"/>
      <c r="X1185" s="65"/>
      <c r="Y1185" s="65"/>
      <c r="Z1185" s="65"/>
      <c r="AA1185" s="65"/>
      <c r="AB1185" s="65"/>
      <c r="AC1185" s="65"/>
    </row>
    <row r="1186">
      <c r="A1186" s="72">
        <v>601.0</v>
      </c>
      <c r="B1186" s="67" t="s">
        <v>2766</v>
      </c>
      <c r="C1186" s="70" t="s">
        <v>60</v>
      </c>
      <c r="D1186" s="73"/>
      <c r="E1186" s="70" t="s">
        <v>2767</v>
      </c>
      <c r="F1186" s="70" t="s">
        <v>64</v>
      </c>
      <c r="G1186" s="70" t="s">
        <v>64</v>
      </c>
      <c r="H1186" s="70" t="s">
        <v>2768</v>
      </c>
      <c r="I1186" s="72">
        <v>45.42</v>
      </c>
      <c r="J1186" s="70" t="s">
        <v>73</v>
      </c>
      <c r="K1186" s="65"/>
      <c r="L1186" s="65"/>
      <c r="M1186" s="65"/>
      <c r="N1186" s="65"/>
      <c r="O1186" s="65"/>
      <c r="P1186" s="65"/>
      <c r="Q1186" s="65"/>
      <c r="R1186" s="65"/>
      <c r="S1186" s="65"/>
      <c r="T1186" s="65"/>
      <c r="U1186" s="65"/>
      <c r="V1186" s="65"/>
      <c r="W1186" s="65"/>
      <c r="X1186" s="65"/>
      <c r="Y1186" s="65"/>
      <c r="Z1186" s="65"/>
      <c r="AA1186" s="65"/>
      <c r="AB1186" s="65"/>
      <c r="AC1186" s="65"/>
    </row>
    <row r="1187">
      <c r="A1187" s="72">
        <v>600.0</v>
      </c>
      <c r="B1187" s="67" t="s">
        <v>2769</v>
      </c>
      <c r="C1187" s="70" t="s">
        <v>60</v>
      </c>
      <c r="D1187" s="70" t="s">
        <v>76</v>
      </c>
      <c r="E1187" s="70" t="s">
        <v>2770</v>
      </c>
      <c r="F1187" s="73"/>
      <c r="G1187" s="73"/>
      <c r="H1187" s="70" t="s">
        <v>2770</v>
      </c>
      <c r="I1187" s="72">
        <v>34.68</v>
      </c>
      <c r="J1187" s="70" t="s">
        <v>58</v>
      </c>
      <c r="K1187" s="65"/>
      <c r="L1187" s="65"/>
      <c r="M1187" s="65"/>
      <c r="N1187" s="65"/>
      <c r="O1187" s="65"/>
      <c r="P1187" s="65"/>
      <c r="Q1187" s="65"/>
      <c r="R1187" s="65"/>
      <c r="S1187" s="65"/>
      <c r="T1187" s="65"/>
      <c r="U1187" s="65"/>
      <c r="V1187" s="65"/>
      <c r="W1187" s="65"/>
      <c r="X1187" s="65"/>
      <c r="Y1187" s="65"/>
      <c r="Z1187" s="65"/>
      <c r="AA1187" s="65"/>
      <c r="AB1187" s="65"/>
      <c r="AC1187" s="65"/>
    </row>
    <row r="1188">
      <c r="A1188" s="72">
        <v>599.0</v>
      </c>
      <c r="B1188" s="67" t="s">
        <v>2771</v>
      </c>
      <c r="C1188" s="70" t="s">
        <v>69</v>
      </c>
      <c r="D1188" s="70" t="s">
        <v>284</v>
      </c>
      <c r="E1188" s="70" t="s">
        <v>2772</v>
      </c>
      <c r="F1188" s="73"/>
      <c r="G1188" s="73"/>
      <c r="H1188" s="70" t="s">
        <v>2773</v>
      </c>
      <c r="I1188" s="72">
        <v>51.8</v>
      </c>
      <c r="J1188" s="70" t="s">
        <v>58</v>
      </c>
      <c r="K1188" s="65"/>
      <c r="L1188" s="65"/>
      <c r="M1188" s="65"/>
      <c r="N1188" s="65"/>
      <c r="O1188" s="65"/>
      <c r="P1188" s="65"/>
      <c r="Q1188" s="65"/>
      <c r="R1188" s="65"/>
      <c r="S1188" s="65"/>
      <c r="T1188" s="65"/>
      <c r="U1188" s="65"/>
      <c r="V1188" s="65"/>
      <c r="W1188" s="65"/>
      <c r="X1188" s="65"/>
      <c r="Y1188" s="65"/>
      <c r="Z1188" s="65"/>
      <c r="AA1188" s="65"/>
      <c r="AB1188" s="65"/>
      <c r="AC1188" s="65"/>
    </row>
    <row r="1189">
      <c r="A1189" s="72">
        <v>598.0</v>
      </c>
      <c r="B1189" s="67" t="s">
        <v>2774</v>
      </c>
      <c r="C1189" s="70" t="s">
        <v>69</v>
      </c>
      <c r="D1189" s="70" t="s">
        <v>99</v>
      </c>
      <c r="E1189" s="70" t="s">
        <v>2775</v>
      </c>
      <c r="F1189" s="70" t="s">
        <v>2775</v>
      </c>
      <c r="G1189" s="70" t="s">
        <v>2775</v>
      </c>
      <c r="H1189" s="70" t="s">
        <v>2775</v>
      </c>
      <c r="I1189" s="72">
        <v>50.17</v>
      </c>
      <c r="J1189" s="70" t="s">
        <v>58</v>
      </c>
      <c r="K1189" s="65"/>
      <c r="L1189" s="65"/>
      <c r="M1189" s="65"/>
      <c r="N1189" s="65"/>
      <c r="O1189" s="65"/>
      <c r="P1189" s="65"/>
      <c r="Q1189" s="65"/>
      <c r="R1189" s="65"/>
      <c r="S1189" s="65"/>
      <c r="T1189" s="65"/>
      <c r="U1189" s="65"/>
      <c r="V1189" s="65"/>
      <c r="W1189" s="65"/>
      <c r="X1189" s="65"/>
      <c r="Y1189" s="65"/>
      <c r="Z1189" s="65"/>
      <c r="AA1189" s="65"/>
      <c r="AB1189" s="65"/>
      <c r="AC1189" s="65"/>
    </row>
    <row r="1190">
      <c r="A1190" s="72">
        <v>597.0</v>
      </c>
      <c r="B1190" s="67" t="s">
        <v>2776</v>
      </c>
      <c r="C1190" s="70" t="s">
        <v>69</v>
      </c>
      <c r="D1190" s="73"/>
      <c r="E1190" s="70" t="s">
        <v>71</v>
      </c>
      <c r="F1190" s="70" t="s">
        <v>71</v>
      </c>
      <c r="G1190" s="70" t="s">
        <v>71</v>
      </c>
      <c r="H1190" s="70" t="s">
        <v>71</v>
      </c>
      <c r="I1190" s="72">
        <v>41.93</v>
      </c>
      <c r="J1190" s="70" t="s">
        <v>73</v>
      </c>
      <c r="K1190" s="65"/>
      <c r="L1190" s="65"/>
      <c r="M1190" s="65"/>
      <c r="N1190" s="65"/>
      <c r="O1190" s="65"/>
      <c r="P1190" s="65"/>
      <c r="Q1190" s="65"/>
      <c r="R1190" s="65"/>
      <c r="S1190" s="65"/>
      <c r="T1190" s="65"/>
      <c r="U1190" s="65"/>
      <c r="V1190" s="65"/>
      <c r="W1190" s="65"/>
      <c r="X1190" s="65"/>
      <c r="Y1190" s="65"/>
      <c r="Z1190" s="65"/>
      <c r="AA1190" s="65"/>
      <c r="AB1190" s="65"/>
      <c r="AC1190" s="65"/>
    </row>
    <row r="1191">
      <c r="A1191" s="72">
        <v>596.0</v>
      </c>
      <c r="B1191" s="67" t="s">
        <v>2777</v>
      </c>
      <c r="C1191" s="70" t="s">
        <v>69</v>
      </c>
      <c r="D1191" s="73"/>
      <c r="E1191" s="73"/>
      <c r="F1191" s="73"/>
      <c r="G1191" s="73"/>
      <c r="H1191" s="73"/>
      <c r="I1191" s="72">
        <v>38.89</v>
      </c>
      <c r="J1191" s="70" t="s">
        <v>73</v>
      </c>
      <c r="K1191" s="65"/>
      <c r="L1191" s="65"/>
      <c r="M1191" s="65"/>
      <c r="N1191" s="65"/>
      <c r="O1191" s="65"/>
      <c r="P1191" s="65"/>
      <c r="Q1191" s="65"/>
      <c r="R1191" s="65"/>
      <c r="S1191" s="65"/>
      <c r="T1191" s="65"/>
      <c r="U1191" s="65"/>
      <c r="V1191" s="65"/>
      <c r="W1191" s="65"/>
      <c r="X1191" s="65"/>
      <c r="Y1191" s="65"/>
      <c r="Z1191" s="65"/>
      <c r="AA1191" s="65"/>
      <c r="AB1191" s="65"/>
      <c r="AC1191" s="65"/>
    </row>
    <row r="1192">
      <c r="A1192" s="72">
        <v>595.0</v>
      </c>
      <c r="B1192" s="67" t="s">
        <v>2778</v>
      </c>
      <c r="C1192" s="70" t="s">
        <v>69</v>
      </c>
      <c r="D1192" s="73"/>
      <c r="E1192" s="75" t="s">
        <v>2779</v>
      </c>
      <c r="F1192" s="73"/>
      <c r="G1192" s="73"/>
      <c r="H1192" s="70" t="s">
        <v>189</v>
      </c>
      <c r="I1192" s="72">
        <v>78.55</v>
      </c>
      <c r="J1192" s="70" t="s">
        <v>73</v>
      </c>
      <c r="K1192" s="65"/>
      <c r="L1192" s="65"/>
      <c r="M1192" s="65"/>
      <c r="N1192" s="65"/>
      <c r="O1192" s="65"/>
      <c r="P1192" s="65"/>
      <c r="Q1192" s="65"/>
      <c r="R1192" s="65"/>
      <c r="S1192" s="65"/>
      <c r="T1192" s="65"/>
      <c r="U1192" s="65"/>
      <c r="V1192" s="65"/>
      <c r="W1192" s="65"/>
      <c r="X1192" s="65"/>
      <c r="Y1192" s="65"/>
      <c r="Z1192" s="65"/>
      <c r="AA1192" s="65"/>
      <c r="AB1192" s="65"/>
      <c r="AC1192" s="65"/>
    </row>
    <row r="1193">
      <c r="A1193" s="72">
        <v>594.0</v>
      </c>
      <c r="B1193" s="67" t="s">
        <v>2780</v>
      </c>
      <c r="C1193" s="70" t="s">
        <v>69</v>
      </c>
      <c r="D1193" s="75" t="s">
        <v>284</v>
      </c>
      <c r="E1193" s="76" t="s">
        <v>2781</v>
      </c>
      <c r="F1193" s="73"/>
      <c r="G1193" s="73"/>
      <c r="H1193" s="70" t="s">
        <v>2782</v>
      </c>
      <c r="I1193" s="72">
        <v>51.21</v>
      </c>
      <c r="J1193" s="70" t="s">
        <v>58</v>
      </c>
      <c r="K1193" s="65"/>
      <c r="L1193" s="65"/>
      <c r="M1193" s="65"/>
      <c r="N1193" s="65"/>
      <c r="O1193" s="65"/>
      <c r="P1193" s="65"/>
      <c r="Q1193" s="65"/>
      <c r="R1193" s="65"/>
      <c r="S1193" s="65"/>
      <c r="T1193" s="65"/>
      <c r="U1193" s="65"/>
      <c r="V1193" s="65"/>
      <c r="W1193" s="65"/>
      <c r="X1193" s="65"/>
      <c r="Y1193" s="65"/>
      <c r="Z1193" s="65"/>
      <c r="AA1193" s="65"/>
      <c r="AB1193" s="65"/>
      <c r="AC1193" s="65"/>
    </row>
    <row r="1194">
      <c r="A1194" s="72">
        <v>593.0</v>
      </c>
      <c r="B1194" s="67" t="s">
        <v>2783</v>
      </c>
      <c r="C1194" s="75" t="s">
        <v>56</v>
      </c>
      <c r="D1194" s="75" t="s">
        <v>99</v>
      </c>
      <c r="E1194" s="76" t="s">
        <v>2784</v>
      </c>
      <c r="F1194" s="70" t="s">
        <v>2785</v>
      </c>
      <c r="G1194" s="70" t="s">
        <v>2785</v>
      </c>
      <c r="H1194" s="70" t="s">
        <v>2786</v>
      </c>
      <c r="I1194" s="72">
        <v>43.29</v>
      </c>
      <c r="J1194" s="70" t="s">
        <v>58</v>
      </c>
      <c r="K1194" s="65"/>
      <c r="L1194" s="65"/>
      <c r="M1194" s="65"/>
      <c r="N1194" s="65"/>
      <c r="O1194" s="65"/>
      <c r="P1194" s="65"/>
      <c r="Q1194" s="65"/>
      <c r="R1194" s="65"/>
      <c r="S1194" s="65"/>
      <c r="T1194" s="65"/>
      <c r="U1194" s="65"/>
      <c r="V1194" s="65"/>
      <c r="W1194" s="65"/>
      <c r="X1194" s="65"/>
      <c r="Y1194" s="65"/>
      <c r="Z1194" s="65"/>
      <c r="AA1194" s="65"/>
      <c r="AB1194" s="65"/>
      <c r="AC1194" s="65"/>
    </row>
    <row r="1195">
      <c r="A1195" s="72">
        <v>592.0</v>
      </c>
      <c r="B1195" s="67" t="s">
        <v>2787</v>
      </c>
      <c r="C1195" s="75" t="s">
        <v>56</v>
      </c>
      <c r="D1195" s="76" t="s">
        <v>99</v>
      </c>
      <c r="E1195" s="76" t="s">
        <v>2788</v>
      </c>
      <c r="F1195" s="70" t="s">
        <v>2788</v>
      </c>
      <c r="G1195" s="70" t="s">
        <v>2788</v>
      </c>
      <c r="H1195" s="70" t="s">
        <v>2788</v>
      </c>
      <c r="I1195" s="72">
        <v>50.17</v>
      </c>
      <c r="J1195" s="70" t="s">
        <v>58</v>
      </c>
      <c r="K1195" s="65"/>
      <c r="L1195" s="65"/>
      <c r="M1195" s="65"/>
      <c r="N1195" s="65"/>
      <c r="O1195" s="65"/>
      <c r="P1195" s="65"/>
      <c r="Q1195" s="65"/>
      <c r="R1195" s="65"/>
      <c r="S1195" s="65"/>
      <c r="T1195" s="65"/>
      <c r="U1195" s="65"/>
      <c r="V1195" s="65"/>
      <c r="W1195" s="65"/>
      <c r="X1195" s="65"/>
      <c r="Y1195" s="65"/>
      <c r="Z1195" s="65"/>
      <c r="AA1195" s="65"/>
      <c r="AB1195" s="65"/>
      <c r="AC1195" s="65"/>
    </row>
    <row r="1196">
      <c r="A1196" s="72">
        <v>591.0</v>
      </c>
      <c r="B1196" s="67" t="s">
        <v>2789</v>
      </c>
      <c r="C1196" s="70" t="s">
        <v>60</v>
      </c>
      <c r="D1196" s="70" t="s">
        <v>531</v>
      </c>
      <c r="E1196" s="70" t="s">
        <v>2790</v>
      </c>
      <c r="F1196" s="73"/>
      <c r="G1196" s="73"/>
      <c r="H1196" s="70" t="s">
        <v>2791</v>
      </c>
      <c r="I1196" s="72">
        <v>34.73</v>
      </c>
      <c r="J1196" s="70" t="s">
        <v>58</v>
      </c>
      <c r="K1196" s="65"/>
      <c r="L1196" s="65"/>
      <c r="M1196" s="65"/>
      <c r="N1196" s="65"/>
      <c r="O1196" s="65"/>
      <c r="P1196" s="65"/>
      <c r="Q1196" s="65"/>
      <c r="R1196" s="65"/>
      <c r="S1196" s="65"/>
      <c r="T1196" s="65"/>
      <c r="U1196" s="65"/>
      <c r="V1196" s="65"/>
      <c r="W1196" s="65"/>
      <c r="X1196" s="65"/>
      <c r="Y1196" s="65"/>
      <c r="Z1196" s="65"/>
      <c r="AA1196" s="65"/>
      <c r="AB1196" s="65"/>
      <c r="AC1196" s="65"/>
    </row>
    <row r="1197">
      <c r="A1197" s="72">
        <v>590.0</v>
      </c>
      <c r="B1197" s="67" t="s">
        <v>2792</v>
      </c>
      <c r="C1197" s="70" t="s">
        <v>69</v>
      </c>
      <c r="D1197" s="70" t="s">
        <v>320</v>
      </c>
      <c r="E1197" s="70" t="s">
        <v>112</v>
      </c>
      <c r="F1197" s="73"/>
      <c r="G1197" s="70" t="s">
        <v>64</v>
      </c>
      <c r="H1197" s="70" t="s">
        <v>112</v>
      </c>
      <c r="I1197" s="72">
        <v>73.47</v>
      </c>
      <c r="J1197" s="70" t="s">
        <v>58</v>
      </c>
      <c r="K1197" s="65"/>
      <c r="L1197" s="65"/>
      <c r="M1197" s="65"/>
      <c r="N1197" s="65"/>
      <c r="O1197" s="65"/>
      <c r="P1197" s="65"/>
      <c r="Q1197" s="65"/>
      <c r="R1197" s="65"/>
      <c r="S1197" s="65"/>
      <c r="T1197" s="65"/>
      <c r="U1197" s="65"/>
      <c r="V1197" s="65"/>
      <c r="W1197" s="65"/>
      <c r="X1197" s="65"/>
      <c r="Y1197" s="65"/>
      <c r="Z1197" s="65"/>
      <c r="AA1197" s="65"/>
      <c r="AB1197" s="65"/>
      <c r="AC1197" s="65"/>
    </row>
    <row r="1198">
      <c r="A1198" s="72">
        <v>589.0</v>
      </c>
      <c r="B1198" s="67" t="s">
        <v>2793</v>
      </c>
      <c r="C1198" s="70" t="s">
        <v>69</v>
      </c>
      <c r="D1198" s="70" t="s">
        <v>320</v>
      </c>
      <c r="E1198" s="73"/>
      <c r="F1198" s="73"/>
      <c r="G1198" s="73"/>
      <c r="H1198" s="73"/>
      <c r="I1198" s="72">
        <v>73.46</v>
      </c>
      <c r="J1198" s="70" t="s">
        <v>58</v>
      </c>
      <c r="K1198" s="65"/>
      <c r="L1198" s="65"/>
      <c r="M1198" s="65"/>
      <c r="N1198" s="65"/>
      <c r="O1198" s="65"/>
      <c r="P1198" s="65"/>
      <c r="Q1198" s="65"/>
      <c r="R1198" s="65"/>
      <c r="S1198" s="65"/>
      <c r="T1198" s="65"/>
      <c r="U1198" s="65"/>
      <c r="V1198" s="65"/>
      <c r="W1198" s="65"/>
      <c r="X1198" s="65"/>
      <c r="Y1198" s="65"/>
      <c r="Z1198" s="65"/>
      <c r="AA1198" s="65"/>
      <c r="AB1198" s="65"/>
      <c r="AC1198" s="65"/>
    </row>
    <row r="1199">
      <c r="A1199" s="72">
        <v>588.0</v>
      </c>
      <c r="B1199" s="67" t="s">
        <v>2794</v>
      </c>
      <c r="C1199" s="70" t="s">
        <v>60</v>
      </c>
      <c r="D1199" s="70" t="s">
        <v>440</v>
      </c>
      <c r="E1199" s="70" t="s">
        <v>2795</v>
      </c>
      <c r="F1199" s="70" t="s">
        <v>2796</v>
      </c>
      <c r="G1199" s="70" t="s">
        <v>2796</v>
      </c>
      <c r="H1199" s="70" t="s">
        <v>2797</v>
      </c>
      <c r="I1199" s="72">
        <v>46.66</v>
      </c>
      <c r="J1199" s="70" t="s">
        <v>58</v>
      </c>
      <c r="K1199" s="65"/>
      <c r="L1199" s="65"/>
      <c r="M1199" s="65"/>
      <c r="N1199" s="65"/>
      <c r="O1199" s="65"/>
      <c r="P1199" s="65"/>
      <c r="Q1199" s="65"/>
      <c r="R1199" s="65"/>
      <c r="S1199" s="65"/>
      <c r="T1199" s="65"/>
      <c r="U1199" s="65"/>
      <c r="V1199" s="65"/>
      <c r="W1199" s="65"/>
      <c r="X1199" s="65"/>
      <c r="Y1199" s="65"/>
      <c r="Z1199" s="65"/>
      <c r="AA1199" s="65"/>
      <c r="AB1199" s="65"/>
      <c r="AC1199" s="65"/>
    </row>
    <row r="1200">
      <c r="A1200" s="72">
        <v>587.0</v>
      </c>
      <c r="B1200" s="67" t="s">
        <v>2798</v>
      </c>
      <c r="C1200" s="70" t="s">
        <v>60</v>
      </c>
      <c r="D1200" s="70" t="s">
        <v>582</v>
      </c>
      <c r="E1200" s="70" t="s">
        <v>28</v>
      </c>
      <c r="F1200" s="73"/>
      <c r="G1200" s="73"/>
      <c r="H1200" s="70" t="s">
        <v>28</v>
      </c>
      <c r="I1200" s="72">
        <v>36.49</v>
      </c>
      <c r="J1200" s="70" t="s">
        <v>58</v>
      </c>
      <c r="K1200" s="65"/>
      <c r="L1200" s="65"/>
      <c r="M1200" s="65"/>
      <c r="N1200" s="65"/>
      <c r="O1200" s="65"/>
      <c r="P1200" s="65"/>
      <c r="Q1200" s="65"/>
      <c r="R1200" s="65"/>
      <c r="S1200" s="65"/>
      <c r="T1200" s="65"/>
      <c r="U1200" s="65"/>
      <c r="V1200" s="65"/>
      <c r="W1200" s="65"/>
      <c r="X1200" s="65"/>
      <c r="Y1200" s="65"/>
      <c r="Z1200" s="65"/>
      <c r="AA1200" s="65"/>
      <c r="AB1200" s="65"/>
      <c r="AC1200" s="65"/>
    </row>
    <row r="1201">
      <c r="A1201" s="72">
        <v>586.0</v>
      </c>
      <c r="B1201" s="67" t="s">
        <v>2799</v>
      </c>
      <c r="C1201" s="70" t="s">
        <v>69</v>
      </c>
      <c r="D1201" s="73"/>
      <c r="E1201" s="70" t="s">
        <v>2681</v>
      </c>
      <c r="F1201" s="73"/>
      <c r="G1201" s="70" t="s">
        <v>64</v>
      </c>
      <c r="H1201" s="70" t="s">
        <v>2681</v>
      </c>
      <c r="I1201" s="72">
        <v>75.42</v>
      </c>
      <c r="J1201" s="70" t="s">
        <v>73</v>
      </c>
      <c r="K1201" s="65"/>
      <c r="L1201" s="65"/>
      <c r="M1201" s="65"/>
      <c r="N1201" s="65"/>
      <c r="O1201" s="65"/>
      <c r="P1201" s="65"/>
      <c r="Q1201" s="65"/>
      <c r="R1201" s="65"/>
      <c r="S1201" s="65"/>
      <c r="T1201" s="65"/>
      <c r="U1201" s="65"/>
      <c r="V1201" s="65"/>
      <c r="W1201" s="65"/>
      <c r="X1201" s="65"/>
      <c r="Y1201" s="65"/>
      <c r="Z1201" s="65"/>
      <c r="AA1201" s="65"/>
      <c r="AB1201" s="65"/>
      <c r="AC1201" s="65"/>
    </row>
    <row r="1202">
      <c r="A1202" s="72">
        <v>585.0</v>
      </c>
      <c r="B1202" s="67" t="s">
        <v>2800</v>
      </c>
      <c r="C1202" s="70" t="s">
        <v>56</v>
      </c>
      <c r="D1202" s="73"/>
      <c r="E1202" s="70" t="s">
        <v>82</v>
      </c>
      <c r="F1202" s="73"/>
      <c r="G1202" s="73"/>
      <c r="H1202" s="70" t="s">
        <v>82</v>
      </c>
      <c r="I1202" s="72">
        <v>57.2</v>
      </c>
      <c r="J1202" s="70" t="s">
        <v>73</v>
      </c>
      <c r="K1202" s="65"/>
      <c r="L1202" s="65"/>
      <c r="M1202" s="65"/>
      <c r="N1202" s="65"/>
      <c r="O1202" s="65"/>
      <c r="P1202" s="65"/>
      <c r="Q1202" s="65"/>
      <c r="R1202" s="65"/>
      <c r="S1202" s="65"/>
      <c r="T1202" s="65"/>
      <c r="U1202" s="65"/>
      <c r="V1202" s="65"/>
      <c r="W1202" s="65"/>
      <c r="X1202" s="65"/>
      <c r="Y1202" s="65"/>
      <c r="Z1202" s="65"/>
      <c r="AA1202" s="65"/>
      <c r="AB1202" s="65"/>
      <c r="AC1202" s="65"/>
    </row>
    <row r="1203">
      <c r="A1203" s="72">
        <v>584.0</v>
      </c>
      <c r="B1203" s="67" t="s">
        <v>2801</v>
      </c>
      <c r="C1203" s="70" t="s">
        <v>69</v>
      </c>
      <c r="D1203" s="73"/>
      <c r="E1203" s="70" t="s">
        <v>64</v>
      </c>
      <c r="F1203" s="73"/>
      <c r="G1203" s="73"/>
      <c r="H1203" s="70" t="s">
        <v>64</v>
      </c>
      <c r="I1203" s="72">
        <v>74.09</v>
      </c>
      <c r="J1203" s="70" t="s">
        <v>73</v>
      </c>
      <c r="K1203" s="65"/>
      <c r="L1203" s="65"/>
      <c r="M1203" s="65"/>
      <c r="N1203" s="65"/>
      <c r="O1203" s="65"/>
      <c r="P1203" s="65"/>
      <c r="Q1203" s="65"/>
      <c r="R1203" s="65"/>
      <c r="S1203" s="65"/>
      <c r="T1203" s="65"/>
      <c r="U1203" s="65"/>
      <c r="V1203" s="65"/>
      <c r="W1203" s="65"/>
      <c r="X1203" s="65"/>
      <c r="Y1203" s="65"/>
      <c r="Z1203" s="65"/>
      <c r="AA1203" s="65"/>
      <c r="AB1203" s="65"/>
      <c r="AC1203" s="65"/>
    </row>
    <row r="1204">
      <c r="A1204" s="72">
        <v>583.0</v>
      </c>
      <c r="B1204" s="67" t="s">
        <v>2802</v>
      </c>
      <c r="C1204" s="70" t="s">
        <v>56</v>
      </c>
      <c r="D1204" s="70" t="s">
        <v>70</v>
      </c>
      <c r="E1204" s="70" t="s">
        <v>28</v>
      </c>
      <c r="F1204" s="73"/>
      <c r="G1204" s="73"/>
      <c r="H1204" s="70" t="s">
        <v>28</v>
      </c>
      <c r="I1204" s="72">
        <v>50.19</v>
      </c>
      <c r="J1204" s="70" t="s">
        <v>58</v>
      </c>
      <c r="K1204" s="65"/>
      <c r="L1204" s="65"/>
      <c r="M1204" s="65"/>
      <c r="N1204" s="65"/>
      <c r="O1204" s="65"/>
      <c r="P1204" s="65"/>
      <c r="Q1204" s="65"/>
      <c r="R1204" s="65"/>
      <c r="S1204" s="65"/>
      <c r="T1204" s="65"/>
      <c r="U1204" s="65"/>
      <c r="V1204" s="65"/>
      <c r="W1204" s="65"/>
      <c r="X1204" s="65"/>
      <c r="Y1204" s="65"/>
      <c r="Z1204" s="65"/>
      <c r="AA1204" s="65"/>
      <c r="AB1204" s="65"/>
      <c r="AC1204" s="65"/>
    </row>
    <row r="1205">
      <c r="A1205" s="72">
        <v>582.0</v>
      </c>
      <c r="B1205" s="67" t="s">
        <v>2803</v>
      </c>
      <c r="C1205" s="70" t="s">
        <v>56</v>
      </c>
      <c r="D1205" s="70" t="s">
        <v>2804</v>
      </c>
      <c r="E1205" s="70" t="s">
        <v>2805</v>
      </c>
      <c r="F1205" s="70" t="s">
        <v>189</v>
      </c>
      <c r="G1205" s="70" t="s">
        <v>189</v>
      </c>
      <c r="H1205" s="70" t="s">
        <v>1615</v>
      </c>
      <c r="I1205" s="72">
        <v>63.74</v>
      </c>
      <c r="J1205" s="70" t="s">
        <v>58</v>
      </c>
      <c r="K1205" s="65"/>
      <c r="L1205" s="65"/>
      <c r="M1205" s="65"/>
      <c r="N1205" s="65"/>
      <c r="O1205" s="65"/>
      <c r="P1205" s="65"/>
      <c r="Q1205" s="65"/>
      <c r="R1205" s="65"/>
      <c r="S1205" s="65"/>
      <c r="T1205" s="65"/>
      <c r="U1205" s="65"/>
      <c r="V1205" s="65"/>
      <c r="W1205" s="65"/>
      <c r="X1205" s="65"/>
      <c r="Y1205" s="65"/>
      <c r="Z1205" s="65"/>
      <c r="AA1205" s="65"/>
      <c r="AB1205" s="65"/>
      <c r="AC1205" s="65"/>
    </row>
    <row r="1206">
      <c r="A1206" s="72">
        <v>581.0</v>
      </c>
      <c r="B1206" s="67" t="s">
        <v>2806</v>
      </c>
      <c r="C1206" s="70" t="s">
        <v>56</v>
      </c>
      <c r="D1206" s="70" t="s">
        <v>93</v>
      </c>
      <c r="E1206" s="70" t="s">
        <v>2807</v>
      </c>
      <c r="F1206" s="70" t="s">
        <v>411</v>
      </c>
      <c r="G1206" s="70" t="s">
        <v>411</v>
      </c>
      <c r="H1206" s="70" t="s">
        <v>2808</v>
      </c>
      <c r="I1206" s="72">
        <v>32.85</v>
      </c>
      <c r="J1206" s="70" t="s">
        <v>58</v>
      </c>
      <c r="K1206" s="65"/>
      <c r="L1206" s="65"/>
      <c r="M1206" s="65"/>
      <c r="N1206" s="65"/>
      <c r="O1206" s="65"/>
      <c r="P1206" s="65"/>
      <c r="Q1206" s="65"/>
      <c r="R1206" s="65"/>
      <c r="S1206" s="65"/>
      <c r="T1206" s="65"/>
      <c r="U1206" s="65"/>
      <c r="V1206" s="65"/>
      <c r="W1206" s="65"/>
      <c r="X1206" s="65"/>
      <c r="Y1206" s="65"/>
      <c r="Z1206" s="65"/>
      <c r="AA1206" s="65"/>
      <c r="AB1206" s="65"/>
      <c r="AC1206" s="65"/>
    </row>
    <row r="1207">
      <c r="A1207" s="72">
        <v>580.0</v>
      </c>
      <c r="B1207" s="67" t="s">
        <v>2809</v>
      </c>
      <c r="C1207" s="70" t="s">
        <v>56</v>
      </c>
      <c r="D1207" s="73"/>
      <c r="E1207" s="70" t="s">
        <v>82</v>
      </c>
      <c r="F1207" s="73"/>
      <c r="G1207" s="73"/>
      <c r="H1207" s="70" t="s">
        <v>82</v>
      </c>
      <c r="I1207" s="72">
        <v>51.95</v>
      </c>
      <c r="J1207" s="70" t="s">
        <v>73</v>
      </c>
      <c r="K1207" s="65"/>
      <c r="L1207" s="65"/>
      <c r="M1207" s="65"/>
      <c r="N1207" s="65"/>
      <c r="O1207" s="65"/>
      <c r="P1207" s="65"/>
      <c r="Q1207" s="65"/>
      <c r="R1207" s="65"/>
      <c r="S1207" s="65"/>
      <c r="T1207" s="65"/>
      <c r="U1207" s="65"/>
      <c r="V1207" s="65"/>
      <c r="W1207" s="65"/>
      <c r="X1207" s="65"/>
      <c r="Y1207" s="65"/>
      <c r="Z1207" s="65"/>
      <c r="AA1207" s="65"/>
      <c r="AB1207" s="65"/>
      <c r="AC1207" s="65"/>
    </row>
    <row r="1208">
      <c r="A1208" s="72">
        <v>579.0</v>
      </c>
      <c r="B1208" s="67" t="s">
        <v>2810</v>
      </c>
      <c r="C1208" s="70" t="s">
        <v>60</v>
      </c>
      <c r="D1208" s="73"/>
      <c r="E1208" s="70" t="s">
        <v>64</v>
      </c>
      <c r="F1208" s="70" t="s">
        <v>64</v>
      </c>
      <c r="G1208" s="70" t="s">
        <v>64</v>
      </c>
      <c r="H1208" s="70" t="s">
        <v>64</v>
      </c>
      <c r="I1208" s="72">
        <v>38.52</v>
      </c>
      <c r="J1208" s="70" t="s">
        <v>73</v>
      </c>
      <c r="K1208" s="65"/>
      <c r="L1208" s="65"/>
      <c r="M1208" s="65"/>
      <c r="N1208" s="65"/>
      <c r="O1208" s="65"/>
      <c r="P1208" s="65"/>
      <c r="Q1208" s="65"/>
      <c r="R1208" s="65"/>
      <c r="S1208" s="65"/>
      <c r="T1208" s="65"/>
      <c r="U1208" s="65"/>
      <c r="V1208" s="65"/>
      <c r="W1208" s="65"/>
      <c r="X1208" s="65"/>
      <c r="Y1208" s="65"/>
      <c r="Z1208" s="65"/>
      <c r="AA1208" s="65"/>
      <c r="AB1208" s="65"/>
      <c r="AC1208" s="65"/>
    </row>
    <row r="1209">
      <c r="A1209" s="72">
        <v>578.0</v>
      </c>
      <c r="B1209" s="67" t="s">
        <v>2811</v>
      </c>
      <c r="C1209" s="70" t="s">
        <v>56</v>
      </c>
      <c r="D1209" s="73"/>
      <c r="E1209" s="75" t="s">
        <v>71</v>
      </c>
      <c r="F1209" s="73"/>
      <c r="G1209" s="73"/>
      <c r="H1209" s="70" t="s">
        <v>71</v>
      </c>
      <c r="I1209" s="72">
        <v>41.88</v>
      </c>
      <c r="J1209" s="70" t="s">
        <v>73</v>
      </c>
      <c r="K1209" s="65"/>
      <c r="L1209" s="65"/>
      <c r="M1209" s="65"/>
      <c r="N1209" s="65"/>
      <c r="O1209" s="65"/>
      <c r="P1209" s="65"/>
      <c r="Q1209" s="65"/>
      <c r="R1209" s="65"/>
      <c r="S1209" s="65"/>
      <c r="T1209" s="65"/>
      <c r="U1209" s="65"/>
      <c r="V1209" s="65"/>
      <c r="W1209" s="65"/>
      <c r="X1209" s="65"/>
      <c r="Y1209" s="65"/>
      <c r="Z1209" s="65"/>
      <c r="AA1209" s="65"/>
      <c r="AB1209" s="65"/>
      <c r="AC1209" s="65"/>
    </row>
    <row r="1210">
      <c r="A1210" s="72">
        <v>577.0</v>
      </c>
      <c r="B1210" s="67" t="s">
        <v>2812</v>
      </c>
      <c r="C1210" s="70" t="s">
        <v>69</v>
      </c>
      <c r="D1210" s="79"/>
      <c r="E1210" s="76" t="s">
        <v>2813</v>
      </c>
      <c r="F1210" s="73"/>
      <c r="G1210" s="73"/>
      <c r="H1210" s="70" t="s">
        <v>2813</v>
      </c>
      <c r="I1210" s="72">
        <v>71.69</v>
      </c>
      <c r="J1210" s="70" t="s">
        <v>73</v>
      </c>
      <c r="K1210" s="65"/>
      <c r="L1210" s="65"/>
      <c r="M1210" s="65"/>
      <c r="N1210" s="65"/>
      <c r="O1210" s="65"/>
      <c r="P1210" s="65"/>
      <c r="Q1210" s="65"/>
      <c r="R1210" s="65"/>
      <c r="S1210" s="65"/>
      <c r="T1210" s="65"/>
      <c r="U1210" s="65"/>
      <c r="V1210" s="65"/>
      <c r="W1210" s="65"/>
      <c r="X1210" s="65"/>
      <c r="Y1210" s="65"/>
      <c r="Z1210" s="65"/>
      <c r="AA1210" s="65"/>
      <c r="AB1210" s="65"/>
      <c r="AC1210" s="65"/>
    </row>
    <row r="1211">
      <c r="A1211" s="72">
        <v>576.0</v>
      </c>
      <c r="B1211" s="67" t="s">
        <v>2814</v>
      </c>
      <c r="C1211" s="75" t="s">
        <v>56</v>
      </c>
      <c r="D1211" s="75" t="s">
        <v>1080</v>
      </c>
      <c r="E1211" s="76" t="s">
        <v>2815</v>
      </c>
      <c r="F1211" s="70" t="s">
        <v>64</v>
      </c>
      <c r="G1211" s="70" t="s">
        <v>64</v>
      </c>
      <c r="H1211" s="70" t="s">
        <v>2027</v>
      </c>
      <c r="I1211" s="72">
        <v>36.04</v>
      </c>
      <c r="J1211" s="70" t="s">
        <v>58</v>
      </c>
      <c r="K1211" s="65"/>
      <c r="L1211" s="65"/>
      <c r="M1211" s="65"/>
      <c r="N1211" s="65"/>
      <c r="O1211" s="65"/>
      <c r="P1211" s="65"/>
      <c r="Q1211" s="65"/>
      <c r="R1211" s="65"/>
      <c r="S1211" s="65"/>
      <c r="T1211" s="65"/>
      <c r="U1211" s="65"/>
      <c r="V1211" s="65"/>
      <c r="W1211" s="65"/>
      <c r="X1211" s="65"/>
      <c r="Y1211" s="65"/>
      <c r="Z1211" s="65"/>
      <c r="AA1211" s="65"/>
      <c r="AB1211" s="65"/>
      <c r="AC1211" s="65"/>
    </row>
    <row r="1212">
      <c r="A1212" s="72">
        <v>575.0</v>
      </c>
      <c r="B1212" s="67" t="s">
        <v>2816</v>
      </c>
      <c r="C1212" s="75" t="s">
        <v>69</v>
      </c>
      <c r="D1212" s="76" t="s">
        <v>284</v>
      </c>
      <c r="E1212" s="76" t="s">
        <v>2817</v>
      </c>
      <c r="F1212" s="73"/>
      <c r="G1212" s="73"/>
      <c r="H1212" s="70" t="s">
        <v>2818</v>
      </c>
      <c r="I1212" s="72">
        <v>64.51</v>
      </c>
      <c r="J1212" s="70" t="s">
        <v>58</v>
      </c>
      <c r="K1212" s="65"/>
      <c r="L1212" s="65"/>
      <c r="M1212" s="65"/>
      <c r="N1212" s="65"/>
      <c r="O1212" s="65"/>
      <c r="P1212" s="65"/>
      <c r="Q1212" s="65"/>
      <c r="R1212" s="65"/>
      <c r="S1212" s="65"/>
      <c r="T1212" s="65"/>
      <c r="U1212" s="65"/>
      <c r="V1212" s="65"/>
      <c r="W1212" s="65"/>
      <c r="X1212" s="65"/>
      <c r="Y1212" s="65"/>
      <c r="Z1212" s="65"/>
      <c r="AA1212" s="65"/>
      <c r="AB1212" s="65"/>
      <c r="AC1212" s="65"/>
    </row>
    <row r="1213">
      <c r="A1213" s="72">
        <v>574.0</v>
      </c>
      <c r="B1213" s="67" t="s">
        <v>2819</v>
      </c>
      <c r="C1213" s="70" t="s">
        <v>56</v>
      </c>
      <c r="D1213" s="73"/>
      <c r="E1213" s="73"/>
      <c r="F1213" s="73"/>
      <c r="G1213" s="73"/>
      <c r="H1213" s="73"/>
      <c r="I1213" s="72">
        <v>52.38</v>
      </c>
      <c r="J1213" s="70" t="s">
        <v>73</v>
      </c>
      <c r="K1213" s="65"/>
      <c r="L1213" s="65"/>
      <c r="M1213" s="65"/>
      <c r="N1213" s="65"/>
      <c r="O1213" s="65"/>
      <c r="P1213" s="65"/>
      <c r="Q1213" s="65"/>
      <c r="R1213" s="65"/>
      <c r="S1213" s="65"/>
      <c r="T1213" s="65"/>
      <c r="U1213" s="65"/>
      <c r="V1213" s="65"/>
      <c r="W1213" s="65"/>
      <c r="X1213" s="65"/>
      <c r="Y1213" s="65"/>
      <c r="Z1213" s="65"/>
      <c r="AA1213" s="65"/>
      <c r="AB1213" s="65"/>
      <c r="AC1213" s="65"/>
    </row>
    <row r="1214">
      <c r="A1214" s="72">
        <v>573.0</v>
      </c>
      <c r="B1214" s="67" t="s">
        <v>2820</v>
      </c>
      <c r="C1214" s="70" t="s">
        <v>56</v>
      </c>
      <c r="D1214" s="70" t="s">
        <v>99</v>
      </c>
      <c r="E1214" s="70" t="s">
        <v>1685</v>
      </c>
      <c r="F1214" s="73"/>
      <c r="G1214" s="73"/>
      <c r="H1214" s="70" t="s">
        <v>1685</v>
      </c>
      <c r="I1214" s="72">
        <v>54.12</v>
      </c>
      <c r="J1214" s="70" t="s">
        <v>58</v>
      </c>
      <c r="K1214" s="65"/>
      <c r="L1214" s="65"/>
      <c r="M1214" s="65"/>
      <c r="N1214" s="65"/>
      <c r="O1214" s="65"/>
      <c r="P1214" s="65"/>
      <c r="Q1214" s="65"/>
      <c r="R1214" s="65"/>
      <c r="S1214" s="65"/>
      <c r="T1214" s="65"/>
      <c r="U1214" s="65"/>
      <c r="V1214" s="65"/>
      <c r="W1214" s="65"/>
      <c r="X1214" s="65"/>
      <c r="Y1214" s="65"/>
      <c r="Z1214" s="65"/>
      <c r="AA1214" s="65"/>
      <c r="AB1214" s="65"/>
      <c r="AC1214" s="65"/>
    </row>
    <row r="1215">
      <c r="A1215" s="72">
        <v>572.0</v>
      </c>
      <c r="B1215" s="67" t="s">
        <v>2821</v>
      </c>
      <c r="C1215" s="70" t="s">
        <v>69</v>
      </c>
      <c r="D1215" s="70" t="s">
        <v>320</v>
      </c>
      <c r="E1215" s="70" t="s">
        <v>2822</v>
      </c>
      <c r="F1215" s="70" t="s">
        <v>2823</v>
      </c>
      <c r="G1215" s="70" t="s">
        <v>2824</v>
      </c>
      <c r="H1215" s="70" t="s">
        <v>2825</v>
      </c>
      <c r="I1215" s="72">
        <v>44.54</v>
      </c>
      <c r="J1215" s="70" t="s">
        <v>58</v>
      </c>
      <c r="K1215" s="65"/>
      <c r="L1215" s="65"/>
      <c r="M1215" s="65"/>
      <c r="N1215" s="65"/>
      <c r="O1215" s="65"/>
      <c r="P1215" s="65"/>
      <c r="Q1215" s="65"/>
      <c r="R1215" s="65"/>
      <c r="S1215" s="65"/>
      <c r="T1215" s="65"/>
      <c r="U1215" s="65"/>
      <c r="V1215" s="65"/>
      <c r="W1215" s="65"/>
      <c r="X1215" s="65"/>
      <c r="Y1215" s="65"/>
      <c r="Z1215" s="65"/>
      <c r="AA1215" s="65"/>
      <c r="AB1215" s="65"/>
      <c r="AC1215" s="65"/>
    </row>
    <row r="1216">
      <c r="A1216" s="72">
        <v>571.0</v>
      </c>
      <c r="B1216" s="67" t="s">
        <v>2826</v>
      </c>
      <c r="C1216" s="70" t="s">
        <v>60</v>
      </c>
      <c r="D1216" s="73"/>
      <c r="E1216" s="70" t="s">
        <v>2827</v>
      </c>
      <c r="F1216" s="73"/>
      <c r="G1216" s="73"/>
      <c r="H1216" s="70" t="s">
        <v>2827</v>
      </c>
      <c r="I1216" s="72">
        <v>45.47</v>
      </c>
      <c r="J1216" s="70" t="s">
        <v>73</v>
      </c>
      <c r="K1216" s="65"/>
      <c r="L1216" s="65"/>
      <c r="M1216" s="65"/>
      <c r="N1216" s="65"/>
      <c r="O1216" s="65"/>
      <c r="P1216" s="65"/>
      <c r="Q1216" s="65"/>
      <c r="R1216" s="65"/>
      <c r="S1216" s="65"/>
      <c r="T1216" s="65"/>
      <c r="U1216" s="65"/>
      <c r="V1216" s="65"/>
      <c r="W1216" s="65"/>
      <c r="X1216" s="65"/>
      <c r="Y1216" s="65"/>
      <c r="Z1216" s="65"/>
      <c r="AA1216" s="65"/>
      <c r="AB1216" s="65"/>
      <c r="AC1216" s="65"/>
    </row>
    <row r="1217">
      <c r="A1217" s="72">
        <v>570.0</v>
      </c>
      <c r="B1217" s="67" t="s">
        <v>2828</v>
      </c>
      <c r="C1217" s="70" t="s">
        <v>56</v>
      </c>
      <c r="D1217" s="73"/>
      <c r="E1217" s="70" t="s">
        <v>635</v>
      </c>
      <c r="F1217" s="73"/>
      <c r="G1217" s="70" t="s">
        <v>64</v>
      </c>
      <c r="H1217" s="70" t="s">
        <v>635</v>
      </c>
      <c r="I1217" s="72">
        <v>66.92</v>
      </c>
      <c r="J1217" s="70" t="s">
        <v>73</v>
      </c>
      <c r="K1217" s="65"/>
      <c r="L1217" s="65"/>
      <c r="M1217" s="65"/>
      <c r="N1217" s="65"/>
      <c r="O1217" s="65"/>
      <c r="P1217" s="65"/>
      <c r="Q1217" s="65"/>
      <c r="R1217" s="65"/>
      <c r="S1217" s="65"/>
      <c r="T1217" s="65"/>
      <c r="U1217" s="65"/>
      <c r="V1217" s="65"/>
      <c r="W1217" s="65"/>
      <c r="X1217" s="65"/>
      <c r="Y1217" s="65"/>
      <c r="Z1217" s="65"/>
      <c r="AA1217" s="65"/>
      <c r="AB1217" s="65"/>
      <c r="AC1217" s="65"/>
    </row>
    <row r="1218">
      <c r="A1218" s="72">
        <v>569.0</v>
      </c>
      <c r="B1218" s="67" t="s">
        <v>2829</v>
      </c>
      <c r="C1218" s="70" t="s">
        <v>60</v>
      </c>
      <c r="D1218" s="73"/>
      <c r="E1218" s="70" t="s">
        <v>28</v>
      </c>
      <c r="F1218" s="73"/>
      <c r="G1218" s="73"/>
      <c r="H1218" s="70" t="s">
        <v>28</v>
      </c>
      <c r="I1218" s="72">
        <v>61.95</v>
      </c>
      <c r="J1218" s="70" t="s">
        <v>73</v>
      </c>
      <c r="K1218" s="65"/>
      <c r="L1218" s="65"/>
      <c r="M1218" s="65"/>
      <c r="N1218" s="65"/>
      <c r="O1218" s="65"/>
      <c r="P1218" s="65"/>
      <c r="Q1218" s="65"/>
      <c r="R1218" s="65"/>
      <c r="S1218" s="65"/>
      <c r="T1218" s="65"/>
      <c r="U1218" s="65"/>
      <c r="V1218" s="65"/>
      <c r="W1218" s="65"/>
      <c r="X1218" s="65"/>
      <c r="Y1218" s="65"/>
      <c r="Z1218" s="65"/>
      <c r="AA1218" s="65"/>
      <c r="AB1218" s="65"/>
      <c r="AC1218" s="65"/>
    </row>
    <row r="1219">
      <c r="A1219" s="72">
        <v>568.0</v>
      </c>
      <c r="B1219" s="67" t="s">
        <v>2830</v>
      </c>
      <c r="C1219" s="70" t="s">
        <v>60</v>
      </c>
      <c r="D1219" s="70" t="s">
        <v>76</v>
      </c>
      <c r="E1219" s="70" t="s">
        <v>2831</v>
      </c>
      <c r="F1219" s="73"/>
      <c r="G1219" s="73"/>
      <c r="H1219" s="70" t="s">
        <v>612</v>
      </c>
      <c r="I1219" s="72">
        <v>41.64</v>
      </c>
      <c r="J1219" s="70" t="s">
        <v>58</v>
      </c>
      <c r="K1219" s="65"/>
      <c r="L1219" s="65"/>
      <c r="M1219" s="65"/>
      <c r="N1219" s="65"/>
      <c r="O1219" s="65"/>
      <c r="P1219" s="65"/>
      <c r="Q1219" s="65"/>
      <c r="R1219" s="65"/>
      <c r="S1219" s="65"/>
      <c r="T1219" s="65"/>
      <c r="U1219" s="65"/>
      <c r="V1219" s="65"/>
      <c r="W1219" s="65"/>
      <c r="X1219" s="65"/>
      <c r="Y1219" s="65"/>
      <c r="Z1219" s="65"/>
      <c r="AA1219" s="65"/>
      <c r="AB1219" s="65"/>
      <c r="AC1219" s="65"/>
    </row>
    <row r="1220">
      <c r="A1220" s="72">
        <v>567.0</v>
      </c>
      <c r="B1220" s="67" t="s">
        <v>2832</v>
      </c>
      <c r="C1220" s="70" t="s">
        <v>56</v>
      </c>
      <c r="D1220" s="70" t="s">
        <v>1671</v>
      </c>
      <c r="E1220" s="70" t="s">
        <v>2833</v>
      </c>
      <c r="F1220" s="70" t="s">
        <v>2834</v>
      </c>
      <c r="G1220" s="70" t="s">
        <v>2835</v>
      </c>
      <c r="H1220" s="70" t="s">
        <v>2836</v>
      </c>
      <c r="I1220" s="72">
        <v>44.55</v>
      </c>
      <c r="J1220" s="70" t="s">
        <v>58</v>
      </c>
      <c r="K1220" s="65"/>
      <c r="L1220" s="65"/>
      <c r="M1220" s="65"/>
      <c r="N1220" s="65"/>
      <c r="O1220" s="65"/>
      <c r="P1220" s="65"/>
      <c r="Q1220" s="65"/>
      <c r="R1220" s="65"/>
      <c r="S1220" s="65"/>
      <c r="T1220" s="65"/>
      <c r="U1220" s="65"/>
      <c r="V1220" s="65"/>
      <c r="W1220" s="65"/>
      <c r="X1220" s="65"/>
      <c r="Y1220" s="65"/>
      <c r="Z1220" s="65"/>
      <c r="AA1220" s="65"/>
      <c r="AB1220" s="65"/>
      <c r="AC1220" s="65"/>
    </row>
    <row r="1221">
      <c r="A1221" s="72">
        <v>566.0</v>
      </c>
      <c r="B1221" s="67" t="s">
        <v>2837</v>
      </c>
      <c r="C1221" s="70" t="s">
        <v>69</v>
      </c>
      <c r="D1221" s="70" t="s">
        <v>93</v>
      </c>
      <c r="E1221" s="70" t="s">
        <v>2838</v>
      </c>
      <c r="F1221" s="73"/>
      <c r="G1221" s="73"/>
      <c r="H1221" s="70" t="s">
        <v>2838</v>
      </c>
      <c r="I1221" s="72">
        <v>61.09</v>
      </c>
      <c r="J1221" s="70" t="s">
        <v>58</v>
      </c>
      <c r="K1221" s="65"/>
      <c r="L1221" s="65"/>
      <c r="M1221" s="65"/>
      <c r="N1221" s="65"/>
      <c r="O1221" s="65"/>
      <c r="P1221" s="65"/>
      <c r="Q1221" s="65"/>
      <c r="R1221" s="65"/>
      <c r="S1221" s="65"/>
      <c r="T1221" s="65"/>
      <c r="U1221" s="65"/>
      <c r="V1221" s="65"/>
      <c r="W1221" s="65"/>
      <c r="X1221" s="65"/>
      <c r="Y1221" s="65"/>
      <c r="Z1221" s="65"/>
      <c r="AA1221" s="65"/>
      <c r="AB1221" s="65"/>
      <c r="AC1221" s="65"/>
    </row>
    <row r="1222">
      <c r="A1222" s="72">
        <v>565.0</v>
      </c>
      <c r="B1222" s="67" t="s">
        <v>2839</v>
      </c>
      <c r="C1222" s="70" t="s">
        <v>56</v>
      </c>
      <c r="D1222" s="70" t="s">
        <v>93</v>
      </c>
      <c r="E1222" s="70" t="s">
        <v>2840</v>
      </c>
      <c r="F1222" s="73"/>
      <c r="G1222" s="73"/>
      <c r="H1222" s="70" t="s">
        <v>2841</v>
      </c>
      <c r="I1222" s="72">
        <v>55.96</v>
      </c>
      <c r="J1222" s="70" t="s">
        <v>58</v>
      </c>
      <c r="K1222" s="65"/>
      <c r="L1222" s="65"/>
      <c r="M1222" s="65"/>
      <c r="N1222" s="65"/>
      <c r="O1222" s="65"/>
      <c r="P1222" s="65"/>
      <c r="Q1222" s="65"/>
      <c r="R1222" s="65"/>
      <c r="S1222" s="65"/>
      <c r="T1222" s="65"/>
      <c r="U1222" s="65"/>
      <c r="V1222" s="65"/>
      <c r="W1222" s="65"/>
      <c r="X1222" s="65"/>
      <c r="Y1222" s="65"/>
      <c r="Z1222" s="65"/>
      <c r="AA1222" s="65"/>
      <c r="AB1222" s="65"/>
      <c r="AC1222" s="65"/>
    </row>
    <row r="1223">
      <c r="A1223" s="72">
        <v>564.0</v>
      </c>
      <c r="B1223" s="67" t="s">
        <v>2842</v>
      </c>
      <c r="C1223" s="70" t="s">
        <v>60</v>
      </c>
      <c r="D1223" s="70" t="s">
        <v>70</v>
      </c>
      <c r="E1223" s="70" t="s">
        <v>2843</v>
      </c>
      <c r="F1223" s="70" t="s">
        <v>64</v>
      </c>
      <c r="G1223" s="70" t="s">
        <v>1679</v>
      </c>
      <c r="H1223" s="70" t="s">
        <v>2844</v>
      </c>
      <c r="I1223" s="72">
        <v>20.3</v>
      </c>
      <c r="J1223" s="70" t="s">
        <v>58</v>
      </c>
      <c r="K1223" s="65"/>
      <c r="L1223" s="65"/>
      <c r="M1223" s="65"/>
      <c r="N1223" s="65"/>
      <c r="O1223" s="65"/>
      <c r="P1223" s="65"/>
      <c r="Q1223" s="65"/>
      <c r="R1223" s="65"/>
      <c r="S1223" s="65"/>
      <c r="T1223" s="65"/>
      <c r="U1223" s="65"/>
      <c r="V1223" s="65"/>
      <c r="W1223" s="65"/>
      <c r="X1223" s="65"/>
      <c r="Y1223" s="65"/>
      <c r="Z1223" s="65"/>
      <c r="AA1223" s="65"/>
      <c r="AB1223" s="65"/>
      <c r="AC1223" s="65"/>
    </row>
    <row r="1224">
      <c r="A1224" s="72">
        <v>563.0</v>
      </c>
      <c r="B1224" s="67" t="s">
        <v>2845</v>
      </c>
      <c r="C1224" s="70" t="s">
        <v>69</v>
      </c>
      <c r="D1224" s="70" t="s">
        <v>1960</v>
      </c>
      <c r="E1224" s="70" t="s">
        <v>1729</v>
      </c>
      <c r="F1224" s="73"/>
      <c r="G1224" s="73"/>
      <c r="H1224" s="70" t="s">
        <v>1729</v>
      </c>
      <c r="I1224" s="72">
        <v>53.1</v>
      </c>
      <c r="J1224" s="70" t="s">
        <v>58</v>
      </c>
      <c r="K1224" s="65"/>
      <c r="L1224" s="65"/>
      <c r="M1224" s="65"/>
      <c r="N1224" s="65"/>
      <c r="O1224" s="65"/>
      <c r="P1224" s="65"/>
      <c r="Q1224" s="65"/>
      <c r="R1224" s="65"/>
      <c r="S1224" s="65"/>
      <c r="T1224" s="65"/>
      <c r="U1224" s="65"/>
      <c r="V1224" s="65"/>
      <c r="W1224" s="65"/>
      <c r="X1224" s="65"/>
      <c r="Y1224" s="65"/>
      <c r="Z1224" s="65"/>
      <c r="AA1224" s="65"/>
      <c r="AB1224" s="65"/>
      <c r="AC1224" s="65"/>
    </row>
    <row r="1225">
      <c r="A1225" s="72">
        <v>562.0</v>
      </c>
      <c r="B1225" s="67" t="s">
        <v>2846</v>
      </c>
      <c r="C1225" s="70" t="s">
        <v>56</v>
      </c>
      <c r="D1225" s="70" t="s">
        <v>93</v>
      </c>
      <c r="E1225" s="70" t="s">
        <v>96</v>
      </c>
      <c r="F1225" s="70" t="s">
        <v>28</v>
      </c>
      <c r="G1225" s="70" t="s">
        <v>28</v>
      </c>
      <c r="H1225" s="70" t="s">
        <v>96</v>
      </c>
      <c r="I1225" s="72">
        <v>46.2</v>
      </c>
      <c r="J1225" s="70" t="s">
        <v>58</v>
      </c>
      <c r="K1225" s="65"/>
      <c r="L1225" s="65"/>
      <c r="M1225" s="65"/>
      <c r="N1225" s="65"/>
      <c r="O1225" s="65"/>
      <c r="P1225" s="65"/>
      <c r="Q1225" s="65"/>
      <c r="R1225" s="65"/>
      <c r="S1225" s="65"/>
      <c r="T1225" s="65"/>
      <c r="U1225" s="65"/>
      <c r="V1225" s="65"/>
      <c r="W1225" s="65"/>
      <c r="X1225" s="65"/>
      <c r="Y1225" s="65"/>
      <c r="Z1225" s="65"/>
      <c r="AA1225" s="65"/>
      <c r="AB1225" s="65"/>
      <c r="AC1225" s="65"/>
    </row>
    <row r="1226">
      <c r="A1226" s="72">
        <v>561.0</v>
      </c>
      <c r="B1226" s="67" t="s">
        <v>2847</v>
      </c>
      <c r="C1226" s="70" t="s">
        <v>69</v>
      </c>
      <c r="D1226" s="70" t="s">
        <v>93</v>
      </c>
      <c r="E1226" s="70" t="s">
        <v>2848</v>
      </c>
      <c r="F1226" s="73"/>
      <c r="G1226" s="70" t="s">
        <v>579</v>
      </c>
      <c r="H1226" s="70" t="s">
        <v>2849</v>
      </c>
      <c r="I1226" s="72">
        <v>73.36</v>
      </c>
      <c r="J1226" s="70" t="s">
        <v>58</v>
      </c>
      <c r="K1226" s="65"/>
      <c r="L1226" s="65"/>
      <c r="M1226" s="65"/>
      <c r="N1226" s="65"/>
      <c r="O1226" s="65"/>
      <c r="P1226" s="65"/>
      <c r="Q1226" s="65"/>
      <c r="R1226" s="65"/>
      <c r="S1226" s="65"/>
      <c r="T1226" s="65"/>
      <c r="U1226" s="65"/>
      <c r="V1226" s="65"/>
      <c r="W1226" s="65"/>
      <c r="X1226" s="65"/>
      <c r="Y1226" s="65"/>
      <c r="Z1226" s="65"/>
      <c r="AA1226" s="65"/>
      <c r="AB1226" s="65"/>
      <c r="AC1226" s="65"/>
    </row>
    <row r="1227">
      <c r="A1227" s="72">
        <v>560.0</v>
      </c>
      <c r="B1227" s="67" t="s">
        <v>2850</v>
      </c>
      <c r="C1227" s="70" t="s">
        <v>56</v>
      </c>
      <c r="D1227" s="70" t="s">
        <v>156</v>
      </c>
      <c r="E1227" s="70" t="s">
        <v>2851</v>
      </c>
      <c r="F1227" s="70" t="s">
        <v>2852</v>
      </c>
      <c r="G1227" s="70" t="s">
        <v>2853</v>
      </c>
      <c r="H1227" s="70" t="s">
        <v>2854</v>
      </c>
      <c r="I1227" s="72">
        <v>43.7</v>
      </c>
      <c r="J1227" s="70" t="s">
        <v>58</v>
      </c>
      <c r="K1227" s="65"/>
      <c r="L1227" s="65"/>
      <c r="M1227" s="65"/>
      <c r="N1227" s="65"/>
      <c r="O1227" s="65"/>
      <c r="P1227" s="65"/>
      <c r="Q1227" s="65"/>
      <c r="R1227" s="65"/>
      <c r="S1227" s="65"/>
      <c r="T1227" s="65"/>
      <c r="U1227" s="65"/>
      <c r="V1227" s="65"/>
      <c r="W1227" s="65"/>
      <c r="X1227" s="65"/>
      <c r="Y1227" s="65"/>
      <c r="Z1227" s="65"/>
      <c r="AA1227" s="65"/>
      <c r="AB1227" s="65"/>
      <c r="AC1227" s="65"/>
    </row>
    <row r="1228">
      <c r="A1228" s="72">
        <v>559.0</v>
      </c>
      <c r="B1228" s="67" t="s">
        <v>2855</v>
      </c>
      <c r="C1228" s="70" t="s">
        <v>69</v>
      </c>
      <c r="D1228" s="70" t="s">
        <v>173</v>
      </c>
      <c r="E1228" s="70" t="s">
        <v>2856</v>
      </c>
      <c r="F1228" s="73"/>
      <c r="G1228" s="70" t="s">
        <v>112</v>
      </c>
      <c r="H1228" s="70" t="s">
        <v>2642</v>
      </c>
      <c r="I1228" s="72">
        <v>69.58</v>
      </c>
      <c r="J1228" s="70" t="s">
        <v>58</v>
      </c>
      <c r="K1228" s="65"/>
      <c r="L1228" s="65"/>
      <c r="M1228" s="65"/>
      <c r="N1228" s="65"/>
      <c r="O1228" s="65"/>
      <c r="P1228" s="65"/>
      <c r="Q1228" s="65"/>
      <c r="R1228" s="65"/>
      <c r="S1228" s="65"/>
      <c r="T1228" s="65"/>
      <c r="U1228" s="65"/>
      <c r="V1228" s="65"/>
      <c r="W1228" s="65"/>
      <c r="X1228" s="65"/>
      <c r="Y1228" s="65"/>
      <c r="Z1228" s="65"/>
      <c r="AA1228" s="65"/>
      <c r="AB1228" s="65"/>
      <c r="AC1228" s="65"/>
    </row>
    <row r="1229">
      <c r="A1229" s="72">
        <v>558.0</v>
      </c>
      <c r="B1229" s="67" t="s">
        <v>2857</v>
      </c>
      <c r="C1229" s="70" t="s">
        <v>56</v>
      </c>
      <c r="D1229" s="73"/>
      <c r="E1229" s="70" t="s">
        <v>2858</v>
      </c>
      <c r="F1229" s="73"/>
      <c r="G1229" s="73"/>
      <c r="H1229" s="70" t="s">
        <v>1715</v>
      </c>
      <c r="I1229" s="72">
        <v>45.62</v>
      </c>
      <c r="J1229" s="70" t="s">
        <v>58</v>
      </c>
      <c r="K1229" s="65"/>
      <c r="L1229" s="65"/>
      <c r="M1229" s="65"/>
      <c r="N1229" s="65"/>
      <c r="O1229" s="65"/>
      <c r="P1229" s="65"/>
      <c r="Q1229" s="65"/>
      <c r="R1229" s="65"/>
      <c r="S1229" s="65"/>
      <c r="T1229" s="65"/>
      <c r="U1229" s="65"/>
      <c r="V1229" s="65"/>
      <c r="W1229" s="65"/>
      <c r="X1229" s="65"/>
      <c r="Y1229" s="65"/>
      <c r="Z1229" s="65"/>
      <c r="AA1229" s="65"/>
      <c r="AB1229" s="65"/>
      <c r="AC1229" s="65"/>
    </row>
    <row r="1230">
      <c r="A1230" s="72">
        <v>557.0</v>
      </c>
      <c r="B1230" s="67" t="s">
        <v>2859</v>
      </c>
      <c r="C1230" s="70" t="s">
        <v>69</v>
      </c>
      <c r="D1230" s="70" t="s">
        <v>70</v>
      </c>
      <c r="E1230" s="70" t="s">
        <v>2860</v>
      </c>
      <c r="F1230" s="70" t="s">
        <v>636</v>
      </c>
      <c r="G1230" s="70" t="s">
        <v>2861</v>
      </c>
      <c r="H1230" s="70" t="s">
        <v>2862</v>
      </c>
      <c r="I1230" s="72">
        <v>72.19</v>
      </c>
      <c r="J1230" s="70" t="s">
        <v>58</v>
      </c>
      <c r="K1230" s="65"/>
      <c r="L1230" s="65"/>
      <c r="M1230" s="65"/>
      <c r="N1230" s="65"/>
      <c r="O1230" s="65"/>
      <c r="P1230" s="65"/>
      <c r="Q1230" s="65"/>
      <c r="R1230" s="65"/>
      <c r="S1230" s="65"/>
      <c r="T1230" s="65"/>
      <c r="U1230" s="65"/>
      <c r="V1230" s="65"/>
      <c r="W1230" s="65"/>
      <c r="X1230" s="65"/>
      <c r="Y1230" s="65"/>
      <c r="Z1230" s="65"/>
      <c r="AA1230" s="65"/>
      <c r="AB1230" s="65"/>
      <c r="AC1230" s="65"/>
    </row>
    <row r="1231">
      <c r="A1231" s="72">
        <v>556.0</v>
      </c>
      <c r="B1231" s="67" t="s">
        <v>2863</v>
      </c>
      <c r="C1231" s="70" t="s">
        <v>56</v>
      </c>
      <c r="D1231" s="70" t="s">
        <v>70</v>
      </c>
      <c r="E1231" s="70" t="s">
        <v>2864</v>
      </c>
      <c r="F1231" s="70" t="s">
        <v>766</v>
      </c>
      <c r="G1231" s="70" t="s">
        <v>2865</v>
      </c>
      <c r="H1231" s="70" t="s">
        <v>2866</v>
      </c>
      <c r="I1231" s="72">
        <v>33.49</v>
      </c>
      <c r="J1231" s="70" t="s">
        <v>58</v>
      </c>
      <c r="K1231" s="65"/>
      <c r="L1231" s="65"/>
      <c r="M1231" s="65"/>
      <c r="N1231" s="65"/>
      <c r="O1231" s="65"/>
      <c r="P1231" s="65"/>
      <c r="Q1231" s="65"/>
      <c r="R1231" s="65"/>
      <c r="S1231" s="65"/>
      <c r="T1231" s="65"/>
      <c r="U1231" s="65"/>
      <c r="V1231" s="65"/>
      <c r="W1231" s="65"/>
      <c r="X1231" s="65"/>
      <c r="Y1231" s="65"/>
      <c r="Z1231" s="65"/>
      <c r="AA1231" s="65"/>
      <c r="AB1231" s="65"/>
      <c r="AC1231" s="65"/>
    </row>
    <row r="1232">
      <c r="A1232" s="72">
        <v>555.0</v>
      </c>
      <c r="B1232" s="67" t="s">
        <v>2867</v>
      </c>
      <c r="C1232" s="70" t="s">
        <v>56</v>
      </c>
      <c r="D1232" s="70" t="s">
        <v>70</v>
      </c>
      <c r="E1232" s="70" t="s">
        <v>2868</v>
      </c>
      <c r="F1232" s="73"/>
      <c r="G1232" s="73"/>
      <c r="H1232" s="70" t="s">
        <v>2868</v>
      </c>
      <c r="I1232" s="72">
        <v>42.83</v>
      </c>
      <c r="J1232" s="70" t="s">
        <v>58</v>
      </c>
      <c r="K1232" s="65"/>
      <c r="L1232" s="65"/>
      <c r="M1232" s="65"/>
      <c r="N1232" s="65"/>
      <c r="O1232" s="65"/>
      <c r="P1232" s="65"/>
      <c r="Q1232" s="65"/>
      <c r="R1232" s="65"/>
      <c r="S1232" s="65"/>
      <c r="T1232" s="65"/>
      <c r="U1232" s="65"/>
      <c r="V1232" s="65"/>
      <c r="W1232" s="65"/>
      <c r="X1232" s="65"/>
      <c r="Y1232" s="65"/>
      <c r="Z1232" s="65"/>
      <c r="AA1232" s="65"/>
      <c r="AB1232" s="65"/>
      <c r="AC1232" s="65"/>
    </row>
    <row r="1233">
      <c r="A1233" s="72">
        <v>554.0</v>
      </c>
      <c r="B1233" s="67" t="s">
        <v>2869</v>
      </c>
      <c r="C1233" s="70" t="s">
        <v>56</v>
      </c>
      <c r="D1233" s="70" t="s">
        <v>284</v>
      </c>
      <c r="E1233" s="70" t="s">
        <v>2870</v>
      </c>
      <c r="F1233" s="70" t="s">
        <v>778</v>
      </c>
      <c r="G1233" s="70" t="s">
        <v>778</v>
      </c>
      <c r="H1233" s="70" t="s">
        <v>2871</v>
      </c>
      <c r="I1233" s="72">
        <v>50.74</v>
      </c>
      <c r="J1233" s="70" t="s">
        <v>58</v>
      </c>
      <c r="K1233" s="65"/>
      <c r="L1233" s="65"/>
      <c r="M1233" s="65"/>
      <c r="N1233" s="65"/>
      <c r="O1233" s="65"/>
      <c r="P1233" s="65"/>
      <c r="Q1233" s="65"/>
      <c r="R1233" s="65"/>
      <c r="S1233" s="65"/>
      <c r="T1233" s="65"/>
      <c r="U1233" s="65"/>
      <c r="V1233" s="65"/>
      <c r="W1233" s="65"/>
      <c r="X1233" s="65"/>
      <c r="Y1233" s="65"/>
      <c r="Z1233" s="65"/>
      <c r="AA1233" s="65"/>
      <c r="AB1233" s="65"/>
      <c r="AC1233" s="65"/>
    </row>
    <row r="1234">
      <c r="A1234" s="72">
        <v>553.0</v>
      </c>
      <c r="B1234" s="67" t="s">
        <v>2872</v>
      </c>
      <c r="C1234" s="70" t="s">
        <v>56</v>
      </c>
      <c r="D1234" s="70" t="s">
        <v>588</v>
      </c>
      <c r="E1234" s="70" t="s">
        <v>64</v>
      </c>
      <c r="F1234" s="73"/>
      <c r="G1234" s="73"/>
      <c r="H1234" s="70" t="s">
        <v>64</v>
      </c>
      <c r="I1234" s="72">
        <v>57.49</v>
      </c>
      <c r="J1234" s="70" t="s">
        <v>58</v>
      </c>
      <c r="K1234" s="65"/>
      <c r="L1234" s="65"/>
      <c r="M1234" s="65"/>
      <c r="N1234" s="65"/>
      <c r="O1234" s="65"/>
      <c r="P1234" s="65"/>
      <c r="Q1234" s="65"/>
      <c r="R1234" s="65"/>
      <c r="S1234" s="65"/>
      <c r="T1234" s="65"/>
      <c r="U1234" s="65"/>
      <c r="V1234" s="65"/>
      <c r="W1234" s="65"/>
      <c r="X1234" s="65"/>
      <c r="Y1234" s="65"/>
      <c r="Z1234" s="65"/>
      <c r="AA1234" s="65"/>
      <c r="AB1234" s="65"/>
      <c r="AC1234" s="65"/>
    </row>
    <row r="1235">
      <c r="A1235" s="72">
        <v>552.0</v>
      </c>
      <c r="B1235" s="67" t="s">
        <v>2873</v>
      </c>
      <c r="C1235" s="70" t="s">
        <v>60</v>
      </c>
      <c r="D1235" s="70" t="s">
        <v>76</v>
      </c>
      <c r="E1235" s="70" t="s">
        <v>853</v>
      </c>
      <c r="F1235" s="70" t="s">
        <v>28</v>
      </c>
      <c r="G1235" s="70" t="s">
        <v>28</v>
      </c>
      <c r="H1235" s="70" t="s">
        <v>853</v>
      </c>
      <c r="I1235" s="72">
        <v>37.56</v>
      </c>
      <c r="J1235" s="70" t="s">
        <v>58</v>
      </c>
      <c r="K1235" s="65"/>
      <c r="L1235" s="65"/>
      <c r="M1235" s="65"/>
      <c r="N1235" s="65"/>
      <c r="O1235" s="65"/>
      <c r="P1235" s="65"/>
      <c r="Q1235" s="65"/>
      <c r="R1235" s="65"/>
      <c r="S1235" s="65"/>
      <c r="T1235" s="65"/>
      <c r="U1235" s="65"/>
      <c r="V1235" s="65"/>
      <c r="W1235" s="65"/>
      <c r="X1235" s="65"/>
      <c r="Y1235" s="65"/>
      <c r="Z1235" s="65"/>
      <c r="AA1235" s="65"/>
      <c r="AB1235" s="65"/>
      <c r="AC1235" s="65"/>
    </row>
    <row r="1236">
      <c r="A1236" s="72">
        <v>551.0</v>
      </c>
      <c r="B1236" s="67" t="s">
        <v>2874</v>
      </c>
      <c r="C1236" s="70" t="s">
        <v>69</v>
      </c>
      <c r="D1236" s="70" t="s">
        <v>70</v>
      </c>
      <c r="E1236" s="75" t="s">
        <v>28</v>
      </c>
      <c r="F1236" s="73"/>
      <c r="G1236" s="70" t="s">
        <v>28</v>
      </c>
      <c r="H1236" s="70" t="s">
        <v>28</v>
      </c>
      <c r="I1236" s="72">
        <v>46.01</v>
      </c>
      <c r="J1236" s="70" t="s">
        <v>58</v>
      </c>
      <c r="K1236" s="65"/>
      <c r="L1236" s="65"/>
      <c r="M1236" s="65"/>
      <c r="N1236" s="65"/>
      <c r="O1236" s="65"/>
      <c r="P1236" s="65"/>
      <c r="Q1236" s="65"/>
      <c r="R1236" s="65"/>
      <c r="S1236" s="65"/>
      <c r="T1236" s="65"/>
      <c r="U1236" s="65"/>
      <c r="V1236" s="65"/>
      <c r="W1236" s="65"/>
      <c r="X1236" s="65"/>
      <c r="Y1236" s="65"/>
      <c r="Z1236" s="65"/>
      <c r="AA1236" s="65"/>
      <c r="AB1236" s="65"/>
      <c r="AC1236" s="65"/>
    </row>
    <row r="1237">
      <c r="A1237" s="72">
        <v>550.0</v>
      </c>
      <c r="B1237" s="67" t="s">
        <v>2875</v>
      </c>
      <c r="C1237" s="70" t="s">
        <v>56</v>
      </c>
      <c r="D1237" s="82"/>
      <c r="E1237" s="76" t="s">
        <v>2876</v>
      </c>
      <c r="F1237" s="73"/>
      <c r="G1237" s="73"/>
      <c r="H1237" s="70" t="s">
        <v>2877</v>
      </c>
      <c r="I1237" s="72">
        <v>45.64</v>
      </c>
      <c r="J1237" s="70" t="s">
        <v>73</v>
      </c>
      <c r="K1237" s="65"/>
      <c r="L1237" s="65"/>
      <c r="M1237" s="65"/>
      <c r="N1237" s="65"/>
      <c r="O1237" s="65"/>
      <c r="P1237" s="65"/>
      <c r="Q1237" s="65"/>
      <c r="R1237" s="65"/>
      <c r="S1237" s="65"/>
      <c r="T1237" s="65"/>
      <c r="U1237" s="65"/>
      <c r="V1237" s="65"/>
      <c r="W1237" s="65"/>
      <c r="X1237" s="65"/>
      <c r="Y1237" s="65"/>
      <c r="Z1237" s="65"/>
      <c r="AA1237" s="65"/>
      <c r="AB1237" s="65"/>
      <c r="AC1237" s="65"/>
    </row>
    <row r="1238">
      <c r="A1238" s="72">
        <v>549.0</v>
      </c>
      <c r="B1238" s="67" t="s">
        <v>2878</v>
      </c>
      <c r="C1238" s="75" t="s">
        <v>56</v>
      </c>
      <c r="D1238" s="76" t="s">
        <v>320</v>
      </c>
      <c r="E1238" s="76" t="s">
        <v>1168</v>
      </c>
      <c r="F1238" s="73"/>
      <c r="G1238" s="73"/>
      <c r="H1238" s="70" t="s">
        <v>96</v>
      </c>
      <c r="I1238" s="72">
        <v>47.24</v>
      </c>
      <c r="J1238" s="70" t="s">
        <v>58</v>
      </c>
      <c r="K1238" s="65"/>
      <c r="L1238" s="65"/>
      <c r="M1238" s="65"/>
      <c r="N1238" s="65"/>
      <c r="O1238" s="65"/>
      <c r="P1238" s="65"/>
      <c r="Q1238" s="65"/>
      <c r="R1238" s="65"/>
      <c r="S1238" s="65"/>
      <c r="T1238" s="65"/>
      <c r="U1238" s="65"/>
      <c r="V1238" s="65"/>
      <c r="W1238" s="65"/>
      <c r="X1238" s="65"/>
      <c r="Y1238" s="65"/>
      <c r="Z1238" s="65"/>
      <c r="AA1238" s="65"/>
      <c r="AB1238" s="65"/>
      <c r="AC1238" s="65"/>
    </row>
    <row r="1239">
      <c r="A1239" s="72">
        <v>548.0</v>
      </c>
      <c r="B1239" s="67" t="s">
        <v>2879</v>
      </c>
      <c r="C1239" s="70" t="s">
        <v>56</v>
      </c>
      <c r="D1239" s="70" t="s">
        <v>93</v>
      </c>
      <c r="E1239" s="70" t="s">
        <v>2607</v>
      </c>
      <c r="F1239" s="70" t="s">
        <v>71</v>
      </c>
      <c r="G1239" s="70" t="s">
        <v>71</v>
      </c>
      <c r="H1239" s="70" t="s">
        <v>2608</v>
      </c>
      <c r="I1239" s="72">
        <v>48.06</v>
      </c>
      <c r="J1239" s="70" t="s">
        <v>58</v>
      </c>
      <c r="K1239" s="65"/>
      <c r="L1239" s="65"/>
      <c r="M1239" s="65"/>
      <c r="N1239" s="65"/>
      <c r="O1239" s="65"/>
      <c r="P1239" s="65"/>
      <c r="Q1239" s="65"/>
      <c r="R1239" s="65"/>
      <c r="S1239" s="65"/>
      <c r="T1239" s="65"/>
      <c r="U1239" s="65"/>
      <c r="V1239" s="65"/>
      <c r="W1239" s="65"/>
      <c r="X1239" s="65"/>
      <c r="Y1239" s="65"/>
      <c r="Z1239" s="65"/>
      <c r="AA1239" s="65"/>
      <c r="AB1239" s="65"/>
      <c r="AC1239" s="65"/>
    </row>
    <row r="1240">
      <c r="A1240" s="72">
        <v>547.0</v>
      </c>
      <c r="B1240" s="67" t="s">
        <v>2880</v>
      </c>
      <c r="C1240" s="70" t="s">
        <v>56</v>
      </c>
      <c r="D1240" s="70" t="s">
        <v>627</v>
      </c>
      <c r="E1240" s="70" t="s">
        <v>2881</v>
      </c>
      <c r="F1240" s="70" t="s">
        <v>2882</v>
      </c>
      <c r="G1240" s="70" t="s">
        <v>2883</v>
      </c>
      <c r="H1240" s="70" t="s">
        <v>2884</v>
      </c>
      <c r="I1240" s="72">
        <v>60.58</v>
      </c>
      <c r="J1240" s="70" t="s">
        <v>58</v>
      </c>
      <c r="K1240" s="65"/>
      <c r="L1240" s="65"/>
      <c r="M1240" s="65"/>
      <c r="N1240" s="65"/>
      <c r="O1240" s="65"/>
      <c r="P1240" s="65"/>
      <c r="Q1240" s="65"/>
      <c r="R1240" s="65"/>
      <c r="S1240" s="65"/>
      <c r="T1240" s="65"/>
      <c r="U1240" s="65"/>
      <c r="V1240" s="65"/>
      <c r="W1240" s="65"/>
      <c r="X1240" s="65"/>
      <c r="Y1240" s="65"/>
      <c r="Z1240" s="65"/>
      <c r="AA1240" s="65"/>
      <c r="AB1240" s="65"/>
      <c r="AC1240" s="65"/>
    </row>
    <row r="1241">
      <c r="A1241" s="72">
        <v>546.0</v>
      </c>
      <c r="B1241" s="67" t="s">
        <v>2885</v>
      </c>
      <c r="C1241" s="70" t="s">
        <v>60</v>
      </c>
      <c r="D1241" s="70" t="s">
        <v>1080</v>
      </c>
      <c r="E1241" s="75" t="s">
        <v>2886</v>
      </c>
      <c r="F1241" s="73"/>
      <c r="G1241" s="70" t="s">
        <v>1679</v>
      </c>
      <c r="H1241" s="70" t="s">
        <v>2887</v>
      </c>
      <c r="I1241" s="72">
        <v>44.1</v>
      </c>
      <c r="J1241" s="70" t="s">
        <v>58</v>
      </c>
      <c r="K1241" s="65"/>
      <c r="L1241" s="65"/>
      <c r="M1241" s="65"/>
      <c r="N1241" s="65"/>
      <c r="O1241" s="65"/>
      <c r="P1241" s="65"/>
      <c r="Q1241" s="65"/>
      <c r="R1241" s="65"/>
      <c r="S1241" s="65"/>
      <c r="T1241" s="65"/>
      <c r="U1241" s="65"/>
      <c r="V1241" s="65"/>
      <c r="W1241" s="65"/>
      <c r="X1241" s="65"/>
      <c r="Y1241" s="65"/>
      <c r="Z1241" s="65"/>
      <c r="AA1241" s="65"/>
      <c r="AB1241" s="65"/>
      <c r="AC1241" s="65"/>
    </row>
    <row r="1242">
      <c r="A1242" s="72">
        <v>545.0</v>
      </c>
      <c r="B1242" s="67" t="s">
        <v>2888</v>
      </c>
      <c r="C1242" s="70" t="s">
        <v>56</v>
      </c>
      <c r="D1242" s="75" t="s">
        <v>320</v>
      </c>
      <c r="E1242" s="76" t="s">
        <v>2889</v>
      </c>
      <c r="F1242" s="70" t="s">
        <v>2890</v>
      </c>
      <c r="G1242" s="70" t="s">
        <v>2890</v>
      </c>
      <c r="H1242" s="70" t="s">
        <v>2891</v>
      </c>
      <c r="I1242" s="72">
        <v>40.05</v>
      </c>
      <c r="J1242" s="70" t="s">
        <v>58</v>
      </c>
      <c r="K1242" s="65"/>
      <c r="L1242" s="65"/>
      <c r="M1242" s="65"/>
      <c r="N1242" s="65"/>
      <c r="O1242" s="65"/>
      <c r="P1242" s="65"/>
      <c r="Q1242" s="65"/>
      <c r="R1242" s="65"/>
      <c r="S1242" s="65"/>
      <c r="T1242" s="65"/>
      <c r="U1242" s="65"/>
      <c r="V1242" s="65"/>
      <c r="W1242" s="65"/>
      <c r="X1242" s="65"/>
      <c r="Y1242" s="65"/>
      <c r="Z1242" s="65"/>
      <c r="AA1242" s="65"/>
      <c r="AB1242" s="65"/>
      <c r="AC1242" s="65"/>
    </row>
    <row r="1243">
      <c r="A1243" s="72">
        <v>544.0</v>
      </c>
      <c r="B1243" s="67" t="s">
        <v>2892</v>
      </c>
      <c r="C1243" s="75" t="s">
        <v>56</v>
      </c>
      <c r="D1243" s="76" t="s">
        <v>2306</v>
      </c>
      <c r="E1243" s="76" t="s">
        <v>28</v>
      </c>
      <c r="F1243" s="73"/>
      <c r="G1243" s="73"/>
      <c r="H1243" s="70" t="s">
        <v>28</v>
      </c>
      <c r="I1243" s="72">
        <v>75.86</v>
      </c>
      <c r="J1243" s="70" t="s">
        <v>58</v>
      </c>
      <c r="K1243" s="65"/>
      <c r="L1243" s="65"/>
      <c r="M1243" s="65"/>
      <c r="N1243" s="65"/>
      <c r="O1243" s="65"/>
      <c r="P1243" s="65"/>
      <c r="Q1243" s="65"/>
      <c r="R1243" s="65"/>
      <c r="S1243" s="65"/>
      <c r="T1243" s="65"/>
      <c r="U1243" s="65"/>
      <c r="V1243" s="65"/>
      <c r="W1243" s="65"/>
      <c r="X1243" s="65"/>
      <c r="Y1243" s="65"/>
      <c r="Z1243" s="65"/>
      <c r="AA1243" s="65"/>
      <c r="AB1243" s="65"/>
      <c r="AC1243" s="65"/>
    </row>
    <row r="1244">
      <c r="A1244" s="72">
        <v>543.0</v>
      </c>
      <c r="B1244" s="67" t="s">
        <v>2893</v>
      </c>
      <c r="C1244" s="70" t="s">
        <v>69</v>
      </c>
      <c r="D1244" s="75" t="s">
        <v>320</v>
      </c>
      <c r="E1244" s="76" t="s">
        <v>2894</v>
      </c>
      <c r="F1244" s="70" t="s">
        <v>2895</v>
      </c>
      <c r="G1244" s="70" t="s">
        <v>2896</v>
      </c>
      <c r="H1244" s="70" t="s">
        <v>2897</v>
      </c>
      <c r="I1244" s="72">
        <v>49.27</v>
      </c>
      <c r="J1244" s="70" t="s">
        <v>58</v>
      </c>
      <c r="K1244" s="65"/>
      <c r="L1244" s="65"/>
      <c r="M1244" s="65"/>
      <c r="N1244" s="65"/>
      <c r="O1244" s="65"/>
      <c r="P1244" s="65"/>
      <c r="Q1244" s="65"/>
      <c r="R1244" s="65"/>
      <c r="S1244" s="65"/>
      <c r="T1244" s="65"/>
      <c r="U1244" s="65"/>
      <c r="V1244" s="65"/>
      <c r="W1244" s="65"/>
      <c r="X1244" s="65"/>
      <c r="Y1244" s="65"/>
      <c r="Z1244" s="65"/>
      <c r="AA1244" s="65"/>
      <c r="AB1244" s="65"/>
      <c r="AC1244" s="65"/>
    </row>
    <row r="1245">
      <c r="A1245" s="72">
        <v>542.0</v>
      </c>
      <c r="B1245" s="67" t="s">
        <v>2898</v>
      </c>
      <c r="C1245" s="75" t="s">
        <v>56</v>
      </c>
      <c r="D1245" s="76" t="s">
        <v>394</v>
      </c>
      <c r="E1245" s="76" t="s">
        <v>2899</v>
      </c>
      <c r="F1245" s="70" t="s">
        <v>64</v>
      </c>
      <c r="G1245" s="70" t="s">
        <v>2900</v>
      </c>
      <c r="H1245" s="70" t="s">
        <v>2901</v>
      </c>
      <c r="I1245" s="72">
        <v>41.0</v>
      </c>
      <c r="J1245" s="70" t="s">
        <v>58</v>
      </c>
      <c r="K1245" s="65"/>
      <c r="L1245" s="65"/>
      <c r="M1245" s="65"/>
      <c r="N1245" s="65"/>
      <c r="O1245" s="65"/>
      <c r="P1245" s="65"/>
      <c r="Q1245" s="65"/>
      <c r="R1245" s="65"/>
      <c r="S1245" s="65"/>
      <c r="T1245" s="65"/>
      <c r="U1245" s="65"/>
      <c r="V1245" s="65"/>
      <c r="W1245" s="65"/>
      <c r="X1245" s="65"/>
      <c r="Y1245" s="65"/>
      <c r="Z1245" s="65"/>
      <c r="AA1245" s="65"/>
      <c r="AB1245" s="65"/>
      <c r="AC1245" s="65"/>
    </row>
    <row r="1246">
      <c r="A1246" s="72">
        <v>541.0</v>
      </c>
      <c r="B1246" s="67" t="s">
        <v>2902</v>
      </c>
      <c r="C1246" s="70" t="s">
        <v>69</v>
      </c>
      <c r="D1246" s="70" t="s">
        <v>70</v>
      </c>
      <c r="E1246" s="70" t="s">
        <v>2903</v>
      </c>
      <c r="F1246" s="70" t="s">
        <v>1679</v>
      </c>
      <c r="G1246" s="70" t="s">
        <v>1679</v>
      </c>
      <c r="H1246" s="70" t="s">
        <v>2904</v>
      </c>
      <c r="I1246" s="72">
        <v>49.28</v>
      </c>
      <c r="J1246" s="70" t="s">
        <v>58</v>
      </c>
      <c r="K1246" s="65"/>
      <c r="L1246" s="65"/>
      <c r="M1246" s="65"/>
      <c r="N1246" s="65"/>
      <c r="O1246" s="65"/>
      <c r="P1246" s="65"/>
      <c r="Q1246" s="65"/>
      <c r="R1246" s="65"/>
      <c r="S1246" s="65"/>
      <c r="T1246" s="65"/>
      <c r="U1246" s="65"/>
      <c r="V1246" s="65"/>
      <c r="W1246" s="65"/>
      <c r="X1246" s="65"/>
      <c r="Y1246" s="65"/>
      <c r="Z1246" s="65"/>
      <c r="AA1246" s="65"/>
      <c r="AB1246" s="65"/>
      <c r="AC1246" s="65"/>
    </row>
    <row r="1247">
      <c r="A1247" s="72">
        <v>540.0</v>
      </c>
      <c r="B1247" s="67" t="s">
        <v>2905</v>
      </c>
      <c r="C1247" s="70" t="s">
        <v>56</v>
      </c>
      <c r="D1247" s="70" t="s">
        <v>502</v>
      </c>
      <c r="E1247" s="70" t="s">
        <v>2906</v>
      </c>
      <c r="F1247" s="70" t="s">
        <v>2907</v>
      </c>
      <c r="G1247" s="70" t="s">
        <v>2908</v>
      </c>
      <c r="H1247" s="70" t="s">
        <v>2908</v>
      </c>
      <c r="I1247" s="72">
        <v>57.93</v>
      </c>
      <c r="J1247" s="70" t="s">
        <v>58</v>
      </c>
      <c r="K1247" s="65"/>
      <c r="L1247" s="65"/>
      <c r="M1247" s="65"/>
      <c r="N1247" s="65"/>
      <c r="O1247" s="65"/>
      <c r="P1247" s="65"/>
      <c r="Q1247" s="65"/>
      <c r="R1247" s="65"/>
      <c r="S1247" s="65"/>
      <c r="T1247" s="65"/>
      <c r="U1247" s="65"/>
      <c r="V1247" s="65"/>
      <c r="W1247" s="65"/>
      <c r="X1247" s="65"/>
      <c r="Y1247" s="65"/>
      <c r="Z1247" s="65"/>
      <c r="AA1247" s="65"/>
      <c r="AB1247" s="65"/>
      <c r="AC1247" s="65"/>
    </row>
    <row r="1248">
      <c r="A1248" s="72">
        <v>539.0</v>
      </c>
      <c r="B1248" s="67" t="s">
        <v>2909</v>
      </c>
      <c r="C1248" s="70" t="s">
        <v>56</v>
      </c>
      <c r="D1248" s="70" t="s">
        <v>70</v>
      </c>
      <c r="E1248" s="70" t="s">
        <v>2910</v>
      </c>
      <c r="F1248" s="70" t="s">
        <v>1174</v>
      </c>
      <c r="G1248" s="70" t="s">
        <v>1174</v>
      </c>
      <c r="H1248" s="70" t="s">
        <v>2911</v>
      </c>
      <c r="I1248" s="72">
        <v>52.37</v>
      </c>
      <c r="J1248" s="70" t="s">
        <v>58</v>
      </c>
      <c r="K1248" s="65"/>
      <c r="L1248" s="65"/>
      <c r="M1248" s="65"/>
      <c r="N1248" s="65"/>
      <c r="O1248" s="65"/>
      <c r="P1248" s="65"/>
      <c r="Q1248" s="65"/>
      <c r="R1248" s="65"/>
      <c r="S1248" s="65"/>
      <c r="T1248" s="65"/>
      <c r="U1248" s="65"/>
      <c r="V1248" s="65"/>
      <c r="W1248" s="65"/>
      <c r="X1248" s="65"/>
      <c r="Y1248" s="65"/>
      <c r="Z1248" s="65"/>
      <c r="AA1248" s="65"/>
      <c r="AB1248" s="65"/>
      <c r="AC1248" s="65"/>
    </row>
    <row r="1249">
      <c r="A1249" s="72">
        <v>538.0</v>
      </c>
      <c r="B1249" s="67" t="s">
        <v>2912</v>
      </c>
      <c r="C1249" s="70" t="s">
        <v>56</v>
      </c>
      <c r="D1249" s="70" t="s">
        <v>2913</v>
      </c>
      <c r="E1249" s="70" t="s">
        <v>2914</v>
      </c>
      <c r="F1249" s="70" t="s">
        <v>71</v>
      </c>
      <c r="G1249" s="70" t="s">
        <v>799</v>
      </c>
      <c r="H1249" s="70" t="s">
        <v>2915</v>
      </c>
      <c r="I1249" s="72">
        <v>59.61</v>
      </c>
      <c r="J1249" s="70" t="s">
        <v>58</v>
      </c>
      <c r="K1249" s="65"/>
      <c r="L1249" s="65"/>
      <c r="M1249" s="65"/>
      <c r="N1249" s="65"/>
      <c r="O1249" s="65"/>
      <c r="P1249" s="65"/>
      <c r="Q1249" s="65"/>
      <c r="R1249" s="65"/>
      <c r="S1249" s="65"/>
      <c r="T1249" s="65"/>
      <c r="U1249" s="65"/>
      <c r="V1249" s="65"/>
      <c r="W1249" s="65"/>
      <c r="X1249" s="65"/>
      <c r="Y1249" s="65"/>
      <c r="Z1249" s="65"/>
      <c r="AA1249" s="65"/>
      <c r="AB1249" s="65"/>
      <c r="AC1249" s="65"/>
    </row>
    <row r="1250">
      <c r="A1250" s="72">
        <v>537.0</v>
      </c>
      <c r="B1250" s="67" t="s">
        <v>2916</v>
      </c>
      <c r="C1250" s="70" t="s">
        <v>56</v>
      </c>
      <c r="D1250" s="70" t="s">
        <v>588</v>
      </c>
      <c r="E1250" s="70" t="s">
        <v>64</v>
      </c>
      <c r="F1250" s="73"/>
      <c r="G1250" s="73"/>
      <c r="H1250" s="70" t="s">
        <v>64</v>
      </c>
      <c r="I1250" s="72">
        <v>68.33</v>
      </c>
      <c r="J1250" s="70" t="s">
        <v>58</v>
      </c>
      <c r="K1250" s="65"/>
      <c r="L1250" s="65"/>
      <c r="M1250" s="65"/>
      <c r="N1250" s="65"/>
      <c r="O1250" s="65"/>
      <c r="P1250" s="65"/>
      <c r="Q1250" s="65"/>
      <c r="R1250" s="65"/>
      <c r="S1250" s="65"/>
      <c r="T1250" s="65"/>
      <c r="U1250" s="65"/>
      <c r="V1250" s="65"/>
      <c r="W1250" s="65"/>
      <c r="X1250" s="65"/>
      <c r="Y1250" s="65"/>
      <c r="Z1250" s="65"/>
      <c r="AA1250" s="65"/>
      <c r="AB1250" s="65"/>
      <c r="AC1250" s="65"/>
    </row>
    <row r="1251">
      <c r="A1251" s="72">
        <v>536.0</v>
      </c>
      <c r="B1251" s="67" t="s">
        <v>2917</v>
      </c>
      <c r="C1251" s="70" t="s">
        <v>56</v>
      </c>
      <c r="D1251" s="70" t="s">
        <v>450</v>
      </c>
      <c r="E1251" s="70" t="s">
        <v>1003</v>
      </c>
      <c r="F1251" s="70" t="s">
        <v>71</v>
      </c>
      <c r="G1251" s="70" t="s">
        <v>71</v>
      </c>
      <c r="H1251" s="70" t="s">
        <v>1004</v>
      </c>
      <c r="I1251" s="72">
        <v>51.82</v>
      </c>
      <c r="J1251" s="70" t="s">
        <v>58</v>
      </c>
      <c r="K1251" s="65"/>
      <c r="L1251" s="65"/>
      <c r="M1251" s="65"/>
      <c r="N1251" s="65"/>
      <c r="O1251" s="65"/>
      <c r="P1251" s="65"/>
      <c r="Q1251" s="65"/>
      <c r="R1251" s="65"/>
      <c r="S1251" s="65"/>
      <c r="T1251" s="65"/>
      <c r="U1251" s="65"/>
      <c r="V1251" s="65"/>
      <c r="W1251" s="65"/>
      <c r="X1251" s="65"/>
      <c r="Y1251" s="65"/>
      <c r="Z1251" s="65"/>
      <c r="AA1251" s="65"/>
      <c r="AB1251" s="65"/>
      <c r="AC1251" s="65"/>
    </row>
    <row r="1252">
      <c r="A1252" s="72">
        <v>535.0</v>
      </c>
      <c r="B1252" s="67" t="s">
        <v>2918</v>
      </c>
      <c r="C1252" s="70" t="s">
        <v>56</v>
      </c>
      <c r="D1252" s="70" t="s">
        <v>479</v>
      </c>
      <c r="E1252" s="70" t="s">
        <v>2919</v>
      </c>
      <c r="F1252" s="70" t="s">
        <v>2920</v>
      </c>
      <c r="G1252" s="70" t="s">
        <v>2921</v>
      </c>
      <c r="H1252" s="70" t="s">
        <v>2922</v>
      </c>
      <c r="I1252" s="72">
        <v>82.26</v>
      </c>
      <c r="J1252" s="70" t="s">
        <v>58</v>
      </c>
      <c r="K1252" s="65"/>
      <c r="L1252" s="65"/>
      <c r="M1252" s="65"/>
      <c r="N1252" s="65"/>
      <c r="O1252" s="65"/>
      <c r="P1252" s="65"/>
      <c r="Q1252" s="65"/>
      <c r="R1252" s="65"/>
      <c r="S1252" s="65"/>
      <c r="T1252" s="65"/>
      <c r="U1252" s="65"/>
      <c r="V1252" s="65"/>
      <c r="W1252" s="65"/>
      <c r="X1252" s="65"/>
      <c r="Y1252" s="65"/>
      <c r="Z1252" s="65"/>
      <c r="AA1252" s="65"/>
      <c r="AB1252" s="65"/>
      <c r="AC1252" s="65"/>
    </row>
    <row r="1253">
      <c r="A1253" s="72">
        <v>534.0</v>
      </c>
      <c r="B1253" s="67" t="s">
        <v>2923</v>
      </c>
      <c r="C1253" s="70" t="s">
        <v>56</v>
      </c>
      <c r="D1253" s="73"/>
      <c r="E1253" s="75" t="s">
        <v>1471</v>
      </c>
      <c r="F1253" s="73"/>
      <c r="G1253" s="73"/>
      <c r="H1253" s="70" t="s">
        <v>1471</v>
      </c>
      <c r="I1253" s="72">
        <v>79.6</v>
      </c>
      <c r="J1253" s="70" t="s">
        <v>73</v>
      </c>
      <c r="K1253" s="65"/>
      <c r="L1253" s="65"/>
      <c r="M1253" s="65"/>
      <c r="N1253" s="65"/>
      <c r="O1253" s="65"/>
      <c r="P1253" s="65"/>
      <c r="Q1253" s="65"/>
      <c r="R1253" s="65"/>
      <c r="S1253" s="65"/>
      <c r="T1253" s="65"/>
      <c r="U1253" s="65"/>
      <c r="V1253" s="65"/>
      <c r="W1253" s="65"/>
      <c r="X1253" s="65"/>
      <c r="Y1253" s="65"/>
      <c r="Z1253" s="65"/>
      <c r="AA1253" s="65"/>
      <c r="AB1253" s="65"/>
      <c r="AC1253" s="65"/>
    </row>
    <row r="1254">
      <c r="A1254" s="72">
        <v>533.0</v>
      </c>
      <c r="B1254" s="67" t="s">
        <v>2924</v>
      </c>
      <c r="C1254" s="70" t="s">
        <v>56</v>
      </c>
      <c r="D1254" s="75" t="s">
        <v>2520</v>
      </c>
      <c r="E1254" s="76" t="s">
        <v>28</v>
      </c>
      <c r="F1254" s="73"/>
      <c r="G1254" s="73"/>
      <c r="H1254" s="70" t="s">
        <v>28</v>
      </c>
      <c r="I1254" s="72">
        <v>48.18</v>
      </c>
      <c r="J1254" s="70" t="s">
        <v>58</v>
      </c>
      <c r="K1254" s="65"/>
      <c r="L1254" s="65"/>
      <c r="M1254" s="65"/>
      <c r="N1254" s="65"/>
      <c r="O1254" s="65"/>
      <c r="P1254" s="65"/>
      <c r="Q1254" s="65"/>
      <c r="R1254" s="65"/>
      <c r="S1254" s="65"/>
      <c r="T1254" s="65"/>
      <c r="U1254" s="65"/>
      <c r="V1254" s="65"/>
      <c r="W1254" s="65"/>
      <c r="X1254" s="65"/>
      <c r="Y1254" s="65"/>
      <c r="Z1254" s="65"/>
      <c r="AA1254" s="65"/>
      <c r="AB1254" s="65"/>
      <c r="AC1254" s="65"/>
    </row>
    <row r="1255">
      <c r="A1255" s="72">
        <v>532.0</v>
      </c>
      <c r="B1255" s="67" t="s">
        <v>2925</v>
      </c>
      <c r="C1255" s="75" t="s">
        <v>56</v>
      </c>
      <c r="D1255" s="76" t="s">
        <v>1755</v>
      </c>
      <c r="E1255" s="76" t="s">
        <v>2926</v>
      </c>
      <c r="F1255" s="70" t="s">
        <v>2927</v>
      </c>
      <c r="G1255" s="70" t="s">
        <v>2928</v>
      </c>
      <c r="H1255" s="70" t="s">
        <v>2929</v>
      </c>
      <c r="I1255" s="72">
        <v>35.37</v>
      </c>
      <c r="J1255" s="70" t="s">
        <v>58</v>
      </c>
      <c r="K1255" s="65"/>
      <c r="L1255" s="65"/>
      <c r="M1255" s="65"/>
      <c r="N1255" s="65"/>
      <c r="O1255" s="65"/>
      <c r="P1255" s="65"/>
      <c r="Q1255" s="65"/>
      <c r="R1255" s="65"/>
      <c r="S1255" s="65"/>
      <c r="T1255" s="65"/>
      <c r="U1255" s="65"/>
      <c r="V1255" s="65"/>
      <c r="W1255" s="65"/>
      <c r="X1255" s="65"/>
      <c r="Y1255" s="65"/>
      <c r="Z1255" s="65"/>
      <c r="AA1255" s="65"/>
      <c r="AB1255" s="65"/>
      <c r="AC1255" s="65"/>
    </row>
    <row r="1256">
      <c r="A1256" s="72">
        <v>531.0</v>
      </c>
      <c r="B1256" s="67" t="s">
        <v>2930</v>
      </c>
      <c r="C1256" s="70" t="s">
        <v>56</v>
      </c>
      <c r="D1256" s="70" t="s">
        <v>2520</v>
      </c>
      <c r="E1256" s="70" t="s">
        <v>28</v>
      </c>
      <c r="F1256" s="73"/>
      <c r="G1256" s="73"/>
      <c r="H1256" s="70" t="s">
        <v>28</v>
      </c>
      <c r="I1256" s="72">
        <v>59.59</v>
      </c>
      <c r="J1256" s="70" t="s">
        <v>58</v>
      </c>
      <c r="K1256" s="65"/>
      <c r="L1256" s="65"/>
      <c r="M1256" s="65"/>
      <c r="N1256" s="65"/>
      <c r="O1256" s="65"/>
      <c r="P1256" s="65"/>
      <c r="Q1256" s="65"/>
      <c r="R1256" s="65"/>
      <c r="S1256" s="65"/>
      <c r="T1256" s="65"/>
      <c r="U1256" s="65"/>
      <c r="V1256" s="65"/>
      <c r="W1256" s="65"/>
      <c r="X1256" s="65"/>
      <c r="Y1256" s="65"/>
      <c r="Z1256" s="65"/>
      <c r="AA1256" s="65"/>
      <c r="AB1256" s="65"/>
      <c r="AC1256" s="65"/>
    </row>
    <row r="1257">
      <c r="A1257" s="72">
        <v>530.0</v>
      </c>
      <c r="B1257" s="67" t="s">
        <v>2931</v>
      </c>
      <c r="C1257" s="70" t="s">
        <v>69</v>
      </c>
      <c r="D1257" s="70" t="s">
        <v>320</v>
      </c>
      <c r="E1257" s="70" t="s">
        <v>1927</v>
      </c>
      <c r="F1257" s="73"/>
      <c r="G1257" s="73"/>
      <c r="H1257" s="70" t="s">
        <v>28</v>
      </c>
      <c r="I1257" s="72">
        <v>54.95</v>
      </c>
      <c r="J1257" s="70" t="s">
        <v>58</v>
      </c>
      <c r="K1257" s="65"/>
      <c r="L1257" s="65"/>
      <c r="M1257" s="65"/>
      <c r="N1257" s="65"/>
      <c r="O1257" s="65"/>
      <c r="P1257" s="65"/>
      <c r="Q1257" s="65"/>
      <c r="R1257" s="65"/>
      <c r="S1257" s="65"/>
      <c r="T1257" s="65"/>
      <c r="U1257" s="65"/>
      <c r="V1257" s="65"/>
      <c r="W1257" s="65"/>
      <c r="X1257" s="65"/>
      <c r="Y1257" s="65"/>
      <c r="Z1257" s="65"/>
      <c r="AA1257" s="65"/>
      <c r="AB1257" s="65"/>
      <c r="AC1257" s="65"/>
    </row>
    <row r="1258">
      <c r="A1258" s="72">
        <v>529.0</v>
      </c>
      <c r="B1258" s="67" t="s">
        <v>2932</v>
      </c>
      <c r="C1258" s="70" t="s">
        <v>56</v>
      </c>
      <c r="D1258" s="70" t="s">
        <v>394</v>
      </c>
      <c r="E1258" s="70" t="s">
        <v>2933</v>
      </c>
      <c r="F1258" s="70" t="s">
        <v>2934</v>
      </c>
      <c r="G1258" s="70" t="s">
        <v>2935</v>
      </c>
      <c r="H1258" s="70" t="s">
        <v>2936</v>
      </c>
      <c r="I1258" s="72">
        <v>61.3</v>
      </c>
      <c r="J1258" s="70" t="s">
        <v>58</v>
      </c>
      <c r="K1258" s="65"/>
      <c r="L1258" s="65"/>
      <c r="M1258" s="65"/>
      <c r="N1258" s="65"/>
      <c r="O1258" s="65"/>
      <c r="P1258" s="65"/>
      <c r="Q1258" s="65"/>
      <c r="R1258" s="65"/>
      <c r="S1258" s="65"/>
      <c r="T1258" s="65"/>
      <c r="U1258" s="65"/>
      <c r="V1258" s="65"/>
      <c r="W1258" s="65"/>
      <c r="X1258" s="65"/>
      <c r="Y1258" s="65"/>
      <c r="Z1258" s="65"/>
      <c r="AA1258" s="65"/>
      <c r="AB1258" s="65"/>
      <c r="AC1258" s="65"/>
    </row>
    <row r="1259">
      <c r="A1259" s="72">
        <v>528.0</v>
      </c>
      <c r="B1259" s="67" t="s">
        <v>2937</v>
      </c>
      <c r="C1259" s="70" t="s">
        <v>56</v>
      </c>
      <c r="D1259" s="70" t="s">
        <v>2938</v>
      </c>
      <c r="E1259" s="70" t="s">
        <v>2939</v>
      </c>
      <c r="F1259" s="70" t="s">
        <v>2940</v>
      </c>
      <c r="G1259" s="70" t="s">
        <v>2941</v>
      </c>
      <c r="H1259" s="70" t="s">
        <v>2942</v>
      </c>
      <c r="I1259" s="72">
        <v>44.67</v>
      </c>
      <c r="J1259" s="70" t="s">
        <v>58</v>
      </c>
      <c r="K1259" s="65"/>
      <c r="L1259" s="65"/>
      <c r="M1259" s="65"/>
      <c r="N1259" s="65"/>
      <c r="O1259" s="65"/>
      <c r="P1259" s="65"/>
      <c r="Q1259" s="65"/>
      <c r="R1259" s="65"/>
      <c r="S1259" s="65"/>
      <c r="T1259" s="65"/>
      <c r="U1259" s="65"/>
      <c r="V1259" s="65"/>
      <c r="W1259" s="65"/>
      <c r="X1259" s="65"/>
      <c r="Y1259" s="65"/>
      <c r="Z1259" s="65"/>
      <c r="AA1259" s="65"/>
      <c r="AB1259" s="65"/>
      <c r="AC1259" s="65"/>
    </row>
    <row r="1260">
      <c r="A1260" s="72">
        <v>527.0</v>
      </c>
      <c r="B1260" s="67" t="s">
        <v>2943</v>
      </c>
      <c r="C1260" s="70" t="s">
        <v>60</v>
      </c>
      <c r="D1260" s="70" t="s">
        <v>698</v>
      </c>
      <c r="E1260" s="70" t="s">
        <v>2944</v>
      </c>
      <c r="F1260" s="73"/>
      <c r="G1260" s="70" t="s">
        <v>28</v>
      </c>
      <c r="H1260" s="70" t="s">
        <v>2945</v>
      </c>
      <c r="I1260" s="72">
        <v>56.28</v>
      </c>
      <c r="J1260" s="70" t="s">
        <v>58</v>
      </c>
      <c r="K1260" s="65"/>
      <c r="L1260" s="65"/>
      <c r="M1260" s="65"/>
      <c r="N1260" s="65"/>
      <c r="O1260" s="65"/>
      <c r="P1260" s="65"/>
      <c r="Q1260" s="65"/>
      <c r="R1260" s="65"/>
      <c r="S1260" s="65"/>
      <c r="T1260" s="65"/>
      <c r="U1260" s="65"/>
      <c r="V1260" s="65"/>
      <c r="W1260" s="65"/>
      <c r="X1260" s="65"/>
      <c r="Y1260" s="65"/>
      <c r="Z1260" s="65"/>
      <c r="AA1260" s="65"/>
      <c r="AB1260" s="65"/>
      <c r="AC1260" s="65"/>
    </row>
    <row r="1261">
      <c r="A1261" s="72">
        <v>526.0</v>
      </c>
      <c r="B1261" s="67" t="s">
        <v>2946</v>
      </c>
      <c r="C1261" s="70" t="s">
        <v>56</v>
      </c>
      <c r="D1261" s="70" t="s">
        <v>1744</v>
      </c>
      <c r="E1261" s="70" t="s">
        <v>2947</v>
      </c>
      <c r="F1261" s="70" t="s">
        <v>2948</v>
      </c>
      <c r="G1261" s="70" t="s">
        <v>2948</v>
      </c>
      <c r="H1261" s="70" t="s">
        <v>2949</v>
      </c>
      <c r="I1261" s="72">
        <v>61.96</v>
      </c>
      <c r="J1261" s="70" t="s">
        <v>58</v>
      </c>
      <c r="K1261" s="65"/>
      <c r="L1261" s="65"/>
      <c r="M1261" s="65"/>
      <c r="N1261" s="65"/>
      <c r="O1261" s="65"/>
      <c r="P1261" s="65"/>
      <c r="Q1261" s="65"/>
      <c r="R1261" s="65"/>
      <c r="S1261" s="65"/>
      <c r="T1261" s="65"/>
      <c r="U1261" s="65"/>
      <c r="V1261" s="65"/>
      <c r="W1261" s="65"/>
      <c r="X1261" s="65"/>
      <c r="Y1261" s="65"/>
      <c r="Z1261" s="65"/>
      <c r="AA1261" s="65"/>
      <c r="AB1261" s="65"/>
      <c r="AC1261" s="65"/>
    </row>
    <row r="1262">
      <c r="A1262" s="72">
        <v>525.0</v>
      </c>
      <c r="B1262" s="67" t="s">
        <v>2950</v>
      </c>
      <c r="C1262" s="70" t="s">
        <v>56</v>
      </c>
      <c r="D1262" s="70" t="s">
        <v>284</v>
      </c>
      <c r="E1262" s="70" t="s">
        <v>2951</v>
      </c>
      <c r="F1262" s="70" t="s">
        <v>800</v>
      </c>
      <c r="G1262" s="70" t="s">
        <v>2952</v>
      </c>
      <c r="H1262" s="70" t="s">
        <v>2953</v>
      </c>
      <c r="I1262" s="72">
        <v>43.53</v>
      </c>
      <c r="J1262" s="70" t="s">
        <v>58</v>
      </c>
      <c r="K1262" s="65"/>
      <c r="L1262" s="65"/>
      <c r="M1262" s="65"/>
      <c r="N1262" s="65"/>
      <c r="O1262" s="65"/>
      <c r="P1262" s="65"/>
      <c r="Q1262" s="65"/>
      <c r="R1262" s="65"/>
      <c r="S1262" s="65"/>
      <c r="T1262" s="65"/>
      <c r="U1262" s="65"/>
      <c r="V1262" s="65"/>
      <c r="W1262" s="65"/>
      <c r="X1262" s="65"/>
      <c r="Y1262" s="65"/>
      <c r="Z1262" s="65"/>
      <c r="AA1262" s="65"/>
      <c r="AB1262" s="65"/>
      <c r="AC1262" s="65"/>
    </row>
    <row r="1263">
      <c r="A1263" s="72">
        <v>524.0</v>
      </c>
      <c r="B1263" s="67" t="s">
        <v>2954</v>
      </c>
      <c r="C1263" s="70" t="s">
        <v>56</v>
      </c>
      <c r="D1263" s="70" t="s">
        <v>2955</v>
      </c>
      <c r="E1263" s="70" t="s">
        <v>2956</v>
      </c>
      <c r="F1263" s="70" t="s">
        <v>110</v>
      </c>
      <c r="G1263" s="70" t="s">
        <v>1206</v>
      </c>
      <c r="H1263" s="70" t="s">
        <v>1206</v>
      </c>
      <c r="I1263" s="72">
        <v>50.06</v>
      </c>
      <c r="J1263" s="70" t="s">
        <v>58</v>
      </c>
      <c r="K1263" s="65"/>
      <c r="L1263" s="65"/>
      <c r="M1263" s="65"/>
      <c r="N1263" s="65"/>
      <c r="O1263" s="65"/>
      <c r="P1263" s="65"/>
      <c r="Q1263" s="65"/>
      <c r="R1263" s="65"/>
      <c r="S1263" s="65"/>
      <c r="T1263" s="65"/>
      <c r="U1263" s="65"/>
      <c r="V1263" s="65"/>
      <c r="W1263" s="65"/>
      <c r="X1263" s="65"/>
      <c r="Y1263" s="65"/>
      <c r="Z1263" s="65"/>
      <c r="AA1263" s="65"/>
      <c r="AB1263" s="65"/>
      <c r="AC1263" s="65"/>
    </row>
    <row r="1264">
      <c r="A1264" s="72">
        <v>523.0</v>
      </c>
      <c r="B1264" s="67" t="s">
        <v>2957</v>
      </c>
      <c r="C1264" s="70" t="s">
        <v>56</v>
      </c>
      <c r="D1264" s="70" t="s">
        <v>652</v>
      </c>
      <c r="E1264" s="70" t="s">
        <v>2958</v>
      </c>
      <c r="F1264" s="70" t="s">
        <v>800</v>
      </c>
      <c r="G1264" s="70" t="s">
        <v>800</v>
      </c>
      <c r="H1264" s="70" t="s">
        <v>2959</v>
      </c>
      <c r="I1264" s="72">
        <v>24.72</v>
      </c>
      <c r="J1264" s="70" t="s">
        <v>58</v>
      </c>
      <c r="K1264" s="65"/>
      <c r="L1264" s="65"/>
      <c r="M1264" s="65"/>
      <c r="N1264" s="65"/>
      <c r="O1264" s="65"/>
      <c r="P1264" s="65"/>
      <c r="Q1264" s="65"/>
      <c r="R1264" s="65"/>
      <c r="S1264" s="65"/>
      <c r="T1264" s="65"/>
      <c r="U1264" s="65"/>
      <c r="V1264" s="65"/>
      <c r="W1264" s="65"/>
      <c r="X1264" s="65"/>
      <c r="Y1264" s="65"/>
      <c r="Z1264" s="65"/>
      <c r="AA1264" s="65"/>
      <c r="AB1264" s="65"/>
      <c r="AC1264" s="65"/>
    </row>
    <row r="1265">
      <c r="A1265" s="72">
        <v>522.0</v>
      </c>
      <c r="B1265" s="67" t="s">
        <v>2960</v>
      </c>
      <c r="C1265" s="70" t="s">
        <v>56</v>
      </c>
      <c r="D1265" s="70" t="s">
        <v>70</v>
      </c>
      <c r="E1265" s="70" t="s">
        <v>28</v>
      </c>
      <c r="F1265" s="73"/>
      <c r="G1265" s="73"/>
      <c r="H1265" s="70" t="s">
        <v>28</v>
      </c>
      <c r="I1265" s="72">
        <v>34.23</v>
      </c>
      <c r="J1265" s="70" t="s">
        <v>58</v>
      </c>
      <c r="K1265" s="65"/>
      <c r="L1265" s="65"/>
      <c r="M1265" s="65"/>
      <c r="N1265" s="65"/>
      <c r="O1265" s="65"/>
      <c r="P1265" s="65"/>
      <c r="Q1265" s="65"/>
      <c r="R1265" s="65"/>
      <c r="S1265" s="65"/>
      <c r="T1265" s="65"/>
      <c r="U1265" s="65"/>
      <c r="V1265" s="65"/>
      <c r="W1265" s="65"/>
      <c r="X1265" s="65"/>
      <c r="Y1265" s="65"/>
      <c r="Z1265" s="65"/>
      <c r="AA1265" s="65"/>
      <c r="AB1265" s="65"/>
      <c r="AC1265" s="65"/>
    </row>
    <row r="1266">
      <c r="A1266" s="72">
        <v>521.0</v>
      </c>
      <c r="B1266" s="67" t="s">
        <v>2961</v>
      </c>
      <c r="C1266" s="70" t="s">
        <v>69</v>
      </c>
      <c r="D1266" s="70" t="s">
        <v>2962</v>
      </c>
      <c r="E1266" s="70" t="s">
        <v>28</v>
      </c>
      <c r="F1266" s="73"/>
      <c r="G1266" s="73"/>
      <c r="H1266" s="70" t="s">
        <v>28</v>
      </c>
      <c r="I1266" s="72">
        <v>58.88</v>
      </c>
      <c r="J1266" s="70" t="s">
        <v>58</v>
      </c>
      <c r="K1266" s="65"/>
      <c r="L1266" s="65"/>
      <c r="M1266" s="65"/>
      <c r="N1266" s="65"/>
      <c r="O1266" s="65"/>
      <c r="P1266" s="65"/>
      <c r="Q1266" s="65"/>
      <c r="R1266" s="65"/>
      <c r="S1266" s="65"/>
      <c r="T1266" s="65"/>
      <c r="U1266" s="65"/>
      <c r="V1266" s="65"/>
      <c r="W1266" s="65"/>
      <c r="X1266" s="65"/>
      <c r="Y1266" s="65"/>
      <c r="Z1266" s="65"/>
      <c r="AA1266" s="65"/>
      <c r="AB1266" s="65"/>
      <c r="AC1266" s="65"/>
    </row>
    <row r="1267">
      <c r="A1267" s="72">
        <v>520.0</v>
      </c>
      <c r="B1267" s="67" t="s">
        <v>2963</v>
      </c>
      <c r="C1267" s="70" t="s">
        <v>69</v>
      </c>
      <c r="D1267" s="70" t="s">
        <v>70</v>
      </c>
      <c r="E1267" s="70" t="s">
        <v>28</v>
      </c>
      <c r="F1267" s="73"/>
      <c r="G1267" s="73"/>
      <c r="H1267" s="70" t="s">
        <v>28</v>
      </c>
      <c r="I1267" s="72">
        <v>53.99</v>
      </c>
      <c r="J1267" s="70" t="s">
        <v>58</v>
      </c>
      <c r="K1267" s="65"/>
      <c r="L1267" s="65"/>
      <c r="M1267" s="65"/>
      <c r="N1267" s="65"/>
      <c r="O1267" s="65"/>
      <c r="P1267" s="65"/>
      <c r="Q1267" s="65"/>
      <c r="R1267" s="65"/>
      <c r="S1267" s="65"/>
      <c r="T1267" s="65"/>
      <c r="U1267" s="65"/>
      <c r="V1267" s="65"/>
      <c r="W1267" s="65"/>
      <c r="X1267" s="65"/>
      <c r="Y1267" s="65"/>
      <c r="Z1267" s="65"/>
      <c r="AA1267" s="65"/>
      <c r="AB1267" s="65"/>
      <c r="AC1267" s="65"/>
    </row>
    <row r="1268">
      <c r="A1268" s="72">
        <v>519.0</v>
      </c>
      <c r="B1268" s="67" t="s">
        <v>2964</v>
      </c>
      <c r="C1268" s="70" t="s">
        <v>56</v>
      </c>
      <c r="D1268" s="70" t="s">
        <v>2965</v>
      </c>
      <c r="E1268" s="70" t="s">
        <v>28</v>
      </c>
      <c r="F1268" s="73"/>
      <c r="G1268" s="73"/>
      <c r="H1268" s="70" t="s">
        <v>28</v>
      </c>
      <c r="I1268" s="72">
        <v>37.8</v>
      </c>
      <c r="J1268" s="70" t="s">
        <v>58</v>
      </c>
      <c r="K1268" s="65"/>
      <c r="L1268" s="65"/>
      <c r="M1268" s="65"/>
      <c r="N1268" s="65"/>
      <c r="O1268" s="65"/>
      <c r="P1268" s="65"/>
      <c r="Q1268" s="65"/>
      <c r="R1268" s="65"/>
      <c r="S1268" s="65"/>
      <c r="T1268" s="65"/>
      <c r="U1268" s="65"/>
      <c r="V1268" s="65"/>
      <c r="W1268" s="65"/>
      <c r="X1268" s="65"/>
      <c r="Y1268" s="65"/>
      <c r="Z1268" s="65"/>
      <c r="AA1268" s="65"/>
      <c r="AB1268" s="65"/>
      <c r="AC1268" s="65"/>
    </row>
    <row r="1269">
      <c r="A1269" s="72">
        <v>518.0</v>
      </c>
      <c r="B1269" s="67" t="s">
        <v>2966</v>
      </c>
      <c r="C1269" s="70" t="s">
        <v>56</v>
      </c>
      <c r="D1269" s="73"/>
      <c r="E1269" s="70" t="s">
        <v>2967</v>
      </c>
      <c r="F1269" s="70" t="s">
        <v>2968</v>
      </c>
      <c r="G1269" s="70" t="s">
        <v>2969</v>
      </c>
      <c r="H1269" s="70" t="s">
        <v>2970</v>
      </c>
      <c r="I1269" s="72">
        <v>51.91</v>
      </c>
      <c r="J1269" s="70" t="s">
        <v>58</v>
      </c>
      <c r="K1269" s="65"/>
      <c r="L1269" s="65"/>
      <c r="M1269" s="65"/>
      <c r="N1269" s="65"/>
      <c r="O1269" s="65"/>
      <c r="P1269" s="65"/>
      <c r="Q1269" s="65"/>
      <c r="R1269" s="65"/>
      <c r="S1269" s="65"/>
      <c r="T1269" s="65"/>
      <c r="U1269" s="65"/>
      <c r="V1269" s="65"/>
      <c r="W1269" s="65"/>
      <c r="X1269" s="65"/>
      <c r="Y1269" s="65"/>
      <c r="Z1269" s="65"/>
      <c r="AA1269" s="65"/>
      <c r="AB1269" s="65"/>
      <c r="AC1269" s="65"/>
    </row>
    <row r="1270">
      <c r="A1270" s="72">
        <v>517.0</v>
      </c>
      <c r="B1270" s="67" t="s">
        <v>2971</v>
      </c>
      <c r="C1270" s="70" t="s">
        <v>60</v>
      </c>
      <c r="D1270" s="70" t="s">
        <v>652</v>
      </c>
      <c r="E1270" s="70" t="s">
        <v>64</v>
      </c>
      <c r="F1270" s="73"/>
      <c r="G1270" s="73"/>
      <c r="H1270" s="70" t="s">
        <v>64</v>
      </c>
      <c r="I1270" s="72">
        <v>38.64</v>
      </c>
      <c r="J1270" s="70" t="s">
        <v>58</v>
      </c>
      <c r="K1270" s="65"/>
      <c r="L1270" s="65"/>
      <c r="M1270" s="65"/>
      <c r="N1270" s="65"/>
      <c r="O1270" s="65"/>
      <c r="P1270" s="65"/>
      <c r="Q1270" s="65"/>
      <c r="R1270" s="65"/>
      <c r="S1270" s="65"/>
      <c r="T1270" s="65"/>
      <c r="U1270" s="65"/>
      <c r="V1270" s="65"/>
      <c r="W1270" s="65"/>
      <c r="X1270" s="65"/>
      <c r="Y1270" s="65"/>
      <c r="Z1270" s="65"/>
      <c r="AA1270" s="65"/>
      <c r="AB1270" s="65"/>
      <c r="AC1270" s="65"/>
    </row>
    <row r="1271">
      <c r="A1271" s="72">
        <v>516.0</v>
      </c>
      <c r="B1271" s="67" t="s">
        <v>2972</v>
      </c>
      <c r="C1271" s="70" t="s">
        <v>56</v>
      </c>
      <c r="D1271" s="70" t="s">
        <v>76</v>
      </c>
      <c r="E1271" s="70" t="s">
        <v>2973</v>
      </c>
      <c r="F1271" s="70" t="s">
        <v>64</v>
      </c>
      <c r="G1271" s="70" t="s">
        <v>2974</v>
      </c>
      <c r="H1271" s="70" t="s">
        <v>2975</v>
      </c>
      <c r="I1271" s="72">
        <v>55.61</v>
      </c>
      <c r="J1271" s="70" t="s">
        <v>58</v>
      </c>
      <c r="K1271" s="65"/>
      <c r="L1271" s="65"/>
      <c r="M1271" s="65"/>
      <c r="N1271" s="65"/>
      <c r="O1271" s="65"/>
      <c r="P1271" s="65"/>
      <c r="Q1271" s="65"/>
      <c r="R1271" s="65"/>
      <c r="S1271" s="65"/>
      <c r="T1271" s="65"/>
      <c r="U1271" s="65"/>
      <c r="V1271" s="65"/>
      <c r="W1271" s="65"/>
      <c r="X1271" s="65"/>
      <c r="Y1271" s="65"/>
      <c r="Z1271" s="65"/>
      <c r="AA1271" s="65"/>
      <c r="AB1271" s="65"/>
      <c r="AC1271" s="65"/>
    </row>
    <row r="1272">
      <c r="A1272" s="72">
        <v>515.0</v>
      </c>
      <c r="B1272" s="67" t="s">
        <v>2976</v>
      </c>
      <c r="C1272" s="70" t="s">
        <v>56</v>
      </c>
      <c r="D1272" s="70" t="s">
        <v>173</v>
      </c>
      <c r="E1272" s="70" t="s">
        <v>2977</v>
      </c>
      <c r="F1272" s="70" t="s">
        <v>71</v>
      </c>
      <c r="G1272" s="70" t="s">
        <v>2978</v>
      </c>
      <c r="H1272" s="70" t="s">
        <v>2979</v>
      </c>
      <c r="I1272" s="72">
        <v>62.3</v>
      </c>
      <c r="J1272" s="70" t="s">
        <v>58</v>
      </c>
      <c r="K1272" s="65"/>
      <c r="L1272" s="65"/>
      <c r="M1272" s="65"/>
      <c r="N1272" s="65"/>
      <c r="O1272" s="65"/>
      <c r="P1272" s="65"/>
      <c r="Q1272" s="65"/>
      <c r="R1272" s="65"/>
      <c r="S1272" s="65"/>
      <c r="T1272" s="65"/>
      <c r="U1272" s="65"/>
      <c r="V1272" s="65"/>
      <c r="W1272" s="65"/>
      <c r="X1272" s="65"/>
      <c r="Y1272" s="65"/>
      <c r="Z1272" s="65"/>
      <c r="AA1272" s="65"/>
      <c r="AB1272" s="65"/>
      <c r="AC1272" s="65"/>
    </row>
    <row r="1273">
      <c r="A1273" s="72">
        <v>514.0</v>
      </c>
      <c r="B1273" s="67" t="s">
        <v>2980</v>
      </c>
      <c r="C1273" s="70" t="s">
        <v>60</v>
      </c>
      <c r="D1273" s="70" t="s">
        <v>2981</v>
      </c>
      <c r="E1273" s="70" t="s">
        <v>2982</v>
      </c>
      <c r="F1273" s="73"/>
      <c r="G1273" s="70" t="s">
        <v>285</v>
      </c>
      <c r="H1273" s="70" t="s">
        <v>2983</v>
      </c>
      <c r="I1273" s="72">
        <v>44.95</v>
      </c>
      <c r="J1273" s="70" t="s">
        <v>58</v>
      </c>
      <c r="K1273" s="65"/>
      <c r="L1273" s="65"/>
      <c r="M1273" s="65"/>
      <c r="N1273" s="65"/>
      <c r="O1273" s="65"/>
      <c r="P1273" s="65"/>
      <c r="Q1273" s="65"/>
      <c r="R1273" s="65"/>
      <c r="S1273" s="65"/>
      <c r="T1273" s="65"/>
      <c r="U1273" s="65"/>
      <c r="V1273" s="65"/>
      <c r="W1273" s="65"/>
      <c r="X1273" s="65"/>
      <c r="Y1273" s="65"/>
      <c r="Z1273" s="65"/>
      <c r="AA1273" s="65"/>
      <c r="AB1273" s="65"/>
      <c r="AC1273" s="65"/>
    </row>
    <row r="1274">
      <c r="A1274" s="72">
        <v>513.0</v>
      </c>
      <c r="B1274" s="67" t="s">
        <v>2984</v>
      </c>
      <c r="C1274" s="70" t="s">
        <v>56</v>
      </c>
      <c r="D1274" s="70" t="s">
        <v>173</v>
      </c>
      <c r="E1274" s="70" t="s">
        <v>2985</v>
      </c>
      <c r="F1274" s="70" t="s">
        <v>189</v>
      </c>
      <c r="G1274" s="70" t="s">
        <v>189</v>
      </c>
      <c r="H1274" s="70" t="s">
        <v>2986</v>
      </c>
      <c r="I1274" s="72">
        <v>62.71</v>
      </c>
      <c r="J1274" s="70" t="s">
        <v>58</v>
      </c>
      <c r="K1274" s="65"/>
      <c r="L1274" s="65"/>
      <c r="M1274" s="65"/>
      <c r="N1274" s="65"/>
      <c r="O1274" s="65"/>
      <c r="P1274" s="65"/>
      <c r="Q1274" s="65"/>
      <c r="R1274" s="65"/>
      <c r="S1274" s="65"/>
      <c r="T1274" s="65"/>
      <c r="U1274" s="65"/>
      <c r="V1274" s="65"/>
      <c r="W1274" s="65"/>
      <c r="X1274" s="65"/>
      <c r="Y1274" s="65"/>
      <c r="Z1274" s="65"/>
      <c r="AA1274" s="65"/>
      <c r="AB1274" s="65"/>
      <c r="AC1274" s="65"/>
    </row>
    <row r="1275">
      <c r="A1275" s="72">
        <v>512.0</v>
      </c>
      <c r="B1275" s="67" t="s">
        <v>2987</v>
      </c>
      <c r="C1275" s="70" t="s">
        <v>69</v>
      </c>
      <c r="D1275" s="73"/>
      <c r="E1275" s="70" t="s">
        <v>1471</v>
      </c>
      <c r="F1275" s="73"/>
      <c r="G1275" s="73"/>
      <c r="H1275" s="70" t="s">
        <v>1471</v>
      </c>
      <c r="I1275" s="72">
        <v>56.05</v>
      </c>
      <c r="J1275" s="70" t="s">
        <v>73</v>
      </c>
      <c r="K1275" s="65"/>
      <c r="L1275" s="65"/>
      <c r="M1275" s="65"/>
      <c r="N1275" s="65"/>
      <c r="O1275" s="65"/>
      <c r="P1275" s="65"/>
      <c r="Q1275" s="65"/>
      <c r="R1275" s="65"/>
      <c r="S1275" s="65"/>
      <c r="T1275" s="65"/>
      <c r="U1275" s="65"/>
      <c r="V1275" s="65"/>
      <c r="W1275" s="65"/>
      <c r="X1275" s="65"/>
      <c r="Y1275" s="65"/>
      <c r="Z1275" s="65"/>
      <c r="AA1275" s="65"/>
      <c r="AB1275" s="65"/>
      <c r="AC1275" s="65"/>
    </row>
    <row r="1276">
      <c r="A1276" s="72">
        <v>511.0</v>
      </c>
      <c r="B1276" s="67" t="s">
        <v>2988</v>
      </c>
      <c r="C1276" s="70" t="s">
        <v>69</v>
      </c>
      <c r="D1276" s="73"/>
      <c r="E1276" s="70" t="s">
        <v>1471</v>
      </c>
      <c r="F1276" s="73"/>
      <c r="G1276" s="73"/>
      <c r="H1276" s="70" t="s">
        <v>1471</v>
      </c>
      <c r="I1276" s="72">
        <v>81.46</v>
      </c>
      <c r="J1276" s="70" t="s">
        <v>73</v>
      </c>
      <c r="K1276" s="65"/>
      <c r="L1276" s="65"/>
      <c r="M1276" s="65"/>
      <c r="N1276" s="65"/>
      <c r="O1276" s="65"/>
      <c r="P1276" s="65"/>
      <c r="Q1276" s="65"/>
      <c r="R1276" s="65"/>
      <c r="S1276" s="65"/>
      <c r="T1276" s="65"/>
      <c r="U1276" s="65"/>
      <c r="V1276" s="65"/>
      <c r="W1276" s="65"/>
      <c r="X1276" s="65"/>
      <c r="Y1276" s="65"/>
      <c r="Z1276" s="65"/>
      <c r="AA1276" s="65"/>
      <c r="AB1276" s="65"/>
      <c r="AC1276" s="65"/>
    </row>
    <row r="1277">
      <c r="A1277" s="72">
        <v>510.0</v>
      </c>
      <c r="B1277" s="67" t="s">
        <v>2989</v>
      </c>
      <c r="C1277" s="70" t="s">
        <v>56</v>
      </c>
      <c r="D1277" s="70" t="s">
        <v>320</v>
      </c>
      <c r="E1277" s="70" t="s">
        <v>2990</v>
      </c>
      <c r="F1277" s="70" t="s">
        <v>67</v>
      </c>
      <c r="G1277" s="70" t="s">
        <v>67</v>
      </c>
      <c r="H1277" s="70" t="s">
        <v>2991</v>
      </c>
      <c r="I1277" s="72">
        <v>60.18</v>
      </c>
      <c r="J1277" s="70" t="s">
        <v>58</v>
      </c>
      <c r="K1277" s="65"/>
      <c r="L1277" s="65"/>
      <c r="M1277" s="65"/>
      <c r="N1277" s="65"/>
      <c r="O1277" s="65"/>
      <c r="P1277" s="65"/>
      <c r="Q1277" s="65"/>
      <c r="R1277" s="65"/>
      <c r="S1277" s="65"/>
      <c r="T1277" s="65"/>
      <c r="U1277" s="65"/>
      <c r="V1277" s="65"/>
      <c r="W1277" s="65"/>
      <c r="X1277" s="65"/>
      <c r="Y1277" s="65"/>
      <c r="Z1277" s="65"/>
      <c r="AA1277" s="65"/>
      <c r="AB1277" s="65"/>
      <c r="AC1277" s="65"/>
    </row>
    <row r="1278">
      <c r="A1278" s="72">
        <v>509.0</v>
      </c>
      <c r="B1278" s="67" t="s">
        <v>2992</v>
      </c>
      <c r="C1278" s="70" t="s">
        <v>69</v>
      </c>
      <c r="D1278" s="70" t="s">
        <v>93</v>
      </c>
      <c r="E1278" s="75" t="s">
        <v>2993</v>
      </c>
      <c r="F1278" s="70" t="s">
        <v>2994</v>
      </c>
      <c r="G1278" s="70" t="s">
        <v>2995</v>
      </c>
      <c r="H1278" s="70" t="s">
        <v>2996</v>
      </c>
      <c r="I1278" s="72">
        <v>67.47</v>
      </c>
      <c r="J1278" s="70" t="s">
        <v>58</v>
      </c>
      <c r="K1278" s="65"/>
      <c r="L1278" s="65"/>
      <c r="M1278" s="65"/>
      <c r="N1278" s="65"/>
      <c r="O1278" s="65"/>
      <c r="P1278" s="65"/>
      <c r="Q1278" s="65"/>
      <c r="R1278" s="65"/>
      <c r="S1278" s="65"/>
      <c r="T1278" s="65"/>
      <c r="U1278" s="65"/>
      <c r="V1278" s="65"/>
      <c r="W1278" s="65"/>
      <c r="X1278" s="65"/>
      <c r="Y1278" s="65"/>
      <c r="Z1278" s="65"/>
      <c r="AA1278" s="65"/>
      <c r="AB1278" s="65"/>
      <c r="AC1278" s="65"/>
    </row>
    <row r="1279">
      <c r="A1279" s="72">
        <v>508.0</v>
      </c>
      <c r="B1279" s="67" t="s">
        <v>2997</v>
      </c>
      <c r="C1279" s="70" t="s">
        <v>56</v>
      </c>
      <c r="D1279" s="75" t="s">
        <v>418</v>
      </c>
      <c r="E1279" s="76" t="s">
        <v>64</v>
      </c>
      <c r="F1279" s="73"/>
      <c r="G1279" s="73"/>
      <c r="H1279" s="70" t="s">
        <v>64</v>
      </c>
      <c r="I1279" s="72">
        <v>59.16</v>
      </c>
      <c r="J1279" s="70" t="s">
        <v>58</v>
      </c>
      <c r="K1279" s="65"/>
      <c r="L1279" s="65"/>
      <c r="M1279" s="65"/>
      <c r="N1279" s="65"/>
      <c r="O1279" s="65"/>
      <c r="P1279" s="65"/>
      <c r="Q1279" s="65"/>
      <c r="R1279" s="65"/>
      <c r="S1279" s="65"/>
      <c r="T1279" s="65"/>
      <c r="U1279" s="65"/>
      <c r="V1279" s="65"/>
      <c r="W1279" s="65"/>
      <c r="X1279" s="65"/>
      <c r="Y1279" s="65"/>
      <c r="Z1279" s="65"/>
      <c r="AA1279" s="65"/>
      <c r="AB1279" s="65"/>
      <c r="AC1279" s="65"/>
    </row>
    <row r="1280">
      <c r="A1280" s="72">
        <v>507.0</v>
      </c>
      <c r="B1280" s="67" t="s">
        <v>2998</v>
      </c>
      <c r="C1280" s="75" t="s">
        <v>69</v>
      </c>
      <c r="D1280" s="76" t="s">
        <v>99</v>
      </c>
      <c r="E1280" s="76" t="s">
        <v>2999</v>
      </c>
      <c r="F1280" s="73"/>
      <c r="G1280" s="70" t="s">
        <v>64</v>
      </c>
      <c r="H1280" s="70" t="s">
        <v>2999</v>
      </c>
      <c r="I1280" s="72">
        <v>36.26</v>
      </c>
      <c r="J1280" s="70" t="s">
        <v>58</v>
      </c>
      <c r="K1280" s="65"/>
      <c r="L1280" s="65"/>
      <c r="M1280" s="65"/>
      <c r="N1280" s="65"/>
      <c r="O1280" s="65"/>
      <c r="P1280" s="65"/>
      <c r="Q1280" s="65"/>
      <c r="R1280" s="65"/>
      <c r="S1280" s="65"/>
      <c r="T1280" s="65"/>
      <c r="U1280" s="65"/>
      <c r="V1280" s="65"/>
      <c r="W1280" s="65"/>
      <c r="X1280" s="65"/>
      <c r="Y1280" s="65"/>
      <c r="Z1280" s="65"/>
      <c r="AA1280" s="65"/>
      <c r="AB1280" s="65"/>
      <c r="AC1280" s="65"/>
    </row>
    <row r="1281">
      <c r="A1281" s="72">
        <v>506.0</v>
      </c>
      <c r="B1281" s="67" t="s">
        <v>3000</v>
      </c>
      <c r="C1281" s="70" t="s">
        <v>69</v>
      </c>
      <c r="D1281" s="73"/>
      <c r="E1281" s="70" t="s">
        <v>28</v>
      </c>
      <c r="F1281" s="73"/>
      <c r="G1281" s="73"/>
      <c r="H1281" s="70" t="s">
        <v>28</v>
      </c>
      <c r="I1281" s="72">
        <v>51.38</v>
      </c>
      <c r="J1281" s="70" t="s">
        <v>58</v>
      </c>
      <c r="K1281" s="65"/>
      <c r="L1281" s="65"/>
      <c r="M1281" s="65"/>
      <c r="N1281" s="65"/>
      <c r="O1281" s="65"/>
      <c r="P1281" s="65"/>
      <c r="Q1281" s="65"/>
      <c r="R1281" s="65"/>
      <c r="S1281" s="65"/>
      <c r="T1281" s="65"/>
      <c r="U1281" s="65"/>
      <c r="V1281" s="65"/>
      <c r="W1281" s="65"/>
      <c r="X1281" s="65"/>
      <c r="Y1281" s="65"/>
      <c r="Z1281" s="65"/>
      <c r="AA1281" s="65"/>
      <c r="AB1281" s="65"/>
      <c r="AC1281" s="65"/>
    </row>
    <row r="1282">
      <c r="A1282" s="72">
        <v>505.0</v>
      </c>
      <c r="B1282" s="67" t="s">
        <v>3001</v>
      </c>
      <c r="C1282" s="70" t="s">
        <v>56</v>
      </c>
      <c r="D1282" s="70" t="s">
        <v>394</v>
      </c>
      <c r="E1282" s="70" t="s">
        <v>3002</v>
      </c>
      <c r="F1282" s="73"/>
      <c r="G1282" s="73"/>
      <c r="H1282" s="70" t="s">
        <v>3003</v>
      </c>
      <c r="I1282" s="72">
        <v>48.62</v>
      </c>
      <c r="J1282" s="70" t="s">
        <v>58</v>
      </c>
      <c r="K1282" s="65"/>
      <c r="L1282" s="65"/>
      <c r="M1282" s="65"/>
      <c r="N1282" s="65"/>
      <c r="O1282" s="65"/>
      <c r="P1282" s="65"/>
      <c r="Q1282" s="65"/>
      <c r="R1282" s="65"/>
      <c r="S1282" s="65"/>
      <c r="T1282" s="65"/>
      <c r="U1282" s="65"/>
      <c r="V1282" s="65"/>
      <c r="W1282" s="65"/>
      <c r="X1282" s="65"/>
      <c r="Y1282" s="65"/>
      <c r="Z1282" s="65"/>
      <c r="AA1282" s="65"/>
      <c r="AB1282" s="65"/>
      <c r="AC1282" s="65"/>
    </row>
    <row r="1283">
      <c r="A1283" s="72">
        <v>504.0</v>
      </c>
      <c r="B1283" s="67" t="s">
        <v>3004</v>
      </c>
      <c r="C1283" s="70" t="s">
        <v>69</v>
      </c>
      <c r="D1283" s="73"/>
      <c r="E1283" s="70" t="s">
        <v>3005</v>
      </c>
      <c r="F1283" s="70" t="s">
        <v>2190</v>
      </c>
      <c r="G1283" s="70" t="s">
        <v>2190</v>
      </c>
      <c r="H1283" s="70" t="s">
        <v>3006</v>
      </c>
      <c r="I1283" s="72">
        <v>46.42</v>
      </c>
      <c r="J1283" s="70" t="s">
        <v>58</v>
      </c>
      <c r="K1283" s="65"/>
      <c r="L1283" s="65"/>
      <c r="M1283" s="65"/>
      <c r="N1283" s="65"/>
      <c r="O1283" s="65"/>
      <c r="P1283" s="65"/>
      <c r="Q1283" s="65"/>
      <c r="R1283" s="65"/>
      <c r="S1283" s="65"/>
      <c r="T1283" s="65"/>
      <c r="U1283" s="65"/>
      <c r="V1283" s="65"/>
      <c r="W1283" s="65"/>
      <c r="X1283" s="65"/>
      <c r="Y1283" s="65"/>
      <c r="Z1283" s="65"/>
      <c r="AA1283" s="65"/>
      <c r="AB1283" s="65"/>
      <c r="AC1283" s="65"/>
    </row>
    <row r="1284">
      <c r="A1284" s="72">
        <v>503.0</v>
      </c>
      <c r="B1284" s="67" t="s">
        <v>3007</v>
      </c>
      <c r="C1284" s="70" t="s">
        <v>56</v>
      </c>
      <c r="D1284" s="70" t="s">
        <v>240</v>
      </c>
      <c r="E1284" s="70" t="s">
        <v>3008</v>
      </c>
      <c r="F1284" s="70" t="s">
        <v>1593</v>
      </c>
      <c r="G1284" s="70" t="s">
        <v>3009</v>
      </c>
      <c r="H1284" s="70" t="s">
        <v>3010</v>
      </c>
      <c r="I1284" s="72">
        <v>58.58</v>
      </c>
      <c r="J1284" s="70" t="s">
        <v>58</v>
      </c>
      <c r="K1284" s="65"/>
      <c r="L1284" s="65"/>
      <c r="M1284" s="65"/>
      <c r="N1284" s="65"/>
      <c r="O1284" s="65"/>
      <c r="P1284" s="65"/>
      <c r="Q1284" s="65"/>
      <c r="R1284" s="65"/>
      <c r="S1284" s="65"/>
      <c r="T1284" s="65"/>
      <c r="U1284" s="65"/>
      <c r="V1284" s="65"/>
      <c r="W1284" s="65"/>
      <c r="X1284" s="65"/>
      <c r="Y1284" s="65"/>
      <c r="Z1284" s="65"/>
      <c r="AA1284" s="65"/>
      <c r="AB1284" s="65"/>
      <c r="AC1284" s="65"/>
    </row>
    <row r="1285">
      <c r="A1285" s="72">
        <v>502.0</v>
      </c>
      <c r="B1285" s="67" t="s">
        <v>3011</v>
      </c>
      <c r="C1285" s="70" t="s">
        <v>60</v>
      </c>
      <c r="D1285" s="70" t="s">
        <v>237</v>
      </c>
      <c r="E1285" s="75" t="s">
        <v>64</v>
      </c>
      <c r="F1285" s="70" t="s">
        <v>64</v>
      </c>
      <c r="G1285" s="70" t="s">
        <v>64</v>
      </c>
      <c r="H1285" s="70" t="s">
        <v>64</v>
      </c>
      <c r="I1285" s="72">
        <v>41.67</v>
      </c>
      <c r="J1285" s="70" t="s">
        <v>58</v>
      </c>
      <c r="K1285" s="65"/>
      <c r="L1285" s="65"/>
      <c r="M1285" s="65"/>
      <c r="N1285" s="65"/>
      <c r="O1285" s="65"/>
      <c r="P1285" s="65"/>
      <c r="Q1285" s="65"/>
      <c r="R1285" s="65"/>
      <c r="S1285" s="65"/>
      <c r="T1285" s="65"/>
      <c r="U1285" s="65"/>
      <c r="V1285" s="65"/>
      <c r="W1285" s="65"/>
      <c r="X1285" s="65"/>
      <c r="Y1285" s="65"/>
      <c r="Z1285" s="65"/>
      <c r="AA1285" s="65"/>
      <c r="AB1285" s="65"/>
      <c r="AC1285" s="65"/>
    </row>
    <row r="1286">
      <c r="A1286" s="72">
        <v>501.0</v>
      </c>
      <c r="B1286" s="67" t="s">
        <v>3012</v>
      </c>
      <c r="C1286" s="70" t="s">
        <v>69</v>
      </c>
      <c r="D1286" s="75" t="s">
        <v>320</v>
      </c>
      <c r="E1286" s="76" t="s">
        <v>87</v>
      </c>
      <c r="F1286" s="70" t="s">
        <v>28</v>
      </c>
      <c r="G1286" s="70" t="s">
        <v>87</v>
      </c>
      <c r="H1286" s="70" t="s">
        <v>87</v>
      </c>
      <c r="I1286" s="72">
        <v>43.59</v>
      </c>
      <c r="J1286" s="70" t="s">
        <v>58</v>
      </c>
      <c r="K1286" s="65"/>
      <c r="L1286" s="65"/>
      <c r="M1286" s="65"/>
      <c r="N1286" s="65"/>
      <c r="O1286" s="65"/>
      <c r="P1286" s="65"/>
      <c r="Q1286" s="65"/>
      <c r="R1286" s="65"/>
      <c r="S1286" s="65"/>
      <c r="T1286" s="65"/>
      <c r="U1286" s="65"/>
      <c r="V1286" s="65"/>
      <c r="W1286" s="65"/>
      <c r="X1286" s="65"/>
      <c r="Y1286" s="65"/>
      <c r="Z1286" s="65"/>
      <c r="AA1286" s="65"/>
      <c r="AB1286" s="65"/>
      <c r="AC1286" s="65"/>
    </row>
    <row r="1287">
      <c r="A1287" s="72">
        <v>500.0</v>
      </c>
      <c r="B1287" s="67" t="s">
        <v>3013</v>
      </c>
      <c r="C1287" s="75" t="s">
        <v>69</v>
      </c>
      <c r="D1287" s="76" t="s">
        <v>284</v>
      </c>
      <c r="E1287" s="76" t="s">
        <v>2838</v>
      </c>
      <c r="F1287" s="73"/>
      <c r="G1287" s="73"/>
      <c r="H1287" s="70" t="s">
        <v>2838</v>
      </c>
      <c r="I1287" s="72">
        <v>65.77</v>
      </c>
      <c r="J1287" s="70" t="s">
        <v>58</v>
      </c>
      <c r="K1287" s="65"/>
      <c r="L1287" s="65"/>
      <c r="M1287" s="65"/>
      <c r="N1287" s="65"/>
      <c r="O1287" s="65"/>
      <c r="P1287" s="65"/>
      <c r="Q1287" s="65"/>
      <c r="R1287" s="65"/>
      <c r="S1287" s="65"/>
      <c r="T1287" s="65"/>
      <c r="U1287" s="65"/>
      <c r="V1287" s="65"/>
      <c r="W1287" s="65"/>
      <c r="X1287" s="65"/>
      <c r="Y1287" s="65"/>
      <c r="Z1287" s="65"/>
      <c r="AA1287" s="65"/>
      <c r="AB1287" s="65"/>
      <c r="AC1287" s="65"/>
    </row>
    <row r="1288">
      <c r="A1288" s="72">
        <v>499.0</v>
      </c>
      <c r="B1288" s="67" t="s">
        <v>3014</v>
      </c>
      <c r="C1288" s="70" t="s">
        <v>60</v>
      </c>
      <c r="D1288" s="70" t="s">
        <v>394</v>
      </c>
      <c r="E1288" s="70" t="s">
        <v>28</v>
      </c>
      <c r="F1288" s="73"/>
      <c r="G1288" s="73"/>
      <c r="H1288" s="70" t="s">
        <v>28</v>
      </c>
      <c r="I1288" s="72">
        <v>42.51</v>
      </c>
      <c r="J1288" s="70" t="s">
        <v>58</v>
      </c>
      <c r="K1288" s="65"/>
      <c r="L1288" s="65"/>
      <c r="M1288" s="65"/>
      <c r="N1288" s="65"/>
      <c r="O1288" s="65"/>
      <c r="P1288" s="65"/>
      <c r="Q1288" s="65"/>
      <c r="R1288" s="65"/>
      <c r="S1288" s="65"/>
      <c r="T1288" s="65"/>
      <c r="U1288" s="65"/>
      <c r="V1288" s="65"/>
      <c r="W1288" s="65"/>
      <c r="X1288" s="65"/>
      <c r="Y1288" s="65"/>
      <c r="Z1288" s="65"/>
      <c r="AA1288" s="65"/>
      <c r="AB1288" s="65"/>
      <c r="AC1288" s="65"/>
    </row>
    <row r="1289">
      <c r="A1289" s="72">
        <v>498.0</v>
      </c>
      <c r="B1289" s="67" t="s">
        <v>3015</v>
      </c>
      <c r="C1289" s="70" t="s">
        <v>56</v>
      </c>
      <c r="D1289" s="73"/>
      <c r="E1289" s="70" t="s">
        <v>3016</v>
      </c>
      <c r="F1289" s="70" t="s">
        <v>3017</v>
      </c>
      <c r="G1289" s="70" t="s">
        <v>3018</v>
      </c>
      <c r="H1289" s="70" t="s">
        <v>3019</v>
      </c>
      <c r="I1289" s="72">
        <v>50.37</v>
      </c>
      <c r="J1289" s="70" t="s">
        <v>58</v>
      </c>
      <c r="K1289" s="65"/>
      <c r="L1289" s="65"/>
      <c r="M1289" s="65"/>
      <c r="N1289" s="65"/>
      <c r="O1289" s="65"/>
      <c r="P1289" s="65"/>
      <c r="Q1289" s="65"/>
      <c r="R1289" s="65"/>
      <c r="S1289" s="65"/>
      <c r="T1289" s="65"/>
      <c r="U1289" s="65"/>
      <c r="V1289" s="65"/>
      <c r="W1289" s="65"/>
      <c r="X1289" s="65"/>
      <c r="Y1289" s="65"/>
      <c r="Z1289" s="65"/>
      <c r="AA1289" s="65"/>
      <c r="AB1289" s="65"/>
      <c r="AC1289" s="65"/>
    </row>
    <row r="1290">
      <c r="A1290" s="72">
        <v>497.0</v>
      </c>
      <c r="B1290" s="67" t="s">
        <v>3020</v>
      </c>
      <c r="C1290" s="70" t="s">
        <v>56</v>
      </c>
      <c r="D1290" s="70" t="s">
        <v>2938</v>
      </c>
      <c r="E1290" s="70" t="s">
        <v>28</v>
      </c>
      <c r="F1290" s="73"/>
      <c r="G1290" s="73"/>
      <c r="H1290" s="70" t="s">
        <v>28</v>
      </c>
      <c r="I1290" s="72">
        <v>39.11</v>
      </c>
      <c r="J1290" s="70" t="s">
        <v>58</v>
      </c>
      <c r="K1290" s="65"/>
      <c r="L1290" s="65"/>
      <c r="M1290" s="65"/>
      <c r="N1290" s="65"/>
      <c r="O1290" s="65"/>
      <c r="P1290" s="65"/>
      <c r="Q1290" s="65"/>
      <c r="R1290" s="65"/>
      <c r="S1290" s="65"/>
      <c r="T1290" s="65"/>
      <c r="U1290" s="65"/>
      <c r="V1290" s="65"/>
      <c r="W1290" s="65"/>
      <c r="X1290" s="65"/>
      <c r="Y1290" s="65"/>
      <c r="Z1290" s="65"/>
      <c r="AA1290" s="65"/>
      <c r="AB1290" s="65"/>
      <c r="AC1290" s="65"/>
    </row>
    <row r="1291">
      <c r="A1291" s="72">
        <v>496.0</v>
      </c>
      <c r="B1291" s="67" t="s">
        <v>3021</v>
      </c>
      <c r="C1291" s="70" t="s">
        <v>69</v>
      </c>
      <c r="D1291" s="70" t="s">
        <v>240</v>
      </c>
      <c r="E1291" s="70" t="s">
        <v>3022</v>
      </c>
      <c r="F1291" s="70" t="s">
        <v>411</v>
      </c>
      <c r="G1291" s="70" t="s">
        <v>3023</v>
      </c>
      <c r="H1291" s="70" t="s">
        <v>3024</v>
      </c>
      <c r="I1291" s="72">
        <v>65.76</v>
      </c>
      <c r="J1291" s="70" t="s">
        <v>58</v>
      </c>
      <c r="K1291" s="65"/>
      <c r="L1291" s="65"/>
      <c r="M1291" s="65"/>
      <c r="N1291" s="65"/>
      <c r="O1291" s="65"/>
      <c r="P1291" s="65"/>
      <c r="Q1291" s="65"/>
      <c r="R1291" s="65"/>
      <c r="S1291" s="65"/>
      <c r="T1291" s="65"/>
      <c r="U1291" s="65"/>
      <c r="V1291" s="65"/>
      <c r="W1291" s="65"/>
      <c r="X1291" s="65"/>
      <c r="Y1291" s="65"/>
      <c r="Z1291" s="65"/>
      <c r="AA1291" s="65"/>
      <c r="AB1291" s="65"/>
      <c r="AC1291" s="65"/>
    </row>
    <row r="1292">
      <c r="A1292" s="72">
        <v>495.0</v>
      </c>
      <c r="B1292" s="67" t="s">
        <v>3025</v>
      </c>
      <c r="C1292" s="70" t="s">
        <v>56</v>
      </c>
      <c r="D1292" s="70" t="s">
        <v>93</v>
      </c>
      <c r="E1292" s="70" t="s">
        <v>3026</v>
      </c>
      <c r="F1292" s="73"/>
      <c r="G1292" s="70" t="s">
        <v>212</v>
      </c>
      <c r="H1292" s="70" t="s">
        <v>3027</v>
      </c>
      <c r="I1292" s="72">
        <v>56.11</v>
      </c>
      <c r="J1292" s="70" t="s">
        <v>58</v>
      </c>
      <c r="K1292" s="65"/>
      <c r="L1292" s="65"/>
      <c r="M1292" s="65"/>
      <c r="N1292" s="65"/>
      <c r="O1292" s="65"/>
      <c r="P1292" s="65"/>
      <c r="Q1292" s="65"/>
      <c r="R1292" s="65"/>
      <c r="S1292" s="65"/>
      <c r="T1292" s="65"/>
      <c r="U1292" s="65"/>
      <c r="V1292" s="65"/>
      <c r="W1292" s="65"/>
      <c r="X1292" s="65"/>
      <c r="Y1292" s="65"/>
      <c r="Z1292" s="65"/>
      <c r="AA1292" s="65"/>
      <c r="AB1292" s="65"/>
      <c r="AC1292" s="65"/>
    </row>
    <row r="1293">
      <c r="A1293" s="72">
        <v>494.0</v>
      </c>
      <c r="B1293" s="67" t="s">
        <v>3028</v>
      </c>
      <c r="C1293" s="70" t="s">
        <v>56</v>
      </c>
      <c r="D1293" s="70" t="s">
        <v>1080</v>
      </c>
      <c r="E1293" s="70" t="s">
        <v>3029</v>
      </c>
      <c r="F1293" s="70" t="s">
        <v>3030</v>
      </c>
      <c r="G1293" s="70" t="s">
        <v>3031</v>
      </c>
      <c r="H1293" s="70" t="s">
        <v>3032</v>
      </c>
      <c r="I1293" s="72">
        <v>45.67</v>
      </c>
      <c r="J1293" s="70" t="s">
        <v>58</v>
      </c>
      <c r="K1293" s="65"/>
      <c r="L1293" s="65"/>
      <c r="M1293" s="65"/>
      <c r="N1293" s="65"/>
      <c r="O1293" s="65"/>
      <c r="P1293" s="65"/>
      <c r="Q1293" s="65"/>
      <c r="R1293" s="65"/>
      <c r="S1293" s="65"/>
      <c r="T1293" s="65"/>
      <c r="U1293" s="65"/>
      <c r="V1293" s="65"/>
      <c r="W1293" s="65"/>
      <c r="X1293" s="65"/>
      <c r="Y1293" s="65"/>
      <c r="Z1293" s="65"/>
      <c r="AA1293" s="65"/>
      <c r="AB1293" s="65"/>
      <c r="AC1293" s="65"/>
    </row>
    <row r="1294">
      <c r="A1294" s="72">
        <v>493.0</v>
      </c>
      <c r="B1294" s="67" t="s">
        <v>3033</v>
      </c>
      <c r="C1294" s="70" t="s">
        <v>60</v>
      </c>
      <c r="D1294" s="70" t="s">
        <v>3034</v>
      </c>
      <c r="E1294" s="70" t="s">
        <v>3035</v>
      </c>
      <c r="F1294" s="70" t="s">
        <v>1354</v>
      </c>
      <c r="G1294" s="70" t="s">
        <v>1354</v>
      </c>
      <c r="H1294" s="70" t="s">
        <v>3036</v>
      </c>
      <c r="I1294" s="72">
        <v>26.98</v>
      </c>
      <c r="J1294" s="70" t="s">
        <v>58</v>
      </c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</row>
    <row r="1295">
      <c r="A1295" s="72">
        <v>492.0</v>
      </c>
      <c r="B1295" s="67" t="s">
        <v>3037</v>
      </c>
      <c r="C1295" s="70" t="s">
        <v>69</v>
      </c>
      <c r="D1295" s="70" t="s">
        <v>99</v>
      </c>
      <c r="E1295" s="73"/>
      <c r="F1295" s="73"/>
      <c r="G1295" s="73"/>
      <c r="H1295" s="73"/>
      <c r="I1295" s="72">
        <v>50.5</v>
      </c>
      <c r="J1295" s="70" t="s">
        <v>58</v>
      </c>
      <c r="K1295" s="65"/>
      <c r="L1295" s="65"/>
      <c r="M1295" s="65"/>
      <c r="N1295" s="65"/>
      <c r="O1295" s="65"/>
      <c r="P1295" s="65"/>
      <c r="Q1295" s="65"/>
      <c r="R1295" s="65"/>
      <c r="S1295" s="65"/>
      <c r="T1295" s="65"/>
      <c r="U1295" s="65"/>
      <c r="V1295" s="65"/>
      <c r="W1295" s="65"/>
      <c r="X1295" s="65"/>
      <c r="Y1295" s="65"/>
      <c r="Z1295" s="65"/>
      <c r="AA1295" s="65"/>
      <c r="AB1295" s="65"/>
      <c r="AC1295" s="65"/>
    </row>
    <row r="1296">
      <c r="A1296" s="72">
        <v>491.0</v>
      </c>
      <c r="B1296" s="67" t="s">
        <v>3038</v>
      </c>
      <c r="C1296" s="70" t="s">
        <v>56</v>
      </c>
      <c r="D1296" s="70" t="s">
        <v>506</v>
      </c>
      <c r="E1296" s="70" t="s">
        <v>3039</v>
      </c>
      <c r="F1296" s="73"/>
      <c r="G1296" s="70" t="s">
        <v>28</v>
      </c>
      <c r="H1296" s="70" t="s">
        <v>1317</v>
      </c>
      <c r="I1296" s="72">
        <v>47.59</v>
      </c>
      <c r="J1296" s="70" t="s">
        <v>58</v>
      </c>
      <c r="K1296" s="65"/>
      <c r="L1296" s="65"/>
      <c r="M1296" s="65"/>
      <c r="N1296" s="65"/>
      <c r="O1296" s="65"/>
      <c r="P1296" s="65"/>
      <c r="Q1296" s="65"/>
      <c r="R1296" s="65"/>
      <c r="S1296" s="65"/>
      <c r="T1296" s="65"/>
      <c r="U1296" s="65"/>
      <c r="V1296" s="65"/>
      <c r="W1296" s="65"/>
      <c r="X1296" s="65"/>
      <c r="Y1296" s="65"/>
      <c r="Z1296" s="65"/>
      <c r="AA1296" s="65"/>
      <c r="AB1296" s="65"/>
      <c r="AC1296" s="65"/>
    </row>
    <row r="1297">
      <c r="A1297" s="72">
        <v>490.0</v>
      </c>
      <c r="B1297" s="67" t="s">
        <v>3040</v>
      </c>
      <c r="C1297" s="70" t="s">
        <v>56</v>
      </c>
      <c r="D1297" s="70" t="s">
        <v>394</v>
      </c>
      <c r="E1297" s="70" t="s">
        <v>3041</v>
      </c>
      <c r="F1297" s="70" t="s">
        <v>1459</v>
      </c>
      <c r="G1297" s="70" t="s">
        <v>3042</v>
      </c>
      <c r="H1297" s="70" t="s">
        <v>3043</v>
      </c>
      <c r="I1297" s="72">
        <v>52.82</v>
      </c>
      <c r="J1297" s="70" t="s">
        <v>58</v>
      </c>
      <c r="K1297" s="65"/>
      <c r="L1297" s="65"/>
      <c r="M1297" s="65"/>
      <c r="N1297" s="65"/>
      <c r="O1297" s="65"/>
      <c r="P1297" s="65"/>
      <c r="Q1297" s="65"/>
      <c r="R1297" s="65"/>
      <c r="S1297" s="65"/>
      <c r="T1297" s="65"/>
      <c r="U1297" s="65"/>
      <c r="V1297" s="65"/>
      <c r="W1297" s="65"/>
      <c r="X1297" s="65"/>
      <c r="Y1297" s="65"/>
      <c r="Z1297" s="65"/>
      <c r="AA1297" s="65"/>
      <c r="AB1297" s="65"/>
      <c r="AC1297" s="65"/>
    </row>
    <row r="1298">
      <c r="A1298" s="72">
        <v>489.0</v>
      </c>
      <c r="B1298" s="67" t="s">
        <v>3044</v>
      </c>
      <c r="C1298" s="70" t="s">
        <v>60</v>
      </c>
      <c r="D1298" s="70" t="s">
        <v>506</v>
      </c>
      <c r="E1298" s="70" t="s">
        <v>3045</v>
      </c>
      <c r="F1298" s="70" t="s">
        <v>1135</v>
      </c>
      <c r="G1298" s="70" t="s">
        <v>3046</v>
      </c>
      <c r="H1298" s="70" t="s">
        <v>3047</v>
      </c>
      <c r="I1298" s="72">
        <v>72.7</v>
      </c>
      <c r="J1298" s="70" t="s">
        <v>58</v>
      </c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  <c r="AB1298" s="65"/>
      <c r="AC1298" s="65"/>
    </row>
    <row r="1299">
      <c r="A1299" s="72">
        <v>488.0</v>
      </c>
      <c r="B1299" s="67" t="s">
        <v>3048</v>
      </c>
      <c r="C1299" s="70" t="s">
        <v>60</v>
      </c>
      <c r="D1299" s="70" t="s">
        <v>506</v>
      </c>
      <c r="E1299" s="70" t="s">
        <v>3049</v>
      </c>
      <c r="F1299" s="70" t="s">
        <v>3050</v>
      </c>
      <c r="G1299" s="70" t="s">
        <v>3050</v>
      </c>
      <c r="H1299" s="70" t="s">
        <v>3051</v>
      </c>
      <c r="I1299" s="72">
        <v>38.19</v>
      </c>
      <c r="J1299" s="70" t="s">
        <v>58</v>
      </c>
      <c r="K1299" s="65"/>
      <c r="L1299" s="65"/>
      <c r="M1299" s="65"/>
      <c r="N1299" s="65"/>
      <c r="O1299" s="65"/>
      <c r="P1299" s="65"/>
      <c r="Q1299" s="65"/>
      <c r="R1299" s="65"/>
      <c r="S1299" s="65"/>
      <c r="T1299" s="65"/>
      <c r="U1299" s="65"/>
      <c r="V1299" s="65"/>
      <c r="W1299" s="65"/>
      <c r="X1299" s="65"/>
      <c r="Y1299" s="65"/>
      <c r="Z1299" s="65"/>
      <c r="AA1299" s="65"/>
      <c r="AB1299" s="65"/>
      <c r="AC1299" s="65"/>
    </row>
    <row r="1300">
      <c r="A1300" s="72">
        <v>487.0</v>
      </c>
      <c r="B1300" s="67" t="s">
        <v>3052</v>
      </c>
      <c r="C1300" s="70" t="s">
        <v>56</v>
      </c>
      <c r="D1300" s="70" t="s">
        <v>151</v>
      </c>
      <c r="E1300" s="70" t="s">
        <v>3053</v>
      </c>
      <c r="F1300" s="70" t="s">
        <v>3054</v>
      </c>
      <c r="G1300" s="70" t="s">
        <v>3054</v>
      </c>
      <c r="H1300" s="70" t="s">
        <v>3055</v>
      </c>
      <c r="I1300" s="72">
        <v>47.97</v>
      </c>
      <c r="J1300" s="70" t="s">
        <v>58</v>
      </c>
      <c r="K1300" s="65"/>
      <c r="L1300" s="65"/>
      <c r="M1300" s="65"/>
      <c r="N1300" s="65"/>
      <c r="O1300" s="65"/>
      <c r="P1300" s="65"/>
      <c r="Q1300" s="65"/>
      <c r="R1300" s="65"/>
      <c r="S1300" s="65"/>
      <c r="T1300" s="65"/>
      <c r="U1300" s="65"/>
      <c r="V1300" s="65"/>
      <c r="W1300" s="65"/>
      <c r="X1300" s="65"/>
      <c r="Y1300" s="65"/>
      <c r="Z1300" s="65"/>
      <c r="AA1300" s="65"/>
      <c r="AB1300" s="65"/>
      <c r="AC1300" s="65"/>
    </row>
    <row r="1301">
      <c r="A1301" s="72">
        <v>486.0</v>
      </c>
      <c r="B1301" s="67" t="s">
        <v>3056</v>
      </c>
      <c r="C1301" s="70" t="s">
        <v>56</v>
      </c>
      <c r="D1301" s="70" t="s">
        <v>3057</v>
      </c>
      <c r="E1301" s="70" t="s">
        <v>3058</v>
      </c>
      <c r="F1301" s="73"/>
      <c r="G1301" s="73"/>
      <c r="H1301" s="70" t="s">
        <v>3059</v>
      </c>
      <c r="I1301" s="72">
        <v>48.94</v>
      </c>
      <c r="J1301" s="70" t="s">
        <v>58</v>
      </c>
      <c r="K1301" s="65"/>
      <c r="L1301" s="65"/>
      <c r="M1301" s="65"/>
      <c r="N1301" s="65"/>
      <c r="O1301" s="65"/>
      <c r="P1301" s="65"/>
      <c r="Q1301" s="65"/>
      <c r="R1301" s="65"/>
      <c r="S1301" s="65"/>
      <c r="T1301" s="65"/>
      <c r="U1301" s="65"/>
      <c r="V1301" s="65"/>
      <c r="W1301" s="65"/>
      <c r="X1301" s="65"/>
      <c r="Y1301" s="65"/>
      <c r="Z1301" s="65"/>
      <c r="AA1301" s="65"/>
      <c r="AB1301" s="65"/>
      <c r="AC1301" s="65"/>
    </row>
    <row r="1302">
      <c r="A1302" s="72">
        <v>485.0</v>
      </c>
      <c r="B1302" s="67" t="s">
        <v>3060</v>
      </c>
      <c r="C1302" s="70" t="s">
        <v>69</v>
      </c>
      <c r="D1302" s="70" t="s">
        <v>93</v>
      </c>
      <c r="E1302" s="70" t="s">
        <v>2920</v>
      </c>
      <c r="F1302" s="70" t="s">
        <v>87</v>
      </c>
      <c r="G1302" s="70" t="s">
        <v>2920</v>
      </c>
      <c r="H1302" s="70" t="s">
        <v>2920</v>
      </c>
      <c r="I1302" s="72">
        <v>52.77</v>
      </c>
      <c r="J1302" s="70" t="s">
        <v>58</v>
      </c>
      <c r="K1302" s="65"/>
      <c r="L1302" s="65"/>
      <c r="M1302" s="65"/>
      <c r="N1302" s="65"/>
      <c r="O1302" s="65"/>
      <c r="P1302" s="65"/>
      <c r="Q1302" s="65"/>
      <c r="R1302" s="65"/>
      <c r="S1302" s="65"/>
      <c r="T1302" s="65"/>
      <c r="U1302" s="65"/>
      <c r="V1302" s="65"/>
      <c r="W1302" s="65"/>
      <c r="X1302" s="65"/>
      <c r="Y1302" s="65"/>
      <c r="Z1302" s="65"/>
      <c r="AA1302" s="65"/>
      <c r="AB1302" s="65"/>
      <c r="AC1302" s="65"/>
    </row>
    <row r="1303">
      <c r="A1303" s="72">
        <v>484.0</v>
      </c>
      <c r="B1303" s="67" t="s">
        <v>3061</v>
      </c>
      <c r="C1303" s="70" t="s">
        <v>56</v>
      </c>
      <c r="D1303" s="70" t="s">
        <v>61</v>
      </c>
      <c r="E1303" s="70" t="s">
        <v>28</v>
      </c>
      <c r="F1303" s="73"/>
      <c r="G1303" s="73"/>
      <c r="H1303" s="70" t="s">
        <v>28</v>
      </c>
      <c r="I1303" s="72">
        <v>64.25</v>
      </c>
      <c r="J1303" s="70" t="s">
        <v>58</v>
      </c>
      <c r="K1303" s="65"/>
      <c r="L1303" s="65"/>
      <c r="M1303" s="65"/>
      <c r="N1303" s="65"/>
      <c r="O1303" s="65"/>
      <c r="P1303" s="65"/>
      <c r="Q1303" s="65"/>
      <c r="R1303" s="65"/>
      <c r="S1303" s="65"/>
      <c r="T1303" s="65"/>
      <c r="U1303" s="65"/>
      <c r="V1303" s="65"/>
      <c r="W1303" s="65"/>
      <c r="X1303" s="65"/>
      <c r="Y1303" s="65"/>
      <c r="Z1303" s="65"/>
      <c r="AA1303" s="65"/>
      <c r="AB1303" s="65"/>
      <c r="AC1303" s="65"/>
    </row>
    <row r="1304">
      <c r="A1304" s="72">
        <v>483.0</v>
      </c>
      <c r="B1304" s="67" t="s">
        <v>3062</v>
      </c>
      <c r="C1304" s="70" t="s">
        <v>60</v>
      </c>
      <c r="D1304" s="70" t="s">
        <v>175</v>
      </c>
      <c r="E1304" s="70" t="s">
        <v>28</v>
      </c>
      <c r="F1304" s="73"/>
      <c r="G1304" s="73"/>
      <c r="H1304" s="70" t="s">
        <v>28</v>
      </c>
      <c r="I1304" s="72">
        <v>36.26</v>
      </c>
      <c r="J1304" s="70" t="s">
        <v>58</v>
      </c>
      <c r="K1304" s="65"/>
      <c r="L1304" s="65"/>
      <c r="M1304" s="65"/>
      <c r="N1304" s="65"/>
      <c r="O1304" s="65"/>
      <c r="P1304" s="65"/>
      <c r="Q1304" s="65"/>
      <c r="R1304" s="65"/>
      <c r="S1304" s="65"/>
      <c r="T1304" s="65"/>
      <c r="U1304" s="65"/>
      <c r="V1304" s="65"/>
      <c r="W1304" s="65"/>
      <c r="X1304" s="65"/>
      <c r="Y1304" s="65"/>
      <c r="Z1304" s="65"/>
      <c r="AA1304" s="65"/>
      <c r="AB1304" s="65"/>
      <c r="AC1304" s="65"/>
    </row>
    <row r="1305">
      <c r="A1305" s="72">
        <v>482.0</v>
      </c>
      <c r="B1305" s="67" t="s">
        <v>3063</v>
      </c>
      <c r="C1305" s="70" t="s">
        <v>69</v>
      </c>
      <c r="D1305" s="74"/>
      <c r="E1305" s="70" t="s">
        <v>3064</v>
      </c>
      <c r="F1305" s="70" t="s">
        <v>811</v>
      </c>
      <c r="G1305" s="70" t="s">
        <v>811</v>
      </c>
      <c r="H1305" s="70" t="s">
        <v>3065</v>
      </c>
      <c r="I1305" s="72">
        <v>43.08</v>
      </c>
      <c r="J1305" s="70" t="s">
        <v>58</v>
      </c>
      <c r="K1305" s="65"/>
      <c r="L1305" s="65"/>
      <c r="M1305" s="65"/>
      <c r="N1305" s="65"/>
      <c r="O1305" s="65"/>
      <c r="P1305" s="65"/>
      <c r="Q1305" s="65"/>
      <c r="R1305" s="65"/>
      <c r="S1305" s="65"/>
      <c r="T1305" s="65"/>
      <c r="U1305" s="65"/>
      <c r="V1305" s="65"/>
      <c r="W1305" s="65"/>
      <c r="X1305" s="65"/>
      <c r="Y1305" s="65"/>
      <c r="Z1305" s="65"/>
      <c r="AA1305" s="65"/>
      <c r="AB1305" s="65"/>
      <c r="AC1305" s="65"/>
    </row>
    <row r="1306">
      <c r="A1306" s="72">
        <v>481.0</v>
      </c>
      <c r="B1306" s="67" t="s">
        <v>3066</v>
      </c>
      <c r="C1306" s="70" t="s">
        <v>56</v>
      </c>
      <c r="D1306" s="74"/>
      <c r="E1306" s="75" t="s">
        <v>28</v>
      </c>
      <c r="F1306" s="73"/>
      <c r="G1306" s="73"/>
      <c r="H1306" s="70" t="s">
        <v>28</v>
      </c>
      <c r="I1306" s="72">
        <v>48.1</v>
      </c>
      <c r="J1306" s="70" t="s">
        <v>58</v>
      </c>
      <c r="K1306" s="65"/>
      <c r="L1306" s="65"/>
      <c r="M1306" s="65"/>
      <c r="N1306" s="65"/>
      <c r="O1306" s="65"/>
      <c r="P1306" s="65"/>
      <c r="Q1306" s="65"/>
      <c r="R1306" s="65"/>
      <c r="S1306" s="65"/>
      <c r="T1306" s="65"/>
      <c r="U1306" s="65"/>
      <c r="V1306" s="65"/>
      <c r="W1306" s="65"/>
      <c r="X1306" s="65"/>
      <c r="Y1306" s="65"/>
      <c r="Z1306" s="65"/>
      <c r="AA1306" s="65"/>
      <c r="AB1306" s="65"/>
      <c r="AC1306" s="65"/>
    </row>
    <row r="1307">
      <c r="A1307" s="72">
        <v>480.0</v>
      </c>
      <c r="B1307" s="67" t="s">
        <v>3067</v>
      </c>
      <c r="C1307" s="70" t="s">
        <v>60</v>
      </c>
      <c r="D1307" s="75" t="s">
        <v>3068</v>
      </c>
      <c r="E1307" s="76" t="s">
        <v>3069</v>
      </c>
      <c r="F1307" s="70" t="s">
        <v>3070</v>
      </c>
      <c r="G1307" s="70" t="s">
        <v>3071</v>
      </c>
      <c r="H1307" s="70" t="s">
        <v>3072</v>
      </c>
      <c r="I1307" s="72">
        <v>38.8</v>
      </c>
      <c r="J1307" s="70" t="s">
        <v>58</v>
      </c>
      <c r="K1307" s="65"/>
      <c r="L1307" s="65"/>
      <c r="M1307" s="65"/>
      <c r="N1307" s="65"/>
      <c r="O1307" s="65"/>
      <c r="P1307" s="65"/>
      <c r="Q1307" s="65"/>
      <c r="R1307" s="65"/>
      <c r="S1307" s="65"/>
      <c r="T1307" s="65"/>
      <c r="U1307" s="65"/>
      <c r="V1307" s="65"/>
      <c r="W1307" s="65"/>
      <c r="X1307" s="65"/>
      <c r="Y1307" s="65"/>
      <c r="Z1307" s="65"/>
      <c r="AA1307" s="65"/>
      <c r="AB1307" s="65"/>
      <c r="AC1307" s="65"/>
    </row>
    <row r="1308">
      <c r="A1308" s="72">
        <v>479.0</v>
      </c>
      <c r="B1308" s="67" t="s">
        <v>3073</v>
      </c>
      <c r="C1308" s="75" t="s">
        <v>60</v>
      </c>
      <c r="D1308" s="78"/>
      <c r="E1308" s="76" t="s">
        <v>3074</v>
      </c>
      <c r="F1308" s="73"/>
      <c r="G1308" s="73"/>
      <c r="H1308" s="70" t="s">
        <v>1613</v>
      </c>
      <c r="I1308" s="72">
        <v>29.63</v>
      </c>
      <c r="J1308" s="70" t="s">
        <v>58</v>
      </c>
      <c r="K1308" s="65"/>
      <c r="L1308" s="65"/>
      <c r="M1308" s="65"/>
      <c r="N1308" s="65"/>
      <c r="O1308" s="65"/>
      <c r="P1308" s="65"/>
      <c r="Q1308" s="65"/>
      <c r="R1308" s="65"/>
      <c r="S1308" s="65"/>
      <c r="T1308" s="65"/>
      <c r="U1308" s="65"/>
      <c r="V1308" s="65"/>
      <c r="W1308" s="65"/>
      <c r="X1308" s="65"/>
      <c r="Y1308" s="65"/>
      <c r="Z1308" s="65"/>
      <c r="AA1308" s="65"/>
      <c r="AB1308" s="65"/>
      <c r="AC1308" s="65"/>
    </row>
    <row r="1309">
      <c r="A1309" s="72">
        <v>478.0</v>
      </c>
      <c r="B1309" s="67" t="s">
        <v>3075</v>
      </c>
      <c r="C1309" s="70" t="s">
        <v>56</v>
      </c>
      <c r="D1309" s="70" t="s">
        <v>3076</v>
      </c>
      <c r="E1309" s="70" t="s">
        <v>3077</v>
      </c>
      <c r="F1309" s="73"/>
      <c r="G1309" s="73"/>
      <c r="H1309" s="70" t="s">
        <v>3078</v>
      </c>
      <c r="I1309" s="72">
        <v>39.24</v>
      </c>
      <c r="J1309" s="70" t="s">
        <v>58</v>
      </c>
      <c r="K1309" s="65"/>
      <c r="L1309" s="65"/>
      <c r="M1309" s="65"/>
      <c r="N1309" s="65"/>
      <c r="O1309" s="65"/>
      <c r="P1309" s="65"/>
      <c r="Q1309" s="65"/>
      <c r="R1309" s="65"/>
      <c r="S1309" s="65"/>
      <c r="T1309" s="65"/>
      <c r="U1309" s="65"/>
      <c r="V1309" s="65"/>
      <c r="W1309" s="65"/>
      <c r="X1309" s="65"/>
      <c r="Y1309" s="65"/>
      <c r="Z1309" s="65"/>
      <c r="AA1309" s="65"/>
      <c r="AB1309" s="65"/>
      <c r="AC1309" s="65"/>
    </row>
    <row r="1310">
      <c r="A1310" s="72">
        <v>477.0</v>
      </c>
      <c r="B1310" s="67" t="s">
        <v>3079</v>
      </c>
      <c r="C1310" s="70" t="s">
        <v>56</v>
      </c>
      <c r="D1310" s="70" t="s">
        <v>182</v>
      </c>
      <c r="E1310" s="70" t="s">
        <v>96</v>
      </c>
      <c r="F1310" s="73"/>
      <c r="G1310" s="73"/>
      <c r="H1310" s="70" t="s">
        <v>71</v>
      </c>
      <c r="I1310" s="72">
        <v>50.63</v>
      </c>
      <c r="J1310" s="70" t="s">
        <v>58</v>
      </c>
      <c r="K1310" s="65"/>
      <c r="L1310" s="65"/>
      <c r="M1310" s="65"/>
      <c r="N1310" s="65"/>
      <c r="O1310" s="65"/>
      <c r="P1310" s="65"/>
      <c r="Q1310" s="65"/>
      <c r="R1310" s="65"/>
      <c r="S1310" s="65"/>
      <c r="T1310" s="65"/>
      <c r="U1310" s="65"/>
      <c r="V1310" s="65"/>
      <c r="W1310" s="65"/>
      <c r="X1310" s="65"/>
      <c r="Y1310" s="65"/>
      <c r="Z1310" s="65"/>
      <c r="AA1310" s="65"/>
      <c r="AB1310" s="65"/>
      <c r="AC1310" s="65"/>
    </row>
    <row r="1311">
      <c r="A1311" s="72">
        <v>476.0</v>
      </c>
      <c r="B1311" s="67" t="s">
        <v>3080</v>
      </c>
      <c r="C1311" s="70" t="s">
        <v>69</v>
      </c>
      <c r="D1311" s="70" t="s">
        <v>182</v>
      </c>
      <c r="E1311" s="70" t="s">
        <v>3081</v>
      </c>
      <c r="F1311" s="73"/>
      <c r="G1311" s="73"/>
      <c r="H1311" s="70" t="s">
        <v>3081</v>
      </c>
      <c r="I1311" s="72">
        <v>65.15</v>
      </c>
      <c r="J1311" s="70" t="s">
        <v>58</v>
      </c>
      <c r="K1311" s="65"/>
      <c r="L1311" s="65"/>
      <c r="M1311" s="65"/>
      <c r="N1311" s="65"/>
      <c r="O1311" s="65"/>
      <c r="P1311" s="65"/>
      <c r="Q1311" s="65"/>
      <c r="R1311" s="65"/>
      <c r="S1311" s="65"/>
      <c r="T1311" s="65"/>
      <c r="U1311" s="65"/>
      <c r="V1311" s="65"/>
      <c r="W1311" s="65"/>
      <c r="X1311" s="65"/>
      <c r="Y1311" s="65"/>
      <c r="Z1311" s="65"/>
      <c r="AA1311" s="65"/>
      <c r="AB1311" s="65"/>
      <c r="AC1311" s="65"/>
    </row>
    <row r="1312">
      <c r="A1312" s="72">
        <v>475.0</v>
      </c>
      <c r="B1312" s="67" t="s">
        <v>3082</v>
      </c>
      <c r="C1312" s="70" t="s">
        <v>56</v>
      </c>
      <c r="D1312" s="70" t="s">
        <v>502</v>
      </c>
      <c r="E1312" s="70" t="s">
        <v>87</v>
      </c>
      <c r="F1312" s="73"/>
      <c r="G1312" s="73"/>
      <c r="H1312" s="70" t="s">
        <v>28</v>
      </c>
      <c r="I1312" s="72">
        <v>33.68</v>
      </c>
      <c r="J1312" s="70" t="s">
        <v>58</v>
      </c>
      <c r="K1312" s="65"/>
      <c r="L1312" s="65"/>
      <c r="M1312" s="65"/>
      <c r="N1312" s="65"/>
      <c r="O1312" s="65"/>
      <c r="P1312" s="65"/>
      <c r="Q1312" s="65"/>
      <c r="R1312" s="65"/>
      <c r="S1312" s="65"/>
      <c r="T1312" s="65"/>
      <c r="U1312" s="65"/>
      <c r="V1312" s="65"/>
      <c r="W1312" s="65"/>
      <c r="X1312" s="65"/>
      <c r="Y1312" s="65"/>
      <c r="Z1312" s="65"/>
      <c r="AA1312" s="65"/>
      <c r="AB1312" s="65"/>
      <c r="AC1312" s="65"/>
    </row>
    <row r="1313">
      <c r="A1313" s="72">
        <v>474.0</v>
      </c>
      <c r="B1313" s="67" t="s">
        <v>3083</v>
      </c>
      <c r="C1313" s="70" t="s">
        <v>56</v>
      </c>
      <c r="D1313" s="70" t="s">
        <v>76</v>
      </c>
      <c r="E1313" s="70" t="s">
        <v>28</v>
      </c>
      <c r="F1313" s="73"/>
      <c r="G1313" s="73"/>
      <c r="H1313" s="70" t="s">
        <v>28</v>
      </c>
      <c r="I1313" s="72">
        <v>43.77</v>
      </c>
      <c r="J1313" s="70" t="s">
        <v>58</v>
      </c>
      <c r="K1313" s="65"/>
      <c r="L1313" s="65"/>
      <c r="M1313" s="65"/>
      <c r="N1313" s="65"/>
      <c r="O1313" s="65"/>
      <c r="P1313" s="65"/>
      <c r="Q1313" s="65"/>
      <c r="R1313" s="65"/>
      <c r="S1313" s="65"/>
      <c r="T1313" s="65"/>
      <c r="U1313" s="65"/>
      <c r="V1313" s="65"/>
      <c r="W1313" s="65"/>
      <c r="X1313" s="65"/>
      <c r="Y1313" s="65"/>
      <c r="Z1313" s="65"/>
      <c r="AA1313" s="65"/>
      <c r="AB1313" s="65"/>
      <c r="AC1313" s="65"/>
    </row>
    <row r="1314">
      <c r="A1314" s="72">
        <v>473.0</v>
      </c>
      <c r="B1314" s="67" t="s">
        <v>3084</v>
      </c>
      <c r="C1314" s="70" t="s">
        <v>56</v>
      </c>
      <c r="D1314" s="70" t="s">
        <v>506</v>
      </c>
      <c r="E1314" s="70" t="s">
        <v>3085</v>
      </c>
      <c r="F1314" s="73"/>
      <c r="G1314" s="70" t="s">
        <v>64</v>
      </c>
      <c r="H1314" s="70" t="s">
        <v>3085</v>
      </c>
      <c r="I1314" s="72">
        <v>38.25</v>
      </c>
      <c r="J1314" s="70" t="s">
        <v>58</v>
      </c>
      <c r="K1314" s="65"/>
      <c r="L1314" s="65"/>
      <c r="M1314" s="65"/>
      <c r="N1314" s="65"/>
      <c r="O1314" s="65"/>
      <c r="P1314" s="65"/>
      <c r="Q1314" s="65"/>
      <c r="R1314" s="65"/>
      <c r="S1314" s="65"/>
      <c r="T1314" s="65"/>
      <c r="U1314" s="65"/>
      <c r="V1314" s="65"/>
      <c r="W1314" s="65"/>
      <c r="X1314" s="65"/>
      <c r="Y1314" s="65"/>
      <c r="Z1314" s="65"/>
      <c r="AA1314" s="65"/>
      <c r="AB1314" s="65"/>
      <c r="AC1314" s="65"/>
    </row>
    <row r="1315">
      <c r="A1315" s="72">
        <v>472.0</v>
      </c>
      <c r="B1315" s="67" t="s">
        <v>3086</v>
      </c>
      <c r="C1315" s="70" t="s">
        <v>60</v>
      </c>
      <c r="D1315" s="70" t="s">
        <v>3087</v>
      </c>
      <c r="E1315" s="70" t="s">
        <v>3088</v>
      </c>
      <c r="F1315" s="70" t="s">
        <v>64</v>
      </c>
      <c r="G1315" s="70" t="s">
        <v>3089</v>
      </c>
      <c r="H1315" s="70" t="s">
        <v>3090</v>
      </c>
      <c r="I1315" s="72">
        <v>43.83</v>
      </c>
      <c r="J1315" s="70" t="s">
        <v>58</v>
      </c>
      <c r="K1315" s="65"/>
      <c r="L1315" s="65"/>
      <c r="M1315" s="65"/>
      <c r="N1315" s="65"/>
      <c r="O1315" s="65"/>
      <c r="P1315" s="65"/>
      <c r="Q1315" s="65"/>
      <c r="R1315" s="65"/>
      <c r="S1315" s="65"/>
      <c r="T1315" s="65"/>
      <c r="U1315" s="65"/>
      <c r="V1315" s="65"/>
      <c r="W1315" s="65"/>
      <c r="X1315" s="65"/>
      <c r="Y1315" s="65"/>
      <c r="Z1315" s="65"/>
      <c r="AA1315" s="65"/>
      <c r="AB1315" s="65"/>
      <c r="AC1315" s="65"/>
    </row>
    <row r="1316">
      <c r="A1316" s="72">
        <v>471.0</v>
      </c>
      <c r="B1316" s="67" t="s">
        <v>3091</v>
      </c>
      <c r="C1316" s="70" t="s">
        <v>60</v>
      </c>
      <c r="D1316" s="70" t="s">
        <v>76</v>
      </c>
      <c r="E1316" s="70" t="s">
        <v>87</v>
      </c>
      <c r="F1316" s="70" t="s">
        <v>28</v>
      </c>
      <c r="G1316" s="70" t="s">
        <v>87</v>
      </c>
      <c r="H1316" s="70" t="s">
        <v>87</v>
      </c>
      <c r="I1316" s="72">
        <v>49.36</v>
      </c>
      <c r="J1316" s="70" t="s">
        <v>58</v>
      </c>
      <c r="K1316" s="65"/>
      <c r="L1316" s="65"/>
      <c r="M1316" s="65"/>
      <c r="N1316" s="65"/>
      <c r="O1316" s="65"/>
      <c r="P1316" s="65"/>
      <c r="Q1316" s="65"/>
      <c r="R1316" s="65"/>
      <c r="S1316" s="65"/>
      <c r="T1316" s="65"/>
      <c r="U1316" s="65"/>
      <c r="V1316" s="65"/>
      <c r="W1316" s="65"/>
      <c r="X1316" s="65"/>
      <c r="Y1316" s="65"/>
      <c r="Z1316" s="65"/>
      <c r="AA1316" s="65"/>
      <c r="AB1316" s="65"/>
      <c r="AC1316" s="65"/>
    </row>
    <row r="1317">
      <c r="A1317" s="72">
        <v>470.0</v>
      </c>
      <c r="B1317" s="67" t="s">
        <v>3092</v>
      </c>
      <c r="C1317" s="70" t="s">
        <v>56</v>
      </c>
      <c r="D1317" s="70" t="s">
        <v>3093</v>
      </c>
      <c r="E1317" s="70" t="s">
        <v>3094</v>
      </c>
      <c r="F1317" s="73"/>
      <c r="G1317" s="70" t="s">
        <v>3095</v>
      </c>
      <c r="H1317" s="70" t="s">
        <v>3096</v>
      </c>
      <c r="I1317" s="72">
        <v>46.04</v>
      </c>
      <c r="J1317" s="70" t="s">
        <v>58</v>
      </c>
      <c r="K1317" s="65"/>
      <c r="L1317" s="65"/>
      <c r="M1317" s="65"/>
      <c r="N1317" s="65"/>
      <c r="O1317" s="65"/>
      <c r="P1317" s="65"/>
      <c r="Q1317" s="65"/>
      <c r="R1317" s="65"/>
      <c r="S1317" s="65"/>
      <c r="T1317" s="65"/>
      <c r="U1317" s="65"/>
      <c r="V1317" s="65"/>
      <c r="W1317" s="65"/>
      <c r="X1317" s="65"/>
      <c r="Y1317" s="65"/>
      <c r="Z1317" s="65"/>
      <c r="AA1317" s="65"/>
      <c r="AB1317" s="65"/>
      <c r="AC1317" s="65"/>
    </row>
    <row r="1318">
      <c r="A1318" s="72">
        <v>469.0</v>
      </c>
      <c r="B1318" s="67" t="s">
        <v>3097</v>
      </c>
      <c r="C1318" s="70" t="s">
        <v>56</v>
      </c>
      <c r="D1318" s="70" t="s">
        <v>99</v>
      </c>
      <c r="E1318" s="70" t="s">
        <v>28</v>
      </c>
      <c r="F1318" s="73"/>
      <c r="G1318" s="73"/>
      <c r="H1318" s="70" t="s">
        <v>28</v>
      </c>
      <c r="I1318" s="72">
        <v>37.53</v>
      </c>
      <c r="J1318" s="70" t="s">
        <v>58</v>
      </c>
      <c r="K1318" s="65"/>
      <c r="L1318" s="65"/>
      <c r="M1318" s="65"/>
      <c r="N1318" s="65"/>
      <c r="O1318" s="65"/>
      <c r="P1318" s="65"/>
      <c r="Q1318" s="65"/>
      <c r="R1318" s="65"/>
      <c r="S1318" s="65"/>
      <c r="T1318" s="65"/>
      <c r="U1318" s="65"/>
      <c r="V1318" s="65"/>
      <c r="W1318" s="65"/>
      <c r="X1318" s="65"/>
      <c r="Y1318" s="65"/>
      <c r="Z1318" s="65"/>
      <c r="AA1318" s="65"/>
      <c r="AB1318" s="65"/>
      <c r="AC1318" s="65"/>
    </row>
    <row r="1319">
      <c r="A1319" s="72">
        <v>468.0</v>
      </c>
      <c r="B1319" s="67" t="s">
        <v>3098</v>
      </c>
      <c r="C1319" s="70" t="s">
        <v>56</v>
      </c>
      <c r="D1319" s="70" t="s">
        <v>70</v>
      </c>
      <c r="E1319" s="70" t="s">
        <v>3099</v>
      </c>
      <c r="F1319" s="70" t="s">
        <v>3100</v>
      </c>
      <c r="G1319" s="70" t="s">
        <v>3101</v>
      </c>
      <c r="H1319" s="70" t="s">
        <v>3102</v>
      </c>
      <c r="I1319" s="72">
        <v>25.04</v>
      </c>
      <c r="J1319" s="70" t="s">
        <v>58</v>
      </c>
      <c r="K1319" s="65"/>
      <c r="L1319" s="65"/>
      <c r="M1319" s="65"/>
      <c r="N1319" s="65"/>
      <c r="O1319" s="65"/>
      <c r="P1319" s="65"/>
      <c r="Q1319" s="65"/>
      <c r="R1319" s="65"/>
      <c r="S1319" s="65"/>
      <c r="T1319" s="65"/>
      <c r="U1319" s="65"/>
      <c r="V1319" s="65"/>
      <c r="W1319" s="65"/>
      <c r="X1319" s="65"/>
      <c r="Y1319" s="65"/>
      <c r="Z1319" s="65"/>
      <c r="AA1319" s="65"/>
      <c r="AB1319" s="65"/>
      <c r="AC1319" s="65"/>
    </row>
    <row r="1320">
      <c r="A1320" s="72">
        <v>467.0</v>
      </c>
      <c r="B1320" s="67" t="s">
        <v>3103</v>
      </c>
      <c r="C1320" s="70" t="s">
        <v>56</v>
      </c>
      <c r="D1320" s="70" t="s">
        <v>76</v>
      </c>
      <c r="E1320" s="70" t="s">
        <v>3104</v>
      </c>
      <c r="F1320" s="73"/>
      <c r="G1320" s="73"/>
      <c r="H1320" s="70" t="s">
        <v>3105</v>
      </c>
      <c r="I1320" s="72">
        <v>36.1</v>
      </c>
      <c r="J1320" s="70" t="s">
        <v>58</v>
      </c>
      <c r="K1320" s="65"/>
      <c r="L1320" s="65"/>
      <c r="M1320" s="65"/>
      <c r="N1320" s="65"/>
      <c r="O1320" s="65"/>
      <c r="P1320" s="65"/>
      <c r="Q1320" s="65"/>
      <c r="R1320" s="65"/>
      <c r="S1320" s="65"/>
      <c r="T1320" s="65"/>
      <c r="U1320" s="65"/>
      <c r="V1320" s="65"/>
      <c r="W1320" s="65"/>
      <c r="X1320" s="65"/>
      <c r="Y1320" s="65"/>
      <c r="Z1320" s="65"/>
      <c r="AA1320" s="65"/>
      <c r="AB1320" s="65"/>
      <c r="AC1320" s="65"/>
    </row>
    <row r="1321">
      <c r="A1321" s="72">
        <v>466.0</v>
      </c>
      <c r="B1321" s="67" t="s">
        <v>3106</v>
      </c>
      <c r="C1321" s="70" t="s">
        <v>60</v>
      </c>
      <c r="D1321" s="70" t="s">
        <v>76</v>
      </c>
      <c r="E1321" s="70" t="s">
        <v>1679</v>
      </c>
      <c r="F1321" s="73"/>
      <c r="G1321" s="70" t="s">
        <v>64</v>
      </c>
      <c r="H1321" s="70" t="s">
        <v>1679</v>
      </c>
      <c r="I1321" s="72">
        <v>28.63</v>
      </c>
      <c r="J1321" s="70" t="s">
        <v>58</v>
      </c>
      <c r="K1321" s="65"/>
      <c r="L1321" s="65"/>
      <c r="M1321" s="65"/>
      <c r="N1321" s="65"/>
      <c r="O1321" s="65"/>
      <c r="P1321" s="65"/>
      <c r="Q1321" s="65"/>
      <c r="R1321" s="65"/>
      <c r="S1321" s="65"/>
      <c r="T1321" s="65"/>
      <c r="U1321" s="65"/>
      <c r="V1321" s="65"/>
      <c r="W1321" s="65"/>
      <c r="X1321" s="65"/>
      <c r="Y1321" s="65"/>
      <c r="Z1321" s="65"/>
      <c r="AA1321" s="65"/>
      <c r="AB1321" s="65"/>
      <c r="AC1321" s="65"/>
    </row>
    <row r="1322">
      <c r="A1322" s="72">
        <v>465.0</v>
      </c>
      <c r="B1322" s="67" t="s">
        <v>3107</v>
      </c>
      <c r="C1322" s="70" t="s">
        <v>60</v>
      </c>
      <c r="D1322" s="74"/>
      <c r="E1322" s="70" t="s">
        <v>3108</v>
      </c>
      <c r="F1322" s="70" t="s">
        <v>112</v>
      </c>
      <c r="G1322" s="70" t="s">
        <v>3109</v>
      </c>
      <c r="H1322" s="70" t="s">
        <v>3110</v>
      </c>
      <c r="I1322" s="72">
        <v>48.33</v>
      </c>
      <c r="J1322" s="70" t="s">
        <v>58</v>
      </c>
      <c r="K1322" s="65"/>
      <c r="L1322" s="65"/>
      <c r="M1322" s="65"/>
      <c r="N1322" s="65"/>
      <c r="O1322" s="65"/>
      <c r="P1322" s="65"/>
      <c r="Q1322" s="65"/>
      <c r="R1322" s="65"/>
      <c r="S1322" s="65"/>
      <c r="T1322" s="65"/>
      <c r="U1322" s="65"/>
      <c r="V1322" s="65"/>
      <c r="W1322" s="65"/>
      <c r="X1322" s="65"/>
      <c r="Y1322" s="65"/>
      <c r="Z1322" s="65"/>
      <c r="AA1322" s="65"/>
      <c r="AB1322" s="65"/>
      <c r="AC1322" s="65"/>
    </row>
    <row r="1323">
      <c r="A1323" s="72">
        <v>464.0</v>
      </c>
      <c r="B1323" s="67" t="s">
        <v>3111</v>
      </c>
      <c r="C1323" s="70" t="s">
        <v>56</v>
      </c>
      <c r="D1323" s="70" t="s">
        <v>3057</v>
      </c>
      <c r="E1323" s="70" t="s">
        <v>2007</v>
      </c>
      <c r="F1323" s="73"/>
      <c r="G1323" s="73"/>
      <c r="H1323" s="70" t="s">
        <v>462</v>
      </c>
      <c r="I1323" s="72">
        <v>29.66</v>
      </c>
      <c r="J1323" s="70" t="s">
        <v>58</v>
      </c>
      <c r="K1323" s="65"/>
      <c r="L1323" s="65"/>
      <c r="M1323" s="65"/>
      <c r="N1323" s="65"/>
      <c r="O1323" s="65"/>
      <c r="P1323" s="65"/>
      <c r="Q1323" s="65"/>
      <c r="R1323" s="65"/>
      <c r="S1323" s="65"/>
      <c r="T1323" s="65"/>
      <c r="U1323" s="65"/>
      <c r="V1323" s="65"/>
      <c r="W1323" s="65"/>
      <c r="X1323" s="65"/>
      <c r="Y1323" s="65"/>
      <c r="Z1323" s="65"/>
      <c r="AA1323" s="65"/>
      <c r="AB1323" s="65"/>
      <c r="AC1323" s="65"/>
    </row>
    <row r="1324">
      <c r="A1324" s="72">
        <v>463.0</v>
      </c>
      <c r="B1324" s="67" t="s">
        <v>3112</v>
      </c>
      <c r="C1324" s="70" t="s">
        <v>69</v>
      </c>
      <c r="D1324" s="70" t="s">
        <v>284</v>
      </c>
      <c r="E1324" s="70" t="s">
        <v>3113</v>
      </c>
      <c r="F1324" s="70" t="s">
        <v>2223</v>
      </c>
      <c r="G1324" s="70" t="s">
        <v>3114</v>
      </c>
      <c r="H1324" s="70" t="s">
        <v>3115</v>
      </c>
      <c r="I1324" s="72">
        <v>66.73</v>
      </c>
      <c r="J1324" s="70" t="s">
        <v>58</v>
      </c>
      <c r="K1324" s="65"/>
      <c r="L1324" s="65"/>
      <c r="M1324" s="65"/>
      <c r="N1324" s="65"/>
      <c r="O1324" s="65"/>
      <c r="P1324" s="65"/>
      <c r="Q1324" s="65"/>
      <c r="R1324" s="65"/>
      <c r="S1324" s="65"/>
      <c r="T1324" s="65"/>
      <c r="U1324" s="65"/>
      <c r="V1324" s="65"/>
      <c r="W1324" s="65"/>
      <c r="X1324" s="65"/>
      <c r="Y1324" s="65"/>
      <c r="Z1324" s="65"/>
      <c r="AA1324" s="65"/>
      <c r="AB1324" s="65"/>
      <c r="AC1324" s="65"/>
    </row>
    <row r="1325">
      <c r="A1325" s="72">
        <v>462.0</v>
      </c>
      <c r="B1325" s="67" t="s">
        <v>3116</v>
      </c>
      <c r="C1325" s="70" t="s">
        <v>56</v>
      </c>
      <c r="D1325" s="70" t="s">
        <v>99</v>
      </c>
      <c r="E1325" s="70" t="s">
        <v>67</v>
      </c>
      <c r="F1325" s="73"/>
      <c r="G1325" s="73"/>
      <c r="H1325" s="70" t="s">
        <v>67</v>
      </c>
      <c r="I1325" s="72">
        <v>54.4</v>
      </c>
      <c r="J1325" s="70" t="s">
        <v>58</v>
      </c>
      <c r="K1325" s="65"/>
      <c r="L1325" s="65"/>
      <c r="M1325" s="65"/>
      <c r="N1325" s="65"/>
      <c r="O1325" s="65"/>
      <c r="P1325" s="65"/>
      <c r="Q1325" s="65"/>
      <c r="R1325" s="65"/>
      <c r="S1325" s="65"/>
      <c r="T1325" s="65"/>
      <c r="U1325" s="65"/>
      <c r="V1325" s="65"/>
      <c r="W1325" s="65"/>
      <c r="X1325" s="65"/>
      <c r="Y1325" s="65"/>
      <c r="Z1325" s="65"/>
      <c r="AA1325" s="65"/>
      <c r="AB1325" s="65"/>
      <c r="AC1325" s="65"/>
    </row>
    <row r="1326">
      <c r="A1326" s="72">
        <v>461.0</v>
      </c>
      <c r="B1326" s="67" t="s">
        <v>3117</v>
      </c>
      <c r="C1326" s="70" t="s">
        <v>69</v>
      </c>
      <c r="D1326" s="70" t="s">
        <v>182</v>
      </c>
      <c r="E1326" s="70" t="s">
        <v>3118</v>
      </c>
      <c r="F1326" s="73"/>
      <c r="G1326" s="70" t="s">
        <v>298</v>
      </c>
      <c r="H1326" s="70" t="s">
        <v>3119</v>
      </c>
      <c r="I1326" s="72">
        <v>73.21</v>
      </c>
      <c r="J1326" s="70" t="s">
        <v>58</v>
      </c>
      <c r="K1326" s="65"/>
      <c r="L1326" s="65"/>
      <c r="M1326" s="65"/>
      <c r="N1326" s="65"/>
      <c r="O1326" s="65"/>
      <c r="P1326" s="65"/>
      <c r="Q1326" s="65"/>
      <c r="R1326" s="65"/>
      <c r="S1326" s="65"/>
      <c r="T1326" s="65"/>
      <c r="U1326" s="65"/>
      <c r="V1326" s="65"/>
      <c r="W1326" s="65"/>
      <c r="X1326" s="65"/>
      <c r="Y1326" s="65"/>
      <c r="Z1326" s="65"/>
      <c r="AA1326" s="65"/>
      <c r="AB1326" s="65"/>
      <c r="AC1326" s="65"/>
    </row>
    <row r="1327">
      <c r="A1327" s="72">
        <v>460.0</v>
      </c>
      <c r="B1327" s="67" t="s">
        <v>3120</v>
      </c>
      <c r="C1327" s="70" t="s">
        <v>60</v>
      </c>
      <c r="D1327" s="70" t="s">
        <v>440</v>
      </c>
      <c r="E1327" s="70" t="s">
        <v>3121</v>
      </c>
      <c r="F1327" s="70" t="s">
        <v>3122</v>
      </c>
      <c r="G1327" s="70" t="s">
        <v>3123</v>
      </c>
      <c r="H1327" s="70" t="s">
        <v>3124</v>
      </c>
      <c r="I1327" s="72">
        <v>36.23</v>
      </c>
      <c r="J1327" s="70" t="s">
        <v>58</v>
      </c>
      <c r="K1327" s="65"/>
      <c r="L1327" s="65"/>
      <c r="M1327" s="65"/>
      <c r="N1327" s="65"/>
      <c r="O1327" s="65"/>
      <c r="P1327" s="65"/>
      <c r="Q1327" s="65"/>
      <c r="R1327" s="65"/>
      <c r="S1327" s="65"/>
      <c r="T1327" s="65"/>
      <c r="U1327" s="65"/>
      <c r="V1327" s="65"/>
      <c r="W1327" s="65"/>
      <c r="X1327" s="65"/>
      <c r="Y1327" s="65"/>
      <c r="Z1327" s="65"/>
      <c r="AA1327" s="65"/>
      <c r="AB1327" s="65"/>
      <c r="AC1327" s="65"/>
    </row>
    <row r="1328">
      <c r="A1328" s="72">
        <v>459.0</v>
      </c>
      <c r="B1328" s="67" t="s">
        <v>3125</v>
      </c>
      <c r="C1328" s="70" t="s">
        <v>69</v>
      </c>
      <c r="D1328" s="70" t="s">
        <v>70</v>
      </c>
      <c r="E1328" s="70" t="s">
        <v>674</v>
      </c>
      <c r="F1328" s="70" t="s">
        <v>28</v>
      </c>
      <c r="G1328" s="70" t="s">
        <v>87</v>
      </c>
      <c r="H1328" s="70" t="s">
        <v>87</v>
      </c>
      <c r="I1328" s="72">
        <v>43.34</v>
      </c>
      <c r="J1328" s="70" t="s">
        <v>58</v>
      </c>
      <c r="K1328" s="65"/>
      <c r="L1328" s="65"/>
      <c r="M1328" s="65"/>
      <c r="N1328" s="65"/>
      <c r="O1328" s="65"/>
      <c r="P1328" s="65"/>
      <c r="Q1328" s="65"/>
      <c r="R1328" s="65"/>
      <c r="S1328" s="65"/>
      <c r="T1328" s="65"/>
      <c r="U1328" s="65"/>
      <c r="V1328" s="65"/>
      <c r="W1328" s="65"/>
      <c r="X1328" s="65"/>
      <c r="Y1328" s="65"/>
      <c r="Z1328" s="65"/>
      <c r="AA1328" s="65"/>
      <c r="AB1328" s="65"/>
      <c r="AC1328" s="65"/>
    </row>
    <row r="1329">
      <c r="A1329" s="72">
        <v>458.0</v>
      </c>
      <c r="B1329" s="67" t="s">
        <v>3126</v>
      </c>
      <c r="C1329" s="70" t="s">
        <v>60</v>
      </c>
      <c r="D1329" s="70" t="s">
        <v>99</v>
      </c>
      <c r="E1329" s="73"/>
      <c r="F1329" s="73"/>
      <c r="G1329" s="73"/>
      <c r="H1329" s="73"/>
      <c r="I1329" s="72">
        <v>54.54</v>
      </c>
      <c r="J1329" s="70" t="s">
        <v>58</v>
      </c>
      <c r="K1329" s="65"/>
      <c r="L1329" s="65"/>
      <c r="M1329" s="65"/>
      <c r="N1329" s="65"/>
      <c r="O1329" s="65"/>
      <c r="P1329" s="65"/>
      <c r="Q1329" s="65"/>
      <c r="R1329" s="65"/>
      <c r="S1329" s="65"/>
      <c r="T1329" s="65"/>
      <c r="U1329" s="65"/>
      <c r="V1329" s="65"/>
      <c r="W1329" s="65"/>
      <c r="X1329" s="65"/>
      <c r="Y1329" s="65"/>
      <c r="Z1329" s="65"/>
      <c r="AA1329" s="65"/>
      <c r="AB1329" s="65"/>
      <c r="AC1329" s="65"/>
    </row>
    <row r="1330">
      <c r="A1330" s="72">
        <v>457.0</v>
      </c>
      <c r="B1330" s="67" t="s">
        <v>3127</v>
      </c>
      <c r="C1330" s="70" t="s">
        <v>56</v>
      </c>
      <c r="D1330" s="70" t="s">
        <v>1755</v>
      </c>
      <c r="E1330" s="70" t="s">
        <v>3128</v>
      </c>
      <c r="F1330" s="73"/>
      <c r="G1330" s="70" t="s">
        <v>579</v>
      </c>
      <c r="H1330" s="70" t="s">
        <v>3129</v>
      </c>
      <c r="I1330" s="72">
        <v>30.25</v>
      </c>
      <c r="J1330" s="70" t="s">
        <v>58</v>
      </c>
      <c r="K1330" s="65"/>
      <c r="L1330" s="65"/>
      <c r="M1330" s="65"/>
      <c r="N1330" s="65"/>
      <c r="O1330" s="65"/>
      <c r="P1330" s="65"/>
      <c r="Q1330" s="65"/>
      <c r="R1330" s="65"/>
      <c r="S1330" s="65"/>
      <c r="T1330" s="65"/>
      <c r="U1330" s="65"/>
      <c r="V1330" s="65"/>
      <c r="W1330" s="65"/>
      <c r="X1330" s="65"/>
      <c r="Y1330" s="65"/>
      <c r="Z1330" s="65"/>
      <c r="AA1330" s="65"/>
      <c r="AB1330" s="65"/>
      <c r="AC1330" s="65"/>
    </row>
    <row r="1331">
      <c r="A1331" s="72">
        <v>456.0</v>
      </c>
      <c r="B1331" s="67" t="s">
        <v>3130</v>
      </c>
      <c r="C1331" s="70" t="s">
        <v>56</v>
      </c>
      <c r="D1331" s="70" t="s">
        <v>240</v>
      </c>
      <c r="E1331" s="75" t="s">
        <v>3131</v>
      </c>
      <c r="F1331" s="70" t="s">
        <v>64</v>
      </c>
      <c r="G1331" s="70" t="s">
        <v>3132</v>
      </c>
      <c r="H1331" s="70" t="s">
        <v>3133</v>
      </c>
      <c r="I1331" s="72">
        <v>30.66</v>
      </c>
      <c r="J1331" s="70" t="s">
        <v>58</v>
      </c>
      <c r="K1331" s="65"/>
      <c r="L1331" s="65"/>
      <c r="M1331" s="65"/>
      <c r="N1331" s="65"/>
      <c r="O1331" s="65"/>
      <c r="P1331" s="65"/>
      <c r="Q1331" s="65"/>
      <c r="R1331" s="65"/>
      <c r="S1331" s="65"/>
      <c r="T1331" s="65"/>
      <c r="U1331" s="65"/>
      <c r="V1331" s="65"/>
      <c r="W1331" s="65"/>
      <c r="X1331" s="65"/>
      <c r="Y1331" s="65"/>
      <c r="Z1331" s="65"/>
      <c r="AA1331" s="65"/>
      <c r="AB1331" s="65"/>
      <c r="AC1331" s="65"/>
    </row>
    <row r="1332">
      <c r="A1332" s="72">
        <v>455.0</v>
      </c>
      <c r="B1332" s="67" t="s">
        <v>3134</v>
      </c>
      <c r="C1332" s="70" t="s">
        <v>69</v>
      </c>
      <c r="D1332" s="75" t="s">
        <v>61</v>
      </c>
      <c r="E1332" s="76" t="s">
        <v>64</v>
      </c>
      <c r="F1332" s="73"/>
      <c r="G1332" s="73"/>
      <c r="H1332" s="70" t="s">
        <v>64</v>
      </c>
      <c r="I1332" s="72">
        <v>50.4</v>
      </c>
      <c r="J1332" s="70" t="s">
        <v>58</v>
      </c>
      <c r="K1332" s="65"/>
      <c r="L1332" s="65"/>
      <c r="M1332" s="65"/>
      <c r="N1332" s="65"/>
      <c r="O1332" s="65"/>
      <c r="P1332" s="65"/>
      <c r="Q1332" s="65"/>
      <c r="R1332" s="65"/>
      <c r="S1332" s="65"/>
      <c r="T1332" s="65"/>
      <c r="U1332" s="65"/>
      <c r="V1332" s="65"/>
      <c r="W1332" s="65"/>
      <c r="X1332" s="65"/>
      <c r="Y1332" s="65"/>
      <c r="Z1332" s="65"/>
      <c r="AA1332" s="65"/>
      <c r="AB1332" s="65"/>
      <c r="AC1332" s="65"/>
    </row>
    <row r="1333">
      <c r="A1333" s="72">
        <v>454.0</v>
      </c>
      <c r="B1333" s="67" t="s">
        <v>3135</v>
      </c>
      <c r="C1333" s="75" t="s">
        <v>56</v>
      </c>
      <c r="D1333" s="76" t="s">
        <v>1254</v>
      </c>
      <c r="E1333" s="76" t="s">
        <v>3136</v>
      </c>
      <c r="F1333" s="70" t="s">
        <v>64</v>
      </c>
      <c r="G1333" s="70" t="s">
        <v>1406</v>
      </c>
      <c r="H1333" s="70" t="s">
        <v>3137</v>
      </c>
      <c r="I1333" s="72">
        <v>54.63</v>
      </c>
      <c r="J1333" s="70" t="s">
        <v>58</v>
      </c>
      <c r="K1333" s="65"/>
      <c r="L1333" s="65"/>
      <c r="M1333" s="65"/>
      <c r="N1333" s="65"/>
      <c r="O1333" s="65"/>
      <c r="P1333" s="65"/>
      <c r="Q1333" s="65"/>
      <c r="R1333" s="65"/>
      <c r="S1333" s="65"/>
      <c r="T1333" s="65"/>
      <c r="U1333" s="65"/>
      <c r="V1333" s="65"/>
      <c r="W1333" s="65"/>
      <c r="X1333" s="65"/>
      <c r="Y1333" s="65"/>
      <c r="Z1333" s="65"/>
      <c r="AA1333" s="65"/>
      <c r="AB1333" s="65"/>
      <c r="AC1333" s="65"/>
    </row>
    <row r="1334">
      <c r="A1334" s="72">
        <v>453.0</v>
      </c>
      <c r="B1334" s="67" t="s">
        <v>3138</v>
      </c>
      <c r="C1334" s="70" t="s">
        <v>69</v>
      </c>
      <c r="D1334" s="70" t="s">
        <v>99</v>
      </c>
      <c r="E1334" s="70" t="s">
        <v>3139</v>
      </c>
      <c r="F1334" s="70" t="s">
        <v>3140</v>
      </c>
      <c r="G1334" s="70" t="s">
        <v>3141</v>
      </c>
      <c r="H1334" s="70" t="s">
        <v>3142</v>
      </c>
      <c r="I1334" s="72">
        <v>50.84</v>
      </c>
      <c r="J1334" s="70" t="s">
        <v>58</v>
      </c>
      <c r="K1334" s="65"/>
      <c r="L1334" s="65"/>
      <c r="M1334" s="65"/>
      <c r="N1334" s="65"/>
      <c r="O1334" s="65"/>
      <c r="P1334" s="65"/>
      <c r="Q1334" s="65"/>
      <c r="R1334" s="65"/>
      <c r="S1334" s="65"/>
      <c r="T1334" s="65"/>
      <c r="U1334" s="65"/>
      <c r="V1334" s="65"/>
      <c r="W1334" s="65"/>
      <c r="X1334" s="65"/>
      <c r="Y1334" s="65"/>
      <c r="Z1334" s="65"/>
      <c r="AA1334" s="65"/>
      <c r="AB1334" s="65"/>
      <c r="AC1334" s="65"/>
    </row>
    <row r="1335">
      <c r="A1335" s="72">
        <v>452.0</v>
      </c>
      <c r="B1335" s="67" t="s">
        <v>3143</v>
      </c>
      <c r="C1335" s="70" t="s">
        <v>56</v>
      </c>
      <c r="D1335" s="70" t="s">
        <v>193</v>
      </c>
      <c r="E1335" s="70" t="s">
        <v>3144</v>
      </c>
      <c r="F1335" s="70" t="s">
        <v>96</v>
      </c>
      <c r="G1335" s="70" t="s">
        <v>3145</v>
      </c>
      <c r="H1335" s="70" t="s">
        <v>3146</v>
      </c>
      <c r="I1335" s="72">
        <v>49.76</v>
      </c>
      <c r="J1335" s="70" t="s">
        <v>58</v>
      </c>
      <c r="K1335" s="65"/>
      <c r="L1335" s="65"/>
      <c r="M1335" s="65"/>
      <c r="N1335" s="65"/>
      <c r="O1335" s="65"/>
      <c r="P1335" s="65"/>
      <c r="Q1335" s="65"/>
      <c r="R1335" s="65"/>
      <c r="S1335" s="65"/>
      <c r="T1335" s="65"/>
      <c r="U1335" s="65"/>
      <c r="V1335" s="65"/>
      <c r="W1335" s="65"/>
      <c r="X1335" s="65"/>
      <c r="Y1335" s="65"/>
      <c r="Z1335" s="65"/>
      <c r="AA1335" s="65"/>
      <c r="AB1335" s="65"/>
      <c r="AC1335" s="65"/>
    </row>
    <row r="1336">
      <c r="A1336" s="72">
        <v>451.0</v>
      </c>
      <c r="B1336" s="67" t="s">
        <v>3147</v>
      </c>
      <c r="C1336" s="70" t="s">
        <v>56</v>
      </c>
      <c r="D1336" s="70" t="s">
        <v>3148</v>
      </c>
      <c r="E1336" s="70" t="s">
        <v>3149</v>
      </c>
      <c r="F1336" s="70" t="s">
        <v>189</v>
      </c>
      <c r="G1336" s="70" t="s">
        <v>636</v>
      </c>
      <c r="H1336" s="70" t="s">
        <v>3150</v>
      </c>
      <c r="I1336" s="72">
        <v>64.5</v>
      </c>
      <c r="J1336" s="70" t="s">
        <v>58</v>
      </c>
      <c r="K1336" s="65"/>
      <c r="L1336" s="65"/>
      <c r="M1336" s="65"/>
      <c r="N1336" s="65"/>
      <c r="O1336" s="65"/>
      <c r="P1336" s="65"/>
      <c r="Q1336" s="65"/>
      <c r="R1336" s="65"/>
      <c r="S1336" s="65"/>
      <c r="T1336" s="65"/>
      <c r="U1336" s="65"/>
      <c r="V1336" s="65"/>
      <c r="W1336" s="65"/>
      <c r="X1336" s="65"/>
      <c r="Y1336" s="65"/>
      <c r="Z1336" s="65"/>
      <c r="AA1336" s="65"/>
      <c r="AB1336" s="65"/>
      <c r="AC1336" s="65"/>
    </row>
    <row r="1337">
      <c r="A1337" s="72">
        <v>450.0</v>
      </c>
      <c r="B1337" s="67" t="s">
        <v>3151</v>
      </c>
      <c r="C1337" s="70" t="s">
        <v>56</v>
      </c>
      <c r="D1337" s="70" t="s">
        <v>320</v>
      </c>
      <c r="E1337" s="70" t="s">
        <v>3152</v>
      </c>
      <c r="F1337" s="70" t="s">
        <v>3153</v>
      </c>
      <c r="G1337" s="70" t="s">
        <v>3154</v>
      </c>
      <c r="H1337" s="70" t="s">
        <v>3155</v>
      </c>
      <c r="I1337" s="72">
        <v>45.4</v>
      </c>
      <c r="J1337" s="70" t="s">
        <v>58</v>
      </c>
      <c r="K1337" s="65"/>
      <c r="L1337" s="65"/>
      <c r="M1337" s="65"/>
      <c r="N1337" s="65"/>
      <c r="O1337" s="65"/>
      <c r="P1337" s="65"/>
      <c r="Q1337" s="65"/>
      <c r="R1337" s="65"/>
      <c r="S1337" s="65"/>
      <c r="T1337" s="65"/>
      <c r="U1337" s="65"/>
      <c r="V1337" s="65"/>
      <c r="W1337" s="65"/>
      <c r="X1337" s="65"/>
      <c r="Y1337" s="65"/>
      <c r="Z1337" s="65"/>
      <c r="AA1337" s="65"/>
      <c r="AB1337" s="65"/>
      <c r="AC1337" s="65"/>
    </row>
    <row r="1338">
      <c r="A1338" s="72">
        <v>449.0</v>
      </c>
      <c r="B1338" s="67" t="s">
        <v>3156</v>
      </c>
      <c r="C1338" s="70" t="s">
        <v>56</v>
      </c>
      <c r="D1338" s="70" t="s">
        <v>320</v>
      </c>
      <c r="E1338" s="70" t="s">
        <v>3157</v>
      </c>
      <c r="F1338" s="70" t="s">
        <v>3158</v>
      </c>
      <c r="G1338" s="70" t="s">
        <v>3158</v>
      </c>
      <c r="H1338" s="70" t="s">
        <v>3159</v>
      </c>
      <c r="I1338" s="72">
        <v>54.15</v>
      </c>
      <c r="J1338" s="70" t="s">
        <v>58</v>
      </c>
      <c r="K1338" s="65"/>
      <c r="L1338" s="65"/>
      <c r="M1338" s="65"/>
      <c r="N1338" s="65"/>
      <c r="O1338" s="65"/>
      <c r="P1338" s="65"/>
      <c r="Q1338" s="65"/>
      <c r="R1338" s="65"/>
      <c r="S1338" s="65"/>
      <c r="T1338" s="65"/>
      <c r="U1338" s="65"/>
      <c r="V1338" s="65"/>
      <c r="W1338" s="65"/>
      <c r="X1338" s="65"/>
      <c r="Y1338" s="65"/>
      <c r="Z1338" s="65"/>
      <c r="AA1338" s="65"/>
      <c r="AB1338" s="65"/>
      <c r="AC1338" s="65"/>
    </row>
    <row r="1339">
      <c r="A1339" s="72">
        <v>448.0</v>
      </c>
      <c r="B1339" s="67" t="s">
        <v>3160</v>
      </c>
      <c r="C1339" s="70" t="s">
        <v>69</v>
      </c>
      <c r="D1339" s="70" t="s">
        <v>93</v>
      </c>
      <c r="E1339" s="70" t="s">
        <v>3161</v>
      </c>
      <c r="F1339" s="70" t="s">
        <v>636</v>
      </c>
      <c r="G1339" s="70" t="s">
        <v>3162</v>
      </c>
      <c r="H1339" s="70" t="s">
        <v>3163</v>
      </c>
      <c r="I1339" s="72">
        <v>56.09</v>
      </c>
      <c r="J1339" s="70" t="s">
        <v>58</v>
      </c>
      <c r="K1339" s="65"/>
      <c r="L1339" s="65"/>
      <c r="M1339" s="65"/>
      <c r="N1339" s="65"/>
      <c r="O1339" s="65"/>
      <c r="P1339" s="65"/>
      <c r="Q1339" s="65"/>
      <c r="R1339" s="65"/>
      <c r="S1339" s="65"/>
      <c r="T1339" s="65"/>
      <c r="U1339" s="65"/>
      <c r="V1339" s="65"/>
      <c r="W1339" s="65"/>
      <c r="X1339" s="65"/>
      <c r="Y1339" s="65"/>
      <c r="Z1339" s="65"/>
      <c r="AA1339" s="65"/>
      <c r="AB1339" s="65"/>
      <c r="AC1339" s="65"/>
    </row>
    <row r="1340">
      <c r="A1340" s="72">
        <v>447.0</v>
      </c>
      <c r="B1340" s="67" t="s">
        <v>3164</v>
      </c>
      <c r="C1340" s="70" t="s">
        <v>56</v>
      </c>
      <c r="D1340" s="70" t="s">
        <v>479</v>
      </c>
      <c r="E1340" s="70" t="s">
        <v>28</v>
      </c>
      <c r="F1340" s="73"/>
      <c r="G1340" s="73"/>
      <c r="H1340" s="70" t="s">
        <v>28</v>
      </c>
      <c r="I1340" s="72">
        <v>52.48</v>
      </c>
      <c r="J1340" s="70" t="s">
        <v>58</v>
      </c>
      <c r="K1340" s="65"/>
      <c r="L1340" s="65"/>
      <c r="M1340" s="65"/>
      <c r="N1340" s="65"/>
      <c r="O1340" s="65"/>
      <c r="P1340" s="65"/>
      <c r="Q1340" s="65"/>
      <c r="R1340" s="65"/>
      <c r="S1340" s="65"/>
      <c r="T1340" s="65"/>
      <c r="U1340" s="65"/>
      <c r="V1340" s="65"/>
      <c r="W1340" s="65"/>
      <c r="X1340" s="65"/>
      <c r="Y1340" s="65"/>
      <c r="Z1340" s="65"/>
      <c r="AA1340" s="65"/>
      <c r="AB1340" s="65"/>
      <c r="AC1340" s="65"/>
    </row>
    <row r="1341">
      <c r="A1341" s="72">
        <v>446.0</v>
      </c>
      <c r="B1341" s="67" t="s">
        <v>3165</v>
      </c>
      <c r="C1341" s="70" t="s">
        <v>60</v>
      </c>
      <c r="D1341" s="70" t="s">
        <v>76</v>
      </c>
      <c r="E1341" s="70" t="s">
        <v>3166</v>
      </c>
      <c r="F1341" s="73"/>
      <c r="G1341" s="70" t="s">
        <v>28</v>
      </c>
      <c r="H1341" s="70" t="s">
        <v>3167</v>
      </c>
      <c r="I1341" s="72">
        <v>33.53</v>
      </c>
      <c r="J1341" s="70" t="s">
        <v>58</v>
      </c>
      <c r="K1341" s="65"/>
      <c r="L1341" s="65"/>
      <c r="M1341" s="65"/>
      <c r="N1341" s="65"/>
      <c r="O1341" s="65"/>
      <c r="P1341" s="65"/>
      <c r="Q1341" s="65"/>
      <c r="R1341" s="65"/>
      <c r="S1341" s="65"/>
      <c r="T1341" s="65"/>
      <c r="U1341" s="65"/>
      <c r="V1341" s="65"/>
      <c r="W1341" s="65"/>
      <c r="X1341" s="65"/>
      <c r="Y1341" s="65"/>
      <c r="Z1341" s="65"/>
      <c r="AA1341" s="65"/>
      <c r="AB1341" s="65"/>
      <c r="AC1341" s="65"/>
    </row>
    <row r="1342">
      <c r="A1342" s="72">
        <v>445.0</v>
      </c>
      <c r="B1342" s="67" t="s">
        <v>3168</v>
      </c>
      <c r="C1342" s="70" t="s">
        <v>56</v>
      </c>
      <c r="D1342" s="70" t="s">
        <v>206</v>
      </c>
      <c r="E1342" s="70" t="s">
        <v>3169</v>
      </c>
      <c r="F1342" s="70" t="s">
        <v>3170</v>
      </c>
      <c r="G1342" s="70" t="s">
        <v>3171</v>
      </c>
      <c r="H1342" s="70" t="s">
        <v>3172</v>
      </c>
      <c r="I1342" s="72">
        <v>56.39</v>
      </c>
      <c r="J1342" s="70" t="s">
        <v>58</v>
      </c>
      <c r="K1342" s="65"/>
      <c r="L1342" s="65"/>
      <c r="M1342" s="65"/>
      <c r="N1342" s="65"/>
      <c r="O1342" s="65"/>
      <c r="P1342" s="65"/>
      <c r="Q1342" s="65"/>
      <c r="R1342" s="65"/>
      <c r="S1342" s="65"/>
      <c r="T1342" s="65"/>
      <c r="U1342" s="65"/>
      <c r="V1342" s="65"/>
      <c r="W1342" s="65"/>
      <c r="X1342" s="65"/>
      <c r="Y1342" s="65"/>
      <c r="Z1342" s="65"/>
      <c r="AA1342" s="65"/>
      <c r="AB1342" s="65"/>
      <c r="AC1342" s="65"/>
    </row>
    <row r="1343">
      <c r="A1343" s="72">
        <v>444.0</v>
      </c>
      <c r="B1343" s="67" t="s">
        <v>3173</v>
      </c>
      <c r="C1343" s="70" t="s">
        <v>56</v>
      </c>
      <c r="D1343" s="70" t="s">
        <v>3174</v>
      </c>
      <c r="E1343" s="70" t="s">
        <v>28</v>
      </c>
      <c r="F1343" s="73"/>
      <c r="G1343" s="70" t="s">
        <v>28</v>
      </c>
      <c r="H1343" s="70" t="s">
        <v>28</v>
      </c>
      <c r="I1343" s="72">
        <v>23.61</v>
      </c>
      <c r="J1343" s="70" t="s">
        <v>58</v>
      </c>
      <c r="K1343" s="65"/>
      <c r="L1343" s="65"/>
      <c r="M1343" s="65"/>
      <c r="N1343" s="65"/>
      <c r="O1343" s="65"/>
      <c r="P1343" s="65"/>
      <c r="Q1343" s="65"/>
      <c r="R1343" s="65"/>
      <c r="S1343" s="65"/>
      <c r="T1343" s="65"/>
      <c r="U1343" s="65"/>
      <c r="V1343" s="65"/>
      <c r="W1343" s="65"/>
      <c r="X1343" s="65"/>
      <c r="Y1343" s="65"/>
      <c r="Z1343" s="65"/>
      <c r="AA1343" s="65"/>
      <c r="AB1343" s="65"/>
      <c r="AC1343" s="65"/>
    </row>
    <row r="1344">
      <c r="A1344" s="72">
        <v>443.0</v>
      </c>
      <c r="B1344" s="67" t="s">
        <v>3175</v>
      </c>
      <c r="C1344" s="70" t="s">
        <v>56</v>
      </c>
      <c r="D1344" s="70" t="s">
        <v>70</v>
      </c>
      <c r="E1344" s="70" t="s">
        <v>3176</v>
      </c>
      <c r="F1344" s="70" t="s">
        <v>3177</v>
      </c>
      <c r="G1344" s="70" t="s">
        <v>3178</v>
      </c>
      <c r="H1344" s="70" t="s">
        <v>3179</v>
      </c>
      <c r="I1344" s="72">
        <v>43.86</v>
      </c>
      <c r="J1344" s="70" t="s">
        <v>58</v>
      </c>
      <c r="K1344" s="65"/>
      <c r="L1344" s="65"/>
      <c r="M1344" s="65"/>
      <c r="N1344" s="65"/>
      <c r="O1344" s="65"/>
      <c r="P1344" s="65"/>
      <c r="Q1344" s="65"/>
      <c r="R1344" s="65"/>
      <c r="S1344" s="65"/>
      <c r="T1344" s="65"/>
      <c r="U1344" s="65"/>
      <c r="V1344" s="65"/>
      <c r="W1344" s="65"/>
      <c r="X1344" s="65"/>
      <c r="Y1344" s="65"/>
      <c r="Z1344" s="65"/>
      <c r="AA1344" s="65"/>
      <c r="AB1344" s="65"/>
      <c r="AC1344" s="65"/>
    </row>
    <row r="1345">
      <c r="A1345" s="72">
        <v>442.0</v>
      </c>
      <c r="B1345" s="67" t="s">
        <v>3180</v>
      </c>
      <c r="C1345" s="70" t="s">
        <v>56</v>
      </c>
      <c r="D1345" s="70" t="s">
        <v>93</v>
      </c>
      <c r="E1345" s="70" t="s">
        <v>3181</v>
      </c>
      <c r="F1345" s="70" t="s">
        <v>2823</v>
      </c>
      <c r="G1345" s="70" t="s">
        <v>3182</v>
      </c>
      <c r="H1345" s="70" t="s">
        <v>3183</v>
      </c>
      <c r="I1345" s="72">
        <v>69.01</v>
      </c>
      <c r="J1345" s="70" t="s">
        <v>58</v>
      </c>
      <c r="K1345" s="65"/>
      <c r="L1345" s="65"/>
      <c r="M1345" s="65"/>
      <c r="N1345" s="65"/>
      <c r="O1345" s="65"/>
      <c r="P1345" s="65"/>
      <c r="Q1345" s="65"/>
      <c r="R1345" s="65"/>
      <c r="S1345" s="65"/>
      <c r="T1345" s="65"/>
      <c r="U1345" s="65"/>
      <c r="V1345" s="65"/>
      <c r="W1345" s="65"/>
      <c r="X1345" s="65"/>
      <c r="Y1345" s="65"/>
      <c r="Z1345" s="65"/>
      <c r="AA1345" s="65"/>
      <c r="AB1345" s="65"/>
      <c r="AC1345" s="65"/>
    </row>
    <row r="1346">
      <c r="A1346" s="72">
        <v>441.0</v>
      </c>
      <c r="B1346" s="67" t="s">
        <v>3184</v>
      </c>
      <c r="C1346" s="70" t="s">
        <v>69</v>
      </c>
      <c r="D1346" s="70" t="s">
        <v>175</v>
      </c>
      <c r="E1346" s="70" t="s">
        <v>3185</v>
      </c>
      <c r="F1346" s="73"/>
      <c r="G1346" s="70" t="s">
        <v>189</v>
      </c>
      <c r="H1346" s="70" t="s">
        <v>3186</v>
      </c>
      <c r="I1346" s="72">
        <v>42.4</v>
      </c>
      <c r="J1346" s="70" t="s">
        <v>58</v>
      </c>
      <c r="K1346" s="65"/>
      <c r="L1346" s="65"/>
      <c r="M1346" s="65"/>
      <c r="N1346" s="65"/>
      <c r="O1346" s="65"/>
      <c r="P1346" s="65"/>
      <c r="Q1346" s="65"/>
      <c r="R1346" s="65"/>
      <c r="S1346" s="65"/>
      <c r="T1346" s="65"/>
      <c r="U1346" s="65"/>
      <c r="V1346" s="65"/>
      <c r="W1346" s="65"/>
      <c r="X1346" s="65"/>
      <c r="Y1346" s="65"/>
      <c r="Z1346" s="65"/>
      <c r="AA1346" s="65"/>
      <c r="AB1346" s="65"/>
      <c r="AC1346" s="65"/>
    </row>
    <row r="1347">
      <c r="A1347" s="72">
        <v>440.0</v>
      </c>
      <c r="B1347" s="67" t="s">
        <v>3187</v>
      </c>
      <c r="C1347" s="70" t="s">
        <v>60</v>
      </c>
      <c r="D1347" s="73"/>
      <c r="E1347" s="70" t="s">
        <v>3188</v>
      </c>
      <c r="F1347" s="73"/>
      <c r="G1347" s="73"/>
      <c r="H1347" s="70" t="s">
        <v>3189</v>
      </c>
      <c r="I1347" s="72">
        <v>29.84</v>
      </c>
      <c r="J1347" s="70" t="s">
        <v>58</v>
      </c>
      <c r="K1347" s="65"/>
      <c r="L1347" s="65"/>
      <c r="M1347" s="65"/>
      <c r="N1347" s="65"/>
      <c r="O1347" s="65"/>
      <c r="P1347" s="65"/>
      <c r="Q1347" s="65"/>
      <c r="R1347" s="65"/>
      <c r="S1347" s="65"/>
      <c r="T1347" s="65"/>
      <c r="U1347" s="65"/>
      <c r="V1347" s="65"/>
      <c r="W1347" s="65"/>
      <c r="X1347" s="65"/>
      <c r="Y1347" s="65"/>
      <c r="Z1347" s="65"/>
      <c r="AA1347" s="65"/>
      <c r="AB1347" s="65"/>
      <c r="AC1347" s="65"/>
    </row>
    <row r="1348">
      <c r="A1348" s="72">
        <v>439.0</v>
      </c>
      <c r="B1348" s="67" t="s">
        <v>3190</v>
      </c>
      <c r="C1348" s="70" t="s">
        <v>56</v>
      </c>
      <c r="D1348" s="70" t="s">
        <v>3191</v>
      </c>
      <c r="E1348" s="70" t="s">
        <v>141</v>
      </c>
      <c r="F1348" s="73"/>
      <c r="G1348" s="73"/>
      <c r="H1348" s="70" t="s">
        <v>141</v>
      </c>
      <c r="I1348" s="72">
        <v>56.79</v>
      </c>
      <c r="J1348" s="70" t="s">
        <v>58</v>
      </c>
      <c r="K1348" s="65"/>
      <c r="L1348" s="65"/>
      <c r="M1348" s="65"/>
      <c r="N1348" s="65"/>
      <c r="O1348" s="65"/>
      <c r="P1348" s="65"/>
      <c r="Q1348" s="65"/>
      <c r="R1348" s="65"/>
      <c r="S1348" s="65"/>
      <c r="T1348" s="65"/>
      <c r="U1348" s="65"/>
      <c r="V1348" s="65"/>
      <c r="W1348" s="65"/>
      <c r="X1348" s="65"/>
      <c r="Y1348" s="65"/>
      <c r="Z1348" s="65"/>
      <c r="AA1348" s="65"/>
      <c r="AB1348" s="65"/>
      <c r="AC1348" s="65"/>
    </row>
    <row r="1349">
      <c r="A1349" s="72">
        <v>438.0</v>
      </c>
      <c r="B1349" s="67" t="s">
        <v>3192</v>
      </c>
      <c r="C1349" s="70" t="s">
        <v>56</v>
      </c>
      <c r="D1349" s="70" t="s">
        <v>284</v>
      </c>
      <c r="E1349" s="70" t="s">
        <v>3193</v>
      </c>
      <c r="F1349" s="70" t="s">
        <v>3194</v>
      </c>
      <c r="G1349" s="70" t="s">
        <v>3195</v>
      </c>
      <c r="H1349" s="70" t="s">
        <v>3196</v>
      </c>
      <c r="I1349" s="72">
        <v>45.07</v>
      </c>
      <c r="J1349" s="70" t="s">
        <v>58</v>
      </c>
      <c r="K1349" s="65"/>
      <c r="L1349" s="65"/>
      <c r="M1349" s="65"/>
      <c r="N1349" s="65"/>
      <c r="O1349" s="65"/>
      <c r="P1349" s="65"/>
      <c r="Q1349" s="65"/>
      <c r="R1349" s="65"/>
      <c r="S1349" s="65"/>
      <c r="T1349" s="65"/>
      <c r="U1349" s="65"/>
      <c r="V1349" s="65"/>
      <c r="W1349" s="65"/>
      <c r="X1349" s="65"/>
      <c r="Y1349" s="65"/>
      <c r="Z1349" s="65"/>
      <c r="AA1349" s="65"/>
      <c r="AB1349" s="65"/>
      <c r="AC1349" s="65"/>
    </row>
    <row r="1350">
      <c r="A1350" s="72">
        <v>437.0</v>
      </c>
      <c r="B1350" s="67" t="s">
        <v>3197</v>
      </c>
      <c r="C1350" s="70" t="s">
        <v>56</v>
      </c>
      <c r="D1350" s="70" t="s">
        <v>320</v>
      </c>
      <c r="E1350" s="70" t="s">
        <v>3198</v>
      </c>
      <c r="F1350" s="70" t="s">
        <v>766</v>
      </c>
      <c r="G1350" s="70" t="s">
        <v>3199</v>
      </c>
      <c r="H1350" s="70" t="s">
        <v>3200</v>
      </c>
      <c r="I1350" s="72">
        <v>48.21</v>
      </c>
      <c r="J1350" s="70" t="s">
        <v>58</v>
      </c>
      <c r="K1350" s="65"/>
      <c r="L1350" s="65"/>
      <c r="M1350" s="65"/>
      <c r="N1350" s="65"/>
      <c r="O1350" s="65"/>
      <c r="P1350" s="65"/>
      <c r="Q1350" s="65"/>
      <c r="R1350" s="65"/>
      <c r="S1350" s="65"/>
      <c r="T1350" s="65"/>
      <c r="U1350" s="65"/>
      <c r="V1350" s="65"/>
      <c r="W1350" s="65"/>
      <c r="X1350" s="65"/>
      <c r="Y1350" s="65"/>
      <c r="Z1350" s="65"/>
      <c r="AA1350" s="65"/>
      <c r="AB1350" s="65"/>
      <c r="AC1350" s="65"/>
    </row>
    <row r="1351">
      <c r="A1351" s="72">
        <v>436.0</v>
      </c>
      <c r="B1351" s="67" t="s">
        <v>3201</v>
      </c>
      <c r="C1351" s="70" t="s">
        <v>56</v>
      </c>
      <c r="D1351" s="70" t="s">
        <v>502</v>
      </c>
      <c r="E1351" s="73"/>
      <c r="F1351" s="73"/>
      <c r="G1351" s="73"/>
      <c r="H1351" s="73"/>
      <c r="I1351" s="72">
        <v>48.53</v>
      </c>
      <c r="J1351" s="70" t="s">
        <v>58</v>
      </c>
      <c r="K1351" s="65"/>
      <c r="L1351" s="65"/>
      <c r="M1351" s="65"/>
      <c r="N1351" s="65"/>
      <c r="O1351" s="65"/>
      <c r="P1351" s="65"/>
      <c r="Q1351" s="65"/>
      <c r="R1351" s="65"/>
      <c r="S1351" s="65"/>
      <c r="T1351" s="65"/>
      <c r="U1351" s="65"/>
      <c r="V1351" s="65"/>
      <c r="W1351" s="65"/>
      <c r="X1351" s="65"/>
      <c r="Y1351" s="65"/>
      <c r="Z1351" s="65"/>
      <c r="AA1351" s="65"/>
      <c r="AB1351" s="65"/>
      <c r="AC1351" s="65"/>
    </row>
    <row r="1352">
      <c r="A1352" s="72">
        <v>435.0</v>
      </c>
      <c r="B1352" s="67" t="s">
        <v>3202</v>
      </c>
      <c r="C1352" s="70" t="s">
        <v>56</v>
      </c>
      <c r="D1352" s="70" t="s">
        <v>61</v>
      </c>
      <c r="E1352" s="70" t="s">
        <v>3203</v>
      </c>
      <c r="F1352" s="70" t="s">
        <v>3204</v>
      </c>
      <c r="G1352" s="70" t="s">
        <v>3205</v>
      </c>
      <c r="H1352" s="70" t="s">
        <v>3206</v>
      </c>
      <c r="I1352" s="72">
        <v>43.88</v>
      </c>
      <c r="J1352" s="70" t="s">
        <v>58</v>
      </c>
      <c r="K1352" s="65"/>
      <c r="L1352" s="65"/>
      <c r="M1352" s="65"/>
      <c r="N1352" s="65"/>
      <c r="O1352" s="65"/>
      <c r="P1352" s="65"/>
      <c r="Q1352" s="65"/>
      <c r="R1352" s="65"/>
      <c r="S1352" s="65"/>
      <c r="T1352" s="65"/>
      <c r="U1352" s="65"/>
      <c r="V1352" s="65"/>
      <c r="W1352" s="65"/>
      <c r="X1352" s="65"/>
      <c r="Y1352" s="65"/>
      <c r="Z1352" s="65"/>
      <c r="AA1352" s="65"/>
      <c r="AB1352" s="65"/>
      <c r="AC1352" s="65"/>
    </row>
    <row r="1353">
      <c r="A1353" s="72">
        <v>434.0</v>
      </c>
      <c r="B1353" s="67" t="s">
        <v>3207</v>
      </c>
      <c r="C1353" s="70" t="s">
        <v>69</v>
      </c>
      <c r="D1353" s="70" t="s">
        <v>70</v>
      </c>
      <c r="E1353" s="73"/>
      <c r="F1353" s="73"/>
      <c r="G1353" s="73"/>
      <c r="H1353" s="73"/>
      <c r="I1353" s="72">
        <v>37.75</v>
      </c>
      <c r="J1353" s="70" t="s">
        <v>58</v>
      </c>
      <c r="K1353" s="65"/>
      <c r="L1353" s="65"/>
      <c r="M1353" s="65"/>
      <c r="N1353" s="65"/>
      <c r="O1353" s="65"/>
      <c r="P1353" s="65"/>
      <c r="Q1353" s="65"/>
      <c r="R1353" s="65"/>
      <c r="S1353" s="65"/>
      <c r="T1353" s="65"/>
      <c r="U1353" s="65"/>
      <c r="V1353" s="65"/>
      <c r="W1353" s="65"/>
      <c r="X1353" s="65"/>
      <c r="Y1353" s="65"/>
      <c r="Z1353" s="65"/>
      <c r="AA1353" s="65"/>
      <c r="AB1353" s="65"/>
      <c r="AC1353" s="65"/>
    </row>
    <row r="1354">
      <c r="A1354" s="72">
        <v>433.0</v>
      </c>
      <c r="B1354" s="67" t="s">
        <v>3208</v>
      </c>
      <c r="C1354" s="70" t="s">
        <v>56</v>
      </c>
      <c r="D1354" s="73"/>
      <c r="E1354" s="75" t="s">
        <v>3209</v>
      </c>
      <c r="F1354" s="73"/>
      <c r="G1354" s="70" t="s">
        <v>64</v>
      </c>
      <c r="H1354" s="70" t="s">
        <v>2681</v>
      </c>
      <c r="I1354" s="72">
        <v>43.4</v>
      </c>
      <c r="J1354" s="70" t="s">
        <v>58</v>
      </c>
      <c r="K1354" s="65"/>
      <c r="L1354" s="65"/>
      <c r="M1354" s="65"/>
      <c r="N1354" s="65"/>
      <c r="O1354" s="65"/>
      <c r="P1354" s="65"/>
      <c r="Q1354" s="65"/>
      <c r="R1354" s="65"/>
      <c r="S1354" s="65"/>
      <c r="T1354" s="65"/>
      <c r="U1354" s="65"/>
      <c r="V1354" s="65"/>
      <c r="W1354" s="65"/>
      <c r="X1354" s="65"/>
      <c r="Y1354" s="65"/>
      <c r="Z1354" s="65"/>
      <c r="AA1354" s="65"/>
      <c r="AB1354" s="65"/>
      <c r="AC1354" s="65"/>
    </row>
    <row r="1355">
      <c r="A1355" s="72">
        <v>432.0</v>
      </c>
      <c r="B1355" s="67" t="s">
        <v>3210</v>
      </c>
      <c r="C1355" s="70" t="s">
        <v>60</v>
      </c>
      <c r="D1355" s="75" t="s">
        <v>440</v>
      </c>
      <c r="E1355" s="76" t="s">
        <v>3211</v>
      </c>
      <c r="F1355" s="70" t="s">
        <v>64</v>
      </c>
      <c r="G1355" s="70" t="s">
        <v>800</v>
      </c>
      <c r="H1355" s="70" t="s">
        <v>3212</v>
      </c>
      <c r="I1355" s="72">
        <v>33.18</v>
      </c>
      <c r="J1355" s="70" t="s">
        <v>58</v>
      </c>
      <c r="K1355" s="65"/>
      <c r="L1355" s="65"/>
      <c r="M1355" s="65"/>
      <c r="N1355" s="65"/>
      <c r="O1355" s="65"/>
      <c r="P1355" s="65"/>
      <c r="Q1355" s="65"/>
      <c r="R1355" s="65"/>
      <c r="S1355" s="65"/>
      <c r="T1355" s="65"/>
      <c r="U1355" s="65"/>
      <c r="V1355" s="65"/>
      <c r="W1355" s="65"/>
      <c r="X1355" s="65"/>
      <c r="Y1355" s="65"/>
      <c r="Z1355" s="65"/>
      <c r="AA1355" s="65"/>
      <c r="AB1355" s="65"/>
      <c r="AC1355" s="65"/>
    </row>
    <row r="1356">
      <c r="A1356" s="72">
        <v>431.0</v>
      </c>
      <c r="B1356" s="67" t="s">
        <v>3213</v>
      </c>
      <c r="C1356" s="75" t="s">
        <v>60</v>
      </c>
      <c r="D1356" s="75" t="s">
        <v>320</v>
      </c>
      <c r="E1356" s="76" t="s">
        <v>3214</v>
      </c>
      <c r="F1356" s="73"/>
      <c r="G1356" s="70" t="s">
        <v>128</v>
      </c>
      <c r="H1356" s="70" t="s">
        <v>3215</v>
      </c>
      <c r="I1356" s="72">
        <v>74.75</v>
      </c>
      <c r="J1356" s="70" t="s">
        <v>58</v>
      </c>
      <c r="K1356" s="65"/>
      <c r="L1356" s="65"/>
      <c r="M1356" s="65"/>
      <c r="N1356" s="65"/>
      <c r="O1356" s="65"/>
      <c r="P1356" s="65"/>
      <c r="Q1356" s="65"/>
      <c r="R1356" s="65"/>
      <c r="S1356" s="65"/>
      <c r="T1356" s="65"/>
      <c r="U1356" s="65"/>
      <c r="V1356" s="65"/>
      <c r="W1356" s="65"/>
      <c r="X1356" s="65"/>
      <c r="Y1356" s="65"/>
      <c r="Z1356" s="65"/>
      <c r="AA1356" s="65"/>
      <c r="AB1356" s="65"/>
      <c r="AC1356" s="65"/>
    </row>
    <row r="1357">
      <c r="A1357" s="72">
        <v>430.0</v>
      </c>
      <c r="B1357" s="67" t="s">
        <v>3216</v>
      </c>
      <c r="C1357" s="70" t="s">
        <v>56</v>
      </c>
      <c r="D1357" s="70" t="s">
        <v>3217</v>
      </c>
      <c r="E1357" s="70" t="s">
        <v>3218</v>
      </c>
      <c r="F1357" s="70" t="s">
        <v>415</v>
      </c>
      <c r="G1357" s="70" t="s">
        <v>3219</v>
      </c>
      <c r="H1357" s="70" t="s">
        <v>3220</v>
      </c>
      <c r="I1357" s="72">
        <v>56.9</v>
      </c>
      <c r="J1357" s="70" t="s">
        <v>58</v>
      </c>
      <c r="K1357" s="65"/>
      <c r="L1357" s="65"/>
      <c r="M1357" s="65"/>
      <c r="N1357" s="65"/>
      <c r="O1357" s="65"/>
      <c r="P1357" s="65"/>
      <c r="Q1357" s="65"/>
      <c r="R1357" s="65"/>
      <c r="S1357" s="65"/>
      <c r="T1357" s="65"/>
      <c r="U1357" s="65"/>
      <c r="V1357" s="65"/>
      <c r="W1357" s="65"/>
      <c r="X1357" s="65"/>
      <c r="Y1357" s="65"/>
      <c r="Z1357" s="65"/>
      <c r="AA1357" s="65"/>
      <c r="AB1357" s="65"/>
      <c r="AC1357" s="65"/>
    </row>
    <row r="1358">
      <c r="A1358" s="72">
        <v>429.0</v>
      </c>
      <c r="B1358" s="67" t="s">
        <v>3221</v>
      </c>
      <c r="C1358" s="70" t="s">
        <v>56</v>
      </c>
      <c r="D1358" s="70" t="s">
        <v>442</v>
      </c>
      <c r="E1358" s="70" t="s">
        <v>2921</v>
      </c>
      <c r="F1358" s="73"/>
      <c r="G1358" s="70" t="s">
        <v>636</v>
      </c>
      <c r="H1358" s="70" t="s">
        <v>2757</v>
      </c>
      <c r="I1358" s="72">
        <v>66.79</v>
      </c>
      <c r="J1358" s="70" t="s">
        <v>58</v>
      </c>
      <c r="K1358" s="65"/>
      <c r="L1358" s="65"/>
      <c r="M1358" s="65"/>
      <c r="N1358" s="65"/>
      <c r="O1358" s="65"/>
      <c r="P1358" s="65"/>
      <c r="Q1358" s="65"/>
      <c r="R1358" s="65"/>
      <c r="S1358" s="65"/>
      <c r="T1358" s="65"/>
      <c r="U1358" s="65"/>
      <c r="V1358" s="65"/>
      <c r="W1358" s="65"/>
      <c r="X1358" s="65"/>
      <c r="Y1358" s="65"/>
      <c r="Z1358" s="65"/>
      <c r="AA1358" s="65"/>
      <c r="AB1358" s="65"/>
      <c r="AC1358" s="65"/>
    </row>
    <row r="1359">
      <c r="A1359" s="72">
        <v>428.0</v>
      </c>
      <c r="B1359" s="67" t="s">
        <v>3222</v>
      </c>
      <c r="C1359" s="70" t="s">
        <v>60</v>
      </c>
      <c r="D1359" s="70" t="s">
        <v>320</v>
      </c>
      <c r="E1359" s="70" t="s">
        <v>3223</v>
      </c>
      <c r="F1359" s="70" t="s">
        <v>3224</v>
      </c>
      <c r="G1359" s="70" t="s">
        <v>3225</v>
      </c>
      <c r="H1359" s="70" t="s">
        <v>3226</v>
      </c>
      <c r="I1359" s="72">
        <v>61.66</v>
      </c>
      <c r="J1359" s="70" t="s">
        <v>58</v>
      </c>
      <c r="K1359" s="65"/>
      <c r="L1359" s="65"/>
      <c r="M1359" s="65"/>
      <c r="N1359" s="65"/>
      <c r="O1359" s="65"/>
      <c r="P1359" s="65"/>
      <c r="Q1359" s="65"/>
      <c r="R1359" s="65"/>
      <c r="S1359" s="65"/>
      <c r="T1359" s="65"/>
      <c r="U1359" s="65"/>
      <c r="V1359" s="65"/>
      <c r="W1359" s="65"/>
      <c r="X1359" s="65"/>
      <c r="Y1359" s="65"/>
      <c r="Z1359" s="65"/>
      <c r="AA1359" s="65"/>
      <c r="AB1359" s="65"/>
      <c r="AC1359" s="65"/>
    </row>
    <row r="1360">
      <c r="A1360" s="72">
        <v>427.0</v>
      </c>
      <c r="B1360" s="67" t="s">
        <v>3227</v>
      </c>
      <c r="C1360" s="70" t="s">
        <v>56</v>
      </c>
      <c r="D1360" s="73"/>
      <c r="E1360" s="70" t="s">
        <v>2196</v>
      </c>
      <c r="F1360" s="70" t="s">
        <v>116</v>
      </c>
      <c r="G1360" s="70" t="s">
        <v>683</v>
      </c>
      <c r="H1360" s="70" t="s">
        <v>683</v>
      </c>
      <c r="I1360" s="72">
        <v>62.71</v>
      </c>
      <c r="J1360" s="70" t="s">
        <v>58</v>
      </c>
      <c r="K1360" s="65"/>
      <c r="L1360" s="65"/>
      <c r="M1360" s="65"/>
      <c r="N1360" s="65"/>
      <c r="O1360" s="65"/>
      <c r="P1360" s="65"/>
      <c r="Q1360" s="65"/>
      <c r="R1360" s="65"/>
      <c r="S1360" s="65"/>
      <c r="T1360" s="65"/>
      <c r="U1360" s="65"/>
      <c r="V1360" s="65"/>
      <c r="W1360" s="65"/>
      <c r="X1360" s="65"/>
      <c r="Y1360" s="65"/>
      <c r="Z1360" s="65"/>
      <c r="AA1360" s="65"/>
      <c r="AB1360" s="65"/>
      <c r="AC1360" s="65"/>
    </row>
    <row r="1361">
      <c r="A1361" s="72">
        <v>426.0</v>
      </c>
      <c r="B1361" s="67" t="s">
        <v>3228</v>
      </c>
      <c r="C1361" s="70" t="s">
        <v>56</v>
      </c>
      <c r="D1361" s="70" t="s">
        <v>3229</v>
      </c>
      <c r="E1361" s="70" t="s">
        <v>3230</v>
      </c>
      <c r="F1361" s="70" t="s">
        <v>3231</v>
      </c>
      <c r="G1361" s="70" t="s">
        <v>3231</v>
      </c>
      <c r="H1361" s="70" t="s">
        <v>3232</v>
      </c>
      <c r="I1361" s="72">
        <v>61.39</v>
      </c>
      <c r="J1361" s="70" t="s">
        <v>58</v>
      </c>
      <c r="K1361" s="65"/>
      <c r="L1361" s="65"/>
      <c r="M1361" s="65"/>
      <c r="N1361" s="65"/>
      <c r="O1361" s="65"/>
      <c r="P1361" s="65"/>
      <c r="Q1361" s="65"/>
      <c r="R1361" s="65"/>
      <c r="S1361" s="65"/>
      <c r="T1361" s="65"/>
      <c r="U1361" s="65"/>
      <c r="V1361" s="65"/>
      <c r="W1361" s="65"/>
      <c r="X1361" s="65"/>
      <c r="Y1361" s="65"/>
      <c r="Z1361" s="65"/>
      <c r="AA1361" s="65"/>
      <c r="AB1361" s="65"/>
      <c r="AC1361" s="65"/>
    </row>
    <row r="1362">
      <c r="A1362" s="72">
        <v>425.0</v>
      </c>
      <c r="B1362" s="67" t="s">
        <v>3233</v>
      </c>
      <c r="C1362" s="70" t="s">
        <v>60</v>
      </c>
      <c r="D1362" s="70" t="s">
        <v>3234</v>
      </c>
      <c r="E1362" s="70" t="s">
        <v>3235</v>
      </c>
      <c r="F1362" s="73"/>
      <c r="G1362" s="70" t="s">
        <v>189</v>
      </c>
      <c r="H1362" s="70" t="s">
        <v>3236</v>
      </c>
      <c r="I1362" s="72">
        <v>50.17</v>
      </c>
      <c r="J1362" s="70" t="s">
        <v>58</v>
      </c>
      <c r="K1362" s="65"/>
      <c r="L1362" s="65"/>
      <c r="M1362" s="65"/>
      <c r="N1362" s="65"/>
      <c r="O1362" s="65"/>
      <c r="P1362" s="65"/>
      <c r="Q1362" s="65"/>
      <c r="R1362" s="65"/>
      <c r="S1362" s="65"/>
      <c r="T1362" s="65"/>
      <c r="U1362" s="65"/>
      <c r="V1362" s="65"/>
      <c r="W1362" s="65"/>
      <c r="X1362" s="65"/>
      <c r="Y1362" s="65"/>
      <c r="Z1362" s="65"/>
      <c r="AA1362" s="65"/>
      <c r="AB1362" s="65"/>
      <c r="AC1362" s="65"/>
    </row>
    <row r="1363">
      <c r="A1363" s="72">
        <v>424.0</v>
      </c>
      <c r="B1363" s="67" t="s">
        <v>3237</v>
      </c>
      <c r="C1363" s="70" t="s">
        <v>56</v>
      </c>
      <c r="D1363" s="70" t="s">
        <v>1671</v>
      </c>
      <c r="E1363" s="70" t="s">
        <v>3238</v>
      </c>
      <c r="F1363" s="70" t="s">
        <v>3239</v>
      </c>
      <c r="G1363" s="70" t="s">
        <v>3240</v>
      </c>
      <c r="H1363" s="70" t="s">
        <v>3241</v>
      </c>
      <c r="I1363" s="72">
        <v>48.25</v>
      </c>
      <c r="J1363" s="70" t="s">
        <v>58</v>
      </c>
      <c r="K1363" s="65"/>
      <c r="L1363" s="65"/>
      <c r="M1363" s="65"/>
      <c r="N1363" s="65"/>
      <c r="O1363" s="65"/>
      <c r="P1363" s="65"/>
      <c r="Q1363" s="65"/>
      <c r="R1363" s="65"/>
      <c r="S1363" s="65"/>
      <c r="T1363" s="65"/>
      <c r="U1363" s="65"/>
      <c r="V1363" s="65"/>
      <c r="W1363" s="65"/>
      <c r="X1363" s="65"/>
      <c r="Y1363" s="65"/>
      <c r="Z1363" s="65"/>
      <c r="AA1363" s="65"/>
      <c r="AB1363" s="65"/>
      <c r="AC1363" s="65"/>
    </row>
    <row r="1364">
      <c r="A1364" s="72">
        <v>423.0</v>
      </c>
      <c r="B1364" s="67" t="s">
        <v>3242</v>
      </c>
      <c r="C1364" s="70" t="s">
        <v>56</v>
      </c>
      <c r="D1364" s="70" t="s">
        <v>99</v>
      </c>
      <c r="E1364" s="70" t="s">
        <v>421</v>
      </c>
      <c r="F1364" s="73"/>
      <c r="G1364" s="70" t="s">
        <v>421</v>
      </c>
      <c r="H1364" s="70" t="s">
        <v>421</v>
      </c>
      <c r="I1364" s="72">
        <v>47.52</v>
      </c>
      <c r="J1364" s="70" t="s">
        <v>58</v>
      </c>
      <c r="K1364" s="65"/>
      <c r="L1364" s="65"/>
      <c r="M1364" s="65"/>
      <c r="N1364" s="65"/>
      <c r="O1364" s="65"/>
      <c r="P1364" s="65"/>
      <c r="Q1364" s="65"/>
      <c r="R1364" s="65"/>
      <c r="S1364" s="65"/>
      <c r="T1364" s="65"/>
      <c r="U1364" s="65"/>
      <c r="V1364" s="65"/>
      <c r="W1364" s="65"/>
      <c r="X1364" s="65"/>
      <c r="Y1364" s="65"/>
      <c r="Z1364" s="65"/>
      <c r="AA1364" s="65"/>
      <c r="AB1364" s="65"/>
      <c r="AC1364" s="65"/>
    </row>
    <row r="1365">
      <c r="A1365" s="72">
        <v>422.0</v>
      </c>
      <c r="B1365" s="67" t="s">
        <v>3243</v>
      </c>
      <c r="C1365" s="70" t="s">
        <v>69</v>
      </c>
      <c r="D1365" s="73"/>
      <c r="E1365" s="70" t="s">
        <v>1013</v>
      </c>
      <c r="F1365" s="73"/>
      <c r="G1365" s="70" t="s">
        <v>189</v>
      </c>
      <c r="H1365" s="70" t="s">
        <v>1014</v>
      </c>
      <c r="I1365" s="72">
        <v>38.18</v>
      </c>
      <c r="J1365" s="70" t="s">
        <v>58</v>
      </c>
      <c r="K1365" s="65"/>
      <c r="L1365" s="65"/>
      <c r="M1365" s="65"/>
      <c r="N1365" s="65"/>
      <c r="O1365" s="65"/>
      <c r="P1365" s="65"/>
      <c r="Q1365" s="65"/>
      <c r="R1365" s="65"/>
      <c r="S1365" s="65"/>
      <c r="T1365" s="65"/>
      <c r="U1365" s="65"/>
      <c r="V1365" s="65"/>
      <c r="W1365" s="65"/>
      <c r="X1365" s="65"/>
      <c r="Y1365" s="65"/>
      <c r="Z1365" s="65"/>
      <c r="AA1365" s="65"/>
      <c r="AB1365" s="65"/>
      <c r="AC1365" s="65"/>
    </row>
    <row r="1366">
      <c r="A1366" s="72">
        <v>421.0</v>
      </c>
      <c r="B1366" s="67" t="s">
        <v>3244</v>
      </c>
      <c r="C1366" s="70" t="s">
        <v>56</v>
      </c>
      <c r="D1366" s="70" t="s">
        <v>234</v>
      </c>
      <c r="E1366" s="70" t="s">
        <v>3245</v>
      </c>
      <c r="F1366" s="70" t="s">
        <v>305</v>
      </c>
      <c r="G1366" s="70" t="s">
        <v>701</v>
      </c>
      <c r="H1366" s="70" t="s">
        <v>3246</v>
      </c>
      <c r="I1366" s="72">
        <v>54.17</v>
      </c>
      <c r="J1366" s="70" t="s">
        <v>58</v>
      </c>
      <c r="K1366" s="65"/>
      <c r="L1366" s="65"/>
      <c r="M1366" s="65"/>
      <c r="N1366" s="65"/>
      <c r="O1366" s="65"/>
      <c r="P1366" s="65"/>
      <c r="Q1366" s="65"/>
      <c r="R1366" s="65"/>
      <c r="S1366" s="65"/>
      <c r="T1366" s="65"/>
      <c r="U1366" s="65"/>
      <c r="V1366" s="65"/>
      <c r="W1366" s="65"/>
      <c r="X1366" s="65"/>
      <c r="Y1366" s="65"/>
      <c r="Z1366" s="65"/>
      <c r="AA1366" s="65"/>
      <c r="AB1366" s="65"/>
      <c r="AC1366" s="65"/>
    </row>
    <row r="1367">
      <c r="A1367" s="72">
        <v>420.0</v>
      </c>
      <c r="B1367" s="67" t="s">
        <v>3247</v>
      </c>
      <c r="C1367" s="70" t="s">
        <v>60</v>
      </c>
      <c r="D1367" s="73"/>
      <c r="E1367" s="70" t="s">
        <v>3248</v>
      </c>
      <c r="F1367" s="70" t="s">
        <v>3249</v>
      </c>
      <c r="G1367" s="70" t="s">
        <v>3250</v>
      </c>
      <c r="H1367" s="70" t="s">
        <v>3251</v>
      </c>
      <c r="I1367" s="72">
        <v>13.99</v>
      </c>
      <c r="J1367" s="70" t="s">
        <v>58</v>
      </c>
      <c r="K1367" s="65"/>
      <c r="L1367" s="65"/>
      <c r="M1367" s="65"/>
      <c r="N1367" s="65"/>
      <c r="O1367" s="65"/>
      <c r="P1367" s="65"/>
      <c r="Q1367" s="65"/>
      <c r="R1367" s="65"/>
      <c r="S1367" s="65"/>
      <c r="T1367" s="65"/>
      <c r="U1367" s="65"/>
      <c r="V1367" s="65"/>
      <c r="W1367" s="65"/>
      <c r="X1367" s="65"/>
      <c r="Y1367" s="65"/>
      <c r="Z1367" s="65"/>
      <c r="AA1367" s="65"/>
      <c r="AB1367" s="65"/>
      <c r="AC1367" s="65"/>
    </row>
    <row r="1368">
      <c r="A1368" s="72">
        <v>419.0</v>
      </c>
      <c r="B1368" s="67" t="s">
        <v>3252</v>
      </c>
      <c r="C1368" s="70" t="s">
        <v>56</v>
      </c>
      <c r="D1368" s="73"/>
      <c r="E1368" s="70" t="s">
        <v>3253</v>
      </c>
      <c r="F1368" s="70" t="s">
        <v>3254</v>
      </c>
      <c r="G1368" s="70" t="s">
        <v>3255</v>
      </c>
      <c r="H1368" s="70" t="s">
        <v>3256</v>
      </c>
      <c r="I1368" s="72">
        <v>71.12</v>
      </c>
      <c r="J1368" s="70" t="s">
        <v>58</v>
      </c>
      <c r="K1368" s="65"/>
      <c r="L1368" s="65"/>
      <c r="M1368" s="65"/>
      <c r="N1368" s="65"/>
      <c r="O1368" s="65"/>
      <c r="P1368" s="65"/>
      <c r="Q1368" s="65"/>
      <c r="R1368" s="65"/>
      <c r="S1368" s="65"/>
      <c r="T1368" s="65"/>
      <c r="U1368" s="65"/>
      <c r="V1368" s="65"/>
      <c r="W1368" s="65"/>
      <c r="X1368" s="65"/>
      <c r="Y1368" s="65"/>
      <c r="Z1368" s="65"/>
      <c r="AA1368" s="65"/>
      <c r="AB1368" s="65"/>
      <c r="AC1368" s="65"/>
    </row>
    <row r="1369">
      <c r="A1369" s="72">
        <v>418.0</v>
      </c>
      <c r="B1369" s="67" t="s">
        <v>3257</v>
      </c>
      <c r="C1369" s="70" t="s">
        <v>56</v>
      </c>
      <c r="D1369" s="70" t="s">
        <v>76</v>
      </c>
      <c r="E1369" s="70" t="s">
        <v>3258</v>
      </c>
      <c r="F1369" s="70" t="s">
        <v>28</v>
      </c>
      <c r="G1369" s="70" t="s">
        <v>28</v>
      </c>
      <c r="H1369" s="70" t="s">
        <v>3258</v>
      </c>
      <c r="I1369" s="72">
        <v>33.36</v>
      </c>
      <c r="J1369" s="70" t="s">
        <v>58</v>
      </c>
      <c r="K1369" s="65"/>
      <c r="L1369" s="65"/>
      <c r="M1369" s="65"/>
      <c r="N1369" s="65"/>
      <c r="O1369" s="65"/>
      <c r="P1369" s="65"/>
      <c r="Q1369" s="65"/>
      <c r="R1369" s="65"/>
      <c r="S1369" s="65"/>
      <c r="T1369" s="65"/>
      <c r="U1369" s="65"/>
      <c r="V1369" s="65"/>
      <c r="W1369" s="65"/>
      <c r="X1369" s="65"/>
      <c r="Y1369" s="65"/>
      <c r="Z1369" s="65"/>
      <c r="AA1369" s="65"/>
      <c r="AB1369" s="65"/>
      <c r="AC1369" s="65"/>
    </row>
    <row r="1370">
      <c r="A1370" s="72">
        <v>417.0</v>
      </c>
      <c r="B1370" s="67" t="s">
        <v>3259</v>
      </c>
      <c r="C1370" s="70" t="s">
        <v>56</v>
      </c>
      <c r="D1370" s="70" t="s">
        <v>394</v>
      </c>
      <c r="E1370" s="70" t="s">
        <v>3260</v>
      </c>
      <c r="F1370" s="70" t="s">
        <v>3261</v>
      </c>
      <c r="G1370" s="70" t="s">
        <v>3262</v>
      </c>
      <c r="H1370" s="70" t="s">
        <v>3263</v>
      </c>
      <c r="I1370" s="72">
        <v>42.69</v>
      </c>
      <c r="J1370" s="70" t="s">
        <v>58</v>
      </c>
      <c r="K1370" s="65"/>
      <c r="L1370" s="65"/>
      <c r="M1370" s="65"/>
      <c r="N1370" s="65"/>
      <c r="O1370" s="65"/>
      <c r="P1370" s="65"/>
      <c r="Q1370" s="65"/>
      <c r="R1370" s="65"/>
      <c r="S1370" s="65"/>
      <c r="T1370" s="65"/>
      <c r="U1370" s="65"/>
      <c r="V1370" s="65"/>
      <c r="W1370" s="65"/>
      <c r="X1370" s="65"/>
      <c r="Y1370" s="65"/>
      <c r="Z1370" s="65"/>
      <c r="AA1370" s="65"/>
      <c r="AB1370" s="65"/>
      <c r="AC1370" s="65"/>
    </row>
    <row r="1371">
      <c r="A1371" s="72">
        <v>416.0</v>
      </c>
      <c r="B1371" s="67" t="s">
        <v>3264</v>
      </c>
      <c r="C1371" s="70" t="s">
        <v>56</v>
      </c>
      <c r="D1371" s="70" t="s">
        <v>76</v>
      </c>
      <c r="E1371" s="70" t="s">
        <v>3265</v>
      </c>
      <c r="F1371" s="70" t="s">
        <v>3266</v>
      </c>
      <c r="G1371" s="70" t="s">
        <v>3267</v>
      </c>
      <c r="H1371" s="70" t="s">
        <v>3268</v>
      </c>
      <c r="I1371" s="72">
        <v>44.91</v>
      </c>
      <c r="J1371" s="70" t="s">
        <v>58</v>
      </c>
      <c r="K1371" s="65"/>
      <c r="L1371" s="65"/>
      <c r="M1371" s="65"/>
      <c r="N1371" s="65"/>
      <c r="O1371" s="65"/>
      <c r="P1371" s="65"/>
      <c r="Q1371" s="65"/>
      <c r="R1371" s="65"/>
      <c r="S1371" s="65"/>
      <c r="T1371" s="65"/>
      <c r="U1371" s="65"/>
      <c r="V1371" s="65"/>
      <c r="W1371" s="65"/>
      <c r="X1371" s="65"/>
      <c r="Y1371" s="65"/>
      <c r="Z1371" s="65"/>
      <c r="AA1371" s="65"/>
      <c r="AB1371" s="65"/>
      <c r="AC1371" s="65"/>
    </row>
    <row r="1372">
      <c r="A1372" s="72">
        <v>415.0</v>
      </c>
      <c r="B1372" s="67" t="s">
        <v>3269</v>
      </c>
      <c r="C1372" s="70" t="s">
        <v>69</v>
      </c>
      <c r="D1372" s="70" t="s">
        <v>70</v>
      </c>
      <c r="E1372" s="70" t="s">
        <v>3270</v>
      </c>
      <c r="F1372" s="70" t="s">
        <v>3271</v>
      </c>
      <c r="G1372" s="70" t="s">
        <v>3272</v>
      </c>
      <c r="H1372" s="70" t="s">
        <v>3273</v>
      </c>
      <c r="I1372" s="72">
        <v>48.24</v>
      </c>
      <c r="J1372" s="70" t="s">
        <v>58</v>
      </c>
      <c r="K1372" s="65"/>
      <c r="L1372" s="65"/>
      <c r="M1372" s="65"/>
      <c r="N1372" s="65"/>
      <c r="O1372" s="65"/>
      <c r="P1372" s="65"/>
      <c r="Q1372" s="65"/>
      <c r="R1372" s="65"/>
      <c r="S1372" s="65"/>
      <c r="T1372" s="65"/>
      <c r="U1372" s="65"/>
      <c r="V1372" s="65"/>
      <c r="W1372" s="65"/>
      <c r="X1372" s="65"/>
      <c r="Y1372" s="65"/>
      <c r="Z1372" s="65"/>
      <c r="AA1372" s="65"/>
      <c r="AB1372" s="65"/>
      <c r="AC1372" s="65"/>
    </row>
    <row r="1373">
      <c r="A1373" s="72">
        <v>414.0</v>
      </c>
      <c r="B1373" s="67" t="s">
        <v>3274</v>
      </c>
      <c r="C1373" s="70" t="s">
        <v>69</v>
      </c>
      <c r="D1373" s="70" t="s">
        <v>93</v>
      </c>
      <c r="E1373" s="70" t="s">
        <v>1528</v>
      </c>
      <c r="F1373" s="70" t="s">
        <v>71</v>
      </c>
      <c r="G1373" s="70" t="s">
        <v>799</v>
      </c>
      <c r="H1373" s="70" t="s">
        <v>2260</v>
      </c>
      <c r="I1373" s="72">
        <v>30.7</v>
      </c>
      <c r="J1373" s="70" t="s">
        <v>58</v>
      </c>
      <c r="K1373" s="65"/>
      <c r="L1373" s="65"/>
      <c r="M1373" s="65"/>
      <c r="N1373" s="65"/>
      <c r="O1373" s="65"/>
      <c r="P1373" s="65"/>
      <c r="Q1373" s="65"/>
      <c r="R1373" s="65"/>
      <c r="S1373" s="65"/>
      <c r="T1373" s="65"/>
      <c r="U1373" s="65"/>
      <c r="V1373" s="65"/>
      <c r="W1373" s="65"/>
      <c r="X1373" s="65"/>
      <c r="Y1373" s="65"/>
      <c r="Z1373" s="65"/>
      <c r="AA1373" s="65"/>
      <c r="AB1373" s="65"/>
      <c r="AC1373" s="65"/>
    </row>
    <row r="1374">
      <c r="A1374" s="72">
        <v>413.0</v>
      </c>
      <c r="B1374" s="67" t="s">
        <v>3275</v>
      </c>
      <c r="C1374" s="70" t="s">
        <v>56</v>
      </c>
      <c r="D1374" s="70" t="s">
        <v>652</v>
      </c>
      <c r="E1374" s="70" t="s">
        <v>3276</v>
      </c>
      <c r="F1374" s="73"/>
      <c r="G1374" s="70" t="s">
        <v>64</v>
      </c>
      <c r="H1374" s="70" t="s">
        <v>3277</v>
      </c>
      <c r="I1374" s="72">
        <v>59.95</v>
      </c>
      <c r="J1374" s="70" t="s">
        <v>58</v>
      </c>
      <c r="K1374" s="65"/>
      <c r="L1374" s="65"/>
      <c r="M1374" s="65"/>
      <c r="N1374" s="65"/>
      <c r="O1374" s="65"/>
      <c r="P1374" s="65"/>
      <c r="Q1374" s="65"/>
      <c r="R1374" s="65"/>
      <c r="S1374" s="65"/>
      <c r="T1374" s="65"/>
      <c r="U1374" s="65"/>
      <c r="V1374" s="65"/>
      <c r="W1374" s="65"/>
      <c r="X1374" s="65"/>
      <c r="Y1374" s="65"/>
      <c r="Z1374" s="65"/>
      <c r="AA1374" s="65"/>
      <c r="AB1374" s="65"/>
      <c r="AC1374" s="65"/>
    </row>
    <row r="1375">
      <c r="A1375" s="72">
        <v>412.0</v>
      </c>
      <c r="B1375" s="67" t="s">
        <v>3278</v>
      </c>
      <c r="C1375" s="70" t="s">
        <v>69</v>
      </c>
      <c r="D1375" s="73"/>
      <c r="E1375" s="70" t="s">
        <v>3279</v>
      </c>
      <c r="F1375" s="70" t="s">
        <v>3280</v>
      </c>
      <c r="G1375" s="70" t="s">
        <v>3281</v>
      </c>
      <c r="H1375" s="70" t="s">
        <v>3282</v>
      </c>
      <c r="I1375" s="72">
        <v>63.56</v>
      </c>
      <c r="J1375" s="70" t="s">
        <v>58</v>
      </c>
      <c r="K1375" s="65"/>
      <c r="L1375" s="65"/>
      <c r="M1375" s="65"/>
      <c r="N1375" s="65"/>
      <c r="O1375" s="65"/>
      <c r="P1375" s="65"/>
      <c r="Q1375" s="65"/>
      <c r="R1375" s="65"/>
      <c r="S1375" s="65"/>
      <c r="T1375" s="65"/>
      <c r="U1375" s="65"/>
      <c r="V1375" s="65"/>
      <c r="W1375" s="65"/>
      <c r="X1375" s="65"/>
      <c r="Y1375" s="65"/>
      <c r="Z1375" s="65"/>
      <c r="AA1375" s="65"/>
      <c r="AB1375" s="65"/>
      <c r="AC1375" s="65"/>
    </row>
    <row r="1376">
      <c r="A1376" s="72">
        <v>411.0</v>
      </c>
      <c r="B1376" s="67" t="s">
        <v>3283</v>
      </c>
      <c r="C1376" s="70" t="s">
        <v>60</v>
      </c>
      <c r="D1376" s="70" t="s">
        <v>1145</v>
      </c>
      <c r="E1376" s="70" t="s">
        <v>28</v>
      </c>
      <c r="F1376" s="73"/>
      <c r="G1376" s="73"/>
      <c r="H1376" s="70" t="s">
        <v>28</v>
      </c>
      <c r="I1376" s="72">
        <v>37.34</v>
      </c>
      <c r="J1376" s="70" t="s">
        <v>58</v>
      </c>
      <c r="K1376" s="65"/>
      <c r="L1376" s="65"/>
      <c r="M1376" s="65"/>
      <c r="N1376" s="65"/>
      <c r="O1376" s="65"/>
      <c r="P1376" s="65"/>
      <c r="Q1376" s="65"/>
      <c r="R1376" s="65"/>
      <c r="S1376" s="65"/>
      <c r="T1376" s="65"/>
      <c r="U1376" s="65"/>
      <c r="V1376" s="65"/>
      <c r="W1376" s="65"/>
      <c r="X1376" s="65"/>
      <c r="Y1376" s="65"/>
      <c r="Z1376" s="65"/>
      <c r="AA1376" s="65"/>
      <c r="AB1376" s="65"/>
      <c r="AC1376" s="65"/>
    </row>
    <row r="1377">
      <c r="A1377" s="72">
        <v>410.0</v>
      </c>
      <c r="B1377" s="67" t="s">
        <v>3284</v>
      </c>
      <c r="C1377" s="70" t="s">
        <v>60</v>
      </c>
      <c r="D1377" s="70" t="s">
        <v>147</v>
      </c>
      <c r="E1377" s="70" t="s">
        <v>3285</v>
      </c>
      <c r="F1377" s="70" t="s">
        <v>1355</v>
      </c>
      <c r="G1377" s="70" t="s">
        <v>3286</v>
      </c>
      <c r="H1377" s="70" t="s">
        <v>3287</v>
      </c>
      <c r="I1377" s="72">
        <v>46.5</v>
      </c>
      <c r="J1377" s="70" t="s">
        <v>58</v>
      </c>
      <c r="K1377" s="65"/>
      <c r="L1377" s="65"/>
      <c r="M1377" s="65"/>
      <c r="N1377" s="65"/>
      <c r="O1377" s="65"/>
      <c r="P1377" s="65"/>
      <c r="Q1377" s="65"/>
      <c r="R1377" s="65"/>
      <c r="S1377" s="65"/>
      <c r="T1377" s="65"/>
      <c r="U1377" s="65"/>
      <c r="V1377" s="65"/>
      <c r="W1377" s="65"/>
      <c r="X1377" s="65"/>
      <c r="Y1377" s="65"/>
      <c r="Z1377" s="65"/>
      <c r="AA1377" s="65"/>
      <c r="AB1377" s="65"/>
      <c r="AC1377" s="65"/>
    </row>
    <row r="1378">
      <c r="A1378" s="72">
        <v>409.0</v>
      </c>
      <c r="B1378" s="67" t="s">
        <v>3288</v>
      </c>
      <c r="C1378" s="70" t="s">
        <v>69</v>
      </c>
      <c r="D1378" s="70" t="s">
        <v>284</v>
      </c>
      <c r="E1378" s="70" t="s">
        <v>3289</v>
      </c>
      <c r="F1378" s="73"/>
      <c r="G1378" s="70" t="s">
        <v>3290</v>
      </c>
      <c r="H1378" s="70" t="s">
        <v>3291</v>
      </c>
      <c r="I1378" s="72">
        <v>52.24</v>
      </c>
      <c r="J1378" s="70" t="s">
        <v>58</v>
      </c>
      <c r="K1378" s="65"/>
      <c r="L1378" s="65"/>
      <c r="M1378" s="65"/>
      <c r="N1378" s="65"/>
      <c r="O1378" s="65"/>
      <c r="P1378" s="65"/>
      <c r="Q1378" s="65"/>
      <c r="R1378" s="65"/>
      <c r="S1378" s="65"/>
      <c r="T1378" s="65"/>
      <c r="U1378" s="65"/>
      <c r="V1378" s="65"/>
      <c r="W1378" s="65"/>
      <c r="X1378" s="65"/>
      <c r="Y1378" s="65"/>
      <c r="Z1378" s="65"/>
      <c r="AA1378" s="65"/>
      <c r="AB1378" s="65"/>
      <c r="AC1378" s="65"/>
    </row>
    <row r="1379">
      <c r="A1379" s="72">
        <v>408.0</v>
      </c>
      <c r="B1379" s="67" t="s">
        <v>3292</v>
      </c>
      <c r="C1379" s="70" t="s">
        <v>69</v>
      </c>
      <c r="D1379" s="70" t="s">
        <v>70</v>
      </c>
      <c r="E1379" s="70" t="s">
        <v>96</v>
      </c>
      <c r="F1379" s="70" t="s">
        <v>71</v>
      </c>
      <c r="G1379" s="70" t="s">
        <v>71</v>
      </c>
      <c r="H1379" s="70" t="s">
        <v>612</v>
      </c>
      <c r="I1379" s="72">
        <v>31.41</v>
      </c>
      <c r="J1379" s="70" t="s">
        <v>58</v>
      </c>
      <c r="K1379" s="65"/>
      <c r="L1379" s="65"/>
      <c r="M1379" s="65"/>
      <c r="N1379" s="65"/>
      <c r="O1379" s="65"/>
      <c r="P1379" s="65"/>
      <c r="Q1379" s="65"/>
      <c r="R1379" s="65"/>
      <c r="S1379" s="65"/>
      <c r="T1379" s="65"/>
      <c r="U1379" s="65"/>
      <c r="V1379" s="65"/>
      <c r="W1379" s="65"/>
      <c r="X1379" s="65"/>
      <c r="Y1379" s="65"/>
      <c r="Z1379" s="65"/>
      <c r="AA1379" s="65"/>
      <c r="AB1379" s="65"/>
      <c r="AC1379" s="65"/>
    </row>
    <row r="1380">
      <c r="A1380" s="72">
        <v>407.0</v>
      </c>
      <c r="B1380" s="67" t="s">
        <v>3293</v>
      </c>
      <c r="C1380" s="70" t="s">
        <v>60</v>
      </c>
      <c r="D1380" s="70" t="s">
        <v>1996</v>
      </c>
      <c r="E1380" s="70" t="s">
        <v>3294</v>
      </c>
      <c r="F1380" s="70" t="s">
        <v>87</v>
      </c>
      <c r="G1380" s="70" t="s">
        <v>1354</v>
      </c>
      <c r="H1380" s="70" t="s">
        <v>3295</v>
      </c>
      <c r="I1380" s="72">
        <v>44.39</v>
      </c>
      <c r="J1380" s="70" t="s">
        <v>58</v>
      </c>
      <c r="K1380" s="65"/>
      <c r="L1380" s="65"/>
      <c r="M1380" s="65"/>
      <c r="N1380" s="65"/>
      <c r="O1380" s="65"/>
      <c r="P1380" s="65"/>
      <c r="Q1380" s="65"/>
      <c r="R1380" s="65"/>
      <c r="S1380" s="65"/>
      <c r="T1380" s="65"/>
      <c r="U1380" s="65"/>
      <c r="V1380" s="65"/>
      <c r="W1380" s="65"/>
      <c r="X1380" s="65"/>
      <c r="Y1380" s="65"/>
      <c r="Z1380" s="65"/>
      <c r="AA1380" s="65"/>
      <c r="AB1380" s="65"/>
      <c r="AC1380" s="65"/>
    </row>
    <row r="1381">
      <c r="A1381" s="72">
        <v>406.0</v>
      </c>
      <c r="B1381" s="67" t="s">
        <v>3296</v>
      </c>
      <c r="C1381" s="70" t="s">
        <v>56</v>
      </c>
      <c r="D1381" s="70" t="s">
        <v>61</v>
      </c>
      <c r="E1381" s="70" t="s">
        <v>3297</v>
      </c>
      <c r="F1381" s="70" t="s">
        <v>1170</v>
      </c>
      <c r="G1381" s="70" t="s">
        <v>3298</v>
      </c>
      <c r="H1381" s="70" t="s">
        <v>3299</v>
      </c>
      <c r="I1381" s="72">
        <v>68.5</v>
      </c>
      <c r="J1381" s="70" t="s">
        <v>58</v>
      </c>
      <c r="K1381" s="65"/>
      <c r="L1381" s="65"/>
      <c r="M1381" s="65"/>
      <c r="N1381" s="65"/>
      <c r="O1381" s="65"/>
      <c r="P1381" s="65"/>
      <c r="Q1381" s="65"/>
      <c r="R1381" s="65"/>
      <c r="S1381" s="65"/>
      <c r="T1381" s="65"/>
      <c r="U1381" s="65"/>
      <c r="V1381" s="65"/>
      <c r="W1381" s="65"/>
      <c r="X1381" s="65"/>
      <c r="Y1381" s="65"/>
      <c r="Z1381" s="65"/>
      <c r="AA1381" s="65"/>
      <c r="AB1381" s="65"/>
      <c r="AC1381" s="65"/>
    </row>
    <row r="1382">
      <c r="A1382" s="72">
        <v>405.0</v>
      </c>
      <c r="B1382" s="67" t="s">
        <v>3300</v>
      </c>
      <c r="C1382" s="70" t="s">
        <v>69</v>
      </c>
      <c r="D1382" s="70" t="s">
        <v>182</v>
      </c>
      <c r="E1382" s="75" t="s">
        <v>352</v>
      </c>
      <c r="F1382" s="73"/>
      <c r="G1382" s="70" t="s">
        <v>71</v>
      </c>
      <c r="H1382" s="70" t="s">
        <v>352</v>
      </c>
      <c r="I1382" s="72">
        <v>44.48</v>
      </c>
      <c r="J1382" s="70" t="s">
        <v>58</v>
      </c>
      <c r="K1382" s="65"/>
      <c r="L1382" s="65"/>
      <c r="M1382" s="65"/>
      <c r="N1382" s="65"/>
      <c r="O1382" s="65"/>
      <c r="P1382" s="65"/>
      <c r="Q1382" s="65"/>
      <c r="R1382" s="65"/>
      <c r="S1382" s="65"/>
      <c r="T1382" s="65"/>
      <c r="U1382" s="65"/>
      <c r="V1382" s="65"/>
      <c r="W1382" s="65"/>
      <c r="X1382" s="65"/>
      <c r="Y1382" s="65"/>
      <c r="Z1382" s="65"/>
      <c r="AA1382" s="65"/>
      <c r="AB1382" s="65"/>
      <c r="AC1382" s="65"/>
    </row>
    <row r="1383">
      <c r="A1383" s="72">
        <v>404.0</v>
      </c>
      <c r="B1383" s="67" t="s">
        <v>3301</v>
      </c>
      <c r="C1383" s="70" t="s">
        <v>69</v>
      </c>
      <c r="D1383" s="75" t="s">
        <v>320</v>
      </c>
      <c r="E1383" s="76" t="s">
        <v>3302</v>
      </c>
      <c r="F1383" s="70" t="s">
        <v>2012</v>
      </c>
      <c r="G1383" s="70" t="s">
        <v>2849</v>
      </c>
      <c r="H1383" s="70" t="s">
        <v>3303</v>
      </c>
      <c r="I1383" s="72">
        <v>52.27</v>
      </c>
      <c r="J1383" s="70" t="s">
        <v>58</v>
      </c>
      <c r="K1383" s="65"/>
      <c r="L1383" s="65"/>
      <c r="M1383" s="65"/>
      <c r="N1383" s="65"/>
      <c r="O1383" s="65"/>
      <c r="P1383" s="65"/>
      <c r="Q1383" s="65"/>
      <c r="R1383" s="65"/>
      <c r="S1383" s="65"/>
      <c r="T1383" s="65"/>
      <c r="U1383" s="65"/>
      <c r="V1383" s="65"/>
      <c r="W1383" s="65"/>
      <c r="X1383" s="65"/>
      <c r="Y1383" s="65"/>
      <c r="Z1383" s="65"/>
      <c r="AA1383" s="65"/>
      <c r="AB1383" s="65"/>
      <c r="AC1383" s="65"/>
    </row>
    <row r="1384">
      <c r="A1384" s="72">
        <v>403.0</v>
      </c>
      <c r="B1384" s="67" t="s">
        <v>3304</v>
      </c>
      <c r="C1384" s="75" t="s">
        <v>60</v>
      </c>
      <c r="D1384" s="76" t="s">
        <v>76</v>
      </c>
      <c r="E1384" s="76" t="s">
        <v>3305</v>
      </c>
      <c r="F1384" s="70" t="s">
        <v>3306</v>
      </c>
      <c r="G1384" s="70" t="s">
        <v>3307</v>
      </c>
      <c r="H1384" s="70" t="s">
        <v>3308</v>
      </c>
      <c r="I1384" s="72">
        <v>41.57</v>
      </c>
      <c r="J1384" s="70" t="s">
        <v>58</v>
      </c>
      <c r="K1384" s="65"/>
      <c r="L1384" s="65"/>
      <c r="M1384" s="65"/>
      <c r="N1384" s="65"/>
      <c r="O1384" s="65"/>
      <c r="P1384" s="65"/>
      <c r="Q1384" s="65"/>
      <c r="R1384" s="65"/>
      <c r="S1384" s="65"/>
      <c r="T1384" s="65"/>
      <c r="U1384" s="65"/>
      <c r="V1384" s="65"/>
      <c r="W1384" s="65"/>
      <c r="X1384" s="65"/>
      <c r="Y1384" s="65"/>
      <c r="Z1384" s="65"/>
      <c r="AA1384" s="65"/>
      <c r="AB1384" s="65"/>
      <c r="AC1384" s="65"/>
    </row>
    <row r="1385">
      <c r="A1385" s="72">
        <v>402.0</v>
      </c>
      <c r="B1385" s="67" t="s">
        <v>3309</v>
      </c>
      <c r="C1385" s="70" t="s">
        <v>56</v>
      </c>
      <c r="D1385" s="70" t="s">
        <v>1901</v>
      </c>
      <c r="E1385" s="70" t="s">
        <v>3310</v>
      </c>
      <c r="F1385" s="70" t="s">
        <v>3311</v>
      </c>
      <c r="G1385" s="70" t="s">
        <v>3312</v>
      </c>
      <c r="H1385" s="70" t="s">
        <v>3313</v>
      </c>
      <c r="I1385" s="72">
        <v>28.69</v>
      </c>
      <c r="J1385" s="70" t="s">
        <v>58</v>
      </c>
      <c r="K1385" s="65"/>
      <c r="L1385" s="65"/>
      <c r="M1385" s="65"/>
      <c r="N1385" s="65"/>
      <c r="O1385" s="65"/>
      <c r="P1385" s="65"/>
      <c r="Q1385" s="65"/>
      <c r="R1385" s="65"/>
      <c r="S1385" s="65"/>
      <c r="T1385" s="65"/>
      <c r="U1385" s="65"/>
      <c r="V1385" s="65"/>
      <c r="W1385" s="65"/>
      <c r="X1385" s="65"/>
      <c r="Y1385" s="65"/>
      <c r="Z1385" s="65"/>
      <c r="AA1385" s="65"/>
      <c r="AB1385" s="65"/>
      <c r="AC1385" s="65"/>
    </row>
    <row r="1386">
      <c r="A1386" s="72">
        <v>401.0</v>
      </c>
      <c r="B1386" s="67" t="s">
        <v>3314</v>
      </c>
      <c r="C1386" s="70" t="s">
        <v>69</v>
      </c>
      <c r="D1386" s="70" t="s">
        <v>1145</v>
      </c>
      <c r="E1386" s="70" t="s">
        <v>1927</v>
      </c>
      <c r="F1386" s="73"/>
      <c r="G1386" s="73"/>
      <c r="H1386" s="70" t="s">
        <v>1927</v>
      </c>
      <c r="I1386" s="72">
        <v>48.51</v>
      </c>
      <c r="J1386" s="70" t="s">
        <v>58</v>
      </c>
      <c r="K1386" s="65"/>
      <c r="L1386" s="65"/>
      <c r="M1386" s="65"/>
      <c r="N1386" s="65"/>
      <c r="O1386" s="65"/>
      <c r="P1386" s="65"/>
      <c r="Q1386" s="65"/>
      <c r="R1386" s="65"/>
      <c r="S1386" s="65"/>
      <c r="T1386" s="65"/>
      <c r="U1386" s="65"/>
      <c r="V1386" s="65"/>
      <c r="W1386" s="65"/>
      <c r="X1386" s="65"/>
      <c r="Y1386" s="65"/>
      <c r="Z1386" s="65"/>
      <c r="AA1386" s="65"/>
      <c r="AB1386" s="65"/>
      <c r="AC1386" s="65"/>
    </row>
    <row r="1387">
      <c r="A1387" s="72">
        <v>400.0</v>
      </c>
      <c r="B1387" s="67" t="s">
        <v>3315</v>
      </c>
      <c r="C1387" s="70" t="s">
        <v>56</v>
      </c>
      <c r="D1387" s="70" t="s">
        <v>99</v>
      </c>
      <c r="E1387" s="70" t="s">
        <v>96</v>
      </c>
      <c r="F1387" s="73"/>
      <c r="G1387" s="70" t="s">
        <v>71</v>
      </c>
      <c r="H1387" s="70" t="s">
        <v>612</v>
      </c>
      <c r="I1387" s="72">
        <v>32.4</v>
      </c>
      <c r="J1387" s="70" t="s">
        <v>58</v>
      </c>
      <c r="K1387" s="65"/>
      <c r="L1387" s="65"/>
      <c r="M1387" s="65"/>
      <c r="N1387" s="65"/>
      <c r="O1387" s="65"/>
      <c r="P1387" s="65"/>
      <c r="Q1387" s="65"/>
      <c r="R1387" s="65"/>
      <c r="S1387" s="65"/>
      <c r="T1387" s="65"/>
      <c r="U1387" s="65"/>
      <c r="V1387" s="65"/>
      <c r="W1387" s="65"/>
      <c r="X1387" s="65"/>
      <c r="Y1387" s="65"/>
      <c r="Z1387" s="65"/>
      <c r="AA1387" s="65"/>
      <c r="AB1387" s="65"/>
      <c r="AC1387" s="65"/>
    </row>
    <row r="1388">
      <c r="A1388" s="72">
        <v>399.0</v>
      </c>
      <c r="B1388" s="67" t="s">
        <v>3316</v>
      </c>
      <c r="C1388" s="70" t="s">
        <v>56</v>
      </c>
      <c r="D1388" s="70" t="s">
        <v>1316</v>
      </c>
      <c r="E1388" s="70" t="s">
        <v>3317</v>
      </c>
      <c r="F1388" s="70" t="s">
        <v>3318</v>
      </c>
      <c r="G1388" s="70" t="s">
        <v>3318</v>
      </c>
      <c r="H1388" s="70" t="s">
        <v>3318</v>
      </c>
      <c r="I1388" s="72">
        <v>54.47</v>
      </c>
      <c r="J1388" s="70" t="s">
        <v>58</v>
      </c>
      <c r="K1388" s="65"/>
      <c r="L1388" s="65"/>
      <c r="M1388" s="65"/>
      <c r="N1388" s="65"/>
      <c r="O1388" s="65"/>
      <c r="P1388" s="65"/>
      <c r="Q1388" s="65"/>
      <c r="R1388" s="65"/>
      <c r="S1388" s="65"/>
      <c r="T1388" s="65"/>
      <c r="U1388" s="65"/>
      <c r="V1388" s="65"/>
      <c r="W1388" s="65"/>
      <c r="X1388" s="65"/>
      <c r="Y1388" s="65"/>
      <c r="Z1388" s="65"/>
      <c r="AA1388" s="65"/>
      <c r="AB1388" s="65"/>
      <c r="AC1388" s="65"/>
    </row>
    <row r="1389">
      <c r="A1389" s="72">
        <v>398.0</v>
      </c>
      <c r="B1389" s="67" t="s">
        <v>3319</v>
      </c>
      <c r="C1389" s="70" t="s">
        <v>56</v>
      </c>
      <c r="D1389" s="70" t="s">
        <v>3320</v>
      </c>
      <c r="E1389" s="70" t="s">
        <v>1864</v>
      </c>
      <c r="F1389" s="70" t="s">
        <v>96</v>
      </c>
      <c r="G1389" s="70" t="s">
        <v>96</v>
      </c>
      <c r="H1389" s="70" t="s">
        <v>96</v>
      </c>
      <c r="I1389" s="72">
        <v>58.1</v>
      </c>
      <c r="J1389" s="70" t="s">
        <v>58</v>
      </c>
      <c r="K1389" s="65"/>
      <c r="L1389" s="65"/>
      <c r="M1389" s="65"/>
      <c r="N1389" s="65"/>
      <c r="O1389" s="65"/>
      <c r="P1389" s="65"/>
      <c r="Q1389" s="65"/>
      <c r="R1389" s="65"/>
      <c r="S1389" s="65"/>
      <c r="T1389" s="65"/>
      <c r="U1389" s="65"/>
      <c r="V1389" s="65"/>
      <c r="W1389" s="65"/>
      <c r="X1389" s="65"/>
      <c r="Y1389" s="65"/>
      <c r="Z1389" s="65"/>
      <c r="AA1389" s="65"/>
      <c r="AB1389" s="65"/>
      <c r="AC1389" s="65"/>
    </row>
    <row r="1390">
      <c r="A1390" s="72">
        <v>397.0</v>
      </c>
      <c r="B1390" s="67" t="s">
        <v>3321</v>
      </c>
      <c r="C1390" s="70" t="s">
        <v>56</v>
      </c>
      <c r="D1390" s="70" t="s">
        <v>1108</v>
      </c>
      <c r="E1390" s="70" t="s">
        <v>3322</v>
      </c>
      <c r="F1390" s="70" t="s">
        <v>28</v>
      </c>
      <c r="G1390" s="70" t="s">
        <v>28</v>
      </c>
      <c r="H1390" s="70" t="s">
        <v>3323</v>
      </c>
      <c r="I1390" s="72">
        <v>33.52</v>
      </c>
      <c r="J1390" s="70" t="s">
        <v>58</v>
      </c>
      <c r="K1390" s="65"/>
      <c r="L1390" s="65"/>
      <c r="M1390" s="65"/>
      <c r="N1390" s="65"/>
      <c r="O1390" s="65"/>
      <c r="P1390" s="65"/>
      <c r="Q1390" s="65"/>
      <c r="R1390" s="65"/>
      <c r="S1390" s="65"/>
      <c r="T1390" s="65"/>
      <c r="U1390" s="65"/>
      <c r="V1390" s="65"/>
      <c r="W1390" s="65"/>
      <c r="X1390" s="65"/>
      <c r="Y1390" s="65"/>
      <c r="Z1390" s="65"/>
      <c r="AA1390" s="65"/>
      <c r="AB1390" s="65"/>
      <c r="AC1390" s="65"/>
    </row>
    <row r="1391">
      <c r="A1391" s="72">
        <v>396.0</v>
      </c>
      <c r="B1391" s="67" t="s">
        <v>3324</v>
      </c>
      <c r="C1391" s="70" t="s">
        <v>56</v>
      </c>
      <c r="D1391" s="70" t="s">
        <v>99</v>
      </c>
      <c r="E1391" s="70" t="s">
        <v>1679</v>
      </c>
      <c r="F1391" s="70" t="s">
        <v>579</v>
      </c>
      <c r="G1391" s="70" t="s">
        <v>579</v>
      </c>
      <c r="H1391" s="70" t="s">
        <v>896</v>
      </c>
      <c r="I1391" s="72">
        <v>36.63</v>
      </c>
      <c r="J1391" s="70" t="s">
        <v>58</v>
      </c>
      <c r="K1391" s="65"/>
      <c r="L1391" s="65"/>
      <c r="M1391" s="65"/>
      <c r="N1391" s="65"/>
      <c r="O1391" s="65"/>
      <c r="P1391" s="65"/>
      <c r="Q1391" s="65"/>
      <c r="R1391" s="65"/>
      <c r="S1391" s="65"/>
      <c r="T1391" s="65"/>
      <c r="U1391" s="65"/>
      <c r="V1391" s="65"/>
      <c r="W1391" s="65"/>
      <c r="X1391" s="65"/>
      <c r="Y1391" s="65"/>
      <c r="Z1391" s="65"/>
      <c r="AA1391" s="65"/>
      <c r="AB1391" s="65"/>
      <c r="AC1391" s="65"/>
    </row>
    <row r="1392">
      <c r="A1392" s="72">
        <v>395.0</v>
      </c>
      <c r="B1392" s="67" t="s">
        <v>3325</v>
      </c>
      <c r="C1392" s="70" t="s">
        <v>56</v>
      </c>
      <c r="D1392" s="70" t="s">
        <v>3326</v>
      </c>
      <c r="E1392" s="70" t="s">
        <v>3327</v>
      </c>
      <c r="F1392" s="70" t="s">
        <v>800</v>
      </c>
      <c r="G1392" s="70" t="s">
        <v>3328</v>
      </c>
      <c r="H1392" s="70" t="s">
        <v>3329</v>
      </c>
      <c r="I1392" s="72">
        <v>43.59</v>
      </c>
      <c r="J1392" s="70" t="s">
        <v>58</v>
      </c>
      <c r="K1392" s="65"/>
      <c r="L1392" s="65"/>
      <c r="M1392" s="65"/>
      <c r="N1392" s="65"/>
      <c r="O1392" s="65"/>
      <c r="P1392" s="65"/>
      <c r="Q1392" s="65"/>
      <c r="R1392" s="65"/>
      <c r="S1392" s="65"/>
      <c r="T1392" s="65"/>
      <c r="U1392" s="65"/>
      <c r="V1392" s="65"/>
      <c r="W1392" s="65"/>
      <c r="X1392" s="65"/>
      <c r="Y1392" s="65"/>
      <c r="Z1392" s="65"/>
      <c r="AA1392" s="65"/>
      <c r="AB1392" s="65"/>
      <c r="AC1392" s="65"/>
    </row>
    <row r="1393">
      <c r="A1393" s="72">
        <v>394.0</v>
      </c>
      <c r="B1393" s="67" t="s">
        <v>3330</v>
      </c>
      <c r="C1393" s="70" t="s">
        <v>56</v>
      </c>
      <c r="D1393" s="70" t="s">
        <v>3191</v>
      </c>
      <c r="E1393" s="70" t="s">
        <v>3331</v>
      </c>
      <c r="F1393" s="70" t="s">
        <v>3332</v>
      </c>
      <c r="G1393" s="70" t="s">
        <v>3333</v>
      </c>
      <c r="H1393" s="70" t="s">
        <v>3334</v>
      </c>
      <c r="I1393" s="72">
        <v>52.8</v>
      </c>
      <c r="J1393" s="70" t="s">
        <v>58</v>
      </c>
      <c r="K1393" s="65"/>
      <c r="L1393" s="65"/>
      <c r="M1393" s="65"/>
      <c r="N1393" s="65"/>
      <c r="O1393" s="65"/>
      <c r="P1393" s="65"/>
      <c r="Q1393" s="65"/>
      <c r="R1393" s="65"/>
      <c r="S1393" s="65"/>
      <c r="T1393" s="65"/>
      <c r="U1393" s="65"/>
      <c r="V1393" s="65"/>
      <c r="W1393" s="65"/>
      <c r="X1393" s="65"/>
      <c r="Y1393" s="65"/>
      <c r="Z1393" s="65"/>
      <c r="AA1393" s="65"/>
      <c r="AB1393" s="65"/>
      <c r="AC1393" s="65"/>
    </row>
    <row r="1394">
      <c r="A1394" s="72">
        <v>393.0</v>
      </c>
      <c r="B1394" s="67" t="s">
        <v>3335</v>
      </c>
      <c r="C1394" s="70" t="s">
        <v>56</v>
      </c>
      <c r="D1394" s="70" t="s">
        <v>182</v>
      </c>
      <c r="E1394" s="70" t="s">
        <v>3336</v>
      </c>
      <c r="F1394" s="70" t="s">
        <v>3337</v>
      </c>
      <c r="G1394" s="70" t="s">
        <v>3338</v>
      </c>
      <c r="H1394" s="70" t="s">
        <v>3339</v>
      </c>
      <c r="I1394" s="72">
        <v>38.07</v>
      </c>
      <c r="J1394" s="70" t="s">
        <v>58</v>
      </c>
      <c r="K1394" s="65"/>
      <c r="L1394" s="65"/>
      <c r="M1394" s="65"/>
      <c r="N1394" s="65"/>
      <c r="O1394" s="65"/>
      <c r="P1394" s="65"/>
      <c r="Q1394" s="65"/>
      <c r="R1394" s="65"/>
      <c r="S1394" s="65"/>
      <c r="T1394" s="65"/>
      <c r="U1394" s="65"/>
      <c r="V1394" s="65"/>
      <c r="W1394" s="65"/>
      <c r="X1394" s="65"/>
      <c r="Y1394" s="65"/>
      <c r="Z1394" s="65"/>
      <c r="AA1394" s="65"/>
      <c r="AB1394" s="65"/>
      <c r="AC1394" s="65"/>
    </row>
    <row r="1395">
      <c r="A1395" s="72">
        <v>392.0</v>
      </c>
      <c r="B1395" s="67" t="s">
        <v>3340</v>
      </c>
      <c r="C1395" s="70" t="s">
        <v>69</v>
      </c>
      <c r="D1395" s="70" t="s">
        <v>3341</v>
      </c>
      <c r="E1395" s="70" t="s">
        <v>3342</v>
      </c>
      <c r="F1395" s="70" t="s">
        <v>3343</v>
      </c>
      <c r="G1395" s="70" t="s">
        <v>3344</v>
      </c>
      <c r="H1395" s="70" t="s">
        <v>3345</v>
      </c>
      <c r="I1395" s="72">
        <v>49.48</v>
      </c>
      <c r="J1395" s="70" t="s">
        <v>58</v>
      </c>
      <c r="K1395" s="65"/>
      <c r="L1395" s="65"/>
      <c r="M1395" s="65"/>
      <c r="N1395" s="65"/>
      <c r="O1395" s="65"/>
      <c r="P1395" s="65"/>
      <c r="Q1395" s="65"/>
      <c r="R1395" s="65"/>
      <c r="S1395" s="65"/>
      <c r="T1395" s="65"/>
      <c r="U1395" s="65"/>
      <c r="V1395" s="65"/>
      <c r="W1395" s="65"/>
      <c r="X1395" s="65"/>
      <c r="Y1395" s="65"/>
      <c r="Z1395" s="65"/>
      <c r="AA1395" s="65"/>
      <c r="AB1395" s="65"/>
      <c r="AC1395" s="65"/>
    </row>
    <row r="1396">
      <c r="A1396" s="72">
        <v>391.0</v>
      </c>
      <c r="B1396" s="67" t="s">
        <v>3346</v>
      </c>
      <c r="C1396" s="70" t="s">
        <v>60</v>
      </c>
      <c r="D1396" s="70" t="s">
        <v>3347</v>
      </c>
      <c r="E1396" s="70" t="s">
        <v>2127</v>
      </c>
      <c r="F1396" s="73"/>
      <c r="G1396" s="70" t="s">
        <v>579</v>
      </c>
      <c r="H1396" s="70" t="s">
        <v>3348</v>
      </c>
      <c r="I1396" s="72">
        <v>31.23</v>
      </c>
      <c r="J1396" s="70" t="s">
        <v>58</v>
      </c>
      <c r="K1396" s="65"/>
      <c r="L1396" s="65"/>
      <c r="M1396" s="65"/>
      <c r="N1396" s="65"/>
      <c r="O1396" s="65"/>
      <c r="P1396" s="65"/>
      <c r="Q1396" s="65"/>
      <c r="R1396" s="65"/>
      <c r="S1396" s="65"/>
      <c r="T1396" s="65"/>
      <c r="U1396" s="65"/>
      <c r="V1396" s="65"/>
      <c r="W1396" s="65"/>
      <c r="X1396" s="65"/>
      <c r="Y1396" s="65"/>
      <c r="Z1396" s="65"/>
      <c r="AA1396" s="65"/>
      <c r="AB1396" s="65"/>
      <c r="AC1396" s="65"/>
    </row>
    <row r="1397">
      <c r="A1397" s="72">
        <v>390.0</v>
      </c>
      <c r="B1397" s="67" t="s">
        <v>3349</v>
      </c>
      <c r="C1397" s="70" t="s">
        <v>56</v>
      </c>
      <c r="D1397" s="73"/>
      <c r="E1397" s="70" t="s">
        <v>3350</v>
      </c>
      <c r="F1397" s="70" t="s">
        <v>3351</v>
      </c>
      <c r="G1397" s="70" t="s">
        <v>3351</v>
      </c>
      <c r="H1397" s="70" t="s">
        <v>3352</v>
      </c>
      <c r="I1397" s="72">
        <v>45.06</v>
      </c>
      <c r="J1397" s="70" t="s">
        <v>58</v>
      </c>
      <c r="K1397" s="65"/>
      <c r="L1397" s="65"/>
      <c r="M1397" s="65"/>
      <c r="N1397" s="65"/>
      <c r="O1397" s="65"/>
      <c r="P1397" s="65"/>
      <c r="Q1397" s="65"/>
      <c r="R1397" s="65"/>
      <c r="S1397" s="65"/>
      <c r="T1397" s="65"/>
      <c r="U1397" s="65"/>
      <c r="V1397" s="65"/>
      <c r="W1397" s="65"/>
      <c r="X1397" s="65"/>
      <c r="Y1397" s="65"/>
      <c r="Z1397" s="65"/>
      <c r="AA1397" s="65"/>
      <c r="AB1397" s="65"/>
      <c r="AC1397" s="65"/>
    </row>
    <row r="1398">
      <c r="A1398" s="72">
        <v>389.0</v>
      </c>
      <c r="B1398" s="67" t="s">
        <v>3353</v>
      </c>
      <c r="C1398" s="70" t="s">
        <v>69</v>
      </c>
      <c r="D1398" s="70" t="s">
        <v>1296</v>
      </c>
      <c r="E1398" s="70" t="s">
        <v>1887</v>
      </c>
      <c r="F1398" s="73"/>
      <c r="G1398" s="70" t="s">
        <v>112</v>
      </c>
      <c r="H1398" s="70" t="s">
        <v>3354</v>
      </c>
      <c r="I1398" s="72">
        <v>57.86</v>
      </c>
      <c r="J1398" s="70" t="s">
        <v>58</v>
      </c>
      <c r="K1398" s="65"/>
      <c r="L1398" s="65"/>
      <c r="M1398" s="65"/>
      <c r="N1398" s="65"/>
      <c r="O1398" s="65"/>
      <c r="P1398" s="65"/>
      <c r="Q1398" s="65"/>
      <c r="R1398" s="65"/>
      <c r="S1398" s="65"/>
      <c r="T1398" s="65"/>
      <c r="U1398" s="65"/>
      <c r="V1398" s="65"/>
      <c r="W1398" s="65"/>
      <c r="X1398" s="65"/>
      <c r="Y1398" s="65"/>
      <c r="Z1398" s="65"/>
      <c r="AA1398" s="65"/>
      <c r="AB1398" s="65"/>
      <c r="AC1398" s="65"/>
    </row>
    <row r="1399">
      <c r="A1399" s="72">
        <v>388.0</v>
      </c>
      <c r="B1399" s="67" t="s">
        <v>3355</v>
      </c>
      <c r="C1399" s="70" t="s">
        <v>56</v>
      </c>
      <c r="D1399" s="73"/>
      <c r="E1399" s="70" t="s">
        <v>3356</v>
      </c>
      <c r="F1399" s="70" t="s">
        <v>1134</v>
      </c>
      <c r="G1399" s="70" t="s">
        <v>3357</v>
      </c>
      <c r="H1399" s="70" t="s">
        <v>3358</v>
      </c>
      <c r="I1399" s="72">
        <v>43.0</v>
      </c>
      <c r="J1399" s="70" t="s">
        <v>58</v>
      </c>
      <c r="K1399" s="65"/>
      <c r="L1399" s="65"/>
      <c r="M1399" s="65"/>
      <c r="N1399" s="65"/>
      <c r="O1399" s="65"/>
      <c r="P1399" s="65"/>
      <c r="Q1399" s="65"/>
      <c r="R1399" s="65"/>
      <c r="S1399" s="65"/>
      <c r="T1399" s="65"/>
      <c r="U1399" s="65"/>
      <c r="V1399" s="65"/>
      <c r="W1399" s="65"/>
      <c r="X1399" s="65"/>
      <c r="Y1399" s="65"/>
      <c r="Z1399" s="65"/>
      <c r="AA1399" s="65"/>
      <c r="AB1399" s="65"/>
      <c r="AC1399" s="65"/>
    </row>
    <row r="1400">
      <c r="A1400" s="72">
        <v>387.0</v>
      </c>
      <c r="B1400" s="67" t="s">
        <v>3359</v>
      </c>
      <c r="C1400" s="70" t="s">
        <v>69</v>
      </c>
      <c r="D1400" s="70" t="s">
        <v>89</v>
      </c>
      <c r="E1400" s="70" t="s">
        <v>3360</v>
      </c>
      <c r="F1400" s="70" t="s">
        <v>3361</v>
      </c>
      <c r="G1400" s="70" t="s">
        <v>3362</v>
      </c>
      <c r="H1400" s="70" t="s">
        <v>3363</v>
      </c>
      <c r="I1400" s="72">
        <v>53.8</v>
      </c>
      <c r="J1400" s="70" t="s">
        <v>58</v>
      </c>
      <c r="K1400" s="65"/>
      <c r="L1400" s="65"/>
      <c r="M1400" s="65"/>
      <c r="N1400" s="65"/>
      <c r="O1400" s="65"/>
      <c r="P1400" s="65"/>
      <c r="Q1400" s="65"/>
      <c r="R1400" s="65"/>
      <c r="S1400" s="65"/>
      <c r="T1400" s="65"/>
      <c r="U1400" s="65"/>
      <c r="V1400" s="65"/>
      <c r="W1400" s="65"/>
      <c r="X1400" s="65"/>
      <c r="Y1400" s="65"/>
      <c r="Z1400" s="65"/>
      <c r="AA1400" s="65"/>
      <c r="AB1400" s="65"/>
      <c r="AC1400" s="65"/>
    </row>
    <row r="1401">
      <c r="A1401" s="72">
        <v>386.0</v>
      </c>
      <c r="B1401" s="67" t="s">
        <v>3364</v>
      </c>
      <c r="C1401" s="70" t="s">
        <v>56</v>
      </c>
      <c r="D1401" s="73"/>
      <c r="E1401" s="70" t="s">
        <v>3365</v>
      </c>
      <c r="F1401" s="70" t="s">
        <v>3366</v>
      </c>
      <c r="G1401" s="70" t="s">
        <v>3366</v>
      </c>
      <c r="H1401" s="70" t="s">
        <v>3367</v>
      </c>
      <c r="I1401" s="72">
        <v>54.34</v>
      </c>
      <c r="J1401" s="70" t="s">
        <v>58</v>
      </c>
      <c r="K1401" s="65"/>
      <c r="L1401" s="65"/>
      <c r="M1401" s="65"/>
      <c r="N1401" s="65"/>
      <c r="O1401" s="65"/>
      <c r="P1401" s="65"/>
      <c r="Q1401" s="65"/>
      <c r="R1401" s="65"/>
      <c r="S1401" s="65"/>
      <c r="T1401" s="65"/>
      <c r="U1401" s="65"/>
      <c r="V1401" s="65"/>
      <c r="W1401" s="65"/>
      <c r="X1401" s="65"/>
      <c r="Y1401" s="65"/>
      <c r="Z1401" s="65"/>
      <c r="AA1401" s="65"/>
      <c r="AB1401" s="65"/>
      <c r="AC1401" s="65"/>
    </row>
    <row r="1402">
      <c r="A1402" s="72">
        <v>385.0</v>
      </c>
      <c r="B1402" s="67" t="s">
        <v>3368</v>
      </c>
      <c r="C1402" s="70" t="s">
        <v>56</v>
      </c>
      <c r="D1402" s="70" t="s">
        <v>531</v>
      </c>
      <c r="E1402" s="70" t="s">
        <v>510</v>
      </c>
      <c r="F1402" s="73"/>
      <c r="G1402" s="73"/>
      <c r="H1402" s="70" t="s">
        <v>511</v>
      </c>
      <c r="I1402" s="72">
        <v>34.53</v>
      </c>
      <c r="J1402" s="70" t="s">
        <v>58</v>
      </c>
      <c r="K1402" s="65"/>
      <c r="L1402" s="65"/>
      <c r="M1402" s="65"/>
      <c r="N1402" s="65"/>
      <c r="O1402" s="65"/>
      <c r="P1402" s="65"/>
      <c r="Q1402" s="65"/>
      <c r="R1402" s="65"/>
      <c r="S1402" s="65"/>
      <c r="T1402" s="65"/>
      <c r="U1402" s="65"/>
      <c r="V1402" s="65"/>
      <c r="W1402" s="65"/>
      <c r="X1402" s="65"/>
      <c r="Y1402" s="65"/>
      <c r="Z1402" s="65"/>
      <c r="AA1402" s="65"/>
      <c r="AB1402" s="65"/>
      <c r="AC1402" s="65"/>
    </row>
    <row r="1403">
      <c r="A1403" s="72">
        <v>384.0</v>
      </c>
      <c r="B1403" s="67" t="s">
        <v>3369</v>
      </c>
      <c r="C1403" s="70" t="s">
        <v>56</v>
      </c>
      <c r="D1403" s="73"/>
      <c r="E1403" s="70" t="s">
        <v>3370</v>
      </c>
      <c r="F1403" s="70" t="s">
        <v>3371</v>
      </c>
      <c r="G1403" s="70" t="s">
        <v>3372</v>
      </c>
      <c r="H1403" s="70" t="s">
        <v>3373</v>
      </c>
      <c r="I1403" s="72">
        <v>54.07</v>
      </c>
      <c r="J1403" s="70" t="s">
        <v>58</v>
      </c>
      <c r="K1403" s="65"/>
      <c r="L1403" s="65"/>
      <c r="M1403" s="65"/>
      <c r="N1403" s="65"/>
      <c r="O1403" s="65"/>
      <c r="P1403" s="65"/>
      <c r="Q1403" s="65"/>
      <c r="R1403" s="65"/>
      <c r="S1403" s="65"/>
      <c r="T1403" s="65"/>
      <c r="U1403" s="65"/>
      <c r="V1403" s="65"/>
      <c r="W1403" s="65"/>
      <c r="X1403" s="65"/>
      <c r="Y1403" s="65"/>
      <c r="Z1403" s="65"/>
      <c r="AA1403" s="65"/>
      <c r="AB1403" s="65"/>
      <c r="AC1403" s="65"/>
    </row>
    <row r="1404">
      <c r="A1404" s="72">
        <v>383.0</v>
      </c>
      <c r="B1404" s="67" t="s">
        <v>3374</v>
      </c>
      <c r="C1404" s="70" t="s">
        <v>69</v>
      </c>
      <c r="D1404" s="70" t="s">
        <v>70</v>
      </c>
      <c r="E1404" s="70" t="s">
        <v>3375</v>
      </c>
      <c r="F1404" s="70" t="s">
        <v>3376</v>
      </c>
      <c r="G1404" s="70" t="s">
        <v>3377</v>
      </c>
      <c r="H1404" s="70" t="s">
        <v>3378</v>
      </c>
      <c r="I1404" s="72">
        <v>53.35</v>
      </c>
      <c r="J1404" s="70" t="s">
        <v>58</v>
      </c>
      <c r="K1404" s="65"/>
      <c r="L1404" s="65"/>
      <c r="M1404" s="65"/>
      <c r="N1404" s="65"/>
      <c r="O1404" s="65"/>
      <c r="P1404" s="65"/>
      <c r="Q1404" s="65"/>
      <c r="R1404" s="65"/>
      <c r="S1404" s="65"/>
      <c r="T1404" s="65"/>
      <c r="U1404" s="65"/>
      <c r="V1404" s="65"/>
      <c r="W1404" s="65"/>
      <c r="X1404" s="65"/>
      <c r="Y1404" s="65"/>
      <c r="Z1404" s="65"/>
      <c r="AA1404" s="65"/>
      <c r="AB1404" s="65"/>
      <c r="AC1404" s="65"/>
    </row>
    <row r="1405">
      <c r="A1405" s="72">
        <v>382.0</v>
      </c>
      <c r="B1405" s="67" t="s">
        <v>3379</v>
      </c>
      <c r="C1405" s="70" t="s">
        <v>56</v>
      </c>
      <c r="D1405" s="70" t="s">
        <v>3320</v>
      </c>
      <c r="E1405" s="70" t="s">
        <v>3380</v>
      </c>
      <c r="F1405" s="73"/>
      <c r="G1405" s="70" t="s">
        <v>64</v>
      </c>
      <c r="H1405" s="70" t="s">
        <v>937</v>
      </c>
      <c r="I1405" s="72">
        <v>54.2</v>
      </c>
      <c r="J1405" s="70" t="s">
        <v>58</v>
      </c>
      <c r="K1405" s="65"/>
      <c r="L1405" s="65"/>
      <c r="M1405" s="65"/>
      <c r="N1405" s="65"/>
      <c r="O1405" s="65"/>
      <c r="P1405" s="65"/>
      <c r="Q1405" s="65"/>
      <c r="R1405" s="65"/>
      <c r="S1405" s="65"/>
      <c r="T1405" s="65"/>
      <c r="U1405" s="65"/>
      <c r="V1405" s="65"/>
      <c r="W1405" s="65"/>
      <c r="X1405" s="65"/>
      <c r="Y1405" s="65"/>
      <c r="Z1405" s="65"/>
      <c r="AA1405" s="65"/>
      <c r="AB1405" s="65"/>
      <c r="AC1405" s="65"/>
    </row>
    <row r="1406">
      <c r="A1406" s="72">
        <v>381.0</v>
      </c>
      <c r="B1406" s="67" t="s">
        <v>3381</v>
      </c>
      <c r="C1406" s="70" t="s">
        <v>60</v>
      </c>
      <c r="D1406" s="70" t="s">
        <v>3382</v>
      </c>
      <c r="E1406" s="70" t="s">
        <v>3383</v>
      </c>
      <c r="F1406" s="70" t="s">
        <v>3384</v>
      </c>
      <c r="G1406" s="70" t="s">
        <v>3385</v>
      </c>
      <c r="H1406" s="70" t="s">
        <v>3386</v>
      </c>
      <c r="I1406" s="72">
        <v>34.92</v>
      </c>
      <c r="J1406" s="70" t="s">
        <v>58</v>
      </c>
      <c r="K1406" s="65"/>
      <c r="L1406" s="65"/>
      <c r="M1406" s="65"/>
      <c r="N1406" s="65"/>
      <c r="O1406" s="65"/>
      <c r="P1406" s="65"/>
      <c r="Q1406" s="65"/>
      <c r="R1406" s="65"/>
      <c r="S1406" s="65"/>
      <c r="T1406" s="65"/>
      <c r="U1406" s="65"/>
      <c r="V1406" s="65"/>
      <c r="W1406" s="65"/>
      <c r="X1406" s="65"/>
      <c r="Y1406" s="65"/>
      <c r="Z1406" s="65"/>
      <c r="AA1406" s="65"/>
      <c r="AB1406" s="65"/>
      <c r="AC1406" s="65"/>
    </row>
    <row r="1407">
      <c r="A1407" s="72">
        <v>380.0</v>
      </c>
      <c r="B1407" s="67" t="s">
        <v>3387</v>
      </c>
      <c r="C1407" s="70" t="s">
        <v>56</v>
      </c>
      <c r="D1407" s="70" t="s">
        <v>3382</v>
      </c>
      <c r="E1407" s="70" t="s">
        <v>3388</v>
      </c>
      <c r="F1407" s="70" t="s">
        <v>3389</v>
      </c>
      <c r="G1407" s="70" t="s">
        <v>3390</v>
      </c>
      <c r="H1407" s="70" t="s">
        <v>3391</v>
      </c>
      <c r="I1407" s="72">
        <v>48.95</v>
      </c>
      <c r="J1407" s="70" t="s">
        <v>58</v>
      </c>
      <c r="K1407" s="65"/>
      <c r="L1407" s="65"/>
      <c r="M1407" s="65"/>
      <c r="N1407" s="65"/>
      <c r="O1407" s="65"/>
      <c r="P1407" s="65"/>
      <c r="Q1407" s="65"/>
      <c r="R1407" s="65"/>
      <c r="S1407" s="65"/>
      <c r="T1407" s="65"/>
      <c r="U1407" s="65"/>
      <c r="V1407" s="65"/>
      <c r="W1407" s="65"/>
      <c r="X1407" s="65"/>
      <c r="Y1407" s="65"/>
      <c r="Z1407" s="65"/>
      <c r="AA1407" s="65"/>
      <c r="AB1407" s="65"/>
      <c r="AC1407" s="65"/>
    </row>
    <row r="1408">
      <c r="A1408" s="72">
        <v>379.0</v>
      </c>
      <c r="B1408" s="67" t="s">
        <v>3392</v>
      </c>
      <c r="C1408" s="70" t="s">
        <v>56</v>
      </c>
      <c r="D1408" s="70" t="s">
        <v>2473</v>
      </c>
      <c r="E1408" s="70" t="s">
        <v>3393</v>
      </c>
      <c r="F1408" s="70" t="s">
        <v>28</v>
      </c>
      <c r="G1408" s="70" t="s">
        <v>3394</v>
      </c>
      <c r="H1408" s="70" t="s">
        <v>3395</v>
      </c>
      <c r="I1408" s="72">
        <v>48.35</v>
      </c>
      <c r="J1408" s="70" t="s">
        <v>58</v>
      </c>
      <c r="K1408" s="65"/>
      <c r="L1408" s="65"/>
      <c r="M1408" s="65"/>
      <c r="N1408" s="65"/>
      <c r="O1408" s="65"/>
      <c r="P1408" s="65"/>
      <c r="Q1408" s="65"/>
      <c r="R1408" s="65"/>
      <c r="S1408" s="65"/>
      <c r="T1408" s="65"/>
      <c r="U1408" s="65"/>
      <c r="V1408" s="65"/>
      <c r="W1408" s="65"/>
      <c r="X1408" s="65"/>
      <c r="Y1408" s="65"/>
      <c r="Z1408" s="65"/>
      <c r="AA1408" s="65"/>
      <c r="AB1408" s="65"/>
      <c r="AC1408" s="65"/>
    </row>
    <row r="1409">
      <c r="A1409" s="72">
        <v>378.0</v>
      </c>
      <c r="B1409" s="67" t="s">
        <v>3396</v>
      </c>
      <c r="C1409" s="70" t="s">
        <v>56</v>
      </c>
      <c r="D1409" s="70" t="s">
        <v>127</v>
      </c>
      <c r="E1409" s="70" t="s">
        <v>3397</v>
      </c>
      <c r="F1409" s="70" t="s">
        <v>936</v>
      </c>
      <c r="G1409" s="70" t="s">
        <v>2112</v>
      </c>
      <c r="H1409" s="70" t="s">
        <v>3398</v>
      </c>
      <c r="I1409" s="72">
        <v>56.29</v>
      </c>
      <c r="J1409" s="70" t="s">
        <v>58</v>
      </c>
      <c r="K1409" s="65"/>
      <c r="L1409" s="65"/>
      <c r="M1409" s="65"/>
      <c r="N1409" s="65"/>
      <c r="O1409" s="65"/>
      <c r="P1409" s="65"/>
      <c r="Q1409" s="65"/>
      <c r="R1409" s="65"/>
      <c r="S1409" s="65"/>
      <c r="T1409" s="65"/>
      <c r="U1409" s="65"/>
      <c r="V1409" s="65"/>
      <c r="W1409" s="65"/>
      <c r="X1409" s="65"/>
      <c r="Y1409" s="65"/>
      <c r="Z1409" s="65"/>
      <c r="AA1409" s="65"/>
      <c r="AB1409" s="65"/>
      <c r="AC1409" s="65"/>
    </row>
    <row r="1410">
      <c r="A1410" s="72">
        <v>377.0</v>
      </c>
      <c r="B1410" s="67" t="s">
        <v>3399</v>
      </c>
      <c r="C1410" s="70" t="s">
        <v>56</v>
      </c>
      <c r="D1410" s="70" t="s">
        <v>76</v>
      </c>
      <c r="E1410" s="70" t="s">
        <v>3400</v>
      </c>
      <c r="F1410" s="70" t="s">
        <v>3401</v>
      </c>
      <c r="G1410" s="70" t="s">
        <v>3401</v>
      </c>
      <c r="H1410" s="70" t="s">
        <v>3402</v>
      </c>
      <c r="I1410" s="72">
        <v>46.13</v>
      </c>
      <c r="J1410" s="70" t="s">
        <v>58</v>
      </c>
      <c r="K1410" s="65"/>
      <c r="L1410" s="65"/>
      <c r="M1410" s="65"/>
      <c r="N1410" s="65"/>
      <c r="O1410" s="65"/>
      <c r="P1410" s="65"/>
      <c r="Q1410" s="65"/>
      <c r="R1410" s="65"/>
      <c r="S1410" s="65"/>
      <c r="T1410" s="65"/>
      <c r="U1410" s="65"/>
      <c r="V1410" s="65"/>
      <c r="W1410" s="65"/>
      <c r="X1410" s="65"/>
      <c r="Y1410" s="65"/>
      <c r="Z1410" s="65"/>
      <c r="AA1410" s="65"/>
      <c r="AB1410" s="65"/>
      <c r="AC1410" s="65"/>
    </row>
    <row r="1411">
      <c r="A1411" s="72">
        <v>376.0</v>
      </c>
      <c r="B1411" s="67" t="s">
        <v>3403</v>
      </c>
      <c r="C1411" s="70" t="s">
        <v>56</v>
      </c>
      <c r="D1411" s="70" t="s">
        <v>313</v>
      </c>
      <c r="E1411" s="70" t="s">
        <v>3404</v>
      </c>
      <c r="F1411" s="73"/>
      <c r="G1411" s="70" t="s">
        <v>67</v>
      </c>
      <c r="H1411" s="70" t="s">
        <v>3405</v>
      </c>
      <c r="I1411" s="72">
        <v>42.11</v>
      </c>
      <c r="J1411" s="70" t="s">
        <v>58</v>
      </c>
      <c r="K1411" s="65"/>
      <c r="L1411" s="65"/>
      <c r="M1411" s="65"/>
      <c r="N1411" s="65"/>
      <c r="O1411" s="65"/>
      <c r="P1411" s="65"/>
      <c r="Q1411" s="65"/>
      <c r="R1411" s="65"/>
      <c r="S1411" s="65"/>
      <c r="T1411" s="65"/>
      <c r="U1411" s="65"/>
      <c r="V1411" s="65"/>
      <c r="W1411" s="65"/>
      <c r="X1411" s="65"/>
      <c r="Y1411" s="65"/>
      <c r="Z1411" s="65"/>
      <c r="AA1411" s="65"/>
      <c r="AB1411" s="65"/>
      <c r="AC1411" s="65"/>
    </row>
    <row r="1412">
      <c r="A1412" s="72">
        <v>375.0</v>
      </c>
      <c r="B1412" s="67" t="s">
        <v>3406</v>
      </c>
      <c r="C1412" s="70" t="s">
        <v>56</v>
      </c>
      <c r="D1412" s="70" t="s">
        <v>3057</v>
      </c>
      <c r="E1412" s="70" t="s">
        <v>297</v>
      </c>
      <c r="F1412" s="73"/>
      <c r="G1412" s="70" t="s">
        <v>28</v>
      </c>
      <c r="H1412" s="70" t="s">
        <v>28</v>
      </c>
      <c r="I1412" s="72">
        <v>42.28</v>
      </c>
      <c r="J1412" s="70" t="s">
        <v>58</v>
      </c>
      <c r="K1412" s="65"/>
      <c r="L1412" s="65"/>
      <c r="M1412" s="65"/>
      <c r="N1412" s="65"/>
      <c r="O1412" s="65"/>
      <c r="P1412" s="65"/>
      <c r="Q1412" s="65"/>
      <c r="R1412" s="65"/>
      <c r="S1412" s="65"/>
      <c r="T1412" s="65"/>
      <c r="U1412" s="65"/>
      <c r="V1412" s="65"/>
      <c r="W1412" s="65"/>
      <c r="X1412" s="65"/>
      <c r="Y1412" s="65"/>
      <c r="Z1412" s="65"/>
      <c r="AA1412" s="65"/>
      <c r="AB1412" s="65"/>
      <c r="AC1412" s="65"/>
    </row>
    <row r="1413">
      <c r="A1413" s="72">
        <v>374.0</v>
      </c>
      <c r="B1413" s="67" t="s">
        <v>3407</v>
      </c>
      <c r="C1413" s="70" t="s">
        <v>69</v>
      </c>
      <c r="D1413" s="70" t="s">
        <v>502</v>
      </c>
      <c r="E1413" s="70" t="s">
        <v>1927</v>
      </c>
      <c r="F1413" s="73"/>
      <c r="G1413" s="70" t="s">
        <v>579</v>
      </c>
      <c r="H1413" s="70" t="s">
        <v>2137</v>
      </c>
      <c r="I1413" s="72">
        <v>44.78</v>
      </c>
      <c r="J1413" s="70" t="s">
        <v>58</v>
      </c>
      <c r="K1413" s="65"/>
      <c r="L1413" s="65"/>
      <c r="M1413" s="65"/>
      <c r="N1413" s="65"/>
      <c r="O1413" s="65"/>
      <c r="P1413" s="65"/>
      <c r="Q1413" s="65"/>
      <c r="R1413" s="65"/>
      <c r="S1413" s="65"/>
      <c r="T1413" s="65"/>
      <c r="U1413" s="65"/>
      <c r="V1413" s="65"/>
      <c r="W1413" s="65"/>
      <c r="X1413" s="65"/>
      <c r="Y1413" s="65"/>
      <c r="Z1413" s="65"/>
      <c r="AA1413" s="65"/>
      <c r="AB1413" s="65"/>
      <c r="AC1413" s="65"/>
    </row>
    <row r="1414">
      <c r="A1414" s="72">
        <v>373.0</v>
      </c>
      <c r="B1414" s="67" t="s">
        <v>3408</v>
      </c>
      <c r="C1414" s="70" t="s">
        <v>56</v>
      </c>
      <c r="D1414" s="70" t="s">
        <v>63</v>
      </c>
      <c r="E1414" s="70" t="s">
        <v>3409</v>
      </c>
      <c r="F1414" s="70" t="s">
        <v>3410</v>
      </c>
      <c r="G1414" s="70" t="s">
        <v>3411</v>
      </c>
      <c r="H1414" s="70" t="s">
        <v>3412</v>
      </c>
      <c r="I1414" s="72">
        <v>37.81</v>
      </c>
      <c r="J1414" s="70" t="s">
        <v>58</v>
      </c>
      <c r="K1414" s="65"/>
      <c r="L1414" s="65"/>
      <c r="M1414" s="65"/>
      <c r="N1414" s="65"/>
      <c r="O1414" s="65"/>
      <c r="P1414" s="65"/>
      <c r="Q1414" s="65"/>
      <c r="R1414" s="65"/>
      <c r="S1414" s="65"/>
      <c r="T1414" s="65"/>
      <c r="U1414" s="65"/>
      <c r="V1414" s="65"/>
      <c r="W1414" s="65"/>
      <c r="X1414" s="65"/>
      <c r="Y1414" s="65"/>
      <c r="Z1414" s="65"/>
      <c r="AA1414" s="65"/>
      <c r="AB1414" s="65"/>
      <c r="AC1414" s="65"/>
    </row>
    <row r="1415">
      <c r="A1415" s="72">
        <v>372.0</v>
      </c>
      <c r="B1415" s="67" t="s">
        <v>3413</v>
      </c>
      <c r="C1415" s="70" t="s">
        <v>56</v>
      </c>
      <c r="D1415" s="70" t="s">
        <v>99</v>
      </c>
      <c r="E1415" s="73"/>
      <c r="F1415" s="73"/>
      <c r="G1415" s="73"/>
      <c r="H1415" s="73"/>
      <c r="I1415" s="72">
        <v>36.74</v>
      </c>
      <c r="J1415" s="70" t="s">
        <v>58</v>
      </c>
      <c r="K1415" s="65"/>
      <c r="L1415" s="65"/>
      <c r="M1415" s="65"/>
      <c r="N1415" s="65"/>
      <c r="O1415" s="65"/>
      <c r="P1415" s="65"/>
      <c r="Q1415" s="65"/>
      <c r="R1415" s="65"/>
      <c r="S1415" s="65"/>
      <c r="T1415" s="65"/>
      <c r="U1415" s="65"/>
      <c r="V1415" s="65"/>
      <c r="W1415" s="65"/>
      <c r="X1415" s="65"/>
      <c r="Y1415" s="65"/>
      <c r="Z1415" s="65"/>
      <c r="AA1415" s="65"/>
      <c r="AB1415" s="65"/>
      <c r="AC1415" s="65"/>
    </row>
    <row r="1416">
      <c r="A1416" s="72">
        <v>371.0</v>
      </c>
      <c r="B1416" s="67" t="s">
        <v>3414</v>
      </c>
      <c r="C1416" s="70" t="s">
        <v>56</v>
      </c>
      <c r="D1416" s="70" t="s">
        <v>182</v>
      </c>
      <c r="E1416" s="70" t="s">
        <v>3415</v>
      </c>
      <c r="F1416" s="70" t="s">
        <v>71</v>
      </c>
      <c r="G1416" s="70" t="s">
        <v>3416</v>
      </c>
      <c r="H1416" s="70" t="s">
        <v>3417</v>
      </c>
      <c r="I1416" s="72">
        <v>50.6</v>
      </c>
      <c r="J1416" s="70" t="s">
        <v>58</v>
      </c>
      <c r="K1416" s="65"/>
      <c r="L1416" s="65"/>
      <c r="M1416" s="65"/>
      <c r="N1416" s="65"/>
      <c r="O1416" s="65"/>
      <c r="P1416" s="65"/>
      <c r="Q1416" s="65"/>
      <c r="R1416" s="65"/>
      <c r="S1416" s="65"/>
      <c r="T1416" s="65"/>
      <c r="U1416" s="65"/>
      <c r="V1416" s="65"/>
      <c r="W1416" s="65"/>
      <c r="X1416" s="65"/>
      <c r="Y1416" s="65"/>
      <c r="Z1416" s="65"/>
      <c r="AA1416" s="65"/>
      <c r="AB1416" s="65"/>
      <c r="AC1416" s="65"/>
    </row>
    <row r="1417">
      <c r="A1417" s="72">
        <v>370.0</v>
      </c>
      <c r="B1417" s="67" t="s">
        <v>3418</v>
      </c>
      <c r="C1417" s="70" t="s">
        <v>56</v>
      </c>
      <c r="D1417" s="70" t="s">
        <v>93</v>
      </c>
      <c r="E1417" s="70" t="s">
        <v>28</v>
      </c>
      <c r="F1417" s="73"/>
      <c r="G1417" s="73"/>
      <c r="H1417" s="70" t="s">
        <v>28</v>
      </c>
      <c r="I1417" s="72">
        <v>63.64</v>
      </c>
      <c r="J1417" s="70" t="s">
        <v>58</v>
      </c>
      <c r="K1417" s="65"/>
      <c r="L1417" s="65"/>
      <c r="M1417" s="65"/>
      <c r="N1417" s="65"/>
      <c r="O1417" s="65"/>
      <c r="P1417" s="65"/>
      <c r="Q1417" s="65"/>
      <c r="R1417" s="65"/>
      <c r="S1417" s="65"/>
      <c r="T1417" s="65"/>
      <c r="U1417" s="65"/>
      <c r="V1417" s="65"/>
      <c r="W1417" s="65"/>
      <c r="X1417" s="65"/>
      <c r="Y1417" s="65"/>
      <c r="Z1417" s="65"/>
      <c r="AA1417" s="65"/>
      <c r="AB1417" s="65"/>
      <c r="AC1417" s="65"/>
    </row>
    <row r="1418">
      <c r="A1418" s="72">
        <v>369.0</v>
      </c>
      <c r="B1418" s="67" t="s">
        <v>3419</v>
      </c>
      <c r="C1418" s="70" t="s">
        <v>56</v>
      </c>
      <c r="D1418" s="70" t="s">
        <v>3420</v>
      </c>
      <c r="E1418" s="70" t="s">
        <v>980</v>
      </c>
      <c r="F1418" s="73"/>
      <c r="G1418" s="73"/>
      <c r="H1418" s="70" t="s">
        <v>112</v>
      </c>
      <c r="I1418" s="72">
        <v>59.58</v>
      </c>
      <c r="J1418" s="70" t="s">
        <v>58</v>
      </c>
      <c r="K1418" s="65"/>
      <c r="L1418" s="65"/>
      <c r="M1418" s="65"/>
      <c r="N1418" s="65"/>
      <c r="O1418" s="65"/>
      <c r="P1418" s="65"/>
      <c r="Q1418" s="65"/>
      <c r="R1418" s="65"/>
      <c r="S1418" s="65"/>
      <c r="T1418" s="65"/>
      <c r="U1418" s="65"/>
      <c r="V1418" s="65"/>
      <c r="W1418" s="65"/>
      <c r="X1418" s="65"/>
      <c r="Y1418" s="65"/>
      <c r="Z1418" s="65"/>
      <c r="AA1418" s="65"/>
      <c r="AB1418" s="65"/>
      <c r="AC1418" s="65"/>
    </row>
    <row r="1419">
      <c r="A1419" s="72">
        <v>368.0</v>
      </c>
      <c r="B1419" s="67" t="s">
        <v>3421</v>
      </c>
      <c r="C1419" s="70" t="s">
        <v>56</v>
      </c>
      <c r="D1419" s="70" t="s">
        <v>652</v>
      </c>
      <c r="E1419" s="70" t="s">
        <v>1830</v>
      </c>
      <c r="F1419" s="70" t="s">
        <v>64</v>
      </c>
      <c r="G1419" s="70" t="s">
        <v>1016</v>
      </c>
      <c r="H1419" s="70" t="s">
        <v>1831</v>
      </c>
      <c r="I1419" s="72">
        <v>38.36</v>
      </c>
      <c r="J1419" s="70" t="s">
        <v>58</v>
      </c>
      <c r="K1419" s="65"/>
      <c r="L1419" s="65"/>
      <c r="M1419" s="65"/>
      <c r="N1419" s="65"/>
      <c r="O1419" s="65"/>
      <c r="P1419" s="65"/>
      <c r="Q1419" s="65"/>
      <c r="R1419" s="65"/>
      <c r="S1419" s="65"/>
      <c r="T1419" s="65"/>
      <c r="U1419" s="65"/>
      <c r="V1419" s="65"/>
      <c r="W1419" s="65"/>
      <c r="X1419" s="65"/>
      <c r="Y1419" s="65"/>
      <c r="Z1419" s="65"/>
      <c r="AA1419" s="65"/>
      <c r="AB1419" s="65"/>
      <c r="AC1419" s="65"/>
    </row>
    <row r="1420">
      <c r="A1420" s="72">
        <v>367.0</v>
      </c>
      <c r="B1420" s="67" t="s">
        <v>3422</v>
      </c>
      <c r="C1420" s="70" t="s">
        <v>69</v>
      </c>
      <c r="D1420" s="70" t="s">
        <v>175</v>
      </c>
      <c r="E1420" s="70" t="s">
        <v>3423</v>
      </c>
      <c r="F1420" s="70" t="s">
        <v>3424</v>
      </c>
      <c r="G1420" s="70" t="s">
        <v>3425</v>
      </c>
      <c r="H1420" s="70" t="s">
        <v>3426</v>
      </c>
      <c r="I1420" s="72">
        <v>42.05</v>
      </c>
      <c r="J1420" s="70" t="s">
        <v>58</v>
      </c>
      <c r="K1420" s="65"/>
      <c r="L1420" s="65"/>
      <c r="M1420" s="65"/>
      <c r="N1420" s="65"/>
      <c r="O1420" s="65"/>
      <c r="P1420" s="65"/>
      <c r="Q1420" s="65"/>
      <c r="R1420" s="65"/>
      <c r="S1420" s="65"/>
      <c r="T1420" s="65"/>
      <c r="U1420" s="65"/>
      <c r="V1420" s="65"/>
      <c r="W1420" s="65"/>
      <c r="X1420" s="65"/>
      <c r="Y1420" s="65"/>
      <c r="Z1420" s="65"/>
      <c r="AA1420" s="65"/>
      <c r="AB1420" s="65"/>
      <c r="AC1420" s="65"/>
    </row>
    <row r="1421">
      <c r="A1421" s="72">
        <v>366.0</v>
      </c>
      <c r="B1421" s="67" t="s">
        <v>3427</v>
      </c>
      <c r="C1421" s="70" t="s">
        <v>56</v>
      </c>
      <c r="D1421" s="70" t="s">
        <v>289</v>
      </c>
      <c r="E1421" s="70" t="s">
        <v>3428</v>
      </c>
      <c r="F1421" s="70" t="s">
        <v>462</v>
      </c>
      <c r="G1421" s="70" t="s">
        <v>3429</v>
      </c>
      <c r="H1421" s="70" t="s">
        <v>3430</v>
      </c>
      <c r="I1421" s="72">
        <v>71.95</v>
      </c>
      <c r="J1421" s="70" t="s">
        <v>58</v>
      </c>
      <c r="K1421" s="65"/>
      <c r="L1421" s="65"/>
      <c r="M1421" s="65"/>
      <c r="N1421" s="65"/>
      <c r="O1421" s="65"/>
      <c r="P1421" s="65"/>
      <c r="Q1421" s="65"/>
      <c r="R1421" s="65"/>
      <c r="S1421" s="65"/>
      <c r="T1421" s="65"/>
      <c r="U1421" s="65"/>
      <c r="V1421" s="65"/>
      <c r="W1421" s="65"/>
      <c r="X1421" s="65"/>
      <c r="Y1421" s="65"/>
      <c r="Z1421" s="65"/>
      <c r="AA1421" s="65"/>
      <c r="AB1421" s="65"/>
      <c r="AC1421" s="65"/>
    </row>
    <row r="1422">
      <c r="A1422" s="72">
        <v>365.0</v>
      </c>
      <c r="B1422" s="67" t="s">
        <v>3431</v>
      </c>
      <c r="C1422" s="70" t="s">
        <v>56</v>
      </c>
      <c r="D1422" s="70" t="s">
        <v>99</v>
      </c>
      <c r="E1422" s="70" t="s">
        <v>3432</v>
      </c>
      <c r="F1422" s="70" t="s">
        <v>3433</v>
      </c>
      <c r="G1422" s="70" t="s">
        <v>3433</v>
      </c>
      <c r="H1422" s="70" t="s">
        <v>3434</v>
      </c>
      <c r="I1422" s="72">
        <v>31.16</v>
      </c>
      <c r="J1422" s="70" t="s">
        <v>58</v>
      </c>
      <c r="K1422" s="65"/>
      <c r="L1422" s="65"/>
      <c r="M1422" s="65"/>
      <c r="N1422" s="65"/>
      <c r="O1422" s="65"/>
      <c r="P1422" s="65"/>
      <c r="Q1422" s="65"/>
      <c r="R1422" s="65"/>
      <c r="S1422" s="65"/>
      <c r="T1422" s="65"/>
      <c r="U1422" s="65"/>
      <c r="V1422" s="65"/>
      <c r="W1422" s="65"/>
      <c r="X1422" s="65"/>
      <c r="Y1422" s="65"/>
      <c r="Z1422" s="65"/>
      <c r="AA1422" s="65"/>
      <c r="AB1422" s="65"/>
      <c r="AC1422" s="65"/>
    </row>
    <row r="1423">
      <c r="A1423" s="72">
        <v>364.0</v>
      </c>
      <c r="B1423" s="67" t="s">
        <v>3435</v>
      </c>
      <c r="C1423" s="70" t="s">
        <v>56</v>
      </c>
      <c r="D1423" s="70" t="s">
        <v>506</v>
      </c>
      <c r="E1423" s="70" t="s">
        <v>3436</v>
      </c>
      <c r="F1423" s="70" t="s">
        <v>462</v>
      </c>
      <c r="G1423" s="70" t="s">
        <v>3437</v>
      </c>
      <c r="H1423" s="70" t="s">
        <v>3438</v>
      </c>
      <c r="I1423" s="72">
        <v>63.79</v>
      </c>
      <c r="J1423" s="70" t="s">
        <v>58</v>
      </c>
      <c r="K1423" s="65"/>
      <c r="L1423" s="65"/>
      <c r="M1423" s="65"/>
      <c r="N1423" s="65"/>
      <c r="O1423" s="65"/>
      <c r="P1423" s="65"/>
      <c r="Q1423" s="65"/>
      <c r="R1423" s="65"/>
      <c r="S1423" s="65"/>
      <c r="T1423" s="65"/>
      <c r="U1423" s="65"/>
      <c r="V1423" s="65"/>
      <c r="W1423" s="65"/>
      <c r="X1423" s="65"/>
      <c r="Y1423" s="65"/>
      <c r="Z1423" s="65"/>
      <c r="AA1423" s="65"/>
      <c r="AB1423" s="65"/>
      <c r="AC1423" s="65"/>
    </row>
    <row r="1424">
      <c r="A1424" s="72">
        <v>363.0</v>
      </c>
      <c r="B1424" s="67" t="s">
        <v>3439</v>
      </c>
      <c r="C1424" s="70" t="s">
        <v>60</v>
      </c>
      <c r="D1424" s="70" t="s">
        <v>3440</v>
      </c>
      <c r="E1424" s="70" t="s">
        <v>3441</v>
      </c>
      <c r="F1424" s="70" t="s">
        <v>519</v>
      </c>
      <c r="G1424" s="70" t="s">
        <v>1037</v>
      </c>
      <c r="H1424" s="70" t="s">
        <v>3442</v>
      </c>
      <c r="I1424" s="72">
        <v>38.45</v>
      </c>
      <c r="J1424" s="70" t="s">
        <v>58</v>
      </c>
      <c r="K1424" s="65"/>
      <c r="L1424" s="65"/>
      <c r="M1424" s="65"/>
      <c r="N1424" s="65"/>
      <c r="O1424" s="65"/>
      <c r="P1424" s="65"/>
      <c r="Q1424" s="65"/>
      <c r="R1424" s="65"/>
      <c r="S1424" s="65"/>
      <c r="T1424" s="65"/>
      <c r="U1424" s="65"/>
      <c r="V1424" s="65"/>
      <c r="W1424" s="65"/>
      <c r="X1424" s="65"/>
      <c r="Y1424" s="65"/>
      <c r="Z1424" s="65"/>
      <c r="AA1424" s="65"/>
      <c r="AB1424" s="65"/>
      <c r="AC1424" s="65"/>
    </row>
    <row r="1425">
      <c r="A1425" s="72">
        <v>362.0</v>
      </c>
      <c r="B1425" s="67" t="s">
        <v>3443</v>
      </c>
      <c r="C1425" s="70" t="s">
        <v>56</v>
      </c>
      <c r="D1425" s="70" t="s">
        <v>440</v>
      </c>
      <c r="E1425" s="70" t="s">
        <v>3444</v>
      </c>
      <c r="F1425" s="70" t="s">
        <v>3445</v>
      </c>
      <c r="G1425" s="70" t="s">
        <v>3446</v>
      </c>
      <c r="H1425" s="70" t="s">
        <v>3447</v>
      </c>
      <c r="I1425" s="72">
        <v>65.38</v>
      </c>
      <c r="J1425" s="70" t="s">
        <v>58</v>
      </c>
      <c r="K1425" s="65"/>
      <c r="L1425" s="65"/>
      <c r="M1425" s="65"/>
      <c r="N1425" s="65"/>
      <c r="O1425" s="65"/>
      <c r="P1425" s="65"/>
      <c r="Q1425" s="65"/>
      <c r="R1425" s="65"/>
      <c r="S1425" s="65"/>
      <c r="T1425" s="65"/>
      <c r="U1425" s="65"/>
      <c r="V1425" s="65"/>
      <c r="W1425" s="65"/>
      <c r="X1425" s="65"/>
      <c r="Y1425" s="65"/>
      <c r="Z1425" s="65"/>
      <c r="AA1425" s="65"/>
      <c r="AB1425" s="65"/>
      <c r="AC1425" s="65"/>
    </row>
    <row r="1426">
      <c r="A1426" s="72">
        <v>361.0</v>
      </c>
      <c r="B1426" s="67" t="s">
        <v>3448</v>
      </c>
      <c r="C1426" s="70" t="s">
        <v>56</v>
      </c>
      <c r="D1426" s="70" t="s">
        <v>76</v>
      </c>
      <c r="E1426" s="70" t="s">
        <v>2669</v>
      </c>
      <c r="F1426" s="70" t="s">
        <v>28</v>
      </c>
      <c r="G1426" s="70" t="s">
        <v>87</v>
      </c>
      <c r="H1426" s="70" t="s">
        <v>2669</v>
      </c>
      <c r="I1426" s="72">
        <v>46.75</v>
      </c>
      <c r="J1426" s="70" t="s">
        <v>58</v>
      </c>
      <c r="K1426" s="65"/>
      <c r="L1426" s="65"/>
      <c r="M1426" s="65"/>
      <c r="N1426" s="65"/>
      <c r="O1426" s="65"/>
      <c r="P1426" s="65"/>
      <c r="Q1426" s="65"/>
      <c r="R1426" s="65"/>
      <c r="S1426" s="65"/>
      <c r="T1426" s="65"/>
      <c r="U1426" s="65"/>
      <c r="V1426" s="65"/>
      <c r="W1426" s="65"/>
      <c r="X1426" s="65"/>
      <c r="Y1426" s="65"/>
      <c r="Z1426" s="65"/>
      <c r="AA1426" s="65"/>
      <c r="AB1426" s="65"/>
      <c r="AC1426" s="65"/>
    </row>
    <row r="1427">
      <c r="A1427" s="72">
        <v>360.0</v>
      </c>
      <c r="B1427" s="67" t="s">
        <v>3449</v>
      </c>
      <c r="C1427" s="70" t="s">
        <v>56</v>
      </c>
      <c r="D1427" s="70" t="s">
        <v>3450</v>
      </c>
      <c r="E1427" s="70" t="s">
        <v>3451</v>
      </c>
      <c r="F1427" s="70" t="s">
        <v>28</v>
      </c>
      <c r="G1427" s="70" t="s">
        <v>28</v>
      </c>
      <c r="H1427" s="70" t="s">
        <v>2007</v>
      </c>
      <c r="I1427" s="72">
        <v>49.77</v>
      </c>
      <c r="J1427" s="70" t="s">
        <v>58</v>
      </c>
      <c r="K1427" s="65"/>
      <c r="L1427" s="65"/>
      <c r="M1427" s="65"/>
      <c r="N1427" s="65"/>
      <c r="O1427" s="65"/>
      <c r="P1427" s="65"/>
      <c r="Q1427" s="65"/>
      <c r="R1427" s="65"/>
      <c r="S1427" s="65"/>
      <c r="T1427" s="65"/>
      <c r="U1427" s="65"/>
      <c r="V1427" s="65"/>
      <c r="W1427" s="65"/>
      <c r="X1427" s="65"/>
      <c r="Y1427" s="65"/>
      <c r="Z1427" s="65"/>
      <c r="AA1427" s="65"/>
      <c r="AB1427" s="65"/>
      <c r="AC1427" s="65"/>
    </row>
    <row r="1428">
      <c r="A1428" s="72">
        <v>359.0</v>
      </c>
      <c r="B1428" s="67" t="s">
        <v>3452</v>
      </c>
      <c r="C1428" s="70" t="s">
        <v>69</v>
      </c>
      <c r="D1428" s="70" t="s">
        <v>737</v>
      </c>
      <c r="E1428" s="70" t="s">
        <v>3453</v>
      </c>
      <c r="F1428" s="70" t="s">
        <v>3454</v>
      </c>
      <c r="G1428" s="70" t="s">
        <v>3455</v>
      </c>
      <c r="H1428" s="70" t="s">
        <v>3456</v>
      </c>
      <c r="I1428" s="72">
        <v>72.4</v>
      </c>
      <c r="J1428" s="70" t="s">
        <v>58</v>
      </c>
      <c r="K1428" s="65"/>
      <c r="L1428" s="65"/>
      <c r="M1428" s="65"/>
      <c r="N1428" s="65"/>
      <c r="O1428" s="65"/>
      <c r="P1428" s="65"/>
      <c r="Q1428" s="65"/>
      <c r="R1428" s="65"/>
      <c r="S1428" s="65"/>
      <c r="T1428" s="65"/>
      <c r="U1428" s="65"/>
      <c r="V1428" s="65"/>
      <c r="W1428" s="65"/>
      <c r="X1428" s="65"/>
      <c r="Y1428" s="65"/>
      <c r="Z1428" s="65"/>
      <c r="AA1428" s="65"/>
      <c r="AB1428" s="65"/>
      <c r="AC1428" s="65"/>
    </row>
    <row r="1429">
      <c r="A1429" s="72">
        <v>358.0</v>
      </c>
      <c r="B1429" s="67" t="s">
        <v>3457</v>
      </c>
      <c r="C1429" s="70" t="s">
        <v>60</v>
      </c>
      <c r="D1429" s="70" t="s">
        <v>3458</v>
      </c>
      <c r="E1429" s="70" t="s">
        <v>3459</v>
      </c>
      <c r="F1429" s="73"/>
      <c r="G1429" s="70" t="s">
        <v>352</v>
      </c>
      <c r="H1429" s="70" t="s">
        <v>3460</v>
      </c>
      <c r="I1429" s="72">
        <v>35.7</v>
      </c>
      <c r="J1429" s="70" t="s">
        <v>58</v>
      </c>
      <c r="K1429" s="65"/>
      <c r="L1429" s="65"/>
      <c r="M1429" s="65"/>
      <c r="N1429" s="65"/>
      <c r="O1429" s="65"/>
      <c r="P1429" s="65"/>
      <c r="Q1429" s="65"/>
      <c r="R1429" s="65"/>
      <c r="S1429" s="65"/>
      <c r="T1429" s="65"/>
      <c r="U1429" s="65"/>
      <c r="V1429" s="65"/>
      <c r="W1429" s="65"/>
      <c r="X1429" s="65"/>
      <c r="Y1429" s="65"/>
      <c r="Z1429" s="65"/>
      <c r="AA1429" s="65"/>
      <c r="AB1429" s="65"/>
      <c r="AC1429" s="65"/>
    </row>
    <row r="1430">
      <c r="A1430" s="72">
        <v>357.0</v>
      </c>
      <c r="B1430" s="67" t="s">
        <v>3461</v>
      </c>
      <c r="C1430" s="70" t="s">
        <v>56</v>
      </c>
      <c r="D1430" s="70" t="s">
        <v>359</v>
      </c>
      <c r="E1430" s="70" t="s">
        <v>28</v>
      </c>
      <c r="F1430" s="73"/>
      <c r="G1430" s="73"/>
      <c r="H1430" s="70" t="s">
        <v>28</v>
      </c>
      <c r="I1430" s="72">
        <v>48.9</v>
      </c>
      <c r="J1430" s="70" t="s">
        <v>58</v>
      </c>
      <c r="K1430" s="65"/>
      <c r="L1430" s="65"/>
      <c r="M1430" s="65"/>
      <c r="N1430" s="65"/>
      <c r="O1430" s="65"/>
      <c r="P1430" s="65"/>
      <c r="Q1430" s="65"/>
      <c r="R1430" s="65"/>
      <c r="S1430" s="65"/>
      <c r="T1430" s="65"/>
      <c r="U1430" s="65"/>
      <c r="V1430" s="65"/>
      <c r="W1430" s="65"/>
      <c r="X1430" s="65"/>
      <c r="Y1430" s="65"/>
      <c r="Z1430" s="65"/>
      <c r="AA1430" s="65"/>
      <c r="AB1430" s="65"/>
      <c r="AC1430" s="65"/>
    </row>
    <row r="1431">
      <c r="A1431" s="72">
        <v>356.0</v>
      </c>
      <c r="B1431" s="67" t="s">
        <v>3462</v>
      </c>
      <c r="C1431" s="70" t="s">
        <v>56</v>
      </c>
      <c r="D1431" s="70" t="s">
        <v>479</v>
      </c>
      <c r="E1431" s="70" t="s">
        <v>3463</v>
      </c>
      <c r="F1431" s="70" t="s">
        <v>620</v>
      </c>
      <c r="G1431" s="70" t="s">
        <v>3464</v>
      </c>
      <c r="H1431" s="70" t="s">
        <v>3465</v>
      </c>
      <c r="I1431" s="72">
        <v>32.98</v>
      </c>
      <c r="J1431" s="70" t="s">
        <v>58</v>
      </c>
      <c r="K1431" s="65"/>
      <c r="L1431" s="65"/>
      <c r="M1431" s="65"/>
      <c r="N1431" s="65"/>
      <c r="O1431" s="65"/>
      <c r="P1431" s="65"/>
      <c r="Q1431" s="65"/>
      <c r="R1431" s="65"/>
      <c r="S1431" s="65"/>
      <c r="T1431" s="65"/>
      <c r="U1431" s="65"/>
      <c r="V1431" s="65"/>
      <c r="W1431" s="65"/>
      <c r="X1431" s="65"/>
      <c r="Y1431" s="65"/>
      <c r="Z1431" s="65"/>
      <c r="AA1431" s="65"/>
      <c r="AB1431" s="65"/>
      <c r="AC1431" s="65"/>
    </row>
    <row r="1432">
      <c r="A1432" s="72">
        <v>355.0</v>
      </c>
      <c r="B1432" s="67" t="s">
        <v>3466</v>
      </c>
      <c r="C1432" s="70" t="s">
        <v>56</v>
      </c>
      <c r="D1432" s="70" t="s">
        <v>3467</v>
      </c>
      <c r="E1432" s="70" t="s">
        <v>3468</v>
      </c>
      <c r="F1432" s="70" t="s">
        <v>3469</v>
      </c>
      <c r="G1432" s="70" t="s">
        <v>3470</v>
      </c>
      <c r="H1432" s="70" t="s">
        <v>3471</v>
      </c>
      <c r="I1432" s="72">
        <v>31.48</v>
      </c>
      <c r="J1432" s="70" t="s">
        <v>58</v>
      </c>
      <c r="K1432" s="65"/>
      <c r="L1432" s="65"/>
      <c r="M1432" s="65"/>
      <c r="N1432" s="65"/>
      <c r="O1432" s="65"/>
      <c r="P1432" s="65"/>
      <c r="Q1432" s="65"/>
      <c r="R1432" s="65"/>
      <c r="S1432" s="65"/>
      <c r="T1432" s="65"/>
      <c r="U1432" s="65"/>
      <c r="V1432" s="65"/>
      <c r="W1432" s="65"/>
      <c r="X1432" s="65"/>
      <c r="Y1432" s="65"/>
      <c r="Z1432" s="65"/>
      <c r="AA1432" s="65"/>
      <c r="AB1432" s="65"/>
      <c r="AC1432" s="65"/>
    </row>
    <row r="1433">
      <c r="A1433" s="72">
        <v>354.0</v>
      </c>
      <c r="B1433" s="67" t="s">
        <v>3472</v>
      </c>
      <c r="C1433" s="70" t="s">
        <v>60</v>
      </c>
      <c r="D1433" s="70" t="s">
        <v>147</v>
      </c>
      <c r="E1433" s="70" t="s">
        <v>3473</v>
      </c>
      <c r="F1433" s="70" t="s">
        <v>3474</v>
      </c>
      <c r="G1433" s="70" t="s">
        <v>3474</v>
      </c>
      <c r="H1433" s="70" t="s">
        <v>3474</v>
      </c>
      <c r="I1433" s="72">
        <v>36.44</v>
      </c>
      <c r="J1433" s="70" t="s">
        <v>58</v>
      </c>
      <c r="K1433" s="65"/>
      <c r="L1433" s="65"/>
      <c r="M1433" s="65"/>
      <c r="N1433" s="65"/>
      <c r="O1433" s="65"/>
      <c r="P1433" s="65"/>
      <c r="Q1433" s="65"/>
      <c r="R1433" s="65"/>
      <c r="S1433" s="65"/>
      <c r="T1433" s="65"/>
      <c r="U1433" s="65"/>
      <c r="V1433" s="65"/>
      <c r="W1433" s="65"/>
      <c r="X1433" s="65"/>
      <c r="Y1433" s="65"/>
      <c r="Z1433" s="65"/>
      <c r="AA1433" s="65"/>
      <c r="AB1433" s="65"/>
      <c r="AC1433" s="65"/>
    </row>
    <row r="1434">
      <c r="A1434" s="72">
        <v>353.0</v>
      </c>
      <c r="B1434" s="67" t="s">
        <v>3475</v>
      </c>
      <c r="C1434" s="70" t="s">
        <v>56</v>
      </c>
      <c r="D1434" s="70" t="s">
        <v>2667</v>
      </c>
      <c r="E1434" s="70" t="s">
        <v>3476</v>
      </c>
      <c r="F1434" s="70" t="s">
        <v>411</v>
      </c>
      <c r="G1434" s="70" t="s">
        <v>3477</v>
      </c>
      <c r="H1434" s="70" t="s">
        <v>3478</v>
      </c>
      <c r="I1434" s="72">
        <v>35.98</v>
      </c>
      <c r="J1434" s="70" t="s">
        <v>58</v>
      </c>
      <c r="K1434" s="65"/>
      <c r="L1434" s="65"/>
      <c r="M1434" s="65"/>
      <c r="N1434" s="65"/>
      <c r="O1434" s="65"/>
      <c r="P1434" s="65"/>
      <c r="Q1434" s="65"/>
      <c r="R1434" s="65"/>
      <c r="S1434" s="65"/>
      <c r="T1434" s="65"/>
      <c r="U1434" s="65"/>
      <c r="V1434" s="65"/>
      <c r="W1434" s="65"/>
      <c r="X1434" s="65"/>
      <c r="Y1434" s="65"/>
      <c r="Z1434" s="65"/>
      <c r="AA1434" s="65"/>
      <c r="AB1434" s="65"/>
      <c r="AC1434" s="65"/>
    </row>
    <row r="1435">
      <c r="A1435" s="72">
        <v>352.0</v>
      </c>
      <c r="B1435" s="67" t="s">
        <v>3479</v>
      </c>
      <c r="C1435" s="70" t="s">
        <v>60</v>
      </c>
      <c r="D1435" s="70" t="s">
        <v>3480</v>
      </c>
      <c r="E1435" s="70" t="s">
        <v>3481</v>
      </c>
      <c r="F1435" s="70" t="s">
        <v>778</v>
      </c>
      <c r="G1435" s="70" t="s">
        <v>1664</v>
      </c>
      <c r="H1435" s="70" t="s">
        <v>3482</v>
      </c>
      <c r="I1435" s="72">
        <v>48.72</v>
      </c>
      <c r="J1435" s="70" t="s">
        <v>58</v>
      </c>
      <c r="K1435" s="65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  <c r="AA1435" s="65"/>
      <c r="AB1435" s="65"/>
      <c r="AC1435" s="65"/>
    </row>
    <row r="1436">
      <c r="A1436" s="72">
        <v>351.0</v>
      </c>
      <c r="B1436" s="67" t="s">
        <v>3483</v>
      </c>
      <c r="C1436" s="70" t="s">
        <v>56</v>
      </c>
      <c r="D1436" s="70" t="s">
        <v>322</v>
      </c>
      <c r="E1436" s="70" t="s">
        <v>3484</v>
      </c>
      <c r="F1436" s="70" t="s">
        <v>242</v>
      </c>
      <c r="G1436" s="70" t="s">
        <v>3485</v>
      </c>
      <c r="H1436" s="70" t="s">
        <v>3486</v>
      </c>
      <c r="I1436" s="72">
        <v>49.76</v>
      </c>
      <c r="J1436" s="70" t="s">
        <v>58</v>
      </c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  <c r="AA1436" s="65"/>
      <c r="AB1436" s="65"/>
      <c r="AC1436" s="65"/>
    </row>
    <row r="1437">
      <c r="A1437" s="72">
        <v>350.0</v>
      </c>
      <c r="B1437" s="67" t="s">
        <v>3487</v>
      </c>
      <c r="C1437" s="70" t="s">
        <v>69</v>
      </c>
      <c r="D1437" s="70" t="s">
        <v>3488</v>
      </c>
      <c r="E1437" s="70" t="s">
        <v>3489</v>
      </c>
      <c r="F1437" s="70" t="s">
        <v>2106</v>
      </c>
      <c r="G1437" s="70" t="s">
        <v>3490</v>
      </c>
      <c r="H1437" s="70" t="s">
        <v>3491</v>
      </c>
      <c r="I1437" s="72">
        <v>51.99</v>
      </c>
      <c r="J1437" s="70" t="s">
        <v>58</v>
      </c>
      <c r="K1437" s="65"/>
      <c r="L1437" s="65"/>
      <c r="M1437" s="65"/>
      <c r="N1437" s="65"/>
      <c r="O1437" s="65"/>
      <c r="P1437" s="65"/>
      <c r="Q1437" s="65"/>
      <c r="R1437" s="65"/>
      <c r="S1437" s="65"/>
      <c r="T1437" s="65"/>
      <c r="U1437" s="65"/>
      <c r="V1437" s="65"/>
      <c r="W1437" s="65"/>
      <c r="X1437" s="65"/>
      <c r="Y1437" s="65"/>
      <c r="Z1437" s="65"/>
      <c r="AA1437" s="65"/>
      <c r="AB1437" s="65"/>
      <c r="AC1437" s="65"/>
    </row>
    <row r="1438">
      <c r="A1438" s="72">
        <v>349.0</v>
      </c>
      <c r="B1438" s="67" t="s">
        <v>3492</v>
      </c>
      <c r="C1438" s="70" t="s">
        <v>69</v>
      </c>
      <c r="D1438" s="70" t="s">
        <v>3488</v>
      </c>
      <c r="E1438" s="70" t="s">
        <v>3493</v>
      </c>
      <c r="F1438" s="70" t="s">
        <v>2276</v>
      </c>
      <c r="G1438" s="70" t="s">
        <v>3494</v>
      </c>
      <c r="H1438" s="70" t="s">
        <v>3495</v>
      </c>
      <c r="I1438" s="72">
        <v>65.0</v>
      </c>
      <c r="J1438" s="70" t="s">
        <v>58</v>
      </c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  <c r="AA1438" s="65"/>
      <c r="AB1438" s="65"/>
      <c r="AC1438" s="65"/>
    </row>
    <row r="1439">
      <c r="A1439" s="72">
        <v>348.0</v>
      </c>
      <c r="B1439" s="67" t="s">
        <v>3496</v>
      </c>
      <c r="C1439" s="70" t="s">
        <v>56</v>
      </c>
      <c r="D1439" s="70" t="s">
        <v>440</v>
      </c>
      <c r="E1439" s="70" t="s">
        <v>3497</v>
      </c>
      <c r="F1439" s="70" t="s">
        <v>3498</v>
      </c>
      <c r="G1439" s="70" t="s">
        <v>3499</v>
      </c>
      <c r="H1439" s="70" t="s">
        <v>3500</v>
      </c>
      <c r="I1439" s="72">
        <v>55.65</v>
      </c>
      <c r="J1439" s="70" t="s">
        <v>58</v>
      </c>
      <c r="K1439" s="65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  <c r="AA1439" s="65"/>
      <c r="AB1439" s="65"/>
      <c r="AC1439" s="65"/>
    </row>
    <row r="1440">
      <c r="A1440" s="72">
        <v>347.0</v>
      </c>
      <c r="B1440" s="67" t="s">
        <v>3501</v>
      </c>
      <c r="C1440" s="70" t="s">
        <v>56</v>
      </c>
      <c r="D1440" s="70" t="s">
        <v>3148</v>
      </c>
      <c r="E1440" s="70" t="s">
        <v>3502</v>
      </c>
      <c r="F1440" s="70" t="s">
        <v>3503</v>
      </c>
      <c r="G1440" s="70" t="s">
        <v>3504</v>
      </c>
      <c r="H1440" s="70" t="s">
        <v>3505</v>
      </c>
      <c r="I1440" s="72">
        <v>62.5</v>
      </c>
      <c r="J1440" s="70" t="s">
        <v>58</v>
      </c>
      <c r="K1440" s="65"/>
      <c r="L1440" s="65"/>
      <c r="M1440" s="65"/>
      <c r="N1440" s="65"/>
      <c r="O1440" s="65"/>
      <c r="P1440" s="65"/>
      <c r="Q1440" s="65"/>
      <c r="R1440" s="65"/>
      <c r="S1440" s="65"/>
      <c r="T1440" s="65"/>
      <c r="U1440" s="65"/>
      <c r="V1440" s="65"/>
      <c r="W1440" s="65"/>
      <c r="X1440" s="65"/>
      <c r="Y1440" s="65"/>
      <c r="Z1440" s="65"/>
      <c r="AA1440" s="65"/>
      <c r="AB1440" s="65"/>
      <c r="AC1440" s="65"/>
    </row>
    <row r="1441">
      <c r="A1441" s="72">
        <v>346.0</v>
      </c>
      <c r="B1441" s="67" t="s">
        <v>3506</v>
      </c>
      <c r="C1441" s="70" t="s">
        <v>69</v>
      </c>
      <c r="D1441" s="70" t="s">
        <v>2667</v>
      </c>
      <c r="E1441" s="75" t="s">
        <v>3507</v>
      </c>
      <c r="F1441" s="70" t="s">
        <v>3508</v>
      </c>
      <c r="G1441" s="70" t="s">
        <v>3509</v>
      </c>
      <c r="H1441" s="70" t="s">
        <v>3510</v>
      </c>
      <c r="I1441" s="72">
        <v>73.43</v>
      </c>
      <c r="J1441" s="70" t="s">
        <v>58</v>
      </c>
      <c r="K1441" s="65"/>
      <c r="L1441" s="65"/>
      <c r="M1441" s="65"/>
      <c r="N1441" s="65"/>
      <c r="O1441" s="65"/>
      <c r="P1441" s="65"/>
      <c r="Q1441" s="65"/>
      <c r="R1441" s="65"/>
      <c r="S1441" s="65"/>
      <c r="T1441" s="65"/>
      <c r="U1441" s="65"/>
      <c r="V1441" s="65"/>
      <c r="W1441" s="65"/>
      <c r="X1441" s="65"/>
      <c r="Y1441" s="65"/>
      <c r="Z1441" s="65"/>
      <c r="AA1441" s="65"/>
      <c r="AB1441" s="65"/>
      <c r="AC1441" s="65"/>
    </row>
    <row r="1442">
      <c r="A1442" s="72">
        <v>345.0</v>
      </c>
      <c r="B1442" s="67" t="s">
        <v>3511</v>
      </c>
      <c r="C1442" s="70" t="s">
        <v>69</v>
      </c>
      <c r="D1442" s="75" t="s">
        <v>1165</v>
      </c>
      <c r="E1442" s="75" t="s">
        <v>1168</v>
      </c>
      <c r="F1442" s="70" t="s">
        <v>936</v>
      </c>
      <c r="G1442" s="70" t="s">
        <v>1168</v>
      </c>
      <c r="H1442" s="70" t="s">
        <v>1168</v>
      </c>
      <c r="I1442" s="72">
        <v>45.14</v>
      </c>
      <c r="J1442" s="70" t="s">
        <v>58</v>
      </c>
      <c r="K1442" s="65"/>
      <c r="L1442" s="65"/>
      <c r="M1442" s="65"/>
      <c r="N1442" s="65"/>
      <c r="O1442" s="65"/>
      <c r="P1442" s="65"/>
      <c r="Q1442" s="65"/>
      <c r="R1442" s="65"/>
      <c r="S1442" s="65"/>
      <c r="T1442" s="65"/>
      <c r="U1442" s="65"/>
      <c r="V1442" s="65"/>
      <c r="W1442" s="65"/>
      <c r="X1442" s="65"/>
      <c r="Y1442" s="65"/>
      <c r="Z1442" s="65"/>
      <c r="AA1442" s="65"/>
      <c r="AB1442" s="65"/>
      <c r="AC1442" s="65"/>
    </row>
    <row r="1443">
      <c r="A1443" s="72">
        <v>344.0</v>
      </c>
      <c r="B1443" s="67" t="s">
        <v>3512</v>
      </c>
      <c r="C1443" s="75" t="s">
        <v>69</v>
      </c>
      <c r="D1443" s="76" t="s">
        <v>1165</v>
      </c>
      <c r="E1443" s="76" t="s">
        <v>3513</v>
      </c>
      <c r="F1443" s="70" t="s">
        <v>3514</v>
      </c>
      <c r="G1443" s="70" t="s">
        <v>3515</v>
      </c>
      <c r="H1443" s="70" t="s">
        <v>3516</v>
      </c>
      <c r="I1443" s="72">
        <v>70.52</v>
      </c>
      <c r="J1443" s="70" t="s">
        <v>58</v>
      </c>
      <c r="K1443" s="65"/>
      <c r="L1443" s="65"/>
      <c r="M1443" s="65"/>
      <c r="N1443" s="65"/>
      <c r="O1443" s="65"/>
      <c r="P1443" s="65"/>
      <c r="Q1443" s="65"/>
      <c r="R1443" s="65"/>
      <c r="S1443" s="65"/>
      <c r="T1443" s="65"/>
      <c r="U1443" s="65"/>
      <c r="V1443" s="65"/>
      <c r="W1443" s="65"/>
      <c r="X1443" s="65"/>
      <c r="Y1443" s="65"/>
      <c r="Z1443" s="65"/>
      <c r="AA1443" s="65"/>
      <c r="AB1443" s="65"/>
      <c r="AC1443" s="65"/>
    </row>
    <row r="1444">
      <c r="A1444" s="72">
        <v>343.0</v>
      </c>
      <c r="B1444" s="67" t="s">
        <v>3517</v>
      </c>
      <c r="C1444" s="70" t="s">
        <v>56</v>
      </c>
      <c r="D1444" s="70" t="s">
        <v>652</v>
      </c>
      <c r="E1444" s="70" t="s">
        <v>3518</v>
      </c>
      <c r="F1444" s="73"/>
      <c r="G1444" s="70" t="s">
        <v>299</v>
      </c>
      <c r="H1444" s="70" t="s">
        <v>3519</v>
      </c>
      <c r="I1444" s="72">
        <v>51.27</v>
      </c>
      <c r="J1444" s="70" t="s">
        <v>58</v>
      </c>
      <c r="K1444" s="65"/>
      <c r="L1444" s="65"/>
      <c r="M1444" s="65"/>
      <c r="N1444" s="65"/>
      <c r="O1444" s="65"/>
      <c r="P1444" s="65"/>
      <c r="Q1444" s="65"/>
      <c r="R1444" s="65"/>
      <c r="S1444" s="65"/>
      <c r="T1444" s="65"/>
      <c r="U1444" s="65"/>
      <c r="V1444" s="65"/>
      <c r="W1444" s="65"/>
      <c r="X1444" s="65"/>
      <c r="Y1444" s="65"/>
      <c r="Z1444" s="65"/>
      <c r="AA1444" s="65"/>
      <c r="AB1444" s="65"/>
      <c r="AC1444" s="65"/>
    </row>
    <row r="1445">
      <c r="A1445" s="72">
        <v>342.0</v>
      </c>
      <c r="B1445" s="67" t="s">
        <v>3520</v>
      </c>
      <c r="C1445" s="70" t="s">
        <v>69</v>
      </c>
      <c r="D1445" s="70" t="s">
        <v>182</v>
      </c>
      <c r="E1445" s="70" t="s">
        <v>3521</v>
      </c>
      <c r="F1445" s="73"/>
      <c r="G1445" s="73"/>
      <c r="H1445" s="70" t="s">
        <v>2463</v>
      </c>
      <c r="I1445" s="72">
        <v>41.78</v>
      </c>
      <c r="J1445" s="70" t="s">
        <v>58</v>
      </c>
      <c r="K1445" s="65"/>
      <c r="L1445" s="65"/>
      <c r="M1445" s="65"/>
      <c r="N1445" s="65"/>
      <c r="O1445" s="65"/>
      <c r="P1445" s="65"/>
      <c r="Q1445" s="65"/>
      <c r="R1445" s="65"/>
      <c r="S1445" s="65"/>
      <c r="T1445" s="65"/>
      <c r="U1445" s="65"/>
      <c r="V1445" s="65"/>
      <c r="W1445" s="65"/>
      <c r="X1445" s="65"/>
      <c r="Y1445" s="65"/>
      <c r="Z1445" s="65"/>
      <c r="AA1445" s="65"/>
      <c r="AB1445" s="65"/>
      <c r="AC1445" s="65"/>
    </row>
    <row r="1446">
      <c r="A1446" s="72">
        <v>341.0</v>
      </c>
      <c r="B1446" s="67" t="s">
        <v>3522</v>
      </c>
      <c r="C1446" s="70" t="s">
        <v>56</v>
      </c>
      <c r="D1446" s="70" t="s">
        <v>830</v>
      </c>
      <c r="E1446" s="70" t="s">
        <v>3523</v>
      </c>
      <c r="F1446" s="70" t="s">
        <v>3524</v>
      </c>
      <c r="G1446" s="70" t="s">
        <v>3525</v>
      </c>
      <c r="H1446" s="70" t="s">
        <v>3526</v>
      </c>
      <c r="I1446" s="72">
        <v>54.68</v>
      </c>
      <c r="J1446" s="70" t="s">
        <v>58</v>
      </c>
      <c r="K1446" s="65"/>
      <c r="L1446" s="65"/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  <c r="AA1446" s="65"/>
      <c r="AB1446" s="65"/>
      <c r="AC1446" s="65"/>
    </row>
    <row r="1447">
      <c r="A1447" s="72">
        <v>340.0</v>
      </c>
      <c r="B1447" s="67" t="s">
        <v>3527</v>
      </c>
      <c r="C1447" s="70" t="s">
        <v>56</v>
      </c>
      <c r="D1447" s="70" t="s">
        <v>3528</v>
      </c>
      <c r="E1447" s="70" t="s">
        <v>3529</v>
      </c>
      <c r="F1447" s="70" t="s">
        <v>3530</v>
      </c>
      <c r="G1447" s="70" t="s">
        <v>3531</v>
      </c>
      <c r="H1447" s="70" t="s">
        <v>3532</v>
      </c>
      <c r="I1447" s="72">
        <v>45.62</v>
      </c>
      <c r="J1447" s="70" t="s">
        <v>58</v>
      </c>
      <c r="K1447" s="65"/>
      <c r="L1447" s="65"/>
      <c r="M1447" s="65"/>
      <c r="N1447" s="65"/>
      <c r="O1447" s="65"/>
      <c r="P1447" s="65"/>
      <c r="Q1447" s="65"/>
      <c r="R1447" s="65"/>
      <c r="S1447" s="65"/>
      <c r="T1447" s="65"/>
      <c r="U1447" s="65"/>
      <c r="V1447" s="65"/>
      <c r="W1447" s="65"/>
      <c r="X1447" s="65"/>
      <c r="Y1447" s="65"/>
      <c r="Z1447" s="65"/>
      <c r="AA1447" s="65"/>
      <c r="AB1447" s="65"/>
      <c r="AC1447" s="65"/>
    </row>
    <row r="1448">
      <c r="A1448" s="72">
        <v>339.0</v>
      </c>
      <c r="B1448" s="67" t="s">
        <v>3533</v>
      </c>
      <c r="C1448" s="70" t="s">
        <v>56</v>
      </c>
      <c r="D1448" s="70" t="s">
        <v>394</v>
      </c>
      <c r="E1448" s="70" t="s">
        <v>3534</v>
      </c>
      <c r="F1448" s="70" t="s">
        <v>337</v>
      </c>
      <c r="G1448" s="70" t="s">
        <v>337</v>
      </c>
      <c r="H1448" s="70" t="s">
        <v>3535</v>
      </c>
      <c r="I1448" s="72">
        <v>76.63</v>
      </c>
      <c r="J1448" s="70" t="s">
        <v>58</v>
      </c>
      <c r="K1448" s="65"/>
      <c r="L1448" s="65"/>
      <c r="M1448" s="65"/>
      <c r="N1448" s="65"/>
      <c r="O1448" s="65"/>
      <c r="P1448" s="65"/>
      <c r="Q1448" s="65"/>
      <c r="R1448" s="65"/>
      <c r="S1448" s="65"/>
      <c r="T1448" s="65"/>
      <c r="U1448" s="65"/>
      <c r="V1448" s="65"/>
      <c r="W1448" s="65"/>
      <c r="X1448" s="65"/>
      <c r="Y1448" s="65"/>
      <c r="Z1448" s="65"/>
      <c r="AA1448" s="65"/>
      <c r="AB1448" s="65"/>
      <c r="AC1448" s="65"/>
    </row>
    <row r="1449">
      <c r="A1449" s="72">
        <v>338.0</v>
      </c>
      <c r="B1449" s="67" t="s">
        <v>3536</v>
      </c>
      <c r="C1449" s="70" t="s">
        <v>56</v>
      </c>
      <c r="D1449" s="70" t="s">
        <v>420</v>
      </c>
      <c r="E1449" s="70" t="s">
        <v>3537</v>
      </c>
      <c r="F1449" s="70" t="s">
        <v>3538</v>
      </c>
      <c r="G1449" s="70" t="s">
        <v>3539</v>
      </c>
      <c r="H1449" s="70" t="s">
        <v>3540</v>
      </c>
      <c r="I1449" s="72">
        <v>70.49</v>
      </c>
      <c r="J1449" s="70" t="s">
        <v>58</v>
      </c>
      <c r="K1449" s="65"/>
      <c r="L1449" s="65"/>
      <c r="M1449" s="65"/>
      <c r="N1449" s="65"/>
      <c r="O1449" s="65"/>
      <c r="P1449" s="65"/>
      <c r="Q1449" s="65"/>
      <c r="R1449" s="65"/>
      <c r="S1449" s="65"/>
      <c r="T1449" s="65"/>
      <c r="U1449" s="65"/>
      <c r="V1449" s="65"/>
      <c r="W1449" s="65"/>
      <c r="X1449" s="65"/>
      <c r="Y1449" s="65"/>
      <c r="Z1449" s="65"/>
      <c r="AA1449" s="65"/>
      <c r="AB1449" s="65"/>
      <c r="AC1449" s="65"/>
    </row>
    <row r="1450">
      <c r="A1450" s="72">
        <v>337.0</v>
      </c>
      <c r="B1450" s="67" t="s">
        <v>3541</v>
      </c>
      <c r="C1450" s="70" t="s">
        <v>56</v>
      </c>
      <c r="D1450" s="70" t="s">
        <v>3542</v>
      </c>
      <c r="E1450" s="70" t="s">
        <v>2155</v>
      </c>
      <c r="F1450" s="70" t="s">
        <v>64</v>
      </c>
      <c r="G1450" s="70" t="s">
        <v>112</v>
      </c>
      <c r="H1450" s="70" t="s">
        <v>3543</v>
      </c>
      <c r="I1450" s="72">
        <v>51.99</v>
      </c>
      <c r="J1450" s="70" t="s">
        <v>58</v>
      </c>
      <c r="K1450" s="65"/>
      <c r="L1450" s="65"/>
      <c r="M1450" s="65"/>
      <c r="N1450" s="65"/>
      <c r="O1450" s="65"/>
      <c r="P1450" s="65"/>
      <c r="Q1450" s="65"/>
      <c r="R1450" s="65"/>
      <c r="S1450" s="65"/>
      <c r="T1450" s="65"/>
      <c r="U1450" s="65"/>
      <c r="V1450" s="65"/>
      <c r="W1450" s="65"/>
      <c r="X1450" s="65"/>
      <c r="Y1450" s="65"/>
      <c r="Z1450" s="65"/>
      <c r="AA1450" s="65"/>
      <c r="AB1450" s="65"/>
      <c r="AC1450" s="65"/>
    </row>
    <row r="1451">
      <c r="A1451" s="72">
        <v>336.0</v>
      </c>
      <c r="B1451" s="67" t="s">
        <v>3544</v>
      </c>
      <c r="C1451" s="70" t="s">
        <v>60</v>
      </c>
      <c r="D1451" s="70" t="s">
        <v>3545</v>
      </c>
      <c r="E1451" s="70" t="s">
        <v>3546</v>
      </c>
      <c r="F1451" s="70" t="s">
        <v>3547</v>
      </c>
      <c r="G1451" s="70" t="s">
        <v>3548</v>
      </c>
      <c r="H1451" s="70" t="s">
        <v>3549</v>
      </c>
      <c r="I1451" s="72">
        <v>34.72</v>
      </c>
      <c r="J1451" s="70" t="s">
        <v>58</v>
      </c>
      <c r="K1451" s="65"/>
      <c r="L1451" s="65"/>
      <c r="M1451" s="65"/>
      <c r="N1451" s="65"/>
      <c r="O1451" s="65"/>
      <c r="P1451" s="65"/>
      <c r="Q1451" s="65"/>
      <c r="R1451" s="65"/>
      <c r="S1451" s="65"/>
      <c r="T1451" s="65"/>
      <c r="U1451" s="65"/>
      <c r="V1451" s="65"/>
      <c r="W1451" s="65"/>
      <c r="X1451" s="65"/>
      <c r="Y1451" s="65"/>
      <c r="Z1451" s="65"/>
      <c r="AA1451" s="65"/>
      <c r="AB1451" s="65"/>
      <c r="AC1451" s="65"/>
    </row>
    <row r="1452">
      <c r="A1452" s="72">
        <v>335.0</v>
      </c>
      <c r="B1452" s="67" t="s">
        <v>3550</v>
      </c>
      <c r="C1452" s="70" t="s">
        <v>60</v>
      </c>
      <c r="D1452" s="70" t="s">
        <v>99</v>
      </c>
      <c r="E1452" s="70" t="s">
        <v>87</v>
      </c>
      <c r="F1452" s="73"/>
      <c r="G1452" s="70" t="s">
        <v>112</v>
      </c>
      <c r="H1452" s="70" t="s">
        <v>112</v>
      </c>
      <c r="I1452" s="72">
        <v>28.69</v>
      </c>
      <c r="J1452" s="70" t="s">
        <v>58</v>
      </c>
      <c r="K1452" s="65"/>
      <c r="L1452" s="65"/>
      <c r="M1452" s="65"/>
      <c r="N1452" s="65"/>
      <c r="O1452" s="65"/>
      <c r="P1452" s="65"/>
      <c r="Q1452" s="65"/>
      <c r="R1452" s="65"/>
      <c r="S1452" s="65"/>
      <c r="T1452" s="65"/>
      <c r="U1452" s="65"/>
      <c r="V1452" s="65"/>
      <c r="W1452" s="65"/>
      <c r="X1452" s="65"/>
      <c r="Y1452" s="65"/>
      <c r="Z1452" s="65"/>
      <c r="AA1452" s="65"/>
      <c r="AB1452" s="65"/>
      <c r="AC1452" s="65"/>
    </row>
    <row r="1453">
      <c r="A1453" s="72">
        <v>334.0</v>
      </c>
      <c r="B1453" s="67" t="s">
        <v>3551</v>
      </c>
      <c r="C1453" s="70" t="s">
        <v>56</v>
      </c>
      <c r="D1453" s="73"/>
      <c r="E1453" s="70" t="s">
        <v>3552</v>
      </c>
      <c r="F1453" s="70" t="s">
        <v>28</v>
      </c>
      <c r="G1453" s="70" t="s">
        <v>936</v>
      </c>
      <c r="H1453" s="70" t="s">
        <v>3553</v>
      </c>
      <c r="I1453" s="72">
        <v>40.81</v>
      </c>
      <c r="J1453" s="70" t="s">
        <v>58</v>
      </c>
      <c r="K1453" s="65"/>
      <c r="L1453" s="65"/>
      <c r="M1453" s="65"/>
      <c r="N1453" s="65"/>
      <c r="O1453" s="65"/>
      <c r="P1453" s="65"/>
      <c r="Q1453" s="65"/>
      <c r="R1453" s="65"/>
      <c r="S1453" s="65"/>
      <c r="T1453" s="65"/>
      <c r="U1453" s="65"/>
      <c r="V1453" s="65"/>
      <c r="W1453" s="65"/>
      <c r="X1453" s="65"/>
      <c r="Y1453" s="65"/>
      <c r="Z1453" s="65"/>
      <c r="AA1453" s="65"/>
      <c r="AB1453" s="65"/>
      <c r="AC1453" s="65"/>
    </row>
    <row r="1454">
      <c r="A1454" s="72">
        <v>333.0</v>
      </c>
      <c r="B1454" s="67" t="s">
        <v>3554</v>
      </c>
      <c r="C1454" s="70" t="s">
        <v>56</v>
      </c>
      <c r="D1454" s="70" t="s">
        <v>320</v>
      </c>
      <c r="E1454" s="70" t="s">
        <v>3555</v>
      </c>
      <c r="F1454" s="70" t="s">
        <v>2223</v>
      </c>
      <c r="G1454" s="70" t="s">
        <v>3556</v>
      </c>
      <c r="H1454" s="70" t="s">
        <v>3557</v>
      </c>
      <c r="I1454" s="72">
        <v>38.08</v>
      </c>
      <c r="J1454" s="70" t="s">
        <v>58</v>
      </c>
      <c r="K1454" s="65"/>
      <c r="L1454" s="65"/>
      <c r="M1454" s="65"/>
      <c r="N1454" s="65"/>
      <c r="O1454" s="65"/>
      <c r="P1454" s="65"/>
      <c r="Q1454" s="65"/>
      <c r="R1454" s="65"/>
      <c r="S1454" s="65"/>
      <c r="T1454" s="65"/>
      <c r="U1454" s="65"/>
      <c r="V1454" s="65"/>
      <c r="W1454" s="65"/>
      <c r="X1454" s="65"/>
      <c r="Y1454" s="65"/>
      <c r="Z1454" s="65"/>
      <c r="AA1454" s="65"/>
      <c r="AB1454" s="65"/>
      <c r="AC1454" s="65"/>
    </row>
    <row r="1455">
      <c r="A1455" s="72">
        <v>332.0</v>
      </c>
      <c r="B1455" s="67" t="s">
        <v>3558</v>
      </c>
      <c r="C1455" s="70" t="s">
        <v>56</v>
      </c>
      <c r="D1455" s="70" t="s">
        <v>1536</v>
      </c>
      <c r="E1455" s="70" t="s">
        <v>3559</v>
      </c>
      <c r="F1455" s="70" t="s">
        <v>3560</v>
      </c>
      <c r="G1455" s="70" t="s">
        <v>3561</v>
      </c>
      <c r="H1455" s="70" t="s">
        <v>3562</v>
      </c>
      <c r="I1455" s="72">
        <v>37.99</v>
      </c>
      <c r="J1455" s="70" t="s">
        <v>58</v>
      </c>
      <c r="K1455" s="65"/>
      <c r="L1455" s="65"/>
      <c r="M1455" s="65"/>
      <c r="N1455" s="65"/>
      <c r="O1455" s="65"/>
      <c r="P1455" s="65"/>
      <c r="Q1455" s="65"/>
      <c r="R1455" s="65"/>
      <c r="S1455" s="65"/>
      <c r="T1455" s="65"/>
      <c r="U1455" s="65"/>
      <c r="V1455" s="65"/>
      <c r="W1455" s="65"/>
      <c r="X1455" s="65"/>
      <c r="Y1455" s="65"/>
      <c r="Z1455" s="65"/>
      <c r="AA1455" s="65"/>
      <c r="AB1455" s="65"/>
      <c r="AC1455" s="65"/>
    </row>
    <row r="1456">
      <c r="A1456" s="72">
        <v>331.0</v>
      </c>
      <c r="B1456" s="67" t="s">
        <v>3563</v>
      </c>
      <c r="C1456" s="70" t="s">
        <v>56</v>
      </c>
      <c r="D1456" s="70" t="s">
        <v>240</v>
      </c>
      <c r="E1456" s="70" t="s">
        <v>28</v>
      </c>
      <c r="F1456" s="73"/>
      <c r="G1456" s="73"/>
      <c r="H1456" s="70" t="s">
        <v>28</v>
      </c>
      <c r="I1456" s="72">
        <v>41.05</v>
      </c>
      <c r="J1456" s="70" t="s">
        <v>58</v>
      </c>
      <c r="K1456" s="65"/>
      <c r="L1456" s="65"/>
      <c r="M1456" s="65"/>
      <c r="N1456" s="65"/>
      <c r="O1456" s="65"/>
      <c r="P1456" s="65"/>
      <c r="Q1456" s="65"/>
      <c r="R1456" s="65"/>
      <c r="S1456" s="65"/>
      <c r="T1456" s="65"/>
      <c r="U1456" s="65"/>
      <c r="V1456" s="65"/>
      <c r="W1456" s="65"/>
      <c r="X1456" s="65"/>
      <c r="Y1456" s="65"/>
      <c r="Z1456" s="65"/>
      <c r="AA1456" s="65"/>
      <c r="AB1456" s="65"/>
      <c r="AC1456" s="65"/>
    </row>
    <row r="1457">
      <c r="A1457" s="72">
        <v>330.0</v>
      </c>
      <c r="B1457" s="67" t="s">
        <v>3564</v>
      </c>
      <c r="C1457" s="70" t="s">
        <v>60</v>
      </c>
      <c r="D1457" s="70" t="s">
        <v>61</v>
      </c>
      <c r="E1457" s="70" t="s">
        <v>28</v>
      </c>
      <c r="F1457" s="73"/>
      <c r="G1457" s="73"/>
      <c r="H1457" s="70" t="s">
        <v>28</v>
      </c>
      <c r="I1457" s="72">
        <v>35.0</v>
      </c>
      <c r="J1457" s="70" t="s">
        <v>58</v>
      </c>
      <c r="K1457" s="65"/>
      <c r="L1457" s="65"/>
      <c r="M1457" s="65"/>
      <c r="N1457" s="65"/>
      <c r="O1457" s="65"/>
      <c r="P1457" s="65"/>
      <c r="Q1457" s="65"/>
      <c r="R1457" s="65"/>
      <c r="S1457" s="65"/>
      <c r="T1457" s="65"/>
      <c r="U1457" s="65"/>
      <c r="V1457" s="65"/>
      <c r="W1457" s="65"/>
      <c r="X1457" s="65"/>
      <c r="Y1457" s="65"/>
      <c r="Z1457" s="65"/>
      <c r="AA1457" s="65"/>
      <c r="AB1457" s="65"/>
      <c r="AC1457" s="65"/>
    </row>
    <row r="1458">
      <c r="A1458" s="72">
        <v>329.0</v>
      </c>
      <c r="B1458" s="67" t="s">
        <v>3565</v>
      </c>
      <c r="C1458" s="70" t="s">
        <v>60</v>
      </c>
      <c r="D1458" s="70" t="s">
        <v>3566</v>
      </c>
      <c r="E1458" s="70" t="s">
        <v>3567</v>
      </c>
      <c r="F1458" s="70" t="s">
        <v>3568</v>
      </c>
      <c r="G1458" s="70" t="s">
        <v>3569</v>
      </c>
      <c r="H1458" s="70" t="s">
        <v>3570</v>
      </c>
      <c r="I1458" s="72">
        <v>45.13</v>
      </c>
      <c r="J1458" s="70" t="s">
        <v>58</v>
      </c>
      <c r="K1458" s="65"/>
      <c r="L1458" s="65"/>
      <c r="M1458" s="65"/>
      <c r="N1458" s="65"/>
      <c r="O1458" s="65"/>
      <c r="P1458" s="65"/>
      <c r="Q1458" s="65"/>
      <c r="R1458" s="65"/>
      <c r="S1458" s="65"/>
      <c r="T1458" s="65"/>
      <c r="U1458" s="65"/>
      <c r="V1458" s="65"/>
      <c r="W1458" s="65"/>
      <c r="X1458" s="65"/>
      <c r="Y1458" s="65"/>
      <c r="Z1458" s="65"/>
      <c r="AA1458" s="65"/>
      <c r="AB1458" s="65"/>
      <c r="AC1458" s="65"/>
    </row>
    <row r="1459">
      <c r="A1459" s="72">
        <v>328.0</v>
      </c>
      <c r="B1459" s="67" t="s">
        <v>3571</v>
      </c>
      <c r="C1459" s="70" t="s">
        <v>56</v>
      </c>
      <c r="D1459" s="70" t="s">
        <v>206</v>
      </c>
      <c r="E1459" s="70" t="s">
        <v>3572</v>
      </c>
      <c r="F1459" s="70" t="s">
        <v>3573</v>
      </c>
      <c r="G1459" s="70" t="s">
        <v>3574</v>
      </c>
      <c r="H1459" s="70" t="s">
        <v>3575</v>
      </c>
      <c r="I1459" s="72">
        <v>57.17</v>
      </c>
      <c r="J1459" s="70" t="s">
        <v>58</v>
      </c>
      <c r="K1459" s="65"/>
      <c r="L1459" s="65"/>
      <c r="M1459" s="65"/>
      <c r="N1459" s="65"/>
      <c r="O1459" s="65"/>
      <c r="P1459" s="65"/>
      <c r="Q1459" s="65"/>
      <c r="R1459" s="65"/>
      <c r="S1459" s="65"/>
      <c r="T1459" s="65"/>
      <c r="U1459" s="65"/>
      <c r="V1459" s="65"/>
      <c r="W1459" s="65"/>
      <c r="X1459" s="65"/>
      <c r="Y1459" s="65"/>
      <c r="Z1459" s="65"/>
      <c r="AA1459" s="65"/>
      <c r="AB1459" s="65"/>
      <c r="AC1459" s="65"/>
    </row>
    <row r="1460">
      <c r="A1460" s="72">
        <v>327.0</v>
      </c>
      <c r="B1460" s="67" t="s">
        <v>3576</v>
      </c>
      <c r="C1460" s="70" t="s">
        <v>60</v>
      </c>
      <c r="D1460" s="70" t="s">
        <v>3034</v>
      </c>
      <c r="E1460" s="70" t="s">
        <v>87</v>
      </c>
      <c r="F1460" s="73"/>
      <c r="G1460" s="70" t="s">
        <v>64</v>
      </c>
      <c r="H1460" s="70" t="s">
        <v>112</v>
      </c>
      <c r="I1460" s="72">
        <v>36.09</v>
      </c>
      <c r="J1460" s="70" t="s">
        <v>58</v>
      </c>
      <c r="K1460" s="65"/>
      <c r="L1460" s="65"/>
      <c r="M1460" s="65"/>
      <c r="N1460" s="65"/>
      <c r="O1460" s="65"/>
      <c r="P1460" s="65"/>
      <c r="Q1460" s="65"/>
      <c r="R1460" s="65"/>
      <c r="S1460" s="65"/>
      <c r="T1460" s="65"/>
      <c r="U1460" s="65"/>
      <c r="V1460" s="65"/>
      <c r="W1460" s="65"/>
      <c r="X1460" s="65"/>
      <c r="Y1460" s="65"/>
      <c r="Z1460" s="65"/>
      <c r="AA1460" s="65"/>
      <c r="AB1460" s="65"/>
      <c r="AC1460" s="65"/>
    </row>
    <row r="1461">
      <c r="A1461" s="72">
        <v>326.0</v>
      </c>
      <c r="B1461" s="67" t="s">
        <v>3577</v>
      </c>
      <c r="C1461" s="70" t="s">
        <v>69</v>
      </c>
      <c r="D1461" s="70" t="s">
        <v>99</v>
      </c>
      <c r="E1461" s="70" t="s">
        <v>3578</v>
      </c>
      <c r="F1461" s="70" t="s">
        <v>28</v>
      </c>
      <c r="G1461" s="70" t="s">
        <v>2956</v>
      </c>
      <c r="H1461" s="70" t="s">
        <v>3578</v>
      </c>
      <c r="I1461" s="72">
        <v>42.11</v>
      </c>
      <c r="J1461" s="70" t="s">
        <v>58</v>
      </c>
      <c r="K1461" s="65"/>
      <c r="L1461" s="65"/>
      <c r="M1461" s="65"/>
      <c r="N1461" s="65"/>
      <c r="O1461" s="65"/>
      <c r="P1461" s="65"/>
      <c r="Q1461" s="65"/>
      <c r="R1461" s="65"/>
      <c r="S1461" s="65"/>
      <c r="T1461" s="65"/>
      <c r="U1461" s="65"/>
      <c r="V1461" s="65"/>
      <c r="W1461" s="65"/>
      <c r="X1461" s="65"/>
      <c r="Y1461" s="65"/>
      <c r="Z1461" s="65"/>
      <c r="AA1461" s="65"/>
      <c r="AB1461" s="65"/>
      <c r="AC1461" s="65"/>
    </row>
    <row r="1462">
      <c r="A1462" s="72">
        <v>325.0</v>
      </c>
      <c r="B1462" s="67" t="s">
        <v>3579</v>
      </c>
      <c r="C1462" s="70" t="s">
        <v>56</v>
      </c>
      <c r="D1462" s="70" t="s">
        <v>284</v>
      </c>
      <c r="E1462" s="70" t="s">
        <v>3580</v>
      </c>
      <c r="F1462" s="70" t="s">
        <v>558</v>
      </c>
      <c r="G1462" s="70" t="s">
        <v>3581</v>
      </c>
      <c r="H1462" s="70" t="s">
        <v>3582</v>
      </c>
      <c r="I1462" s="72">
        <v>47.47</v>
      </c>
      <c r="J1462" s="70" t="s">
        <v>58</v>
      </c>
      <c r="K1462" s="65"/>
      <c r="L1462" s="65"/>
      <c r="M1462" s="65"/>
      <c r="N1462" s="65"/>
      <c r="O1462" s="65"/>
      <c r="P1462" s="65"/>
      <c r="Q1462" s="65"/>
      <c r="R1462" s="65"/>
      <c r="S1462" s="65"/>
      <c r="T1462" s="65"/>
      <c r="U1462" s="65"/>
      <c r="V1462" s="65"/>
      <c r="W1462" s="65"/>
      <c r="X1462" s="65"/>
      <c r="Y1462" s="65"/>
      <c r="Z1462" s="65"/>
      <c r="AA1462" s="65"/>
      <c r="AB1462" s="65"/>
      <c r="AC1462" s="65"/>
    </row>
    <row r="1463">
      <c r="A1463" s="72">
        <v>324.0</v>
      </c>
      <c r="B1463" s="67" t="s">
        <v>3583</v>
      </c>
      <c r="C1463" s="70" t="s">
        <v>56</v>
      </c>
      <c r="D1463" s="70" t="s">
        <v>368</v>
      </c>
      <c r="E1463" s="70" t="s">
        <v>3584</v>
      </c>
      <c r="F1463" s="73"/>
      <c r="G1463" s="70" t="s">
        <v>460</v>
      </c>
      <c r="H1463" s="70" t="s">
        <v>3585</v>
      </c>
      <c r="I1463" s="72">
        <v>30.75</v>
      </c>
      <c r="J1463" s="70" t="s">
        <v>58</v>
      </c>
      <c r="K1463" s="65"/>
      <c r="L1463" s="65"/>
      <c r="M1463" s="65"/>
      <c r="N1463" s="65"/>
      <c r="O1463" s="65"/>
      <c r="P1463" s="65"/>
      <c r="Q1463" s="65"/>
      <c r="R1463" s="65"/>
      <c r="S1463" s="65"/>
      <c r="T1463" s="65"/>
      <c r="U1463" s="65"/>
      <c r="V1463" s="65"/>
      <c r="W1463" s="65"/>
      <c r="X1463" s="65"/>
      <c r="Y1463" s="65"/>
      <c r="Z1463" s="65"/>
      <c r="AA1463" s="65"/>
      <c r="AB1463" s="65"/>
      <c r="AC1463" s="65"/>
    </row>
    <row r="1464">
      <c r="A1464" s="72">
        <v>323.0</v>
      </c>
      <c r="B1464" s="67" t="s">
        <v>3586</v>
      </c>
      <c r="C1464" s="70" t="s">
        <v>56</v>
      </c>
      <c r="D1464" s="70" t="s">
        <v>3587</v>
      </c>
      <c r="E1464" s="70" t="s">
        <v>3588</v>
      </c>
      <c r="F1464" s="70" t="s">
        <v>3589</v>
      </c>
      <c r="G1464" s="70" t="s">
        <v>3589</v>
      </c>
      <c r="H1464" s="70" t="s">
        <v>3590</v>
      </c>
      <c r="I1464" s="72">
        <v>57.95</v>
      </c>
      <c r="J1464" s="70" t="s">
        <v>58</v>
      </c>
      <c r="K1464" s="65"/>
      <c r="L1464" s="65"/>
      <c r="M1464" s="65"/>
      <c r="N1464" s="65"/>
      <c r="O1464" s="65"/>
      <c r="P1464" s="65"/>
      <c r="Q1464" s="65"/>
      <c r="R1464" s="65"/>
      <c r="S1464" s="65"/>
      <c r="T1464" s="65"/>
      <c r="U1464" s="65"/>
      <c r="V1464" s="65"/>
      <c r="W1464" s="65"/>
      <c r="X1464" s="65"/>
      <c r="Y1464" s="65"/>
      <c r="Z1464" s="65"/>
      <c r="AA1464" s="65"/>
      <c r="AB1464" s="65"/>
      <c r="AC1464" s="65"/>
    </row>
    <row r="1465">
      <c r="A1465" s="72">
        <v>322.0</v>
      </c>
      <c r="B1465" s="67" t="s">
        <v>3591</v>
      </c>
      <c r="C1465" s="70" t="s">
        <v>56</v>
      </c>
      <c r="D1465" s="70" t="s">
        <v>76</v>
      </c>
      <c r="E1465" s="70" t="s">
        <v>3592</v>
      </c>
      <c r="F1465" s="70" t="s">
        <v>3593</v>
      </c>
      <c r="G1465" s="70" t="s">
        <v>3594</v>
      </c>
      <c r="H1465" s="70" t="s">
        <v>3595</v>
      </c>
      <c r="I1465" s="72">
        <v>37.59</v>
      </c>
      <c r="J1465" s="70" t="s">
        <v>58</v>
      </c>
      <c r="K1465" s="65"/>
      <c r="L1465" s="65"/>
      <c r="M1465" s="65"/>
      <c r="N1465" s="65"/>
      <c r="O1465" s="65"/>
      <c r="P1465" s="65"/>
      <c r="Q1465" s="65"/>
      <c r="R1465" s="65"/>
      <c r="S1465" s="65"/>
      <c r="T1465" s="65"/>
      <c r="U1465" s="65"/>
      <c r="V1465" s="65"/>
      <c r="W1465" s="65"/>
      <c r="X1465" s="65"/>
      <c r="Y1465" s="65"/>
      <c r="Z1465" s="65"/>
      <c r="AA1465" s="65"/>
      <c r="AB1465" s="65"/>
      <c r="AC1465" s="65"/>
    </row>
    <row r="1466">
      <c r="A1466" s="72">
        <v>321.0</v>
      </c>
      <c r="B1466" s="67" t="s">
        <v>3596</v>
      </c>
      <c r="C1466" s="70" t="s">
        <v>60</v>
      </c>
      <c r="D1466" s="70" t="s">
        <v>313</v>
      </c>
      <c r="E1466" s="70" t="s">
        <v>980</v>
      </c>
      <c r="F1466" s="73"/>
      <c r="G1466" s="70" t="s">
        <v>579</v>
      </c>
      <c r="H1466" s="70" t="s">
        <v>2281</v>
      </c>
      <c r="I1466" s="72">
        <v>27.57</v>
      </c>
      <c r="J1466" s="70" t="s">
        <v>58</v>
      </c>
      <c r="K1466" s="65"/>
      <c r="L1466" s="65"/>
      <c r="M1466" s="65"/>
      <c r="N1466" s="65"/>
      <c r="O1466" s="65"/>
      <c r="P1466" s="65"/>
      <c r="Q1466" s="65"/>
      <c r="R1466" s="65"/>
      <c r="S1466" s="65"/>
      <c r="T1466" s="65"/>
      <c r="U1466" s="65"/>
      <c r="V1466" s="65"/>
      <c r="W1466" s="65"/>
      <c r="X1466" s="65"/>
      <c r="Y1466" s="65"/>
      <c r="Z1466" s="65"/>
      <c r="AA1466" s="65"/>
      <c r="AB1466" s="65"/>
      <c r="AC1466" s="65"/>
    </row>
    <row r="1467">
      <c r="A1467" s="72">
        <v>320.0</v>
      </c>
      <c r="B1467" s="67" t="s">
        <v>3597</v>
      </c>
      <c r="C1467" s="70" t="s">
        <v>56</v>
      </c>
      <c r="D1467" s="70" t="s">
        <v>1145</v>
      </c>
      <c r="E1467" s="70" t="s">
        <v>381</v>
      </c>
      <c r="F1467" s="73"/>
      <c r="G1467" s="70" t="s">
        <v>1308</v>
      </c>
      <c r="H1467" s="70" t="s">
        <v>382</v>
      </c>
      <c r="I1467" s="72">
        <v>53.86</v>
      </c>
      <c r="J1467" s="70" t="s">
        <v>58</v>
      </c>
      <c r="K1467" s="65"/>
      <c r="L1467" s="65"/>
      <c r="M1467" s="65"/>
      <c r="N1467" s="65"/>
      <c r="O1467" s="65"/>
      <c r="P1467" s="65"/>
      <c r="Q1467" s="65"/>
      <c r="R1467" s="65"/>
      <c r="S1467" s="65"/>
      <c r="T1467" s="65"/>
      <c r="U1467" s="65"/>
      <c r="V1467" s="65"/>
      <c r="W1467" s="65"/>
      <c r="X1467" s="65"/>
      <c r="Y1467" s="65"/>
      <c r="Z1467" s="65"/>
      <c r="AA1467" s="65"/>
      <c r="AB1467" s="65"/>
      <c r="AC1467" s="65"/>
    </row>
    <row r="1468">
      <c r="A1468" s="72">
        <v>319.0</v>
      </c>
      <c r="B1468" s="67" t="s">
        <v>3598</v>
      </c>
      <c r="C1468" s="70" t="s">
        <v>56</v>
      </c>
      <c r="D1468" s="70" t="s">
        <v>3599</v>
      </c>
      <c r="E1468" s="70" t="s">
        <v>3600</v>
      </c>
      <c r="F1468" s="70" t="s">
        <v>67</v>
      </c>
      <c r="G1468" s="70" t="s">
        <v>3095</v>
      </c>
      <c r="H1468" s="70" t="s">
        <v>3601</v>
      </c>
      <c r="I1468" s="72">
        <v>45.4</v>
      </c>
      <c r="J1468" s="70" t="s">
        <v>58</v>
      </c>
      <c r="K1468" s="65"/>
      <c r="L1468" s="65"/>
      <c r="M1468" s="65"/>
      <c r="N1468" s="65"/>
      <c r="O1468" s="65"/>
      <c r="P1468" s="65"/>
      <c r="Q1468" s="65"/>
      <c r="R1468" s="65"/>
      <c r="S1468" s="65"/>
      <c r="T1468" s="65"/>
      <c r="U1468" s="65"/>
      <c r="V1468" s="65"/>
      <c r="W1468" s="65"/>
      <c r="X1468" s="65"/>
      <c r="Y1468" s="65"/>
      <c r="Z1468" s="65"/>
      <c r="AA1468" s="65"/>
      <c r="AB1468" s="65"/>
      <c r="AC1468" s="65"/>
    </row>
    <row r="1469">
      <c r="A1469" s="72">
        <v>318.0</v>
      </c>
      <c r="B1469" s="67" t="s">
        <v>3602</v>
      </c>
      <c r="C1469" s="70" t="s">
        <v>56</v>
      </c>
      <c r="D1469" s="70" t="s">
        <v>182</v>
      </c>
      <c r="E1469" s="70" t="s">
        <v>28</v>
      </c>
      <c r="F1469" s="73"/>
      <c r="G1469" s="73"/>
      <c r="H1469" s="70" t="s">
        <v>28</v>
      </c>
      <c r="I1469" s="72">
        <v>52.34</v>
      </c>
      <c r="J1469" s="70" t="s">
        <v>58</v>
      </c>
      <c r="K1469" s="65"/>
      <c r="L1469" s="65"/>
      <c r="M1469" s="65"/>
      <c r="N1469" s="65"/>
      <c r="O1469" s="65"/>
      <c r="P1469" s="65"/>
      <c r="Q1469" s="65"/>
      <c r="R1469" s="65"/>
      <c r="S1469" s="65"/>
      <c r="T1469" s="65"/>
      <c r="U1469" s="65"/>
      <c r="V1469" s="65"/>
      <c r="W1469" s="65"/>
      <c r="X1469" s="65"/>
      <c r="Y1469" s="65"/>
      <c r="Z1469" s="65"/>
      <c r="AA1469" s="65"/>
      <c r="AB1469" s="65"/>
      <c r="AC1469" s="65"/>
    </row>
    <row r="1470">
      <c r="A1470" s="72">
        <v>317.0</v>
      </c>
      <c r="B1470" s="67" t="s">
        <v>3603</v>
      </c>
      <c r="C1470" s="70" t="s">
        <v>60</v>
      </c>
      <c r="D1470" s="70" t="s">
        <v>852</v>
      </c>
      <c r="E1470" s="70" t="s">
        <v>3604</v>
      </c>
      <c r="F1470" s="70" t="s">
        <v>1135</v>
      </c>
      <c r="G1470" s="70" t="s">
        <v>3605</v>
      </c>
      <c r="H1470" s="70" t="s">
        <v>3606</v>
      </c>
      <c r="I1470" s="72">
        <v>42.81</v>
      </c>
      <c r="J1470" s="70" t="s">
        <v>58</v>
      </c>
      <c r="K1470" s="65"/>
      <c r="L1470" s="65"/>
      <c r="M1470" s="65"/>
      <c r="N1470" s="65"/>
      <c r="O1470" s="65"/>
      <c r="P1470" s="65"/>
      <c r="Q1470" s="65"/>
      <c r="R1470" s="65"/>
      <c r="S1470" s="65"/>
      <c r="T1470" s="65"/>
      <c r="U1470" s="65"/>
      <c r="V1470" s="65"/>
      <c r="W1470" s="65"/>
      <c r="X1470" s="65"/>
      <c r="Y1470" s="65"/>
      <c r="Z1470" s="65"/>
      <c r="AA1470" s="65"/>
      <c r="AB1470" s="65"/>
      <c r="AC1470" s="65"/>
    </row>
    <row r="1471">
      <c r="A1471" s="72">
        <v>316.0</v>
      </c>
      <c r="B1471" s="67" t="s">
        <v>3607</v>
      </c>
      <c r="C1471" s="70" t="s">
        <v>56</v>
      </c>
      <c r="D1471" s="70" t="s">
        <v>3608</v>
      </c>
      <c r="E1471" s="75" t="s">
        <v>3609</v>
      </c>
      <c r="F1471" s="70" t="s">
        <v>1139</v>
      </c>
      <c r="G1471" s="70" t="s">
        <v>3610</v>
      </c>
      <c r="H1471" s="70" t="s">
        <v>3611</v>
      </c>
      <c r="I1471" s="72">
        <v>39.2</v>
      </c>
      <c r="J1471" s="70" t="s">
        <v>58</v>
      </c>
      <c r="K1471" s="65"/>
      <c r="L1471" s="65"/>
      <c r="M1471" s="65"/>
      <c r="N1471" s="65"/>
      <c r="O1471" s="65"/>
      <c r="P1471" s="65"/>
      <c r="Q1471" s="65"/>
      <c r="R1471" s="65"/>
      <c r="S1471" s="65"/>
      <c r="T1471" s="65"/>
      <c r="U1471" s="65"/>
      <c r="V1471" s="65"/>
      <c r="W1471" s="65"/>
      <c r="X1471" s="65"/>
      <c r="Y1471" s="65"/>
      <c r="Z1471" s="65"/>
      <c r="AA1471" s="65"/>
      <c r="AB1471" s="65"/>
      <c r="AC1471" s="65"/>
    </row>
    <row r="1472">
      <c r="A1472" s="72">
        <v>315.0</v>
      </c>
      <c r="B1472" s="67" t="s">
        <v>3612</v>
      </c>
      <c r="C1472" s="70" t="s">
        <v>60</v>
      </c>
      <c r="D1472" s="75" t="s">
        <v>3034</v>
      </c>
      <c r="E1472" s="76" t="s">
        <v>3613</v>
      </c>
      <c r="F1472" s="70" t="s">
        <v>3614</v>
      </c>
      <c r="G1472" s="70" t="s">
        <v>3615</v>
      </c>
      <c r="H1472" s="70" t="s">
        <v>3616</v>
      </c>
      <c r="I1472" s="72">
        <v>42.43</v>
      </c>
      <c r="J1472" s="70" t="s">
        <v>58</v>
      </c>
      <c r="K1472" s="65"/>
      <c r="L1472" s="65"/>
      <c r="M1472" s="65"/>
      <c r="N1472" s="65"/>
      <c r="O1472" s="65"/>
      <c r="P1472" s="65"/>
      <c r="Q1472" s="65"/>
      <c r="R1472" s="65"/>
      <c r="S1472" s="65"/>
      <c r="T1472" s="65"/>
      <c r="U1472" s="65"/>
      <c r="V1472" s="65"/>
      <c r="W1472" s="65"/>
      <c r="X1472" s="65"/>
      <c r="Y1472" s="65"/>
      <c r="Z1472" s="65"/>
      <c r="AA1472" s="65"/>
      <c r="AB1472" s="65"/>
      <c r="AC1472" s="65"/>
    </row>
    <row r="1473">
      <c r="A1473" s="72">
        <v>314.0</v>
      </c>
      <c r="B1473" s="67" t="s">
        <v>3617</v>
      </c>
      <c r="C1473" s="75" t="s">
        <v>56</v>
      </c>
      <c r="D1473" s="76" t="s">
        <v>394</v>
      </c>
      <c r="E1473" s="76" t="s">
        <v>3618</v>
      </c>
      <c r="F1473" s="70" t="s">
        <v>2589</v>
      </c>
      <c r="G1473" s="70" t="s">
        <v>3619</v>
      </c>
      <c r="H1473" s="70" t="s">
        <v>3620</v>
      </c>
      <c r="I1473" s="72">
        <v>47.12</v>
      </c>
      <c r="J1473" s="70" t="s">
        <v>58</v>
      </c>
      <c r="K1473" s="65"/>
      <c r="L1473" s="65"/>
      <c r="M1473" s="65"/>
      <c r="N1473" s="65"/>
      <c r="O1473" s="65"/>
      <c r="P1473" s="65"/>
      <c r="Q1473" s="65"/>
      <c r="R1473" s="65"/>
      <c r="S1473" s="65"/>
      <c r="T1473" s="65"/>
      <c r="U1473" s="65"/>
      <c r="V1473" s="65"/>
      <c r="W1473" s="65"/>
      <c r="X1473" s="65"/>
      <c r="Y1473" s="65"/>
      <c r="Z1473" s="65"/>
      <c r="AA1473" s="65"/>
      <c r="AB1473" s="65"/>
      <c r="AC1473" s="65"/>
    </row>
    <row r="1474">
      <c r="A1474" s="72">
        <v>313.0</v>
      </c>
      <c r="B1474" s="67" t="s">
        <v>3621</v>
      </c>
      <c r="C1474" s="70" t="s">
        <v>56</v>
      </c>
      <c r="D1474" s="70" t="s">
        <v>143</v>
      </c>
      <c r="E1474" s="75" t="s">
        <v>87</v>
      </c>
      <c r="F1474" s="73"/>
      <c r="G1474" s="73"/>
      <c r="H1474" s="70" t="s">
        <v>87</v>
      </c>
      <c r="I1474" s="72">
        <v>46.25</v>
      </c>
      <c r="J1474" s="70" t="s">
        <v>58</v>
      </c>
      <c r="K1474" s="65"/>
      <c r="L1474" s="65"/>
      <c r="M1474" s="65"/>
      <c r="N1474" s="65"/>
      <c r="O1474" s="65"/>
      <c r="P1474" s="65"/>
      <c r="Q1474" s="65"/>
      <c r="R1474" s="65"/>
      <c r="S1474" s="65"/>
      <c r="T1474" s="65"/>
      <c r="U1474" s="65"/>
      <c r="V1474" s="65"/>
      <c r="W1474" s="65"/>
      <c r="X1474" s="65"/>
      <c r="Y1474" s="65"/>
      <c r="Z1474" s="65"/>
      <c r="AA1474" s="65"/>
      <c r="AB1474" s="65"/>
      <c r="AC1474" s="65"/>
    </row>
    <row r="1475">
      <c r="A1475" s="72">
        <v>312.0</v>
      </c>
      <c r="B1475" s="67" t="s">
        <v>3622</v>
      </c>
      <c r="C1475" s="70" t="s">
        <v>60</v>
      </c>
      <c r="D1475" s="75" t="s">
        <v>1950</v>
      </c>
      <c r="E1475" s="76" t="s">
        <v>3623</v>
      </c>
      <c r="F1475" s="70" t="s">
        <v>3624</v>
      </c>
      <c r="G1475" s="70" t="s">
        <v>3625</v>
      </c>
      <c r="H1475" s="70" t="s">
        <v>3626</v>
      </c>
      <c r="I1475" s="72">
        <v>53.82</v>
      </c>
      <c r="J1475" s="70" t="s">
        <v>58</v>
      </c>
      <c r="K1475" s="65"/>
      <c r="L1475" s="65"/>
      <c r="M1475" s="65"/>
      <c r="N1475" s="65"/>
      <c r="O1475" s="65"/>
      <c r="P1475" s="65"/>
      <c r="Q1475" s="65"/>
      <c r="R1475" s="65"/>
      <c r="S1475" s="65"/>
      <c r="T1475" s="65"/>
      <c r="U1475" s="65"/>
      <c r="V1475" s="65"/>
      <c r="W1475" s="65"/>
      <c r="X1475" s="65"/>
      <c r="Y1475" s="65"/>
      <c r="Z1475" s="65"/>
      <c r="AA1475" s="65"/>
      <c r="AB1475" s="65"/>
      <c r="AC1475" s="65"/>
    </row>
    <row r="1476">
      <c r="A1476" s="72">
        <v>311.0</v>
      </c>
      <c r="B1476" s="67" t="s">
        <v>3627</v>
      </c>
      <c r="C1476" s="75" t="s">
        <v>56</v>
      </c>
      <c r="D1476" s="76" t="s">
        <v>284</v>
      </c>
      <c r="E1476" s="76" t="s">
        <v>3628</v>
      </c>
      <c r="F1476" s="70" t="s">
        <v>3629</v>
      </c>
      <c r="G1476" s="70" t="s">
        <v>3630</v>
      </c>
      <c r="H1476" s="70" t="s">
        <v>3631</v>
      </c>
      <c r="I1476" s="72">
        <v>64.05</v>
      </c>
      <c r="J1476" s="70" t="s">
        <v>58</v>
      </c>
      <c r="K1476" s="65"/>
      <c r="L1476" s="65"/>
      <c r="M1476" s="65"/>
      <c r="N1476" s="65"/>
      <c r="O1476" s="65"/>
      <c r="P1476" s="65"/>
      <c r="Q1476" s="65"/>
      <c r="R1476" s="65"/>
      <c r="S1476" s="65"/>
      <c r="T1476" s="65"/>
      <c r="U1476" s="65"/>
      <c r="V1476" s="65"/>
      <c r="W1476" s="65"/>
      <c r="X1476" s="65"/>
      <c r="Y1476" s="65"/>
      <c r="Z1476" s="65"/>
      <c r="AA1476" s="65"/>
      <c r="AB1476" s="65"/>
      <c r="AC1476" s="65"/>
    </row>
    <row r="1477">
      <c r="A1477" s="72">
        <v>310.0</v>
      </c>
      <c r="B1477" s="67" t="s">
        <v>3632</v>
      </c>
      <c r="C1477" s="70" t="s">
        <v>56</v>
      </c>
      <c r="D1477" s="70" t="s">
        <v>121</v>
      </c>
      <c r="E1477" s="70" t="s">
        <v>3633</v>
      </c>
      <c r="F1477" s="70" t="s">
        <v>71</v>
      </c>
      <c r="G1477" s="70" t="s">
        <v>3634</v>
      </c>
      <c r="H1477" s="70" t="s">
        <v>3635</v>
      </c>
      <c r="I1477" s="72">
        <v>34.77</v>
      </c>
      <c r="J1477" s="70" t="s">
        <v>58</v>
      </c>
      <c r="K1477" s="65"/>
      <c r="L1477" s="65"/>
      <c r="M1477" s="65"/>
      <c r="N1477" s="65"/>
      <c r="O1477" s="65"/>
      <c r="P1477" s="65"/>
      <c r="Q1477" s="65"/>
      <c r="R1477" s="65"/>
      <c r="S1477" s="65"/>
      <c r="T1477" s="65"/>
      <c r="U1477" s="65"/>
      <c r="V1477" s="65"/>
      <c r="W1477" s="65"/>
      <c r="X1477" s="65"/>
      <c r="Y1477" s="65"/>
      <c r="Z1477" s="65"/>
      <c r="AA1477" s="65"/>
      <c r="AB1477" s="65"/>
      <c r="AC1477" s="65"/>
    </row>
    <row r="1478">
      <c r="A1478" s="72">
        <v>309.0</v>
      </c>
      <c r="B1478" s="67" t="s">
        <v>3636</v>
      </c>
      <c r="C1478" s="70" t="s">
        <v>56</v>
      </c>
      <c r="D1478" s="70" t="s">
        <v>76</v>
      </c>
      <c r="E1478" s="70" t="s">
        <v>3637</v>
      </c>
      <c r="F1478" s="70" t="s">
        <v>3638</v>
      </c>
      <c r="G1478" s="70" t="s">
        <v>3639</v>
      </c>
      <c r="H1478" s="70" t="s">
        <v>3640</v>
      </c>
      <c r="I1478" s="72">
        <v>48.24</v>
      </c>
      <c r="J1478" s="70" t="s">
        <v>58</v>
      </c>
      <c r="K1478" s="65"/>
      <c r="L1478" s="65"/>
      <c r="M1478" s="65"/>
      <c r="N1478" s="65"/>
      <c r="O1478" s="65"/>
      <c r="P1478" s="65"/>
      <c r="Q1478" s="65"/>
      <c r="R1478" s="65"/>
      <c r="S1478" s="65"/>
      <c r="T1478" s="65"/>
      <c r="U1478" s="65"/>
      <c r="V1478" s="65"/>
      <c r="W1478" s="65"/>
      <c r="X1478" s="65"/>
      <c r="Y1478" s="65"/>
      <c r="Z1478" s="65"/>
      <c r="AA1478" s="65"/>
      <c r="AB1478" s="65"/>
      <c r="AC1478" s="65"/>
    </row>
    <row r="1479">
      <c r="A1479" s="72">
        <v>308.0</v>
      </c>
      <c r="B1479" s="67" t="s">
        <v>3641</v>
      </c>
      <c r="C1479" s="70" t="s">
        <v>60</v>
      </c>
      <c r="D1479" s="70" t="s">
        <v>3642</v>
      </c>
      <c r="E1479" s="70" t="s">
        <v>2143</v>
      </c>
      <c r="F1479" s="70" t="s">
        <v>28</v>
      </c>
      <c r="G1479" s="70" t="s">
        <v>96</v>
      </c>
      <c r="H1479" s="70" t="s">
        <v>3643</v>
      </c>
      <c r="I1479" s="72">
        <v>37.85</v>
      </c>
      <c r="J1479" s="70" t="s">
        <v>58</v>
      </c>
      <c r="K1479" s="65"/>
      <c r="L1479" s="65"/>
      <c r="M1479" s="65"/>
      <c r="N1479" s="65"/>
      <c r="O1479" s="65"/>
      <c r="P1479" s="65"/>
      <c r="Q1479" s="65"/>
      <c r="R1479" s="65"/>
      <c r="S1479" s="65"/>
      <c r="T1479" s="65"/>
      <c r="U1479" s="65"/>
      <c r="V1479" s="65"/>
      <c r="W1479" s="65"/>
      <c r="X1479" s="65"/>
      <c r="Y1479" s="65"/>
      <c r="Z1479" s="65"/>
      <c r="AA1479" s="65"/>
      <c r="AB1479" s="65"/>
      <c r="AC1479" s="65"/>
    </row>
    <row r="1480">
      <c r="A1480" s="72">
        <v>307.0</v>
      </c>
      <c r="B1480" s="67" t="s">
        <v>3644</v>
      </c>
      <c r="C1480" s="70" t="s">
        <v>56</v>
      </c>
      <c r="D1480" s="70" t="s">
        <v>3642</v>
      </c>
      <c r="E1480" s="70" t="s">
        <v>3645</v>
      </c>
      <c r="F1480" s="70" t="s">
        <v>71</v>
      </c>
      <c r="G1480" s="70" t="s">
        <v>3646</v>
      </c>
      <c r="H1480" s="70" t="s">
        <v>3647</v>
      </c>
      <c r="I1480" s="72">
        <v>36.82</v>
      </c>
      <c r="J1480" s="70" t="s">
        <v>58</v>
      </c>
      <c r="K1480" s="65"/>
      <c r="L1480" s="65"/>
      <c r="M1480" s="65"/>
      <c r="N1480" s="65"/>
      <c r="O1480" s="65"/>
      <c r="P1480" s="65"/>
      <c r="Q1480" s="65"/>
      <c r="R1480" s="65"/>
      <c r="S1480" s="65"/>
      <c r="T1480" s="65"/>
      <c r="U1480" s="65"/>
      <c r="V1480" s="65"/>
      <c r="W1480" s="65"/>
      <c r="X1480" s="65"/>
      <c r="Y1480" s="65"/>
      <c r="Z1480" s="65"/>
      <c r="AA1480" s="65"/>
      <c r="AB1480" s="65"/>
      <c r="AC1480" s="65"/>
    </row>
    <row r="1481">
      <c r="A1481" s="72">
        <v>306.0</v>
      </c>
      <c r="B1481" s="67" t="s">
        <v>3648</v>
      </c>
      <c r="C1481" s="70" t="s">
        <v>56</v>
      </c>
      <c r="D1481" s="70" t="s">
        <v>271</v>
      </c>
      <c r="E1481" s="70" t="s">
        <v>3649</v>
      </c>
      <c r="F1481" s="70" t="s">
        <v>28</v>
      </c>
      <c r="G1481" s="70" t="s">
        <v>3650</v>
      </c>
      <c r="H1481" s="70" t="s">
        <v>3650</v>
      </c>
      <c r="I1481" s="72">
        <v>29.7</v>
      </c>
      <c r="J1481" s="70" t="s">
        <v>58</v>
      </c>
      <c r="K1481" s="65"/>
      <c r="L1481" s="65"/>
      <c r="M1481" s="65"/>
      <c r="N1481" s="65"/>
      <c r="O1481" s="65"/>
      <c r="P1481" s="65"/>
      <c r="Q1481" s="65"/>
      <c r="R1481" s="65"/>
      <c r="S1481" s="65"/>
      <c r="T1481" s="65"/>
      <c r="U1481" s="65"/>
      <c r="V1481" s="65"/>
      <c r="W1481" s="65"/>
      <c r="X1481" s="65"/>
      <c r="Y1481" s="65"/>
      <c r="Z1481" s="65"/>
      <c r="AA1481" s="65"/>
      <c r="AB1481" s="65"/>
      <c r="AC1481" s="65"/>
    </row>
    <row r="1482">
      <c r="A1482" s="72">
        <v>305.0</v>
      </c>
      <c r="B1482" s="67" t="s">
        <v>3651</v>
      </c>
      <c r="C1482" s="70" t="s">
        <v>60</v>
      </c>
      <c r="D1482" s="70" t="s">
        <v>467</v>
      </c>
      <c r="E1482" s="70" t="s">
        <v>3652</v>
      </c>
      <c r="F1482" s="70" t="s">
        <v>64</v>
      </c>
      <c r="G1482" s="70" t="s">
        <v>64</v>
      </c>
      <c r="H1482" s="70" t="s">
        <v>3653</v>
      </c>
      <c r="I1482" s="72">
        <v>39.62</v>
      </c>
      <c r="J1482" s="70" t="s">
        <v>58</v>
      </c>
      <c r="K1482" s="65"/>
      <c r="L1482" s="65"/>
      <c r="M1482" s="65"/>
      <c r="N1482" s="65"/>
      <c r="O1482" s="65"/>
      <c r="P1482" s="65"/>
      <c r="Q1482" s="65"/>
      <c r="R1482" s="65"/>
      <c r="S1482" s="65"/>
      <c r="T1482" s="65"/>
      <c r="U1482" s="65"/>
      <c r="V1482" s="65"/>
      <c r="W1482" s="65"/>
      <c r="X1482" s="65"/>
      <c r="Y1482" s="65"/>
      <c r="Z1482" s="65"/>
      <c r="AA1482" s="65"/>
      <c r="AB1482" s="65"/>
      <c r="AC1482" s="65"/>
    </row>
    <row r="1483">
      <c r="A1483" s="72">
        <v>304.0</v>
      </c>
      <c r="B1483" s="67" t="s">
        <v>3654</v>
      </c>
      <c r="C1483" s="70" t="s">
        <v>56</v>
      </c>
      <c r="D1483" s="70" t="s">
        <v>76</v>
      </c>
      <c r="E1483" s="70" t="s">
        <v>3655</v>
      </c>
      <c r="F1483" s="70" t="s">
        <v>3656</v>
      </c>
      <c r="G1483" s="70" t="s">
        <v>3657</v>
      </c>
      <c r="H1483" s="70" t="s">
        <v>3658</v>
      </c>
      <c r="I1483" s="72">
        <v>40.72</v>
      </c>
      <c r="J1483" s="70" t="s">
        <v>58</v>
      </c>
      <c r="K1483" s="65"/>
      <c r="L1483" s="65"/>
      <c r="M1483" s="65"/>
      <c r="N1483" s="65"/>
      <c r="O1483" s="65"/>
      <c r="P1483" s="65"/>
      <c r="Q1483" s="65"/>
      <c r="R1483" s="65"/>
      <c r="S1483" s="65"/>
      <c r="T1483" s="65"/>
      <c r="U1483" s="65"/>
      <c r="V1483" s="65"/>
      <c r="W1483" s="65"/>
      <c r="X1483" s="65"/>
      <c r="Y1483" s="65"/>
      <c r="Z1483" s="65"/>
      <c r="AA1483" s="65"/>
      <c r="AB1483" s="65"/>
      <c r="AC1483" s="65"/>
    </row>
    <row r="1484">
      <c r="A1484" s="72">
        <v>303.0</v>
      </c>
      <c r="B1484" s="67" t="s">
        <v>3659</v>
      </c>
      <c r="C1484" s="70" t="s">
        <v>69</v>
      </c>
      <c r="D1484" s="70" t="s">
        <v>76</v>
      </c>
      <c r="E1484" s="70" t="s">
        <v>3660</v>
      </c>
      <c r="F1484" s="70" t="s">
        <v>612</v>
      </c>
      <c r="G1484" s="70" t="s">
        <v>3661</v>
      </c>
      <c r="H1484" s="70" t="s">
        <v>3662</v>
      </c>
      <c r="I1484" s="72">
        <v>47.92</v>
      </c>
      <c r="J1484" s="70" t="s">
        <v>58</v>
      </c>
      <c r="K1484" s="65"/>
      <c r="L1484" s="65"/>
      <c r="M1484" s="65"/>
      <c r="N1484" s="65"/>
      <c r="O1484" s="65"/>
      <c r="P1484" s="65"/>
      <c r="Q1484" s="65"/>
      <c r="R1484" s="65"/>
      <c r="S1484" s="65"/>
      <c r="T1484" s="65"/>
      <c r="U1484" s="65"/>
      <c r="V1484" s="65"/>
      <c r="W1484" s="65"/>
      <c r="X1484" s="65"/>
      <c r="Y1484" s="65"/>
      <c r="Z1484" s="65"/>
      <c r="AA1484" s="65"/>
      <c r="AB1484" s="65"/>
      <c r="AC1484" s="65"/>
    </row>
    <row r="1485">
      <c r="A1485" s="72">
        <v>302.0</v>
      </c>
      <c r="B1485" s="67" t="s">
        <v>3663</v>
      </c>
      <c r="C1485" s="70" t="s">
        <v>60</v>
      </c>
      <c r="D1485" s="70" t="s">
        <v>502</v>
      </c>
      <c r="E1485" s="70" t="s">
        <v>28</v>
      </c>
      <c r="F1485" s="73"/>
      <c r="G1485" s="70" t="s">
        <v>28</v>
      </c>
      <c r="H1485" s="70" t="s">
        <v>28</v>
      </c>
      <c r="I1485" s="72">
        <v>52.54</v>
      </c>
      <c r="J1485" s="70" t="s">
        <v>58</v>
      </c>
      <c r="K1485" s="65"/>
      <c r="L1485" s="65"/>
      <c r="M1485" s="65"/>
      <c r="N1485" s="65"/>
      <c r="O1485" s="65"/>
      <c r="P1485" s="65"/>
      <c r="Q1485" s="65"/>
      <c r="R1485" s="65"/>
      <c r="S1485" s="65"/>
      <c r="T1485" s="65"/>
      <c r="U1485" s="65"/>
      <c r="V1485" s="65"/>
      <c r="W1485" s="65"/>
      <c r="X1485" s="65"/>
      <c r="Y1485" s="65"/>
      <c r="Z1485" s="65"/>
      <c r="AA1485" s="65"/>
      <c r="AB1485" s="65"/>
      <c r="AC1485" s="65"/>
    </row>
    <row r="1486">
      <c r="A1486" s="72">
        <v>301.0</v>
      </c>
      <c r="B1486" s="67" t="s">
        <v>3664</v>
      </c>
      <c r="C1486" s="70" t="s">
        <v>60</v>
      </c>
      <c r="D1486" s="70" t="s">
        <v>394</v>
      </c>
      <c r="E1486" s="70" t="s">
        <v>3665</v>
      </c>
      <c r="F1486" s="70" t="s">
        <v>3666</v>
      </c>
      <c r="G1486" s="70" t="s">
        <v>3667</v>
      </c>
      <c r="H1486" s="70" t="s">
        <v>3668</v>
      </c>
      <c r="I1486" s="72">
        <v>44.74</v>
      </c>
      <c r="J1486" s="70" t="s">
        <v>58</v>
      </c>
      <c r="K1486" s="65"/>
      <c r="L1486" s="65"/>
      <c r="M1486" s="65"/>
      <c r="N1486" s="65"/>
      <c r="O1486" s="65"/>
      <c r="P1486" s="65"/>
      <c r="Q1486" s="65"/>
      <c r="R1486" s="65"/>
      <c r="S1486" s="65"/>
      <c r="T1486" s="65"/>
      <c r="U1486" s="65"/>
      <c r="V1486" s="65"/>
      <c r="W1486" s="65"/>
      <c r="X1486" s="65"/>
      <c r="Y1486" s="65"/>
      <c r="Z1486" s="65"/>
      <c r="AA1486" s="65"/>
      <c r="AB1486" s="65"/>
      <c r="AC1486" s="65"/>
    </row>
    <row r="1487">
      <c r="A1487" s="72">
        <v>300.0</v>
      </c>
      <c r="B1487" s="67" t="s">
        <v>3669</v>
      </c>
      <c r="C1487" s="70" t="s">
        <v>56</v>
      </c>
      <c r="D1487" s="70" t="s">
        <v>147</v>
      </c>
      <c r="E1487" s="70" t="s">
        <v>3670</v>
      </c>
      <c r="F1487" s="70" t="s">
        <v>3671</v>
      </c>
      <c r="G1487" s="70" t="s">
        <v>3672</v>
      </c>
      <c r="H1487" s="70" t="s">
        <v>3673</v>
      </c>
      <c r="I1487" s="72">
        <v>44.25</v>
      </c>
      <c r="J1487" s="70" t="s">
        <v>58</v>
      </c>
      <c r="K1487" s="65"/>
      <c r="L1487" s="65"/>
      <c r="M1487" s="65"/>
      <c r="N1487" s="65"/>
      <c r="O1487" s="65"/>
      <c r="P1487" s="65"/>
      <c r="Q1487" s="65"/>
      <c r="R1487" s="65"/>
      <c r="S1487" s="65"/>
      <c r="T1487" s="65"/>
      <c r="U1487" s="65"/>
      <c r="V1487" s="65"/>
      <c r="W1487" s="65"/>
      <c r="X1487" s="65"/>
      <c r="Y1487" s="65"/>
      <c r="Z1487" s="65"/>
      <c r="AA1487" s="65"/>
      <c r="AB1487" s="65"/>
      <c r="AC1487" s="65"/>
    </row>
    <row r="1488">
      <c r="A1488" s="72">
        <v>299.0</v>
      </c>
      <c r="B1488" s="67" t="s">
        <v>3674</v>
      </c>
      <c r="C1488" s="70" t="s">
        <v>56</v>
      </c>
      <c r="D1488" s="70" t="s">
        <v>284</v>
      </c>
      <c r="E1488" s="70" t="s">
        <v>3675</v>
      </c>
      <c r="F1488" s="70" t="s">
        <v>382</v>
      </c>
      <c r="G1488" s="70" t="s">
        <v>3676</v>
      </c>
      <c r="H1488" s="70" t="s">
        <v>3677</v>
      </c>
      <c r="I1488" s="72">
        <v>44.59</v>
      </c>
      <c r="J1488" s="70" t="s">
        <v>58</v>
      </c>
      <c r="K1488" s="65"/>
      <c r="L1488" s="65"/>
      <c r="M1488" s="65"/>
      <c r="N1488" s="65"/>
      <c r="O1488" s="65"/>
      <c r="P1488" s="65"/>
      <c r="Q1488" s="65"/>
      <c r="R1488" s="65"/>
      <c r="S1488" s="65"/>
      <c r="T1488" s="65"/>
      <c r="U1488" s="65"/>
      <c r="V1488" s="65"/>
      <c r="W1488" s="65"/>
      <c r="X1488" s="65"/>
      <c r="Y1488" s="65"/>
      <c r="Z1488" s="65"/>
      <c r="AA1488" s="65"/>
      <c r="AB1488" s="65"/>
      <c r="AC1488" s="65"/>
    </row>
    <row r="1489">
      <c r="A1489" s="72">
        <v>298.0</v>
      </c>
      <c r="B1489" s="67" t="s">
        <v>3678</v>
      </c>
      <c r="C1489" s="70" t="s">
        <v>56</v>
      </c>
      <c r="D1489" s="70" t="s">
        <v>320</v>
      </c>
      <c r="E1489" s="70" t="s">
        <v>2155</v>
      </c>
      <c r="F1489" s="70" t="s">
        <v>28</v>
      </c>
      <c r="G1489" s="70" t="s">
        <v>87</v>
      </c>
      <c r="H1489" s="70" t="s">
        <v>936</v>
      </c>
      <c r="I1489" s="72">
        <v>48.08</v>
      </c>
      <c r="J1489" s="70" t="s">
        <v>58</v>
      </c>
      <c r="K1489" s="65"/>
      <c r="L1489" s="65"/>
      <c r="M1489" s="65"/>
      <c r="N1489" s="65"/>
      <c r="O1489" s="65"/>
      <c r="P1489" s="65"/>
      <c r="Q1489" s="65"/>
      <c r="R1489" s="65"/>
      <c r="S1489" s="65"/>
      <c r="T1489" s="65"/>
      <c r="U1489" s="65"/>
      <c r="V1489" s="65"/>
      <c r="W1489" s="65"/>
      <c r="X1489" s="65"/>
      <c r="Y1489" s="65"/>
      <c r="Z1489" s="65"/>
      <c r="AA1489" s="65"/>
      <c r="AB1489" s="65"/>
      <c r="AC1489" s="65"/>
    </row>
    <row r="1490">
      <c r="A1490" s="72">
        <v>297.0</v>
      </c>
      <c r="B1490" s="67" t="s">
        <v>3679</v>
      </c>
      <c r="C1490" s="70" t="s">
        <v>60</v>
      </c>
      <c r="D1490" s="70" t="s">
        <v>445</v>
      </c>
      <c r="E1490" s="70" t="s">
        <v>3680</v>
      </c>
      <c r="F1490" s="70" t="s">
        <v>3681</v>
      </c>
      <c r="G1490" s="70" t="s">
        <v>3682</v>
      </c>
      <c r="H1490" s="70" t="s">
        <v>3683</v>
      </c>
      <c r="I1490" s="72">
        <v>49.99</v>
      </c>
      <c r="J1490" s="70" t="s">
        <v>58</v>
      </c>
      <c r="K1490" s="65"/>
      <c r="L1490" s="65"/>
      <c r="M1490" s="65"/>
      <c r="N1490" s="65"/>
      <c r="O1490" s="65"/>
      <c r="P1490" s="65"/>
      <c r="Q1490" s="65"/>
      <c r="R1490" s="65"/>
      <c r="S1490" s="65"/>
      <c r="T1490" s="65"/>
      <c r="U1490" s="65"/>
      <c r="V1490" s="65"/>
      <c r="W1490" s="65"/>
      <c r="X1490" s="65"/>
      <c r="Y1490" s="65"/>
      <c r="Z1490" s="65"/>
      <c r="AA1490" s="65"/>
      <c r="AB1490" s="65"/>
      <c r="AC1490" s="65"/>
    </row>
    <row r="1491">
      <c r="A1491" s="72">
        <v>296.0</v>
      </c>
      <c r="B1491" s="67" t="s">
        <v>3684</v>
      </c>
      <c r="C1491" s="70" t="s">
        <v>60</v>
      </c>
      <c r="D1491" s="70" t="s">
        <v>1288</v>
      </c>
      <c r="E1491" s="70" t="s">
        <v>3685</v>
      </c>
      <c r="F1491" s="70" t="s">
        <v>3686</v>
      </c>
      <c r="G1491" s="70" t="s">
        <v>3687</v>
      </c>
      <c r="H1491" s="70" t="s">
        <v>3688</v>
      </c>
      <c r="I1491" s="72">
        <v>58.14</v>
      </c>
      <c r="J1491" s="70" t="s">
        <v>58</v>
      </c>
      <c r="K1491" s="65"/>
      <c r="L1491" s="65"/>
      <c r="M1491" s="65"/>
      <c r="N1491" s="65"/>
      <c r="O1491" s="65"/>
      <c r="P1491" s="65"/>
      <c r="Q1491" s="65"/>
      <c r="R1491" s="65"/>
      <c r="S1491" s="65"/>
      <c r="T1491" s="65"/>
      <c r="U1491" s="65"/>
      <c r="V1491" s="65"/>
      <c r="W1491" s="65"/>
      <c r="X1491" s="65"/>
      <c r="Y1491" s="65"/>
      <c r="Z1491" s="65"/>
      <c r="AA1491" s="65"/>
      <c r="AB1491" s="65"/>
      <c r="AC1491" s="65"/>
    </row>
    <row r="1492">
      <c r="A1492" s="72">
        <v>295.0</v>
      </c>
      <c r="B1492" s="67" t="s">
        <v>3689</v>
      </c>
      <c r="C1492" s="70" t="s">
        <v>60</v>
      </c>
      <c r="D1492" s="70" t="s">
        <v>2487</v>
      </c>
      <c r="E1492" s="70" t="s">
        <v>3690</v>
      </c>
      <c r="F1492" s="70" t="s">
        <v>3691</v>
      </c>
      <c r="G1492" s="70" t="s">
        <v>3692</v>
      </c>
      <c r="H1492" s="70" t="s">
        <v>3693</v>
      </c>
      <c r="I1492" s="72">
        <v>47.17</v>
      </c>
      <c r="J1492" s="70" t="s">
        <v>58</v>
      </c>
      <c r="K1492" s="65"/>
      <c r="L1492" s="65"/>
      <c r="M1492" s="65"/>
      <c r="N1492" s="65"/>
      <c r="O1492" s="65"/>
      <c r="P1492" s="65"/>
      <c r="Q1492" s="65"/>
      <c r="R1492" s="65"/>
      <c r="S1492" s="65"/>
      <c r="T1492" s="65"/>
      <c r="U1492" s="65"/>
      <c r="V1492" s="65"/>
      <c r="W1492" s="65"/>
      <c r="X1492" s="65"/>
      <c r="Y1492" s="65"/>
      <c r="Z1492" s="65"/>
      <c r="AA1492" s="65"/>
      <c r="AB1492" s="65"/>
      <c r="AC1492" s="65"/>
    </row>
    <row r="1493">
      <c r="A1493" s="72">
        <v>294.0</v>
      </c>
      <c r="B1493" s="67" t="s">
        <v>3694</v>
      </c>
      <c r="C1493" s="70" t="s">
        <v>56</v>
      </c>
      <c r="D1493" s="70" t="s">
        <v>3695</v>
      </c>
      <c r="E1493" s="70" t="s">
        <v>28</v>
      </c>
      <c r="F1493" s="73"/>
      <c r="G1493" s="73"/>
      <c r="H1493" s="70" t="s">
        <v>28</v>
      </c>
      <c r="I1493" s="72">
        <v>50.7</v>
      </c>
      <c r="J1493" s="70" t="s">
        <v>58</v>
      </c>
      <c r="K1493" s="65"/>
      <c r="L1493" s="65"/>
      <c r="M1493" s="65"/>
      <c r="N1493" s="65"/>
      <c r="O1493" s="65"/>
      <c r="P1493" s="65"/>
      <c r="Q1493" s="65"/>
      <c r="R1493" s="65"/>
      <c r="S1493" s="65"/>
      <c r="T1493" s="65"/>
      <c r="U1493" s="65"/>
      <c r="V1493" s="65"/>
      <c r="W1493" s="65"/>
      <c r="X1493" s="65"/>
      <c r="Y1493" s="65"/>
      <c r="Z1493" s="65"/>
      <c r="AA1493" s="65"/>
      <c r="AB1493" s="65"/>
      <c r="AC1493" s="65"/>
    </row>
    <row r="1494">
      <c r="A1494" s="72">
        <v>293.0</v>
      </c>
      <c r="B1494" s="67" t="s">
        <v>3696</v>
      </c>
      <c r="C1494" s="70" t="s">
        <v>69</v>
      </c>
      <c r="D1494" s="70" t="s">
        <v>70</v>
      </c>
      <c r="E1494" s="70" t="s">
        <v>28</v>
      </c>
      <c r="F1494" s="73"/>
      <c r="G1494" s="73"/>
      <c r="H1494" s="70" t="s">
        <v>28</v>
      </c>
      <c r="I1494" s="72">
        <v>61.41</v>
      </c>
      <c r="J1494" s="70" t="s">
        <v>58</v>
      </c>
      <c r="K1494" s="65"/>
      <c r="L1494" s="65"/>
      <c r="M1494" s="65"/>
      <c r="N1494" s="65"/>
      <c r="O1494" s="65"/>
      <c r="P1494" s="65"/>
      <c r="Q1494" s="65"/>
      <c r="R1494" s="65"/>
      <c r="S1494" s="65"/>
      <c r="T1494" s="65"/>
      <c r="U1494" s="65"/>
      <c r="V1494" s="65"/>
      <c r="W1494" s="65"/>
      <c r="X1494" s="65"/>
      <c r="Y1494" s="65"/>
      <c r="Z1494" s="65"/>
      <c r="AA1494" s="65"/>
      <c r="AB1494" s="65"/>
      <c r="AC1494" s="65"/>
    </row>
    <row r="1495">
      <c r="A1495" s="72">
        <v>292.0</v>
      </c>
      <c r="B1495" s="67" t="s">
        <v>3697</v>
      </c>
      <c r="C1495" s="70" t="s">
        <v>69</v>
      </c>
      <c r="D1495" s="70" t="s">
        <v>3698</v>
      </c>
      <c r="E1495" s="70" t="s">
        <v>3699</v>
      </c>
      <c r="F1495" s="73"/>
      <c r="G1495" s="70" t="s">
        <v>189</v>
      </c>
      <c r="H1495" s="70" t="s">
        <v>3700</v>
      </c>
      <c r="I1495" s="72">
        <v>55.12</v>
      </c>
      <c r="J1495" s="70" t="s">
        <v>58</v>
      </c>
      <c r="K1495" s="65"/>
      <c r="L1495" s="65"/>
      <c r="M1495" s="65"/>
      <c r="N1495" s="65"/>
      <c r="O1495" s="65"/>
      <c r="P1495" s="65"/>
      <c r="Q1495" s="65"/>
      <c r="R1495" s="65"/>
      <c r="S1495" s="65"/>
      <c r="T1495" s="65"/>
      <c r="U1495" s="65"/>
      <c r="V1495" s="65"/>
      <c r="W1495" s="65"/>
      <c r="X1495" s="65"/>
      <c r="Y1495" s="65"/>
      <c r="Z1495" s="65"/>
      <c r="AA1495" s="65"/>
      <c r="AB1495" s="65"/>
      <c r="AC1495" s="65"/>
    </row>
    <row r="1496">
      <c r="A1496" s="72">
        <v>291.0</v>
      </c>
      <c r="B1496" s="67" t="s">
        <v>3701</v>
      </c>
      <c r="C1496" s="70" t="s">
        <v>56</v>
      </c>
      <c r="D1496" s="70" t="s">
        <v>271</v>
      </c>
      <c r="E1496" s="70" t="s">
        <v>3702</v>
      </c>
      <c r="F1496" s="70" t="s">
        <v>64</v>
      </c>
      <c r="G1496" s="70" t="s">
        <v>684</v>
      </c>
      <c r="H1496" s="70" t="s">
        <v>3703</v>
      </c>
      <c r="I1496" s="72">
        <v>44.32</v>
      </c>
      <c r="J1496" s="70" t="s">
        <v>58</v>
      </c>
      <c r="K1496" s="65"/>
      <c r="L1496" s="65"/>
      <c r="M1496" s="65"/>
      <c r="N1496" s="65"/>
      <c r="O1496" s="65"/>
      <c r="P1496" s="65"/>
      <c r="Q1496" s="65"/>
      <c r="R1496" s="65"/>
      <c r="S1496" s="65"/>
      <c r="T1496" s="65"/>
      <c r="U1496" s="65"/>
      <c r="V1496" s="65"/>
      <c r="W1496" s="65"/>
      <c r="X1496" s="65"/>
      <c r="Y1496" s="65"/>
      <c r="Z1496" s="65"/>
      <c r="AA1496" s="65"/>
      <c r="AB1496" s="65"/>
      <c r="AC1496" s="65"/>
    </row>
    <row r="1497">
      <c r="A1497" s="72">
        <v>290.0</v>
      </c>
      <c r="B1497" s="67" t="s">
        <v>3704</v>
      </c>
      <c r="C1497" s="70" t="s">
        <v>69</v>
      </c>
      <c r="D1497" s="70" t="s">
        <v>284</v>
      </c>
      <c r="E1497" s="70" t="s">
        <v>3705</v>
      </c>
      <c r="F1497" s="70" t="s">
        <v>579</v>
      </c>
      <c r="G1497" s="70" t="s">
        <v>3706</v>
      </c>
      <c r="H1497" s="70" t="s">
        <v>3707</v>
      </c>
      <c r="I1497" s="72">
        <v>38.4</v>
      </c>
      <c r="J1497" s="70" t="s">
        <v>58</v>
      </c>
      <c r="K1497" s="65"/>
      <c r="L1497" s="65"/>
      <c r="M1497" s="65"/>
      <c r="N1497" s="65"/>
      <c r="O1497" s="65"/>
      <c r="P1497" s="65"/>
      <c r="Q1497" s="65"/>
      <c r="R1497" s="65"/>
      <c r="S1497" s="65"/>
      <c r="T1497" s="65"/>
      <c r="U1497" s="65"/>
      <c r="V1497" s="65"/>
      <c r="W1497" s="65"/>
      <c r="X1497" s="65"/>
      <c r="Y1497" s="65"/>
      <c r="Z1497" s="65"/>
      <c r="AA1497" s="65"/>
      <c r="AB1497" s="65"/>
      <c r="AC1497" s="65"/>
    </row>
    <row r="1498">
      <c r="A1498" s="72">
        <v>289.0</v>
      </c>
      <c r="B1498" s="67" t="s">
        <v>3708</v>
      </c>
      <c r="C1498" s="70" t="s">
        <v>56</v>
      </c>
      <c r="D1498" s="70" t="s">
        <v>93</v>
      </c>
      <c r="E1498" s="70" t="s">
        <v>3709</v>
      </c>
      <c r="F1498" s="70" t="s">
        <v>3710</v>
      </c>
      <c r="G1498" s="70" t="s">
        <v>3711</v>
      </c>
      <c r="H1498" s="70" t="s">
        <v>3712</v>
      </c>
      <c r="I1498" s="72">
        <v>58.53</v>
      </c>
      <c r="J1498" s="70" t="s">
        <v>58</v>
      </c>
      <c r="K1498" s="65"/>
      <c r="L1498" s="65"/>
      <c r="M1498" s="65"/>
      <c r="N1498" s="65"/>
      <c r="O1498" s="65"/>
      <c r="P1498" s="65"/>
      <c r="Q1498" s="65"/>
      <c r="R1498" s="65"/>
      <c r="S1498" s="65"/>
      <c r="T1498" s="65"/>
      <c r="U1498" s="65"/>
      <c r="V1498" s="65"/>
      <c r="W1498" s="65"/>
      <c r="X1498" s="65"/>
      <c r="Y1498" s="65"/>
      <c r="Z1498" s="65"/>
      <c r="AA1498" s="65"/>
      <c r="AB1498" s="65"/>
      <c r="AC1498" s="65"/>
    </row>
    <row r="1499">
      <c r="A1499" s="72">
        <v>288.0</v>
      </c>
      <c r="B1499" s="67" t="s">
        <v>3713</v>
      </c>
      <c r="C1499" s="70" t="s">
        <v>56</v>
      </c>
      <c r="D1499" s="70" t="s">
        <v>737</v>
      </c>
      <c r="E1499" s="70" t="s">
        <v>96</v>
      </c>
      <c r="F1499" s="73"/>
      <c r="G1499" s="70" t="s">
        <v>71</v>
      </c>
      <c r="H1499" s="70" t="s">
        <v>612</v>
      </c>
      <c r="I1499" s="72">
        <v>23.14</v>
      </c>
      <c r="J1499" s="70" t="s">
        <v>58</v>
      </c>
      <c r="K1499" s="65"/>
      <c r="L1499" s="65"/>
      <c r="M1499" s="65"/>
      <c r="N1499" s="65"/>
      <c r="O1499" s="65"/>
      <c r="P1499" s="65"/>
      <c r="Q1499" s="65"/>
      <c r="R1499" s="65"/>
      <c r="S1499" s="65"/>
      <c r="T1499" s="65"/>
      <c r="U1499" s="65"/>
      <c r="V1499" s="65"/>
      <c r="W1499" s="65"/>
      <c r="X1499" s="65"/>
      <c r="Y1499" s="65"/>
      <c r="Z1499" s="65"/>
      <c r="AA1499" s="65"/>
      <c r="AB1499" s="65"/>
      <c r="AC1499" s="65"/>
    </row>
    <row r="1500">
      <c r="A1500" s="72">
        <v>287.0</v>
      </c>
      <c r="B1500" s="67" t="s">
        <v>3714</v>
      </c>
      <c r="C1500" s="70" t="s">
        <v>56</v>
      </c>
      <c r="D1500" s="70" t="s">
        <v>3715</v>
      </c>
      <c r="E1500" s="70" t="s">
        <v>3716</v>
      </c>
      <c r="F1500" s="70" t="s">
        <v>3717</v>
      </c>
      <c r="G1500" s="70" t="s">
        <v>3718</v>
      </c>
      <c r="H1500" s="70" t="s">
        <v>3719</v>
      </c>
      <c r="I1500" s="72">
        <v>57.72</v>
      </c>
      <c r="J1500" s="70" t="s">
        <v>58</v>
      </c>
      <c r="K1500" s="65"/>
      <c r="L1500" s="65"/>
      <c r="M1500" s="65"/>
      <c r="N1500" s="65"/>
      <c r="O1500" s="65"/>
      <c r="P1500" s="65"/>
      <c r="Q1500" s="65"/>
      <c r="R1500" s="65"/>
      <c r="S1500" s="65"/>
      <c r="T1500" s="65"/>
      <c r="U1500" s="65"/>
      <c r="V1500" s="65"/>
      <c r="W1500" s="65"/>
      <c r="X1500" s="65"/>
      <c r="Y1500" s="65"/>
      <c r="Z1500" s="65"/>
      <c r="AA1500" s="65"/>
      <c r="AB1500" s="65"/>
      <c r="AC1500" s="65"/>
    </row>
    <row r="1501">
      <c r="A1501" s="72">
        <v>286.0</v>
      </c>
      <c r="B1501" s="67" t="s">
        <v>3720</v>
      </c>
      <c r="C1501" s="70" t="s">
        <v>56</v>
      </c>
      <c r="D1501" s="70" t="s">
        <v>852</v>
      </c>
      <c r="E1501" s="70" t="s">
        <v>3721</v>
      </c>
      <c r="F1501" s="70" t="s">
        <v>3722</v>
      </c>
      <c r="G1501" s="70" t="s">
        <v>3723</v>
      </c>
      <c r="H1501" s="70" t="s">
        <v>3724</v>
      </c>
      <c r="I1501" s="72">
        <v>56.71</v>
      </c>
      <c r="J1501" s="70" t="s">
        <v>58</v>
      </c>
      <c r="K1501" s="65"/>
      <c r="L1501" s="65"/>
      <c r="M1501" s="65"/>
      <c r="N1501" s="65"/>
      <c r="O1501" s="65"/>
      <c r="P1501" s="65"/>
      <c r="Q1501" s="65"/>
      <c r="R1501" s="65"/>
      <c r="S1501" s="65"/>
      <c r="T1501" s="65"/>
      <c r="U1501" s="65"/>
      <c r="V1501" s="65"/>
      <c r="W1501" s="65"/>
      <c r="X1501" s="65"/>
      <c r="Y1501" s="65"/>
      <c r="Z1501" s="65"/>
      <c r="AA1501" s="65"/>
      <c r="AB1501" s="65"/>
      <c r="AC1501" s="65"/>
    </row>
    <row r="1502">
      <c r="A1502" s="72">
        <v>285.0</v>
      </c>
      <c r="B1502" s="67" t="s">
        <v>3725</v>
      </c>
      <c r="C1502" s="70" t="s">
        <v>56</v>
      </c>
      <c r="D1502" s="70" t="s">
        <v>320</v>
      </c>
      <c r="E1502" s="70" t="s">
        <v>3726</v>
      </c>
      <c r="F1502" s="70" t="s">
        <v>411</v>
      </c>
      <c r="G1502" s="70" t="s">
        <v>3727</v>
      </c>
      <c r="H1502" s="70" t="s">
        <v>3728</v>
      </c>
      <c r="I1502" s="72">
        <v>43.08</v>
      </c>
      <c r="J1502" s="70" t="s">
        <v>58</v>
      </c>
      <c r="K1502" s="65"/>
      <c r="L1502" s="65"/>
      <c r="M1502" s="65"/>
      <c r="N1502" s="65"/>
      <c r="O1502" s="65"/>
      <c r="P1502" s="65"/>
      <c r="Q1502" s="65"/>
      <c r="R1502" s="65"/>
      <c r="S1502" s="65"/>
      <c r="T1502" s="65"/>
      <c r="U1502" s="65"/>
      <c r="V1502" s="65"/>
      <c r="W1502" s="65"/>
      <c r="X1502" s="65"/>
      <c r="Y1502" s="65"/>
      <c r="Z1502" s="65"/>
      <c r="AA1502" s="65"/>
      <c r="AB1502" s="65"/>
      <c r="AC1502" s="65"/>
    </row>
    <row r="1503">
      <c r="A1503" s="70">
        <v>284.0</v>
      </c>
      <c r="B1503" s="67" t="s">
        <v>3729</v>
      </c>
      <c r="C1503" s="70" t="s">
        <v>56</v>
      </c>
      <c r="D1503" s="70" t="s">
        <v>440</v>
      </c>
      <c r="E1503" s="70" t="s">
        <v>3730</v>
      </c>
      <c r="F1503" s="70" t="s">
        <v>2556</v>
      </c>
      <c r="G1503" s="70" t="s">
        <v>3731</v>
      </c>
      <c r="H1503" s="70" t="s">
        <v>3732</v>
      </c>
      <c r="I1503" s="70">
        <v>50.76</v>
      </c>
      <c r="J1503" s="70" t="s">
        <v>58</v>
      </c>
      <c r="K1503" s="65"/>
      <c r="L1503" s="65"/>
      <c r="M1503" s="65"/>
      <c r="N1503" s="65"/>
      <c r="O1503" s="65"/>
      <c r="P1503" s="65"/>
      <c r="Q1503" s="65"/>
      <c r="R1503" s="65"/>
      <c r="S1503" s="65"/>
      <c r="T1503" s="65"/>
      <c r="U1503" s="65"/>
      <c r="V1503" s="65"/>
      <c r="W1503" s="65"/>
      <c r="X1503" s="65"/>
      <c r="Y1503" s="65"/>
      <c r="Z1503" s="65"/>
      <c r="AA1503" s="65"/>
      <c r="AB1503" s="65"/>
      <c r="AC1503" s="65"/>
    </row>
    <row r="1504">
      <c r="A1504" s="70">
        <v>283.0</v>
      </c>
      <c r="B1504" s="67" t="s">
        <v>3733</v>
      </c>
      <c r="C1504" s="70" t="s">
        <v>69</v>
      </c>
      <c r="D1504" s="70" t="s">
        <v>1755</v>
      </c>
      <c r="E1504" s="70" t="s">
        <v>3734</v>
      </c>
      <c r="F1504" s="70" t="s">
        <v>3735</v>
      </c>
      <c r="G1504" s="70" t="s">
        <v>3736</v>
      </c>
      <c r="H1504" s="70" t="s">
        <v>3737</v>
      </c>
      <c r="I1504" s="70">
        <v>58.62</v>
      </c>
      <c r="J1504" s="70" t="s">
        <v>58</v>
      </c>
      <c r="K1504" s="65"/>
      <c r="L1504" s="65"/>
      <c r="M1504" s="65"/>
      <c r="N1504" s="65"/>
      <c r="O1504" s="65"/>
      <c r="P1504" s="65"/>
      <c r="Q1504" s="65"/>
      <c r="R1504" s="65"/>
      <c r="S1504" s="65"/>
      <c r="T1504" s="65"/>
      <c r="U1504" s="65"/>
      <c r="V1504" s="65"/>
      <c r="W1504" s="65"/>
      <c r="X1504" s="65"/>
      <c r="Y1504" s="65"/>
      <c r="Z1504" s="65"/>
      <c r="AA1504" s="65"/>
      <c r="AB1504" s="65"/>
      <c r="AC1504" s="65"/>
    </row>
    <row r="1505">
      <c r="A1505" s="70">
        <v>282.0</v>
      </c>
      <c r="B1505" s="67" t="s">
        <v>3738</v>
      </c>
      <c r="C1505" s="70" t="s">
        <v>60</v>
      </c>
      <c r="D1505" s="70" t="s">
        <v>1078</v>
      </c>
      <c r="E1505" s="70" t="s">
        <v>3739</v>
      </c>
      <c r="F1505" s="70" t="s">
        <v>3740</v>
      </c>
      <c r="G1505" s="70" t="s">
        <v>3741</v>
      </c>
      <c r="H1505" s="70" t="s">
        <v>3742</v>
      </c>
      <c r="I1505" s="70">
        <v>36.84</v>
      </c>
      <c r="J1505" s="70" t="s">
        <v>58</v>
      </c>
      <c r="K1505" s="65"/>
      <c r="L1505" s="65"/>
      <c r="M1505" s="65"/>
      <c r="N1505" s="65"/>
      <c r="O1505" s="65"/>
      <c r="P1505" s="65"/>
      <c r="Q1505" s="65"/>
      <c r="R1505" s="65"/>
      <c r="S1505" s="65"/>
      <c r="T1505" s="65"/>
      <c r="U1505" s="65"/>
      <c r="V1505" s="65"/>
      <c r="W1505" s="65"/>
      <c r="X1505" s="65"/>
      <c r="Y1505" s="65"/>
      <c r="Z1505" s="65"/>
      <c r="AA1505" s="65"/>
      <c r="AB1505" s="65"/>
      <c r="AC1505" s="65"/>
    </row>
    <row r="1506">
      <c r="A1506" s="70">
        <v>281.0</v>
      </c>
      <c r="B1506" s="67" t="s">
        <v>3743</v>
      </c>
      <c r="C1506" s="70" t="s">
        <v>56</v>
      </c>
      <c r="D1506" s="70" t="s">
        <v>440</v>
      </c>
      <c r="E1506" s="70" t="s">
        <v>3744</v>
      </c>
      <c r="F1506" s="70" t="s">
        <v>620</v>
      </c>
      <c r="G1506" s="70" t="s">
        <v>3745</v>
      </c>
      <c r="H1506" s="70" t="s">
        <v>3746</v>
      </c>
      <c r="I1506" s="70">
        <v>59.51</v>
      </c>
      <c r="J1506" s="70" t="s">
        <v>58</v>
      </c>
      <c r="K1506" s="65"/>
      <c r="L1506" s="65"/>
      <c r="M1506" s="65"/>
      <c r="N1506" s="65"/>
      <c r="O1506" s="65"/>
      <c r="P1506" s="65"/>
      <c r="Q1506" s="65"/>
      <c r="R1506" s="65"/>
      <c r="S1506" s="65"/>
      <c r="T1506" s="65"/>
      <c r="U1506" s="65"/>
      <c r="V1506" s="65"/>
      <c r="W1506" s="65"/>
      <c r="X1506" s="65"/>
      <c r="Y1506" s="65"/>
      <c r="Z1506" s="65"/>
      <c r="AA1506" s="65"/>
      <c r="AB1506" s="65"/>
      <c r="AC1506" s="65"/>
    </row>
    <row r="1507">
      <c r="A1507" s="70">
        <v>280.0</v>
      </c>
      <c r="B1507" s="67" t="s">
        <v>3747</v>
      </c>
      <c r="C1507" s="70" t="s">
        <v>56</v>
      </c>
      <c r="D1507" s="70" t="s">
        <v>370</v>
      </c>
      <c r="E1507" s="70" t="s">
        <v>2111</v>
      </c>
      <c r="F1507" s="73"/>
      <c r="G1507" s="70" t="s">
        <v>612</v>
      </c>
      <c r="H1507" s="70" t="s">
        <v>3748</v>
      </c>
      <c r="I1507" s="70">
        <v>64.72</v>
      </c>
      <c r="J1507" s="70" t="s">
        <v>58</v>
      </c>
      <c r="K1507" s="65"/>
      <c r="L1507" s="65"/>
      <c r="M1507" s="65"/>
      <c r="N1507" s="65"/>
      <c r="O1507" s="65"/>
      <c r="P1507" s="65"/>
      <c r="Q1507" s="65"/>
      <c r="R1507" s="65"/>
      <c r="S1507" s="65"/>
      <c r="T1507" s="65"/>
      <c r="U1507" s="65"/>
      <c r="V1507" s="65"/>
      <c r="W1507" s="65"/>
      <c r="X1507" s="65"/>
      <c r="Y1507" s="65"/>
      <c r="Z1507" s="65"/>
      <c r="AA1507" s="65"/>
      <c r="AB1507" s="65"/>
      <c r="AC1507" s="65"/>
    </row>
    <row r="1508">
      <c r="A1508" s="70">
        <v>279.0</v>
      </c>
      <c r="B1508" s="67" t="s">
        <v>3749</v>
      </c>
      <c r="C1508" s="70" t="s">
        <v>56</v>
      </c>
      <c r="D1508" s="70" t="s">
        <v>3750</v>
      </c>
      <c r="E1508" s="70" t="s">
        <v>3751</v>
      </c>
      <c r="F1508" s="70" t="s">
        <v>3752</v>
      </c>
      <c r="G1508" s="70" t="s">
        <v>3753</v>
      </c>
      <c r="H1508" s="70" t="s">
        <v>3754</v>
      </c>
      <c r="I1508" s="70">
        <v>49.06</v>
      </c>
      <c r="J1508" s="70" t="s">
        <v>58</v>
      </c>
      <c r="K1508" s="65"/>
      <c r="L1508" s="65"/>
      <c r="M1508" s="65"/>
      <c r="N1508" s="65"/>
      <c r="O1508" s="65"/>
      <c r="P1508" s="65"/>
      <c r="Q1508" s="65"/>
      <c r="R1508" s="65"/>
      <c r="S1508" s="65"/>
      <c r="T1508" s="65"/>
      <c r="U1508" s="65"/>
      <c r="V1508" s="65"/>
      <c r="W1508" s="65"/>
      <c r="X1508" s="65"/>
      <c r="Y1508" s="65"/>
      <c r="Z1508" s="65"/>
      <c r="AA1508" s="65"/>
      <c r="AB1508" s="65"/>
      <c r="AC1508" s="65"/>
    </row>
    <row r="1509">
      <c r="A1509" s="70">
        <v>278.0</v>
      </c>
      <c r="B1509" s="67" t="s">
        <v>3755</v>
      </c>
      <c r="C1509" s="70" t="s">
        <v>69</v>
      </c>
      <c r="D1509" s="70" t="s">
        <v>502</v>
      </c>
      <c r="E1509" s="70" t="s">
        <v>3756</v>
      </c>
      <c r="F1509" s="70" t="s">
        <v>71</v>
      </c>
      <c r="G1509" s="70" t="s">
        <v>3757</v>
      </c>
      <c r="H1509" s="70" t="s">
        <v>3758</v>
      </c>
      <c r="I1509" s="70">
        <v>37.61</v>
      </c>
      <c r="J1509" s="70" t="s">
        <v>58</v>
      </c>
      <c r="K1509" s="65"/>
      <c r="L1509" s="65"/>
      <c r="M1509" s="65"/>
      <c r="N1509" s="65"/>
      <c r="O1509" s="65"/>
      <c r="P1509" s="65"/>
      <c r="Q1509" s="65"/>
      <c r="R1509" s="65"/>
      <c r="S1509" s="65"/>
      <c r="T1509" s="65"/>
      <c r="U1509" s="65"/>
      <c r="V1509" s="65"/>
      <c r="W1509" s="65"/>
      <c r="X1509" s="65"/>
      <c r="Y1509" s="65"/>
      <c r="Z1509" s="65"/>
      <c r="AA1509" s="65"/>
      <c r="AB1509" s="65"/>
      <c r="AC1509" s="65"/>
    </row>
    <row r="1510">
      <c r="A1510" s="70">
        <v>277.0</v>
      </c>
      <c r="B1510" s="67" t="s">
        <v>3759</v>
      </c>
      <c r="C1510" s="70" t="s">
        <v>56</v>
      </c>
      <c r="D1510" s="70" t="s">
        <v>93</v>
      </c>
      <c r="E1510" s="70" t="s">
        <v>3760</v>
      </c>
      <c r="F1510" s="70" t="s">
        <v>3761</v>
      </c>
      <c r="G1510" s="70" t="s">
        <v>3762</v>
      </c>
      <c r="H1510" s="70" t="s">
        <v>3763</v>
      </c>
      <c r="I1510" s="70">
        <v>43.85</v>
      </c>
      <c r="J1510" s="70" t="s">
        <v>58</v>
      </c>
      <c r="K1510" s="65"/>
      <c r="L1510" s="65"/>
      <c r="M1510" s="65"/>
      <c r="N1510" s="65"/>
      <c r="O1510" s="65"/>
      <c r="P1510" s="65"/>
      <c r="Q1510" s="65"/>
      <c r="R1510" s="65"/>
      <c r="S1510" s="65"/>
      <c r="T1510" s="65"/>
      <c r="U1510" s="65"/>
      <c r="V1510" s="65"/>
      <c r="W1510" s="65"/>
      <c r="X1510" s="65"/>
      <c r="Y1510" s="65"/>
      <c r="Z1510" s="65"/>
      <c r="AA1510" s="65"/>
      <c r="AB1510" s="65"/>
      <c r="AC1510" s="65"/>
    </row>
    <row r="1511">
      <c r="A1511" s="70">
        <v>276.0</v>
      </c>
      <c r="B1511" s="67" t="s">
        <v>3764</v>
      </c>
      <c r="C1511" s="70" t="s">
        <v>56</v>
      </c>
      <c r="D1511" s="70" t="s">
        <v>76</v>
      </c>
      <c r="E1511" s="70" t="s">
        <v>3765</v>
      </c>
      <c r="F1511" s="73"/>
      <c r="G1511" s="70" t="s">
        <v>3766</v>
      </c>
      <c r="H1511" s="70" t="s">
        <v>3767</v>
      </c>
      <c r="I1511" s="70">
        <v>39.11</v>
      </c>
      <c r="J1511" s="70" t="s">
        <v>58</v>
      </c>
      <c r="K1511" s="65"/>
      <c r="L1511" s="65"/>
      <c r="M1511" s="65"/>
      <c r="N1511" s="65"/>
      <c r="O1511" s="65"/>
      <c r="P1511" s="65"/>
      <c r="Q1511" s="65"/>
      <c r="R1511" s="65"/>
      <c r="S1511" s="65"/>
      <c r="T1511" s="65"/>
      <c r="U1511" s="65"/>
      <c r="V1511" s="65"/>
      <c r="W1511" s="65"/>
      <c r="X1511" s="65"/>
      <c r="Y1511" s="65"/>
      <c r="Z1511" s="65"/>
      <c r="AA1511" s="65"/>
      <c r="AB1511" s="65"/>
      <c r="AC1511" s="65"/>
    </row>
    <row r="1512">
      <c r="A1512" s="70">
        <v>275.0</v>
      </c>
      <c r="B1512" s="67" t="s">
        <v>3768</v>
      </c>
      <c r="C1512" s="70" t="s">
        <v>56</v>
      </c>
      <c r="D1512" s="70" t="s">
        <v>502</v>
      </c>
      <c r="E1512" s="70" t="s">
        <v>3769</v>
      </c>
      <c r="F1512" s="70" t="s">
        <v>110</v>
      </c>
      <c r="G1512" s="70" t="s">
        <v>110</v>
      </c>
      <c r="H1512" s="70" t="s">
        <v>3770</v>
      </c>
      <c r="I1512" s="70">
        <v>36.32</v>
      </c>
      <c r="J1512" s="70" t="s">
        <v>58</v>
      </c>
      <c r="K1512" s="65"/>
      <c r="L1512" s="65"/>
      <c r="M1512" s="65"/>
      <c r="N1512" s="65"/>
      <c r="O1512" s="65"/>
      <c r="P1512" s="65"/>
      <c r="Q1512" s="65"/>
      <c r="R1512" s="65"/>
      <c r="S1512" s="65"/>
      <c r="T1512" s="65"/>
      <c r="U1512" s="65"/>
      <c r="V1512" s="65"/>
      <c r="W1512" s="65"/>
      <c r="X1512" s="65"/>
      <c r="Y1512" s="65"/>
      <c r="Z1512" s="65"/>
      <c r="AA1512" s="65"/>
      <c r="AB1512" s="65"/>
      <c r="AC1512" s="65"/>
    </row>
    <row r="1513">
      <c r="A1513" s="70">
        <v>274.0</v>
      </c>
      <c r="B1513" s="67" t="s">
        <v>3771</v>
      </c>
      <c r="C1513" s="70" t="s">
        <v>56</v>
      </c>
      <c r="D1513" s="70" t="s">
        <v>108</v>
      </c>
      <c r="E1513" s="70" t="s">
        <v>3772</v>
      </c>
      <c r="F1513" s="70" t="s">
        <v>3773</v>
      </c>
      <c r="G1513" s="70" t="s">
        <v>3774</v>
      </c>
      <c r="H1513" s="70" t="s">
        <v>3775</v>
      </c>
      <c r="I1513" s="70">
        <v>36.37</v>
      </c>
      <c r="J1513" s="70" t="s">
        <v>58</v>
      </c>
      <c r="K1513" s="65"/>
      <c r="L1513" s="65"/>
      <c r="M1513" s="65"/>
      <c r="N1513" s="65"/>
      <c r="O1513" s="65"/>
      <c r="P1513" s="65"/>
      <c r="Q1513" s="65"/>
      <c r="R1513" s="65"/>
      <c r="S1513" s="65"/>
      <c r="T1513" s="65"/>
      <c r="U1513" s="65"/>
      <c r="V1513" s="65"/>
      <c r="W1513" s="65"/>
      <c r="X1513" s="65"/>
      <c r="Y1513" s="65"/>
      <c r="Z1513" s="65"/>
      <c r="AA1513" s="65"/>
      <c r="AB1513" s="65"/>
      <c r="AC1513" s="65"/>
    </row>
    <row r="1514">
      <c r="A1514" s="70">
        <v>273.0</v>
      </c>
      <c r="B1514" s="67" t="s">
        <v>3776</v>
      </c>
      <c r="C1514" s="70" t="s">
        <v>60</v>
      </c>
      <c r="D1514" s="70" t="s">
        <v>588</v>
      </c>
      <c r="E1514" s="70" t="s">
        <v>3777</v>
      </c>
      <c r="F1514" s="70" t="s">
        <v>3778</v>
      </c>
      <c r="G1514" s="70" t="s">
        <v>3779</v>
      </c>
      <c r="H1514" s="70" t="s">
        <v>3780</v>
      </c>
      <c r="I1514" s="70">
        <v>28.18</v>
      </c>
      <c r="J1514" s="70" t="s">
        <v>58</v>
      </c>
      <c r="K1514" s="65"/>
      <c r="L1514" s="65"/>
      <c r="M1514" s="65"/>
      <c r="N1514" s="65"/>
      <c r="O1514" s="65"/>
      <c r="P1514" s="65"/>
      <c r="Q1514" s="65"/>
      <c r="R1514" s="65"/>
      <c r="S1514" s="65"/>
      <c r="T1514" s="65"/>
      <c r="U1514" s="65"/>
      <c r="V1514" s="65"/>
      <c r="W1514" s="65"/>
      <c r="X1514" s="65"/>
      <c r="Y1514" s="65"/>
      <c r="Z1514" s="65"/>
      <c r="AA1514" s="65"/>
      <c r="AB1514" s="65"/>
      <c r="AC1514" s="65"/>
    </row>
    <row r="1515">
      <c r="A1515" s="70">
        <v>272.0</v>
      </c>
      <c r="B1515" s="67" t="s">
        <v>3781</v>
      </c>
      <c r="C1515" s="70" t="s">
        <v>60</v>
      </c>
      <c r="D1515" s="70" t="s">
        <v>3782</v>
      </c>
      <c r="E1515" s="70" t="s">
        <v>3783</v>
      </c>
      <c r="F1515" s="70" t="s">
        <v>3784</v>
      </c>
      <c r="G1515" s="70" t="s">
        <v>3785</v>
      </c>
      <c r="H1515" s="70" t="s">
        <v>3786</v>
      </c>
      <c r="I1515" s="70">
        <v>52.47</v>
      </c>
      <c r="J1515" s="70" t="s">
        <v>58</v>
      </c>
      <c r="K1515" s="65"/>
      <c r="L1515" s="65"/>
      <c r="M1515" s="65"/>
      <c r="N1515" s="65"/>
      <c r="O1515" s="65"/>
      <c r="P1515" s="65"/>
      <c r="Q1515" s="65"/>
      <c r="R1515" s="65"/>
      <c r="S1515" s="65"/>
      <c r="T1515" s="65"/>
      <c r="U1515" s="65"/>
      <c r="V1515" s="65"/>
      <c r="W1515" s="65"/>
      <c r="X1515" s="65"/>
      <c r="Y1515" s="65"/>
      <c r="Z1515" s="65"/>
      <c r="AA1515" s="65"/>
      <c r="AB1515" s="65"/>
      <c r="AC1515" s="65"/>
    </row>
    <row r="1516">
      <c r="A1516" s="70">
        <v>271.0</v>
      </c>
      <c r="B1516" s="67" t="s">
        <v>3787</v>
      </c>
      <c r="C1516" s="70" t="s">
        <v>56</v>
      </c>
      <c r="D1516" s="70" t="s">
        <v>70</v>
      </c>
      <c r="E1516" s="70" t="s">
        <v>3788</v>
      </c>
      <c r="F1516" s="73"/>
      <c r="G1516" s="70" t="s">
        <v>242</v>
      </c>
      <c r="H1516" s="70" t="s">
        <v>3789</v>
      </c>
      <c r="I1516" s="70">
        <v>32.87</v>
      </c>
      <c r="J1516" s="70" t="s">
        <v>58</v>
      </c>
      <c r="K1516" s="65"/>
      <c r="L1516" s="65"/>
      <c r="M1516" s="65"/>
      <c r="N1516" s="65"/>
      <c r="O1516" s="65"/>
      <c r="P1516" s="65"/>
      <c r="Q1516" s="65"/>
      <c r="R1516" s="65"/>
      <c r="S1516" s="65"/>
      <c r="T1516" s="65"/>
      <c r="U1516" s="65"/>
      <c r="V1516" s="65"/>
      <c r="W1516" s="65"/>
      <c r="X1516" s="65"/>
      <c r="Y1516" s="65"/>
      <c r="Z1516" s="65"/>
      <c r="AA1516" s="65"/>
      <c r="AB1516" s="65"/>
      <c r="AC1516" s="65"/>
    </row>
    <row r="1517">
      <c r="A1517" s="70">
        <v>270.0</v>
      </c>
      <c r="B1517" s="67" t="s">
        <v>3790</v>
      </c>
      <c r="C1517" s="70" t="s">
        <v>69</v>
      </c>
      <c r="D1517" s="70" t="s">
        <v>3791</v>
      </c>
      <c r="E1517" s="70" t="s">
        <v>3792</v>
      </c>
      <c r="F1517" s="70" t="s">
        <v>3793</v>
      </c>
      <c r="G1517" s="70" t="s">
        <v>3794</v>
      </c>
      <c r="H1517" s="70" t="s">
        <v>3795</v>
      </c>
      <c r="I1517" s="70">
        <v>50.09</v>
      </c>
      <c r="J1517" s="70" t="s">
        <v>58</v>
      </c>
      <c r="K1517" s="65"/>
      <c r="L1517" s="65"/>
      <c r="M1517" s="65"/>
      <c r="N1517" s="65"/>
      <c r="O1517" s="65"/>
      <c r="P1517" s="65"/>
      <c r="Q1517" s="65"/>
      <c r="R1517" s="65"/>
      <c r="S1517" s="65"/>
      <c r="T1517" s="65"/>
      <c r="U1517" s="65"/>
      <c r="V1517" s="65"/>
      <c r="W1517" s="65"/>
      <c r="X1517" s="65"/>
      <c r="Y1517" s="65"/>
      <c r="Z1517" s="65"/>
      <c r="AA1517" s="65"/>
      <c r="AB1517" s="65"/>
      <c r="AC1517" s="65"/>
    </row>
    <row r="1518">
      <c r="A1518" s="70">
        <v>269.0</v>
      </c>
      <c r="B1518" s="67" t="s">
        <v>3796</v>
      </c>
      <c r="C1518" s="70" t="s">
        <v>60</v>
      </c>
      <c r="D1518" s="70" t="s">
        <v>3174</v>
      </c>
      <c r="E1518" s="70" t="s">
        <v>3797</v>
      </c>
      <c r="F1518" s="70" t="s">
        <v>3798</v>
      </c>
      <c r="G1518" s="70" t="s">
        <v>3799</v>
      </c>
      <c r="H1518" s="70" t="s">
        <v>3800</v>
      </c>
      <c r="I1518" s="70">
        <v>33.75</v>
      </c>
      <c r="J1518" s="70" t="s">
        <v>58</v>
      </c>
      <c r="K1518" s="65"/>
      <c r="L1518" s="65"/>
      <c r="M1518" s="65"/>
      <c r="N1518" s="65"/>
      <c r="O1518" s="65"/>
      <c r="P1518" s="65"/>
      <c r="Q1518" s="65"/>
      <c r="R1518" s="65"/>
      <c r="S1518" s="65"/>
      <c r="T1518" s="65"/>
      <c r="U1518" s="65"/>
      <c r="V1518" s="65"/>
      <c r="W1518" s="65"/>
      <c r="X1518" s="65"/>
      <c r="Y1518" s="65"/>
      <c r="Z1518" s="65"/>
      <c r="AA1518" s="65"/>
      <c r="AB1518" s="65"/>
      <c r="AC1518" s="65"/>
    </row>
    <row r="1519">
      <c r="A1519" s="70">
        <v>268.0</v>
      </c>
      <c r="B1519" s="67" t="s">
        <v>3801</v>
      </c>
      <c r="C1519" s="70" t="s">
        <v>69</v>
      </c>
      <c r="D1519" s="70" t="s">
        <v>712</v>
      </c>
      <c r="E1519" s="70" t="s">
        <v>3802</v>
      </c>
      <c r="F1519" s="70" t="s">
        <v>3803</v>
      </c>
      <c r="G1519" s="70" t="s">
        <v>3804</v>
      </c>
      <c r="H1519" s="70" t="s">
        <v>3805</v>
      </c>
      <c r="I1519" s="70">
        <v>55.03</v>
      </c>
      <c r="J1519" s="70" t="s">
        <v>58</v>
      </c>
      <c r="K1519" s="65"/>
      <c r="L1519" s="65"/>
      <c r="M1519" s="65"/>
      <c r="N1519" s="65"/>
      <c r="O1519" s="65"/>
      <c r="P1519" s="65"/>
      <c r="Q1519" s="65"/>
      <c r="R1519" s="65"/>
      <c r="S1519" s="65"/>
      <c r="T1519" s="65"/>
      <c r="U1519" s="65"/>
      <c r="V1519" s="65"/>
      <c r="W1519" s="65"/>
      <c r="X1519" s="65"/>
      <c r="Y1519" s="65"/>
      <c r="Z1519" s="65"/>
      <c r="AA1519" s="65"/>
      <c r="AB1519" s="65"/>
      <c r="AC1519" s="65"/>
    </row>
    <row r="1520">
      <c r="A1520" s="70">
        <v>267.0</v>
      </c>
      <c r="B1520" s="67" t="s">
        <v>3806</v>
      </c>
      <c r="C1520" s="70" t="s">
        <v>56</v>
      </c>
      <c r="D1520" s="70" t="s">
        <v>271</v>
      </c>
      <c r="E1520" s="70" t="s">
        <v>2540</v>
      </c>
      <c r="F1520" s="73"/>
      <c r="G1520" s="70" t="s">
        <v>3807</v>
      </c>
      <c r="H1520" s="70" t="s">
        <v>3808</v>
      </c>
      <c r="I1520" s="70">
        <v>37.48</v>
      </c>
      <c r="J1520" s="70" t="s">
        <v>58</v>
      </c>
      <c r="K1520" s="65"/>
      <c r="L1520" s="65"/>
      <c r="M1520" s="65"/>
      <c r="N1520" s="65"/>
      <c r="O1520" s="65"/>
      <c r="P1520" s="65"/>
      <c r="Q1520" s="65"/>
      <c r="R1520" s="65"/>
      <c r="S1520" s="65"/>
      <c r="T1520" s="65"/>
      <c r="U1520" s="65"/>
      <c r="V1520" s="65"/>
      <c r="W1520" s="65"/>
      <c r="X1520" s="65"/>
      <c r="Y1520" s="65"/>
      <c r="Z1520" s="65"/>
      <c r="AA1520" s="65"/>
      <c r="AB1520" s="65"/>
      <c r="AC1520" s="65"/>
    </row>
    <row r="1521">
      <c r="A1521" s="70">
        <v>266.0</v>
      </c>
      <c r="B1521" s="67" t="s">
        <v>3809</v>
      </c>
      <c r="C1521" s="70" t="s">
        <v>69</v>
      </c>
      <c r="D1521" s="70" t="s">
        <v>284</v>
      </c>
      <c r="E1521" s="70" t="s">
        <v>3810</v>
      </c>
      <c r="F1521" s="70" t="s">
        <v>558</v>
      </c>
      <c r="G1521" s="70" t="s">
        <v>558</v>
      </c>
      <c r="H1521" s="70" t="s">
        <v>3811</v>
      </c>
      <c r="I1521" s="70">
        <v>62.53</v>
      </c>
      <c r="J1521" s="70" t="s">
        <v>58</v>
      </c>
      <c r="K1521" s="65"/>
      <c r="L1521" s="65"/>
      <c r="M1521" s="65"/>
      <c r="N1521" s="65"/>
      <c r="O1521" s="65"/>
      <c r="P1521" s="65"/>
      <c r="Q1521" s="65"/>
      <c r="R1521" s="65"/>
      <c r="S1521" s="65"/>
      <c r="T1521" s="65"/>
      <c r="U1521" s="65"/>
      <c r="V1521" s="65"/>
      <c r="W1521" s="65"/>
      <c r="X1521" s="65"/>
      <c r="Y1521" s="65"/>
      <c r="Z1521" s="65"/>
      <c r="AA1521" s="65"/>
      <c r="AB1521" s="65"/>
      <c r="AC1521" s="65"/>
    </row>
    <row r="1522">
      <c r="A1522" s="70">
        <v>265.0</v>
      </c>
      <c r="B1522" s="67" t="s">
        <v>3812</v>
      </c>
      <c r="C1522" s="70" t="s">
        <v>60</v>
      </c>
      <c r="D1522" s="70" t="s">
        <v>76</v>
      </c>
      <c r="E1522" s="70" t="s">
        <v>3813</v>
      </c>
      <c r="F1522" s="70" t="s">
        <v>633</v>
      </c>
      <c r="G1522" s="70" t="s">
        <v>633</v>
      </c>
      <c r="H1522" s="70" t="s">
        <v>3814</v>
      </c>
      <c r="I1522" s="70">
        <v>45.74</v>
      </c>
      <c r="J1522" s="70" t="s">
        <v>58</v>
      </c>
      <c r="K1522" s="65"/>
      <c r="L1522" s="65"/>
      <c r="M1522" s="65"/>
      <c r="N1522" s="65"/>
      <c r="O1522" s="65"/>
      <c r="P1522" s="65"/>
      <c r="Q1522" s="65"/>
      <c r="R1522" s="65"/>
      <c r="S1522" s="65"/>
      <c r="T1522" s="65"/>
      <c r="U1522" s="65"/>
      <c r="V1522" s="65"/>
      <c r="W1522" s="65"/>
      <c r="X1522" s="65"/>
      <c r="Y1522" s="65"/>
      <c r="Z1522" s="65"/>
      <c r="AA1522" s="65"/>
      <c r="AB1522" s="65"/>
      <c r="AC1522" s="65"/>
    </row>
    <row r="1523">
      <c r="A1523" s="70">
        <v>264.0</v>
      </c>
      <c r="B1523" s="67" t="s">
        <v>3815</v>
      </c>
      <c r="C1523" s="70" t="s">
        <v>56</v>
      </c>
      <c r="D1523" s="70" t="s">
        <v>3816</v>
      </c>
      <c r="E1523" s="70" t="s">
        <v>3817</v>
      </c>
      <c r="F1523" s="70" t="s">
        <v>298</v>
      </c>
      <c r="G1523" s="70" t="s">
        <v>1017</v>
      </c>
      <c r="H1523" s="70" t="s">
        <v>3818</v>
      </c>
      <c r="I1523" s="70">
        <v>42.94</v>
      </c>
      <c r="J1523" s="70" t="s">
        <v>58</v>
      </c>
      <c r="K1523" s="65"/>
      <c r="L1523" s="65"/>
      <c r="M1523" s="65"/>
      <c r="N1523" s="65"/>
      <c r="O1523" s="65"/>
      <c r="P1523" s="65"/>
      <c r="Q1523" s="65"/>
      <c r="R1523" s="65"/>
      <c r="S1523" s="65"/>
      <c r="T1523" s="65"/>
      <c r="U1523" s="65"/>
      <c r="V1523" s="65"/>
      <c r="W1523" s="65"/>
      <c r="X1523" s="65"/>
      <c r="Y1523" s="65"/>
      <c r="Z1523" s="65"/>
      <c r="AA1523" s="65"/>
      <c r="AB1523" s="65"/>
      <c r="AC1523" s="65"/>
    </row>
    <row r="1524">
      <c r="A1524" s="70">
        <v>263.0</v>
      </c>
      <c r="B1524" s="67" t="s">
        <v>3819</v>
      </c>
      <c r="C1524" s="70" t="s">
        <v>69</v>
      </c>
      <c r="D1524" s="70" t="s">
        <v>99</v>
      </c>
      <c r="E1524" s="73"/>
      <c r="F1524" s="73"/>
      <c r="G1524" s="73"/>
      <c r="H1524" s="73"/>
      <c r="I1524" s="70">
        <v>41.69</v>
      </c>
      <c r="J1524" s="70" t="s">
        <v>58</v>
      </c>
      <c r="K1524" s="65"/>
      <c r="L1524" s="65"/>
      <c r="M1524" s="65"/>
      <c r="N1524" s="65"/>
      <c r="O1524" s="65"/>
      <c r="P1524" s="65"/>
      <c r="Q1524" s="65"/>
      <c r="R1524" s="65"/>
      <c r="S1524" s="65"/>
      <c r="T1524" s="65"/>
      <c r="U1524" s="65"/>
      <c r="V1524" s="65"/>
      <c r="W1524" s="65"/>
      <c r="X1524" s="65"/>
      <c r="Y1524" s="65"/>
      <c r="Z1524" s="65"/>
      <c r="AA1524" s="65"/>
      <c r="AB1524" s="65"/>
      <c r="AC1524" s="65"/>
    </row>
    <row r="1525">
      <c r="A1525" s="70">
        <v>262.0</v>
      </c>
      <c r="B1525" s="67" t="s">
        <v>3820</v>
      </c>
      <c r="C1525" s="70" t="s">
        <v>60</v>
      </c>
      <c r="D1525" s="73"/>
      <c r="E1525" s="70" t="s">
        <v>684</v>
      </c>
      <c r="F1525" s="70" t="s">
        <v>116</v>
      </c>
      <c r="G1525" s="70" t="s">
        <v>683</v>
      </c>
      <c r="H1525" s="70" t="s">
        <v>683</v>
      </c>
      <c r="I1525" s="70">
        <v>35.24</v>
      </c>
      <c r="J1525" s="70" t="s">
        <v>73</v>
      </c>
      <c r="K1525" s="65"/>
      <c r="L1525" s="65"/>
      <c r="M1525" s="65"/>
      <c r="N1525" s="65"/>
      <c r="O1525" s="65"/>
      <c r="P1525" s="65"/>
      <c r="Q1525" s="65"/>
      <c r="R1525" s="65"/>
      <c r="S1525" s="65"/>
      <c r="T1525" s="65"/>
      <c r="U1525" s="65"/>
      <c r="V1525" s="65"/>
      <c r="W1525" s="65"/>
      <c r="X1525" s="65"/>
      <c r="Y1525" s="65"/>
      <c r="Z1525" s="65"/>
      <c r="AA1525" s="65"/>
      <c r="AB1525" s="65"/>
      <c r="AC1525" s="65"/>
    </row>
    <row r="1526">
      <c r="A1526" s="70">
        <v>261.0</v>
      </c>
      <c r="B1526" s="67" t="s">
        <v>3821</v>
      </c>
      <c r="C1526" s="70" t="s">
        <v>56</v>
      </c>
      <c r="D1526" s="70" t="s">
        <v>3587</v>
      </c>
      <c r="E1526" s="70" t="s">
        <v>3822</v>
      </c>
      <c r="F1526" s="70" t="s">
        <v>3823</v>
      </c>
      <c r="G1526" s="70" t="s">
        <v>3824</v>
      </c>
      <c r="H1526" s="70" t="s">
        <v>3825</v>
      </c>
      <c r="I1526" s="70">
        <v>43.29</v>
      </c>
      <c r="J1526" s="70" t="s">
        <v>58</v>
      </c>
      <c r="K1526" s="65"/>
      <c r="L1526" s="65"/>
      <c r="M1526" s="65"/>
      <c r="N1526" s="65"/>
      <c r="O1526" s="65"/>
      <c r="P1526" s="65"/>
      <c r="Q1526" s="65"/>
      <c r="R1526" s="65"/>
      <c r="S1526" s="65"/>
      <c r="T1526" s="65"/>
      <c r="U1526" s="65"/>
      <c r="V1526" s="65"/>
      <c r="W1526" s="65"/>
      <c r="X1526" s="65"/>
      <c r="Y1526" s="65"/>
      <c r="Z1526" s="65"/>
      <c r="AA1526" s="65"/>
      <c r="AB1526" s="65"/>
      <c r="AC1526" s="65"/>
    </row>
    <row r="1527">
      <c r="A1527" s="70">
        <v>260.0</v>
      </c>
      <c r="B1527" s="67" t="s">
        <v>3826</v>
      </c>
      <c r="C1527" s="70" t="s">
        <v>56</v>
      </c>
      <c r="D1527" s="70" t="s">
        <v>182</v>
      </c>
      <c r="E1527" s="70" t="s">
        <v>3827</v>
      </c>
      <c r="F1527" s="70" t="s">
        <v>67</v>
      </c>
      <c r="G1527" s="70" t="s">
        <v>3828</v>
      </c>
      <c r="H1527" s="70" t="s">
        <v>3829</v>
      </c>
      <c r="I1527" s="70">
        <v>65.39</v>
      </c>
      <c r="J1527" s="70" t="s">
        <v>58</v>
      </c>
      <c r="K1527" s="65"/>
      <c r="L1527" s="65"/>
      <c r="M1527" s="65"/>
      <c r="N1527" s="65"/>
      <c r="O1527" s="65"/>
      <c r="P1527" s="65"/>
      <c r="Q1527" s="65"/>
      <c r="R1527" s="65"/>
      <c r="S1527" s="65"/>
      <c r="T1527" s="65"/>
      <c r="U1527" s="65"/>
      <c r="V1527" s="65"/>
      <c r="W1527" s="65"/>
      <c r="X1527" s="65"/>
      <c r="Y1527" s="65"/>
      <c r="Z1527" s="65"/>
      <c r="AA1527" s="65"/>
      <c r="AB1527" s="65"/>
      <c r="AC1527" s="65"/>
    </row>
    <row r="1528">
      <c r="A1528" s="70">
        <v>259.0</v>
      </c>
      <c r="B1528" s="67" t="s">
        <v>3830</v>
      </c>
      <c r="C1528" s="70" t="s">
        <v>56</v>
      </c>
      <c r="D1528" s="70" t="s">
        <v>1755</v>
      </c>
      <c r="E1528" s="70" t="s">
        <v>3831</v>
      </c>
      <c r="F1528" s="70" t="s">
        <v>3832</v>
      </c>
      <c r="G1528" s="70" t="s">
        <v>3833</v>
      </c>
      <c r="H1528" s="70" t="s">
        <v>3834</v>
      </c>
      <c r="I1528" s="70">
        <v>49.07</v>
      </c>
      <c r="J1528" s="70" t="s">
        <v>58</v>
      </c>
      <c r="K1528" s="65"/>
      <c r="L1528" s="65"/>
      <c r="M1528" s="65"/>
      <c r="N1528" s="65"/>
      <c r="O1528" s="65"/>
      <c r="P1528" s="65"/>
      <c r="Q1528" s="65"/>
      <c r="R1528" s="65"/>
      <c r="S1528" s="65"/>
      <c r="T1528" s="65"/>
      <c r="U1528" s="65"/>
      <c r="V1528" s="65"/>
      <c r="W1528" s="65"/>
      <c r="X1528" s="65"/>
      <c r="Y1528" s="65"/>
      <c r="Z1528" s="65"/>
      <c r="AA1528" s="65"/>
      <c r="AB1528" s="65"/>
      <c r="AC1528" s="65"/>
    </row>
    <row r="1529">
      <c r="A1529" s="70">
        <v>258.0</v>
      </c>
      <c r="B1529" s="67" t="s">
        <v>3835</v>
      </c>
      <c r="C1529" s="70" t="s">
        <v>69</v>
      </c>
      <c r="D1529" s="70" t="s">
        <v>99</v>
      </c>
      <c r="E1529" s="70" t="s">
        <v>3836</v>
      </c>
      <c r="F1529" s="70" t="s">
        <v>87</v>
      </c>
      <c r="G1529" s="70" t="s">
        <v>1537</v>
      </c>
      <c r="H1529" s="70" t="s">
        <v>3837</v>
      </c>
      <c r="I1529" s="70">
        <v>58.59</v>
      </c>
      <c r="J1529" s="70" t="s">
        <v>58</v>
      </c>
      <c r="K1529" s="65"/>
      <c r="L1529" s="65"/>
      <c r="M1529" s="65"/>
      <c r="N1529" s="65"/>
      <c r="O1529" s="65"/>
      <c r="P1529" s="65"/>
      <c r="Q1529" s="65"/>
      <c r="R1529" s="65"/>
      <c r="S1529" s="65"/>
      <c r="T1529" s="65"/>
      <c r="U1529" s="65"/>
      <c r="V1529" s="65"/>
      <c r="W1529" s="65"/>
      <c r="X1529" s="65"/>
      <c r="Y1529" s="65"/>
      <c r="Z1529" s="65"/>
      <c r="AA1529" s="65"/>
      <c r="AB1529" s="65"/>
      <c r="AC1529" s="65"/>
    </row>
    <row r="1530">
      <c r="A1530" s="70">
        <v>257.0</v>
      </c>
      <c r="B1530" s="67" t="s">
        <v>3838</v>
      </c>
      <c r="C1530" s="70" t="s">
        <v>69</v>
      </c>
      <c r="D1530" s="70" t="s">
        <v>289</v>
      </c>
      <c r="E1530" s="70" t="s">
        <v>3839</v>
      </c>
      <c r="F1530" s="70" t="s">
        <v>3840</v>
      </c>
      <c r="G1530" s="70" t="s">
        <v>3841</v>
      </c>
      <c r="H1530" s="70" t="s">
        <v>3842</v>
      </c>
      <c r="I1530" s="70">
        <v>53.8</v>
      </c>
      <c r="J1530" s="70" t="s">
        <v>58</v>
      </c>
      <c r="K1530" s="65"/>
      <c r="L1530" s="65"/>
      <c r="M1530" s="65"/>
      <c r="N1530" s="65"/>
      <c r="O1530" s="65"/>
      <c r="P1530" s="65"/>
      <c r="Q1530" s="65"/>
      <c r="R1530" s="65"/>
      <c r="S1530" s="65"/>
      <c r="T1530" s="65"/>
      <c r="U1530" s="65"/>
      <c r="V1530" s="65"/>
      <c r="W1530" s="65"/>
      <c r="X1530" s="65"/>
      <c r="Y1530" s="65"/>
      <c r="Z1530" s="65"/>
      <c r="AA1530" s="65"/>
      <c r="AB1530" s="65"/>
      <c r="AC1530" s="65"/>
    </row>
    <row r="1531">
      <c r="A1531" s="70">
        <v>256.0</v>
      </c>
      <c r="B1531" s="67" t="s">
        <v>3843</v>
      </c>
      <c r="C1531" s="70" t="s">
        <v>56</v>
      </c>
      <c r="D1531" s="70" t="s">
        <v>76</v>
      </c>
      <c r="E1531" s="70" t="s">
        <v>3844</v>
      </c>
      <c r="F1531" s="70" t="s">
        <v>3845</v>
      </c>
      <c r="G1531" s="70" t="s">
        <v>3846</v>
      </c>
      <c r="H1531" s="70" t="s">
        <v>3847</v>
      </c>
      <c r="I1531" s="70">
        <v>53.74</v>
      </c>
      <c r="J1531" s="70" t="s">
        <v>58</v>
      </c>
      <c r="K1531" s="65"/>
      <c r="L1531" s="65"/>
      <c r="M1531" s="65"/>
      <c r="N1531" s="65"/>
      <c r="O1531" s="65"/>
      <c r="P1531" s="65"/>
      <c r="Q1531" s="65"/>
      <c r="R1531" s="65"/>
      <c r="S1531" s="65"/>
      <c r="T1531" s="65"/>
      <c r="U1531" s="65"/>
      <c r="V1531" s="65"/>
      <c r="W1531" s="65"/>
      <c r="X1531" s="65"/>
      <c r="Y1531" s="65"/>
      <c r="Z1531" s="65"/>
      <c r="AA1531" s="65"/>
      <c r="AB1531" s="65"/>
      <c r="AC1531" s="65"/>
    </row>
    <row r="1532">
      <c r="A1532" s="70">
        <v>255.0</v>
      </c>
      <c r="B1532" s="67" t="s">
        <v>3848</v>
      </c>
      <c r="C1532" s="70" t="s">
        <v>56</v>
      </c>
      <c r="D1532" s="70" t="s">
        <v>3782</v>
      </c>
      <c r="E1532" s="70" t="s">
        <v>3849</v>
      </c>
      <c r="F1532" s="70" t="s">
        <v>305</v>
      </c>
      <c r="G1532" s="70" t="s">
        <v>305</v>
      </c>
      <c r="H1532" s="70" t="s">
        <v>3850</v>
      </c>
      <c r="I1532" s="70">
        <v>46.26</v>
      </c>
      <c r="J1532" s="70" t="s">
        <v>58</v>
      </c>
      <c r="K1532" s="65"/>
      <c r="L1532" s="65"/>
      <c r="M1532" s="65"/>
      <c r="N1532" s="65"/>
      <c r="O1532" s="65"/>
      <c r="P1532" s="65"/>
      <c r="Q1532" s="65"/>
      <c r="R1532" s="65"/>
      <c r="S1532" s="65"/>
      <c r="T1532" s="65"/>
      <c r="U1532" s="65"/>
      <c r="V1532" s="65"/>
      <c r="W1532" s="65"/>
      <c r="X1532" s="65"/>
      <c r="Y1532" s="65"/>
      <c r="Z1532" s="65"/>
      <c r="AA1532" s="65"/>
      <c r="AB1532" s="65"/>
      <c r="AC1532" s="65"/>
    </row>
    <row r="1533">
      <c r="A1533" s="70">
        <v>254.0</v>
      </c>
      <c r="B1533" s="67" t="s">
        <v>3851</v>
      </c>
      <c r="C1533" s="70" t="s">
        <v>56</v>
      </c>
      <c r="D1533" s="70" t="s">
        <v>271</v>
      </c>
      <c r="E1533" s="70" t="s">
        <v>3852</v>
      </c>
      <c r="F1533" s="70" t="s">
        <v>462</v>
      </c>
      <c r="G1533" s="70" t="s">
        <v>462</v>
      </c>
      <c r="H1533" s="70" t="s">
        <v>3853</v>
      </c>
      <c r="I1533" s="70">
        <v>47.47</v>
      </c>
      <c r="J1533" s="70" t="s">
        <v>58</v>
      </c>
      <c r="K1533" s="65"/>
      <c r="L1533" s="65"/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  <c r="X1533" s="65"/>
      <c r="Y1533" s="65"/>
      <c r="Z1533" s="65"/>
      <c r="AA1533" s="65"/>
      <c r="AB1533" s="65"/>
      <c r="AC1533" s="65"/>
    </row>
    <row r="1534">
      <c r="A1534" s="70">
        <v>253.0</v>
      </c>
      <c r="B1534" s="67" t="s">
        <v>3854</v>
      </c>
      <c r="C1534" s="70" t="s">
        <v>56</v>
      </c>
      <c r="D1534" s="70" t="s">
        <v>3855</v>
      </c>
      <c r="E1534" s="70" t="s">
        <v>3856</v>
      </c>
      <c r="F1534" s="70" t="s">
        <v>3857</v>
      </c>
      <c r="G1534" s="70" t="s">
        <v>3858</v>
      </c>
      <c r="H1534" s="70" t="s">
        <v>3859</v>
      </c>
      <c r="I1534" s="70">
        <v>46.98</v>
      </c>
      <c r="J1534" s="70" t="s">
        <v>58</v>
      </c>
      <c r="K1534" s="65"/>
      <c r="L1534" s="65"/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  <c r="Y1534" s="65"/>
      <c r="Z1534" s="65"/>
      <c r="AA1534" s="65"/>
      <c r="AB1534" s="65"/>
      <c r="AC1534" s="65"/>
    </row>
    <row r="1535">
      <c r="A1535" s="70">
        <v>252.0</v>
      </c>
      <c r="B1535" s="67" t="s">
        <v>3860</v>
      </c>
      <c r="C1535" s="70" t="s">
        <v>69</v>
      </c>
      <c r="D1535" s="70" t="s">
        <v>368</v>
      </c>
      <c r="E1535" s="70" t="s">
        <v>3861</v>
      </c>
      <c r="F1535" s="70" t="s">
        <v>3862</v>
      </c>
      <c r="G1535" s="70" t="s">
        <v>3863</v>
      </c>
      <c r="H1535" s="70" t="s">
        <v>3864</v>
      </c>
      <c r="I1535" s="70">
        <v>55.47</v>
      </c>
      <c r="J1535" s="70" t="s">
        <v>58</v>
      </c>
      <c r="K1535" s="65"/>
      <c r="L1535" s="65"/>
      <c r="M1535" s="65"/>
      <c r="N1535" s="65"/>
      <c r="O1535" s="65"/>
      <c r="P1535" s="65"/>
      <c r="Q1535" s="65"/>
      <c r="R1535" s="65"/>
      <c r="S1535" s="65"/>
      <c r="T1535" s="65"/>
      <c r="U1535" s="65"/>
      <c r="V1535" s="65"/>
      <c r="W1535" s="65"/>
      <c r="X1535" s="65"/>
      <c r="Y1535" s="65"/>
      <c r="Z1535" s="65"/>
      <c r="AA1535" s="65"/>
      <c r="AB1535" s="65"/>
      <c r="AC1535" s="65"/>
    </row>
    <row r="1536">
      <c r="A1536" s="70">
        <v>251.0</v>
      </c>
      <c r="B1536" s="67" t="s">
        <v>3865</v>
      </c>
      <c r="C1536" s="70" t="s">
        <v>56</v>
      </c>
      <c r="D1536" s="70" t="s">
        <v>440</v>
      </c>
      <c r="E1536" s="70" t="s">
        <v>3866</v>
      </c>
      <c r="F1536" s="70" t="s">
        <v>516</v>
      </c>
      <c r="G1536" s="70" t="s">
        <v>3867</v>
      </c>
      <c r="H1536" s="70" t="s">
        <v>3868</v>
      </c>
      <c r="I1536" s="70">
        <v>46.38</v>
      </c>
      <c r="J1536" s="70" t="s">
        <v>58</v>
      </c>
      <c r="K1536" s="65"/>
      <c r="L1536" s="65"/>
      <c r="M1536" s="65"/>
      <c r="N1536" s="65"/>
      <c r="O1536" s="65"/>
      <c r="P1536" s="65"/>
      <c r="Q1536" s="65"/>
      <c r="R1536" s="65"/>
      <c r="S1536" s="65"/>
      <c r="T1536" s="65"/>
      <c r="U1536" s="65"/>
      <c r="V1536" s="65"/>
      <c r="W1536" s="65"/>
      <c r="X1536" s="65"/>
      <c r="Y1536" s="65"/>
      <c r="Z1536" s="65"/>
      <c r="AA1536" s="65"/>
      <c r="AB1536" s="65"/>
      <c r="AC1536" s="65"/>
    </row>
    <row r="1537">
      <c r="A1537" s="70">
        <v>250.0</v>
      </c>
      <c r="B1537" s="67" t="s">
        <v>3869</v>
      </c>
      <c r="C1537" s="70" t="s">
        <v>56</v>
      </c>
      <c r="D1537" s="70" t="s">
        <v>320</v>
      </c>
      <c r="E1537" s="70" t="s">
        <v>3870</v>
      </c>
      <c r="F1537" s="70" t="s">
        <v>28</v>
      </c>
      <c r="G1537" s="70" t="s">
        <v>3871</v>
      </c>
      <c r="H1537" s="70" t="s">
        <v>3872</v>
      </c>
      <c r="I1537" s="70">
        <v>53.44</v>
      </c>
      <c r="J1537" s="70" t="s">
        <v>58</v>
      </c>
      <c r="K1537" s="65"/>
      <c r="L1537" s="65"/>
      <c r="M1537" s="65"/>
      <c r="N1537" s="65"/>
      <c r="O1537" s="65"/>
      <c r="P1537" s="65"/>
      <c r="Q1537" s="65"/>
      <c r="R1537" s="65"/>
      <c r="S1537" s="65"/>
      <c r="T1537" s="65"/>
      <c r="U1537" s="65"/>
      <c r="V1537" s="65"/>
      <c r="W1537" s="65"/>
      <c r="X1537" s="65"/>
      <c r="Y1537" s="65"/>
      <c r="Z1537" s="65"/>
      <c r="AA1537" s="65"/>
      <c r="AB1537" s="65"/>
      <c r="AC1537" s="65"/>
    </row>
    <row r="1538">
      <c r="A1538" s="70">
        <v>249.0</v>
      </c>
      <c r="B1538" s="67" t="s">
        <v>3873</v>
      </c>
      <c r="C1538" s="70" t="s">
        <v>56</v>
      </c>
      <c r="D1538" s="70" t="s">
        <v>89</v>
      </c>
      <c r="E1538" s="70" t="s">
        <v>2155</v>
      </c>
      <c r="F1538" s="70" t="s">
        <v>96</v>
      </c>
      <c r="G1538" s="70" t="s">
        <v>1134</v>
      </c>
      <c r="H1538" s="70" t="s">
        <v>3874</v>
      </c>
      <c r="I1538" s="70">
        <v>58.31</v>
      </c>
      <c r="J1538" s="70" t="s">
        <v>58</v>
      </c>
      <c r="K1538" s="65"/>
      <c r="L1538" s="65"/>
      <c r="M1538" s="65"/>
      <c r="N1538" s="65"/>
      <c r="O1538" s="65"/>
      <c r="P1538" s="65"/>
      <c r="Q1538" s="65"/>
      <c r="R1538" s="65"/>
      <c r="S1538" s="65"/>
      <c r="T1538" s="65"/>
      <c r="U1538" s="65"/>
      <c r="V1538" s="65"/>
      <c r="W1538" s="65"/>
      <c r="X1538" s="65"/>
      <c r="Y1538" s="65"/>
      <c r="Z1538" s="65"/>
      <c r="AA1538" s="65"/>
      <c r="AB1538" s="65"/>
      <c r="AC1538" s="65"/>
    </row>
    <row r="1539">
      <c r="A1539" s="70">
        <v>248.0</v>
      </c>
      <c r="B1539" s="67" t="s">
        <v>3875</v>
      </c>
      <c r="C1539" s="70" t="s">
        <v>60</v>
      </c>
      <c r="D1539" s="70" t="s">
        <v>2221</v>
      </c>
      <c r="E1539" s="70" t="s">
        <v>96</v>
      </c>
      <c r="F1539" s="70" t="s">
        <v>28</v>
      </c>
      <c r="G1539" s="70" t="s">
        <v>28</v>
      </c>
      <c r="H1539" s="70" t="s">
        <v>28</v>
      </c>
      <c r="I1539" s="70">
        <v>40.3</v>
      </c>
      <c r="J1539" s="70" t="s">
        <v>58</v>
      </c>
      <c r="K1539" s="65"/>
      <c r="L1539" s="65"/>
      <c r="M1539" s="65"/>
      <c r="N1539" s="65"/>
      <c r="O1539" s="65"/>
      <c r="P1539" s="65"/>
      <c r="Q1539" s="65"/>
      <c r="R1539" s="65"/>
      <c r="S1539" s="65"/>
      <c r="T1539" s="65"/>
      <c r="U1539" s="65"/>
      <c r="V1539" s="65"/>
      <c r="W1539" s="65"/>
      <c r="X1539" s="65"/>
      <c r="Y1539" s="65"/>
      <c r="Z1539" s="65"/>
      <c r="AA1539" s="65"/>
      <c r="AB1539" s="65"/>
      <c r="AC1539" s="65"/>
    </row>
    <row r="1540">
      <c r="A1540" s="70">
        <v>247.0</v>
      </c>
      <c r="B1540" s="67" t="s">
        <v>3876</v>
      </c>
      <c r="C1540" s="70" t="s">
        <v>56</v>
      </c>
      <c r="D1540" s="70" t="s">
        <v>2221</v>
      </c>
      <c r="E1540" s="70" t="s">
        <v>3877</v>
      </c>
      <c r="F1540" s="70" t="s">
        <v>96</v>
      </c>
      <c r="G1540" s="70" t="s">
        <v>96</v>
      </c>
      <c r="H1540" s="70" t="s">
        <v>3878</v>
      </c>
      <c r="I1540" s="70">
        <v>48.63</v>
      </c>
      <c r="J1540" s="70" t="s">
        <v>58</v>
      </c>
      <c r="K1540" s="65"/>
      <c r="L1540" s="65"/>
      <c r="M1540" s="65"/>
      <c r="N1540" s="65"/>
      <c r="O1540" s="65"/>
      <c r="P1540" s="65"/>
      <c r="Q1540" s="65"/>
      <c r="R1540" s="65"/>
      <c r="S1540" s="65"/>
      <c r="T1540" s="65"/>
      <c r="U1540" s="65"/>
      <c r="V1540" s="65"/>
      <c r="W1540" s="65"/>
      <c r="X1540" s="65"/>
      <c r="Y1540" s="65"/>
      <c r="Z1540" s="65"/>
      <c r="AA1540" s="65"/>
      <c r="AB1540" s="65"/>
      <c r="AC1540" s="65"/>
    </row>
    <row r="1541">
      <c r="A1541" s="70">
        <v>246.0</v>
      </c>
      <c r="B1541" s="67" t="s">
        <v>3879</v>
      </c>
      <c r="C1541" s="70" t="s">
        <v>69</v>
      </c>
      <c r="D1541" s="70" t="s">
        <v>479</v>
      </c>
      <c r="E1541" s="70" t="s">
        <v>3880</v>
      </c>
      <c r="F1541" s="70" t="s">
        <v>558</v>
      </c>
      <c r="G1541" s="70" t="s">
        <v>3881</v>
      </c>
      <c r="H1541" s="70" t="s">
        <v>3881</v>
      </c>
      <c r="I1541" s="70">
        <v>46.39</v>
      </c>
      <c r="J1541" s="70" t="s">
        <v>58</v>
      </c>
      <c r="K1541" s="65"/>
      <c r="L1541" s="65"/>
      <c r="M1541" s="65"/>
      <c r="N1541" s="65"/>
      <c r="O1541" s="65"/>
      <c r="P1541" s="65"/>
      <c r="Q1541" s="65"/>
      <c r="R1541" s="65"/>
      <c r="S1541" s="65"/>
      <c r="T1541" s="65"/>
      <c r="U1541" s="65"/>
      <c r="V1541" s="65"/>
      <c r="W1541" s="65"/>
      <c r="X1541" s="65"/>
      <c r="Y1541" s="65"/>
      <c r="Z1541" s="65"/>
      <c r="AA1541" s="65"/>
      <c r="AB1541" s="65"/>
      <c r="AC1541" s="65"/>
    </row>
    <row r="1542">
      <c r="A1542" s="70">
        <v>245.0</v>
      </c>
      <c r="B1542" s="67" t="s">
        <v>3882</v>
      </c>
      <c r="C1542" s="70" t="s">
        <v>56</v>
      </c>
      <c r="D1542" s="70" t="s">
        <v>93</v>
      </c>
      <c r="E1542" s="70" t="s">
        <v>462</v>
      </c>
      <c r="F1542" s="73"/>
      <c r="G1542" s="73"/>
      <c r="H1542" s="70" t="s">
        <v>462</v>
      </c>
      <c r="I1542" s="70">
        <v>56.04</v>
      </c>
      <c r="J1542" s="70" t="s">
        <v>58</v>
      </c>
      <c r="K1542" s="65"/>
      <c r="L1542" s="65"/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  <c r="Y1542" s="65"/>
      <c r="Z1542" s="65"/>
      <c r="AA1542" s="65"/>
      <c r="AB1542" s="65"/>
      <c r="AC1542" s="65"/>
    </row>
    <row r="1543">
      <c r="A1543" s="70">
        <v>244.0</v>
      </c>
      <c r="B1543" s="67" t="s">
        <v>3883</v>
      </c>
      <c r="C1543" s="70" t="s">
        <v>56</v>
      </c>
      <c r="D1543" s="70" t="s">
        <v>737</v>
      </c>
      <c r="E1543" s="70" t="s">
        <v>3884</v>
      </c>
      <c r="F1543" s="70" t="s">
        <v>1451</v>
      </c>
      <c r="G1543" s="70" t="s">
        <v>3885</v>
      </c>
      <c r="H1543" s="70" t="s">
        <v>3886</v>
      </c>
      <c r="I1543" s="70">
        <v>54.26</v>
      </c>
      <c r="J1543" s="70" t="s">
        <v>58</v>
      </c>
      <c r="K1543" s="65"/>
      <c r="L1543" s="65"/>
      <c r="M1543" s="65"/>
      <c r="N1543" s="65"/>
      <c r="O1543" s="65"/>
      <c r="P1543" s="65"/>
      <c r="Q1543" s="65"/>
      <c r="R1543" s="65"/>
      <c r="S1543" s="65"/>
      <c r="T1543" s="65"/>
      <c r="U1543" s="65"/>
      <c r="V1543" s="65"/>
      <c r="W1543" s="65"/>
      <c r="X1543" s="65"/>
      <c r="Y1543" s="65"/>
      <c r="Z1543" s="65"/>
      <c r="AA1543" s="65"/>
      <c r="AB1543" s="65"/>
      <c r="AC1543" s="65"/>
    </row>
    <row r="1544">
      <c r="A1544" s="70">
        <v>243.0</v>
      </c>
      <c r="B1544" s="67" t="s">
        <v>3887</v>
      </c>
      <c r="C1544" s="70" t="s">
        <v>69</v>
      </c>
      <c r="D1544" s="70" t="s">
        <v>93</v>
      </c>
      <c r="E1544" s="70" t="s">
        <v>3888</v>
      </c>
      <c r="F1544" s="70" t="s">
        <v>3889</v>
      </c>
      <c r="G1544" s="70" t="s">
        <v>3890</v>
      </c>
      <c r="H1544" s="70" t="s">
        <v>3891</v>
      </c>
      <c r="I1544" s="70">
        <v>62.03</v>
      </c>
      <c r="J1544" s="70" t="s">
        <v>58</v>
      </c>
      <c r="K1544" s="65"/>
      <c r="L1544" s="65"/>
      <c r="M1544" s="65"/>
      <c r="N1544" s="65"/>
      <c r="O1544" s="65"/>
      <c r="P1544" s="65"/>
      <c r="Q1544" s="65"/>
      <c r="R1544" s="65"/>
      <c r="S1544" s="65"/>
      <c r="T1544" s="65"/>
      <c r="U1544" s="65"/>
      <c r="V1544" s="65"/>
      <c r="W1544" s="65"/>
      <c r="X1544" s="65"/>
      <c r="Y1544" s="65"/>
      <c r="Z1544" s="65"/>
      <c r="AA1544" s="65"/>
      <c r="AB1544" s="65"/>
      <c r="AC1544" s="65"/>
    </row>
    <row r="1545">
      <c r="A1545" s="70">
        <v>242.0</v>
      </c>
      <c r="B1545" s="67" t="s">
        <v>3892</v>
      </c>
      <c r="C1545" s="70" t="s">
        <v>69</v>
      </c>
      <c r="D1545" s="70" t="s">
        <v>108</v>
      </c>
      <c r="E1545" s="70" t="s">
        <v>3893</v>
      </c>
      <c r="F1545" s="70" t="s">
        <v>3894</v>
      </c>
      <c r="G1545" s="70" t="s">
        <v>3895</v>
      </c>
      <c r="H1545" s="70" t="s">
        <v>3896</v>
      </c>
      <c r="I1545" s="70">
        <v>58.71</v>
      </c>
      <c r="J1545" s="70" t="s">
        <v>58</v>
      </c>
      <c r="K1545" s="65"/>
      <c r="L1545" s="65"/>
      <c r="M1545" s="65"/>
      <c r="N1545" s="65"/>
      <c r="O1545" s="65"/>
      <c r="P1545" s="65"/>
      <c r="Q1545" s="65"/>
      <c r="R1545" s="65"/>
      <c r="S1545" s="65"/>
      <c r="T1545" s="65"/>
      <c r="U1545" s="65"/>
      <c r="V1545" s="65"/>
      <c r="W1545" s="65"/>
      <c r="X1545" s="65"/>
      <c r="Y1545" s="65"/>
      <c r="Z1545" s="65"/>
      <c r="AA1545" s="65"/>
      <c r="AB1545" s="65"/>
      <c r="AC1545" s="65"/>
    </row>
    <row r="1546">
      <c r="A1546" s="70">
        <v>241.0</v>
      </c>
      <c r="B1546" s="67" t="s">
        <v>3897</v>
      </c>
      <c r="C1546" s="70" t="s">
        <v>56</v>
      </c>
      <c r="D1546" s="70" t="s">
        <v>1078</v>
      </c>
      <c r="E1546" s="70" t="s">
        <v>3898</v>
      </c>
      <c r="F1546" s="70" t="s">
        <v>3899</v>
      </c>
      <c r="G1546" s="70" t="s">
        <v>3900</v>
      </c>
      <c r="H1546" s="70" t="s">
        <v>3901</v>
      </c>
      <c r="I1546" s="70">
        <v>57.41</v>
      </c>
      <c r="J1546" s="70" t="s">
        <v>58</v>
      </c>
      <c r="K1546" s="65"/>
      <c r="L1546" s="65"/>
      <c r="M1546" s="65"/>
      <c r="N1546" s="65"/>
      <c r="O1546" s="65"/>
      <c r="P1546" s="65"/>
      <c r="Q1546" s="65"/>
      <c r="R1546" s="65"/>
      <c r="S1546" s="65"/>
      <c r="T1546" s="65"/>
      <c r="U1546" s="65"/>
      <c r="V1546" s="65"/>
      <c r="W1546" s="65"/>
      <c r="X1546" s="65"/>
      <c r="Y1546" s="65"/>
      <c r="Z1546" s="65"/>
      <c r="AA1546" s="65"/>
      <c r="AB1546" s="65"/>
      <c r="AC1546" s="65"/>
    </row>
    <row r="1547">
      <c r="A1547" s="70">
        <v>240.0</v>
      </c>
      <c r="B1547" s="67" t="s">
        <v>3902</v>
      </c>
      <c r="C1547" s="70" t="s">
        <v>56</v>
      </c>
      <c r="D1547" s="70" t="s">
        <v>3903</v>
      </c>
      <c r="E1547" s="70" t="s">
        <v>3904</v>
      </c>
      <c r="F1547" s="70" t="s">
        <v>3905</v>
      </c>
      <c r="G1547" s="70" t="s">
        <v>3906</v>
      </c>
      <c r="H1547" s="70" t="s">
        <v>3907</v>
      </c>
      <c r="I1547" s="70">
        <v>45.22</v>
      </c>
      <c r="J1547" s="70" t="s">
        <v>58</v>
      </c>
      <c r="K1547" s="65"/>
      <c r="L1547" s="65"/>
      <c r="M1547" s="65"/>
      <c r="N1547" s="65"/>
      <c r="O1547" s="65"/>
      <c r="P1547" s="65"/>
      <c r="Q1547" s="65"/>
      <c r="R1547" s="65"/>
      <c r="S1547" s="65"/>
      <c r="T1547" s="65"/>
      <c r="U1547" s="65"/>
      <c r="V1547" s="65"/>
      <c r="W1547" s="65"/>
      <c r="X1547" s="65"/>
      <c r="Y1547" s="65"/>
      <c r="Z1547" s="65"/>
      <c r="AA1547" s="65"/>
      <c r="AB1547" s="65"/>
      <c r="AC1547" s="65"/>
    </row>
    <row r="1548">
      <c r="A1548" s="70">
        <v>239.0</v>
      </c>
      <c r="B1548" s="67" t="s">
        <v>3908</v>
      </c>
      <c r="C1548" s="70" t="s">
        <v>60</v>
      </c>
      <c r="D1548" s="70" t="s">
        <v>3909</v>
      </c>
      <c r="E1548" s="70" t="s">
        <v>3910</v>
      </c>
      <c r="F1548" s="70" t="s">
        <v>3911</v>
      </c>
      <c r="G1548" s="70" t="s">
        <v>3912</v>
      </c>
      <c r="H1548" s="70" t="s">
        <v>3913</v>
      </c>
      <c r="I1548" s="70">
        <v>44.68</v>
      </c>
      <c r="J1548" s="70" t="s">
        <v>58</v>
      </c>
      <c r="K1548" s="65"/>
      <c r="L1548" s="65"/>
      <c r="M1548" s="65"/>
      <c r="N1548" s="65"/>
      <c r="O1548" s="65"/>
      <c r="P1548" s="65"/>
      <c r="Q1548" s="65"/>
      <c r="R1548" s="65"/>
      <c r="S1548" s="65"/>
      <c r="T1548" s="65"/>
      <c r="U1548" s="65"/>
      <c r="V1548" s="65"/>
      <c r="W1548" s="65"/>
      <c r="X1548" s="65"/>
      <c r="Y1548" s="65"/>
      <c r="Z1548" s="65"/>
      <c r="AA1548" s="65"/>
      <c r="AB1548" s="65"/>
      <c r="AC1548" s="65"/>
    </row>
    <row r="1549">
      <c r="A1549" s="70">
        <v>238.0</v>
      </c>
      <c r="B1549" s="67" t="s">
        <v>3914</v>
      </c>
      <c r="C1549" s="70" t="s">
        <v>56</v>
      </c>
      <c r="D1549" s="70" t="s">
        <v>93</v>
      </c>
      <c r="E1549" s="70" t="s">
        <v>3915</v>
      </c>
      <c r="F1549" s="70" t="s">
        <v>3916</v>
      </c>
      <c r="G1549" s="70" t="s">
        <v>3917</v>
      </c>
      <c r="H1549" s="70" t="s">
        <v>3918</v>
      </c>
      <c r="I1549" s="70">
        <v>61.45</v>
      </c>
      <c r="J1549" s="70" t="s">
        <v>58</v>
      </c>
      <c r="K1549" s="65"/>
      <c r="L1549" s="65"/>
      <c r="M1549" s="65"/>
      <c r="N1549" s="65"/>
      <c r="O1549" s="65"/>
      <c r="P1549" s="65"/>
      <c r="Q1549" s="65"/>
      <c r="R1549" s="65"/>
      <c r="S1549" s="65"/>
      <c r="T1549" s="65"/>
      <c r="U1549" s="65"/>
      <c r="V1549" s="65"/>
      <c r="W1549" s="65"/>
      <c r="X1549" s="65"/>
      <c r="Y1549" s="65"/>
      <c r="Z1549" s="65"/>
      <c r="AA1549" s="65"/>
      <c r="AB1549" s="65"/>
      <c r="AC1549" s="65"/>
    </row>
    <row r="1550">
      <c r="A1550" s="70">
        <v>237.0</v>
      </c>
      <c r="B1550" s="67" t="s">
        <v>3919</v>
      </c>
      <c r="C1550" s="70" t="s">
        <v>69</v>
      </c>
      <c r="D1550" s="70" t="s">
        <v>206</v>
      </c>
      <c r="E1550" s="70" t="s">
        <v>3920</v>
      </c>
      <c r="F1550" s="70" t="s">
        <v>298</v>
      </c>
      <c r="G1550" s="70" t="s">
        <v>3921</v>
      </c>
      <c r="H1550" s="70" t="s">
        <v>3922</v>
      </c>
      <c r="I1550" s="70">
        <v>67.17</v>
      </c>
      <c r="J1550" s="70" t="s">
        <v>58</v>
      </c>
      <c r="K1550" s="65"/>
      <c r="L1550" s="65"/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  <c r="Y1550" s="65"/>
      <c r="Z1550" s="65"/>
      <c r="AA1550" s="65"/>
      <c r="AB1550" s="65"/>
      <c r="AC1550" s="65"/>
    </row>
    <row r="1551">
      <c r="A1551" s="70">
        <v>236.0</v>
      </c>
      <c r="B1551" s="67" t="s">
        <v>3923</v>
      </c>
      <c r="C1551" s="70" t="s">
        <v>56</v>
      </c>
      <c r="D1551" s="70" t="s">
        <v>320</v>
      </c>
      <c r="E1551" s="70" t="s">
        <v>3924</v>
      </c>
      <c r="F1551" s="70" t="s">
        <v>3925</v>
      </c>
      <c r="G1551" s="70" t="s">
        <v>3926</v>
      </c>
      <c r="H1551" s="70" t="s">
        <v>3927</v>
      </c>
      <c r="I1551" s="70">
        <v>49.03</v>
      </c>
      <c r="J1551" s="70" t="s">
        <v>58</v>
      </c>
      <c r="K1551" s="65"/>
      <c r="L1551" s="65"/>
      <c r="M1551" s="65"/>
      <c r="N1551" s="65"/>
      <c r="O1551" s="65"/>
      <c r="P1551" s="65"/>
      <c r="Q1551" s="65"/>
      <c r="R1551" s="65"/>
      <c r="S1551" s="65"/>
      <c r="T1551" s="65"/>
      <c r="U1551" s="65"/>
      <c r="V1551" s="65"/>
      <c r="W1551" s="65"/>
      <c r="X1551" s="65"/>
      <c r="Y1551" s="65"/>
      <c r="Z1551" s="65"/>
      <c r="AA1551" s="65"/>
      <c r="AB1551" s="65"/>
      <c r="AC1551" s="65"/>
    </row>
    <row r="1552">
      <c r="A1552" s="70">
        <v>235.0</v>
      </c>
      <c r="B1552" s="67" t="s">
        <v>3928</v>
      </c>
      <c r="C1552" s="70" t="s">
        <v>69</v>
      </c>
      <c r="D1552" s="70" t="s">
        <v>320</v>
      </c>
      <c r="E1552" s="70" t="s">
        <v>3929</v>
      </c>
      <c r="F1552" s="70" t="s">
        <v>3930</v>
      </c>
      <c r="G1552" s="70" t="s">
        <v>3930</v>
      </c>
      <c r="H1552" s="70" t="s">
        <v>3931</v>
      </c>
      <c r="I1552" s="70">
        <v>51.93</v>
      </c>
      <c r="J1552" s="70" t="s">
        <v>58</v>
      </c>
      <c r="K1552" s="65"/>
      <c r="L1552" s="65"/>
      <c r="M1552" s="65"/>
      <c r="N1552" s="65"/>
      <c r="O1552" s="65"/>
      <c r="P1552" s="65"/>
      <c r="Q1552" s="65"/>
      <c r="R1552" s="65"/>
      <c r="S1552" s="65"/>
      <c r="T1552" s="65"/>
      <c r="U1552" s="65"/>
      <c r="V1552" s="65"/>
      <c r="W1552" s="65"/>
      <c r="X1552" s="65"/>
      <c r="Y1552" s="65"/>
      <c r="Z1552" s="65"/>
      <c r="AA1552" s="65"/>
      <c r="AB1552" s="65"/>
      <c r="AC1552" s="65"/>
    </row>
    <row r="1553">
      <c r="A1553" s="70">
        <v>234.0</v>
      </c>
      <c r="B1553" s="67" t="s">
        <v>3932</v>
      </c>
      <c r="C1553" s="70" t="s">
        <v>69</v>
      </c>
      <c r="D1553" s="70" t="s">
        <v>3933</v>
      </c>
      <c r="E1553" s="70" t="s">
        <v>3934</v>
      </c>
      <c r="F1553" s="70" t="s">
        <v>3935</v>
      </c>
      <c r="G1553" s="70" t="s">
        <v>3936</v>
      </c>
      <c r="H1553" s="70" t="s">
        <v>3937</v>
      </c>
      <c r="I1553" s="70">
        <v>40.81</v>
      </c>
      <c r="J1553" s="70" t="s">
        <v>58</v>
      </c>
      <c r="K1553" s="65"/>
      <c r="L1553" s="65"/>
      <c r="M1553" s="65"/>
      <c r="N1553" s="65"/>
      <c r="O1553" s="65"/>
      <c r="P1553" s="65"/>
      <c r="Q1553" s="65"/>
      <c r="R1553" s="65"/>
      <c r="S1553" s="65"/>
      <c r="T1553" s="65"/>
      <c r="U1553" s="65"/>
      <c r="V1553" s="65"/>
      <c r="W1553" s="65"/>
      <c r="X1553" s="65"/>
      <c r="Y1553" s="65"/>
      <c r="Z1553" s="65"/>
      <c r="AA1553" s="65"/>
      <c r="AB1553" s="65"/>
      <c r="AC1553" s="65"/>
    </row>
    <row r="1554">
      <c r="A1554" s="70">
        <v>233.0</v>
      </c>
      <c r="B1554" s="67" t="s">
        <v>3938</v>
      </c>
      <c r="C1554" s="70" t="s">
        <v>60</v>
      </c>
      <c r="D1554" s="70" t="s">
        <v>99</v>
      </c>
      <c r="E1554" s="70" t="s">
        <v>1679</v>
      </c>
      <c r="F1554" s="73"/>
      <c r="G1554" s="70" t="s">
        <v>64</v>
      </c>
      <c r="H1554" s="70" t="s">
        <v>64</v>
      </c>
      <c r="I1554" s="70">
        <v>31.81</v>
      </c>
      <c r="J1554" s="70" t="s">
        <v>58</v>
      </c>
      <c r="K1554" s="65"/>
      <c r="L1554" s="65"/>
      <c r="M1554" s="65"/>
      <c r="N1554" s="65"/>
      <c r="O1554" s="65"/>
      <c r="P1554" s="65"/>
      <c r="Q1554" s="65"/>
      <c r="R1554" s="65"/>
      <c r="S1554" s="65"/>
      <c r="T1554" s="65"/>
      <c r="U1554" s="65"/>
      <c r="V1554" s="65"/>
      <c r="W1554" s="65"/>
      <c r="X1554" s="65"/>
      <c r="Y1554" s="65"/>
      <c r="Z1554" s="65"/>
      <c r="AA1554" s="65"/>
      <c r="AB1554" s="65"/>
      <c r="AC1554" s="65"/>
    </row>
    <row r="1555">
      <c r="A1555" s="70">
        <v>232.0</v>
      </c>
      <c r="B1555" s="67" t="s">
        <v>3939</v>
      </c>
      <c r="C1555" s="70" t="s">
        <v>69</v>
      </c>
      <c r="D1555" s="70" t="s">
        <v>830</v>
      </c>
      <c r="E1555" s="70" t="s">
        <v>3940</v>
      </c>
      <c r="F1555" s="70" t="s">
        <v>3941</v>
      </c>
      <c r="G1555" s="70" t="s">
        <v>3942</v>
      </c>
      <c r="H1555" s="70" t="s">
        <v>3943</v>
      </c>
      <c r="I1555" s="70">
        <v>52.47</v>
      </c>
      <c r="J1555" s="70" t="s">
        <v>58</v>
      </c>
      <c r="K1555" s="65"/>
      <c r="L1555" s="65"/>
      <c r="M1555" s="65"/>
      <c r="N1555" s="65"/>
      <c r="O1555" s="65"/>
      <c r="P1555" s="65"/>
      <c r="Q1555" s="65"/>
      <c r="R1555" s="65"/>
      <c r="S1555" s="65"/>
      <c r="T1555" s="65"/>
      <c r="U1555" s="65"/>
      <c r="V1555" s="65"/>
      <c r="W1555" s="65"/>
      <c r="X1555" s="65"/>
      <c r="Y1555" s="65"/>
      <c r="Z1555" s="65"/>
      <c r="AA1555" s="65"/>
      <c r="AB1555" s="65"/>
      <c r="AC1555" s="65"/>
    </row>
    <row r="1556">
      <c r="A1556" s="70">
        <v>231.0</v>
      </c>
      <c r="B1556" s="67" t="s">
        <v>3944</v>
      </c>
      <c r="C1556" s="70" t="s">
        <v>69</v>
      </c>
      <c r="D1556" s="70" t="s">
        <v>1108</v>
      </c>
      <c r="E1556" s="70" t="s">
        <v>3945</v>
      </c>
      <c r="F1556" s="70" t="s">
        <v>579</v>
      </c>
      <c r="G1556" s="70" t="s">
        <v>3946</v>
      </c>
      <c r="H1556" s="70" t="s">
        <v>3947</v>
      </c>
      <c r="I1556" s="70">
        <v>43.81</v>
      </c>
      <c r="J1556" s="70" t="s">
        <v>58</v>
      </c>
      <c r="K1556" s="65"/>
      <c r="L1556" s="65"/>
      <c r="M1556" s="65"/>
      <c r="N1556" s="65"/>
      <c r="O1556" s="65"/>
      <c r="P1556" s="65"/>
      <c r="Q1556" s="65"/>
      <c r="R1556" s="65"/>
      <c r="S1556" s="65"/>
      <c r="T1556" s="65"/>
      <c r="U1556" s="65"/>
      <c r="V1556" s="65"/>
      <c r="W1556" s="65"/>
      <c r="X1556" s="65"/>
      <c r="Y1556" s="65"/>
      <c r="Z1556" s="65"/>
      <c r="AA1556" s="65"/>
      <c r="AB1556" s="65"/>
      <c r="AC1556" s="65"/>
    </row>
    <row r="1557">
      <c r="A1557" s="70">
        <v>230.0</v>
      </c>
      <c r="B1557" s="67" t="s">
        <v>3948</v>
      </c>
      <c r="C1557" s="70" t="s">
        <v>56</v>
      </c>
      <c r="D1557" s="70" t="s">
        <v>3791</v>
      </c>
      <c r="E1557" s="70" t="s">
        <v>3949</v>
      </c>
      <c r="F1557" s="70" t="s">
        <v>3950</v>
      </c>
      <c r="G1557" s="70" t="s">
        <v>3951</v>
      </c>
      <c r="H1557" s="70" t="s">
        <v>3952</v>
      </c>
      <c r="I1557" s="70">
        <v>62.77</v>
      </c>
      <c r="J1557" s="70" t="s">
        <v>58</v>
      </c>
      <c r="K1557" s="65"/>
      <c r="L1557" s="65"/>
      <c r="M1557" s="65"/>
      <c r="N1557" s="65"/>
      <c r="O1557" s="65"/>
      <c r="P1557" s="65"/>
      <c r="Q1557" s="65"/>
      <c r="R1557" s="65"/>
      <c r="S1557" s="65"/>
      <c r="T1557" s="65"/>
      <c r="U1557" s="65"/>
      <c r="V1557" s="65"/>
      <c r="W1557" s="65"/>
      <c r="X1557" s="65"/>
      <c r="Y1557" s="65"/>
      <c r="Z1557" s="65"/>
      <c r="AA1557" s="65"/>
      <c r="AB1557" s="65"/>
      <c r="AC1557" s="65"/>
    </row>
    <row r="1558">
      <c r="A1558" s="70">
        <v>229.0</v>
      </c>
      <c r="B1558" s="67" t="s">
        <v>3953</v>
      </c>
      <c r="C1558" s="70" t="s">
        <v>56</v>
      </c>
      <c r="D1558" s="70" t="s">
        <v>93</v>
      </c>
      <c r="E1558" s="70" t="s">
        <v>3954</v>
      </c>
      <c r="F1558" s="70" t="s">
        <v>112</v>
      </c>
      <c r="G1558" s="70" t="s">
        <v>3354</v>
      </c>
      <c r="H1558" s="70" t="s">
        <v>3955</v>
      </c>
      <c r="I1558" s="70">
        <v>38.89</v>
      </c>
      <c r="J1558" s="70" t="s">
        <v>58</v>
      </c>
      <c r="K1558" s="65"/>
      <c r="L1558" s="65"/>
      <c r="M1558" s="65"/>
      <c r="N1558" s="65"/>
      <c r="O1558" s="65"/>
      <c r="P1558" s="65"/>
      <c r="Q1558" s="65"/>
      <c r="R1558" s="65"/>
      <c r="S1558" s="65"/>
      <c r="T1558" s="65"/>
      <c r="U1558" s="65"/>
      <c r="V1558" s="65"/>
      <c r="W1558" s="65"/>
      <c r="X1558" s="65"/>
      <c r="Y1558" s="65"/>
      <c r="Z1558" s="65"/>
      <c r="AA1558" s="65"/>
      <c r="AB1558" s="65"/>
      <c r="AC1558" s="65"/>
    </row>
    <row r="1559">
      <c r="A1559" s="70">
        <v>228.0</v>
      </c>
      <c r="B1559" s="67" t="s">
        <v>3956</v>
      </c>
      <c r="C1559" s="70" t="s">
        <v>69</v>
      </c>
      <c r="D1559" s="70" t="s">
        <v>93</v>
      </c>
      <c r="E1559" s="70" t="s">
        <v>3957</v>
      </c>
      <c r="F1559" s="70" t="s">
        <v>3958</v>
      </c>
      <c r="G1559" s="70" t="s">
        <v>3959</v>
      </c>
      <c r="H1559" s="70" t="s">
        <v>3960</v>
      </c>
      <c r="I1559" s="70">
        <v>42.55</v>
      </c>
      <c r="J1559" s="70" t="s">
        <v>58</v>
      </c>
      <c r="K1559" s="65"/>
      <c r="L1559" s="65"/>
      <c r="M1559" s="65"/>
      <c r="N1559" s="65"/>
      <c r="O1559" s="65"/>
      <c r="P1559" s="65"/>
      <c r="Q1559" s="65"/>
      <c r="R1559" s="65"/>
      <c r="S1559" s="65"/>
      <c r="T1559" s="65"/>
      <c r="U1559" s="65"/>
      <c r="V1559" s="65"/>
      <c r="W1559" s="65"/>
      <c r="X1559" s="65"/>
      <c r="Y1559" s="65"/>
      <c r="Z1559" s="65"/>
      <c r="AA1559" s="65"/>
      <c r="AB1559" s="65"/>
      <c r="AC1559" s="65"/>
    </row>
    <row r="1560">
      <c r="A1560" s="70">
        <v>227.0</v>
      </c>
      <c r="B1560" s="67" t="s">
        <v>3961</v>
      </c>
      <c r="C1560" s="70" t="s">
        <v>56</v>
      </c>
      <c r="D1560" s="70" t="s">
        <v>531</v>
      </c>
      <c r="E1560" s="70" t="s">
        <v>3962</v>
      </c>
      <c r="F1560" s="70" t="s">
        <v>3963</v>
      </c>
      <c r="G1560" s="70" t="s">
        <v>3964</v>
      </c>
      <c r="H1560" s="70" t="s">
        <v>3965</v>
      </c>
      <c r="I1560" s="70">
        <v>38.63</v>
      </c>
      <c r="J1560" s="70" t="s">
        <v>58</v>
      </c>
      <c r="K1560" s="65"/>
      <c r="L1560" s="65"/>
      <c r="M1560" s="65"/>
      <c r="N1560" s="65"/>
      <c r="O1560" s="65"/>
      <c r="P1560" s="65"/>
      <c r="Q1560" s="65"/>
      <c r="R1560" s="65"/>
      <c r="S1560" s="65"/>
      <c r="T1560" s="65"/>
      <c r="U1560" s="65"/>
      <c r="V1560" s="65"/>
      <c r="W1560" s="65"/>
      <c r="X1560" s="65"/>
      <c r="Y1560" s="65"/>
      <c r="Z1560" s="65"/>
      <c r="AA1560" s="65"/>
      <c r="AB1560" s="65"/>
      <c r="AC1560" s="65"/>
    </row>
    <row r="1561">
      <c r="A1561" s="70">
        <v>226.0</v>
      </c>
      <c r="B1561" s="67" t="s">
        <v>3966</v>
      </c>
      <c r="C1561" s="70" t="s">
        <v>69</v>
      </c>
      <c r="D1561" s="70" t="s">
        <v>320</v>
      </c>
      <c r="E1561" s="70" t="s">
        <v>3967</v>
      </c>
      <c r="F1561" s="70" t="s">
        <v>3968</v>
      </c>
      <c r="G1561" s="70" t="s">
        <v>3969</v>
      </c>
      <c r="H1561" s="70" t="s">
        <v>3970</v>
      </c>
      <c r="I1561" s="70">
        <v>67.16</v>
      </c>
      <c r="J1561" s="70" t="s">
        <v>58</v>
      </c>
      <c r="K1561" s="65"/>
      <c r="L1561" s="65"/>
      <c r="M1561" s="65"/>
      <c r="N1561" s="65"/>
      <c r="O1561" s="65"/>
      <c r="P1561" s="65"/>
      <c r="Q1561" s="65"/>
      <c r="R1561" s="65"/>
      <c r="S1561" s="65"/>
      <c r="T1561" s="65"/>
      <c r="U1561" s="65"/>
      <c r="V1561" s="65"/>
      <c r="W1561" s="65"/>
      <c r="X1561" s="65"/>
      <c r="Y1561" s="65"/>
      <c r="Z1561" s="65"/>
      <c r="AA1561" s="65"/>
      <c r="AB1561" s="65"/>
      <c r="AC1561" s="65"/>
    </row>
    <row r="1562">
      <c r="A1562" s="70">
        <v>225.0</v>
      </c>
      <c r="B1562" s="67" t="s">
        <v>3971</v>
      </c>
      <c r="C1562" s="70" t="s">
        <v>69</v>
      </c>
      <c r="D1562" s="70" t="s">
        <v>830</v>
      </c>
      <c r="E1562" s="70" t="s">
        <v>3972</v>
      </c>
      <c r="F1562" s="70" t="s">
        <v>3973</v>
      </c>
      <c r="G1562" s="70" t="s">
        <v>3974</v>
      </c>
      <c r="H1562" s="70" t="s">
        <v>3975</v>
      </c>
      <c r="I1562" s="70">
        <v>47.66</v>
      </c>
      <c r="J1562" s="70" t="s">
        <v>58</v>
      </c>
      <c r="K1562" s="65"/>
      <c r="L1562" s="65"/>
      <c r="M1562" s="65"/>
      <c r="N1562" s="65"/>
      <c r="O1562" s="65"/>
      <c r="P1562" s="65"/>
      <c r="Q1562" s="65"/>
      <c r="R1562" s="65"/>
      <c r="S1562" s="65"/>
      <c r="T1562" s="65"/>
      <c r="U1562" s="65"/>
      <c r="V1562" s="65"/>
      <c r="W1562" s="65"/>
      <c r="X1562" s="65"/>
      <c r="Y1562" s="65"/>
      <c r="Z1562" s="65"/>
      <c r="AA1562" s="65"/>
      <c r="AB1562" s="65"/>
      <c r="AC1562" s="65"/>
    </row>
    <row r="1563">
      <c r="A1563" s="70">
        <v>224.0</v>
      </c>
      <c r="B1563" s="67" t="s">
        <v>3976</v>
      </c>
      <c r="C1563" s="70" t="s">
        <v>60</v>
      </c>
      <c r="D1563" s="70" t="s">
        <v>3977</v>
      </c>
      <c r="E1563" s="70" t="s">
        <v>3978</v>
      </c>
      <c r="F1563" s="70" t="s">
        <v>3979</v>
      </c>
      <c r="G1563" s="70" t="s">
        <v>3980</v>
      </c>
      <c r="H1563" s="70" t="s">
        <v>3981</v>
      </c>
      <c r="I1563" s="70">
        <v>38.21</v>
      </c>
      <c r="J1563" s="70" t="s">
        <v>58</v>
      </c>
      <c r="K1563" s="65"/>
      <c r="L1563" s="65"/>
      <c r="M1563" s="65"/>
      <c r="N1563" s="65"/>
      <c r="O1563" s="65"/>
      <c r="P1563" s="65"/>
      <c r="Q1563" s="65"/>
      <c r="R1563" s="65"/>
      <c r="S1563" s="65"/>
      <c r="T1563" s="65"/>
      <c r="U1563" s="65"/>
      <c r="V1563" s="65"/>
      <c r="W1563" s="65"/>
      <c r="X1563" s="65"/>
      <c r="Y1563" s="65"/>
      <c r="Z1563" s="65"/>
      <c r="AA1563" s="65"/>
      <c r="AB1563" s="65"/>
      <c r="AC1563" s="65"/>
    </row>
    <row r="1564">
      <c r="A1564" s="70">
        <v>223.0</v>
      </c>
      <c r="B1564" s="67" t="s">
        <v>3982</v>
      </c>
      <c r="C1564" s="70" t="s">
        <v>56</v>
      </c>
      <c r="D1564" s="70" t="s">
        <v>99</v>
      </c>
      <c r="E1564" s="70" t="s">
        <v>3983</v>
      </c>
      <c r="F1564" s="70" t="s">
        <v>3984</v>
      </c>
      <c r="G1564" s="70" t="s">
        <v>3985</v>
      </c>
      <c r="H1564" s="70" t="s">
        <v>3986</v>
      </c>
      <c r="I1564" s="70">
        <v>38.28</v>
      </c>
      <c r="J1564" s="70" t="s">
        <v>58</v>
      </c>
      <c r="K1564" s="65"/>
      <c r="L1564" s="65"/>
      <c r="M1564" s="65"/>
      <c r="N1564" s="65"/>
      <c r="O1564" s="65"/>
      <c r="P1564" s="65"/>
      <c r="Q1564" s="65"/>
      <c r="R1564" s="65"/>
      <c r="S1564" s="65"/>
      <c r="T1564" s="65"/>
      <c r="U1564" s="65"/>
      <c r="V1564" s="65"/>
      <c r="W1564" s="65"/>
      <c r="X1564" s="65"/>
      <c r="Y1564" s="65"/>
      <c r="Z1564" s="65"/>
      <c r="AA1564" s="65"/>
      <c r="AB1564" s="65"/>
      <c r="AC1564" s="65"/>
    </row>
    <row r="1565">
      <c r="A1565" s="70">
        <v>222.0</v>
      </c>
      <c r="B1565" s="67" t="s">
        <v>3987</v>
      </c>
      <c r="C1565" s="70" t="s">
        <v>56</v>
      </c>
      <c r="D1565" s="70" t="s">
        <v>3791</v>
      </c>
      <c r="E1565" s="70" t="s">
        <v>3988</v>
      </c>
      <c r="F1565" s="70" t="s">
        <v>3989</v>
      </c>
      <c r="G1565" s="70" t="s">
        <v>3990</v>
      </c>
      <c r="H1565" s="70" t="s">
        <v>3991</v>
      </c>
      <c r="I1565" s="70">
        <v>49.51</v>
      </c>
      <c r="J1565" s="70" t="s">
        <v>58</v>
      </c>
      <c r="K1565" s="65"/>
      <c r="L1565" s="65"/>
      <c r="M1565" s="65"/>
      <c r="N1565" s="65"/>
      <c r="O1565" s="65"/>
      <c r="P1565" s="65"/>
      <c r="Q1565" s="65"/>
      <c r="R1565" s="65"/>
      <c r="S1565" s="65"/>
      <c r="T1565" s="65"/>
      <c r="U1565" s="65"/>
      <c r="V1565" s="65"/>
      <c r="W1565" s="65"/>
      <c r="X1565" s="65"/>
      <c r="Y1565" s="65"/>
      <c r="Z1565" s="65"/>
      <c r="AA1565" s="65"/>
      <c r="AB1565" s="65"/>
      <c r="AC1565" s="65"/>
    </row>
    <row r="1566">
      <c r="A1566" s="70">
        <v>221.0</v>
      </c>
      <c r="B1566" s="67" t="s">
        <v>3992</v>
      </c>
      <c r="C1566" s="70" t="s">
        <v>56</v>
      </c>
      <c r="D1566" s="70" t="s">
        <v>76</v>
      </c>
      <c r="E1566" s="70" t="s">
        <v>3993</v>
      </c>
      <c r="F1566" s="70" t="s">
        <v>3994</v>
      </c>
      <c r="G1566" s="70" t="s">
        <v>3995</v>
      </c>
      <c r="H1566" s="70" t="s">
        <v>3996</v>
      </c>
      <c r="I1566" s="70">
        <v>39.4</v>
      </c>
      <c r="J1566" s="70" t="s">
        <v>58</v>
      </c>
      <c r="K1566" s="65"/>
      <c r="L1566" s="65"/>
      <c r="M1566" s="65"/>
      <c r="N1566" s="65"/>
      <c r="O1566" s="65"/>
      <c r="P1566" s="65"/>
      <c r="Q1566" s="65"/>
      <c r="R1566" s="65"/>
      <c r="S1566" s="65"/>
      <c r="T1566" s="65"/>
      <c r="U1566" s="65"/>
      <c r="V1566" s="65"/>
      <c r="W1566" s="65"/>
      <c r="X1566" s="65"/>
      <c r="Y1566" s="65"/>
      <c r="Z1566" s="65"/>
      <c r="AA1566" s="65"/>
      <c r="AB1566" s="65"/>
      <c r="AC1566" s="65"/>
    </row>
    <row r="1567">
      <c r="A1567" s="70">
        <v>220.0</v>
      </c>
      <c r="B1567" s="67" t="s">
        <v>3997</v>
      </c>
      <c r="C1567" s="70" t="s">
        <v>56</v>
      </c>
      <c r="D1567" s="70" t="s">
        <v>3998</v>
      </c>
      <c r="E1567" s="70" t="s">
        <v>3999</v>
      </c>
      <c r="F1567" s="70" t="s">
        <v>71</v>
      </c>
      <c r="G1567" s="70" t="s">
        <v>71</v>
      </c>
      <c r="H1567" s="70" t="s">
        <v>4000</v>
      </c>
      <c r="I1567" s="70">
        <v>21.35</v>
      </c>
      <c r="J1567" s="70" t="s">
        <v>58</v>
      </c>
      <c r="K1567" s="65"/>
      <c r="L1567" s="65"/>
      <c r="M1567" s="65"/>
      <c r="N1567" s="65"/>
      <c r="O1567" s="65"/>
      <c r="P1567" s="65"/>
      <c r="Q1567" s="65"/>
      <c r="R1567" s="65"/>
      <c r="S1567" s="65"/>
      <c r="T1567" s="65"/>
      <c r="U1567" s="65"/>
      <c r="V1567" s="65"/>
      <c r="W1567" s="65"/>
      <c r="X1567" s="65"/>
      <c r="Y1567" s="65"/>
      <c r="Z1567" s="65"/>
      <c r="AA1567" s="65"/>
      <c r="AB1567" s="65"/>
      <c r="AC1567" s="65"/>
    </row>
    <row r="1568">
      <c r="A1568" s="70">
        <v>219.0</v>
      </c>
      <c r="B1568" s="67" t="s">
        <v>4001</v>
      </c>
      <c r="C1568" s="70" t="s">
        <v>69</v>
      </c>
      <c r="D1568" s="70" t="s">
        <v>156</v>
      </c>
      <c r="E1568" s="70" t="s">
        <v>4002</v>
      </c>
      <c r="F1568" s="70" t="s">
        <v>1134</v>
      </c>
      <c r="G1568" s="70" t="s">
        <v>4003</v>
      </c>
      <c r="H1568" s="70" t="s">
        <v>4004</v>
      </c>
      <c r="I1568" s="70">
        <v>38.71</v>
      </c>
      <c r="J1568" s="70" t="s">
        <v>58</v>
      </c>
      <c r="K1568" s="65"/>
      <c r="L1568" s="65"/>
      <c r="M1568" s="65"/>
      <c r="N1568" s="65"/>
      <c r="O1568" s="65"/>
      <c r="P1568" s="65"/>
      <c r="Q1568" s="65"/>
      <c r="R1568" s="65"/>
      <c r="S1568" s="65"/>
      <c r="T1568" s="65"/>
      <c r="U1568" s="65"/>
      <c r="V1568" s="65"/>
      <c r="W1568" s="65"/>
      <c r="X1568" s="65"/>
      <c r="Y1568" s="65"/>
      <c r="Z1568" s="65"/>
      <c r="AA1568" s="65"/>
      <c r="AB1568" s="65"/>
      <c r="AC1568" s="65"/>
    </row>
    <row r="1569">
      <c r="A1569" s="70">
        <v>218.0</v>
      </c>
      <c r="B1569" s="67" t="s">
        <v>4005</v>
      </c>
      <c r="C1569" s="70" t="s">
        <v>60</v>
      </c>
      <c r="D1569" s="70" t="s">
        <v>4006</v>
      </c>
      <c r="E1569" s="70" t="s">
        <v>4007</v>
      </c>
      <c r="F1569" s="70" t="s">
        <v>4008</v>
      </c>
      <c r="G1569" s="70" t="s">
        <v>4009</v>
      </c>
      <c r="H1569" s="70" t="s">
        <v>4010</v>
      </c>
      <c r="I1569" s="70">
        <v>36.44</v>
      </c>
      <c r="J1569" s="70" t="s">
        <v>58</v>
      </c>
      <c r="K1569" s="65"/>
      <c r="L1569" s="65"/>
      <c r="M1569" s="65"/>
      <c r="N1569" s="65"/>
      <c r="O1569" s="65"/>
      <c r="P1569" s="65"/>
      <c r="Q1569" s="65"/>
      <c r="R1569" s="65"/>
      <c r="S1569" s="65"/>
      <c r="T1569" s="65"/>
      <c r="U1569" s="65"/>
      <c r="V1569" s="65"/>
      <c r="W1569" s="65"/>
      <c r="X1569" s="65"/>
      <c r="Y1569" s="65"/>
      <c r="Z1569" s="65"/>
      <c r="AA1569" s="65"/>
      <c r="AB1569" s="65"/>
      <c r="AC1569" s="65"/>
    </row>
    <row r="1570">
      <c r="A1570" s="70">
        <v>217.0</v>
      </c>
      <c r="B1570" s="67" t="s">
        <v>4011</v>
      </c>
      <c r="C1570" s="70" t="s">
        <v>69</v>
      </c>
      <c r="D1570" s="70" t="s">
        <v>156</v>
      </c>
      <c r="E1570" s="70" t="s">
        <v>4012</v>
      </c>
      <c r="F1570" s="70" t="s">
        <v>3095</v>
      </c>
      <c r="G1570" s="70" t="s">
        <v>4013</v>
      </c>
      <c r="H1570" s="70" t="s">
        <v>4014</v>
      </c>
      <c r="I1570" s="70">
        <v>56.73</v>
      </c>
      <c r="J1570" s="70" t="s">
        <v>58</v>
      </c>
      <c r="K1570" s="65"/>
      <c r="L1570" s="65"/>
      <c r="M1570" s="65"/>
      <c r="N1570" s="65"/>
      <c r="O1570" s="65"/>
      <c r="P1570" s="65"/>
      <c r="Q1570" s="65"/>
      <c r="R1570" s="65"/>
      <c r="S1570" s="65"/>
      <c r="T1570" s="65"/>
      <c r="U1570" s="65"/>
      <c r="V1570" s="65"/>
      <c r="W1570" s="65"/>
      <c r="X1570" s="65"/>
      <c r="Y1570" s="65"/>
      <c r="Z1570" s="65"/>
      <c r="AA1570" s="65"/>
      <c r="AB1570" s="65"/>
      <c r="AC1570" s="65"/>
    </row>
    <row r="1571">
      <c r="A1571" s="70">
        <v>216.0</v>
      </c>
      <c r="B1571" s="67" t="s">
        <v>4015</v>
      </c>
      <c r="C1571" s="70" t="s">
        <v>56</v>
      </c>
      <c r="D1571" s="70" t="s">
        <v>4016</v>
      </c>
      <c r="E1571" s="70" t="s">
        <v>4017</v>
      </c>
      <c r="F1571" s="73"/>
      <c r="G1571" s="70" t="s">
        <v>1538</v>
      </c>
      <c r="H1571" s="70" t="s">
        <v>4018</v>
      </c>
      <c r="I1571" s="70">
        <v>60.46</v>
      </c>
      <c r="J1571" s="70" t="s">
        <v>58</v>
      </c>
      <c r="K1571" s="65"/>
      <c r="L1571" s="65"/>
      <c r="M1571" s="65"/>
      <c r="N1571" s="65"/>
      <c r="O1571" s="65"/>
      <c r="P1571" s="65"/>
      <c r="Q1571" s="65"/>
      <c r="R1571" s="65"/>
      <c r="S1571" s="65"/>
      <c r="T1571" s="65"/>
      <c r="U1571" s="65"/>
      <c r="V1571" s="65"/>
      <c r="W1571" s="65"/>
      <c r="X1571" s="65"/>
      <c r="Y1571" s="65"/>
      <c r="Z1571" s="65"/>
      <c r="AA1571" s="65"/>
      <c r="AB1571" s="65"/>
      <c r="AC1571" s="65"/>
    </row>
    <row r="1572">
      <c r="A1572" s="70">
        <v>215.0</v>
      </c>
      <c r="B1572" s="67" t="s">
        <v>4019</v>
      </c>
      <c r="C1572" s="70" t="s">
        <v>56</v>
      </c>
      <c r="D1572" s="70" t="s">
        <v>4020</v>
      </c>
      <c r="E1572" s="70" t="s">
        <v>4021</v>
      </c>
      <c r="F1572" s="70" t="s">
        <v>4022</v>
      </c>
      <c r="G1572" s="70" t="s">
        <v>4023</v>
      </c>
      <c r="H1572" s="70" t="s">
        <v>4024</v>
      </c>
      <c r="I1572" s="70">
        <v>58.66</v>
      </c>
      <c r="J1572" s="70" t="s">
        <v>58</v>
      </c>
      <c r="K1572" s="65"/>
      <c r="L1572" s="65"/>
      <c r="M1572" s="65"/>
      <c r="N1572" s="65"/>
      <c r="O1572" s="65"/>
      <c r="P1572" s="65"/>
      <c r="Q1572" s="65"/>
      <c r="R1572" s="65"/>
      <c r="S1572" s="65"/>
      <c r="T1572" s="65"/>
      <c r="U1572" s="65"/>
      <c r="V1572" s="65"/>
      <c r="W1572" s="65"/>
      <c r="X1572" s="65"/>
      <c r="Y1572" s="65"/>
      <c r="Z1572" s="65"/>
      <c r="AA1572" s="65"/>
      <c r="AB1572" s="65"/>
      <c r="AC1572" s="65"/>
    </row>
    <row r="1573">
      <c r="A1573" s="70">
        <v>214.0</v>
      </c>
      <c r="B1573" s="67" t="s">
        <v>4025</v>
      </c>
      <c r="C1573" s="70" t="s">
        <v>60</v>
      </c>
      <c r="D1573" s="70" t="s">
        <v>70</v>
      </c>
      <c r="E1573" s="70" t="s">
        <v>4026</v>
      </c>
      <c r="F1573" s="70" t="s">
        <v>67</v>
      </c>
      <c r="G1573" s="70" t="s">
        <v>4027</v>
      </c>
      <c r="H1573" s="70" t="s">
        <v>4028</v>
      </c>
      <c r="I1573" s="70">
        <v>30.74</v>
      </c>
      <c r="J1573" s="70" t="s">
        <v>58</v>
      </c>
      <c r="K1573" s="65"/>
      <c r="L1573" s="65"/>
      <c r="M1573" s="65"/>
      <c r="N1573" s="65"/>
      <c r="O1573" s="65"/>
      <c r="P1573" s="65"/>
      <c r="Q1573" s="65"/>
      <c r="R1573" s="65"/>
      <c r="S1573" s="65"/>
      <c r="T1573" s="65"/>
      <c r="U1573" s="65"/>
      <c r="V1573" s="65"/>
      <c r="W1573" s="65"/>
      <c r="X1573" s="65"/>
      <c r="Y1573" s="65"/>
      <c r="Z1573" s="65"/>
      <c r="AA1573" s="65"/>
      <c r="AB1573" s="65"/>
      <c r="AC1573" s="65"/>
    </row>
    <row r="1574">
      <c r="A1574" s="70">
        <v>213.0</v>
      </c>
      <c r="B1574" s="67" t="s">
        <v>4029</v>
      </c>
      <c r="C1574" s="70" t="s">
        <v>56</v>
      </c>
      <c r="D1574" s="70" t="s">
        <v>76</v>
      </c>
      <c r="E1574" s="70" t="s">
        <v>4030</v>
      </c>
      <c r="F1574" s="73"/>
      <c r="G1574" s="70" t="s">
        <v>4031</v>
      </c>
      <c r="H1574" s="70" t="s">
        <v>4032</v>
      </c>
      <c r="I1574" s="70">
        <v>37.6</v>
      </c>
      <c r="J1574" s="70" t="s">
        <v>58</v>
      </c>
      <c r="K1574" s="65"/>
      <c r="L1574" s="65"/>
      <c r="M1574" s="65"/>
      <c r="N1574" s="65"/>
      <c r="O1574" s="65"/>
      <c r="P1574" s="65"/>
      <c r="Q1574" s="65"/>
      <c r="R1574" s="65"/>
      <c r="S1574" s="65"/>
      <c r="T1574" s="65"/>
      <c r="U1574" s="65"/>
      <c r="V1574" s="65"/>
      <c r="W1574" s="65"/>
      <c r="X1574" s="65"/>
      <c r="Y1574" s="65"/>
      <c r="Z1574" s="65"/>
      <c r="AA1574" s="65"/>
      <c r="AB1574" s="65"/>
      <c r="AC1574" s="65"/>
    </row>
    <row r="1575">
      <c r="A1575" s="70">
        <v>212.0</v>
      </c>
      <c r="B1575" s="67" t="s">
        <v>4033</v>
      </c>
      <c r="C1575" s="70" t="s">
        <v>60</v>
      </c>
      <c r="D1575" s="70" t="s">
        <v>3234</v>
      </c>
      <c r="E1575" s="70" t="s">
        <v>4034</v>
      </c>
      <c r="F1575" s="70" t="s">
        <v>4035</v>
      </c>
      <c r="G1575" s="70" t="s">
        <v>4036</v>
      </c>
      <c r="H1575" s="70" t="s">
        <v>4037</v>
      </c>
      <c r="I1575" s="70">
        <v>37.29</v>
      </c>
      <c r="J1575" s="70" t="s">
        <v>58</v>
      </c>
      <c r="K1575" s="65"/>
      <c r="L1575" s="65"/>
      <c r="M1575" s="65"/>
      <c r="N1575" s="65"/>
      <c r="O1575" s="65"/>
      <c r="P1575" s="65"/>
      <c r="Q1575" s="65"/>
      <c r="R1575" s="65"/>
      <c r="S1575" s="65"/>
      <c r="T1575" s="65"/>
      <c r="U1575" s="65"/>
      <c r="V1575" s="65"/>
      <c r="W1575" s="65"/>
      <c r="X1575" s="65"/>
      <c r="Y1575" s="65"/>
      <c r="Z1575" s="65"/>
      <c r="AA1575" s="65"/>
      <c r="AB1575" s="65"/>
      <c r="AC1575" s="65"/>
    </row>
    <row r="1576">
      <c r="A1576" s="70">
        <v>211.0</v>
      </c>
      <c r="B1576" s="67" t="s">
        <v>4038</v>
      </c>
      <c r="C1576" s="70" t="s">
        <v>56</v>
      </c>
      <c r="D1576" s="70" t="s">
        <v>4039</v>
      </c>
      <c r="E1576" s="70" t="s">
        <v>4040</v>
      </c>
      <c r="F1576" s="70" t="s">
        <v>4041</v>
      </c>
      <c r="G1576" s="70" t="s">
        <v>4042</v>
      </c>
      <c r="H1576" s="70" t="s">
        <v>4043</v>
      </c>
      <c r="I1576" s="70">
        <v>40.37</v>
      </c>
      <c r="J1576" s="70" t="s">
        <v>58</v>
      </c>
      <c r="K1576" s="65"/>
      <c r="L1576" s="65"/>
      <c r="M1576" s="65"/>
      <c r="N1576" s="65"/>
      <c r="O1576" s="65"/>
      <c r="P1576" s="65"/>
      <c r="Q1576" s="65"/>
      <c r="R1576" s="65"/>
      <c r="S1576" s="65"/>
      <c r="T1576" s="65"/>
      <c r="U1576" s="65"/>
      <c r="V1576" s="65"/>
      <c r="W1576" s="65"/>
      <c r="X1576" s="65"/>
      <c r="Y1576" s="65"/>
      <c r="Z1576" s="65"/>
      <c r="AA1576" s="65"/>
      <c r="AB1576" s="65"/>
      <c r="AC1576" s="65"/>
    </row>
    <row r="1577">
      <c r="A1577" s="70">
        <v>210.0</v>
      </c>
      <c r="B1577" s="67" t="s">
        <v>4044</v>
      </c>
      <c r="C1577" s="70" t="s">
        <v>56</v>
      </c>
      <c r="D1577" s="70" t="s">
        <v>4045</v>
      </c>
      <c r="E1577" s="70" t="s">
        <v>4046</v>
      </c>
      <c r="F1577" s="70" t="s">
        <v>4047</v>
      </c>
      <c r="G1577" s="70" t="s">
        <v>4048</v>
      </c>
      <c r="H1577" s="70" t="s">
        <v>4049</v>
      </c>
      <c r="I1577" s="70">
        <v>42.78</v>
      </c>
      <c r="J1577" s="70" t="s">
        <v>58</v>
      </c>
      <c r="K1577" s="65"/>
      <c r="L1577" s="65"/>
      <c r="M1577" s="65"/>
      <c r="N1577" s="65"/>
      <c r="O1577" s="65"/>
      <c r="P1577" s="65"/>
      <c r="Q1577" s="65"/>
      <c r="R1577" s="65"/>
      <c r="S1577" s="65"/>
      <c r="T1577" s="65"/>
      <c r="U1577" s="65"/>
      <c r="V1577" s="65"/>
      <c r="W1577" s="65"/>
      <c r="X1577" s="65"/>
      <c r="Y1577" s="65"/>
      <c r="Z1577" s="65"/>
      <c r="AA1577" s="65"/>
      <c r="AB1577" s="65"/>
      <c r="AC1577" s="65"/>
    </row>
    <row r="1578">
      <c r="A1578" s="70">
        <v>209.0</v>
      </c>
      <c r="B1578" s="67" t="s">
        <v>4050</v>
      </c>
      <c r="C1578" s="70" t="s">
        <v>56</v>
      </c>
      <c r="D1578" s="70" t="s">
        <v>3715</v>
      </c>
      <c r="E1578" s="70" t="s">
        <v>4051</v>
      </c>
      <c r="F1578" s="70" t="s">
        <v>4052</v>
      </c>
      <c r="G1578" s="70" t="s">
        <v>4053</v>
      </c>
      <c r="H1578" s="70" t="s">
        <v>4054</v>
      </c>
      <c r="I1578" s="70">
        <v>39.63</v>
      </c>
      <c r="J1578" s="70" t="s">
        <v>58</v>
      </c>
      <c r="K1578" s="65"/>
      <c r="L1578" s="65"/>
      <c r="M1578" s="65"/>
      <c r="N1578" s="65"/>
      <c r="O1578" s="65"/>
      <c r="P1578" s="65"/>
      <c r="Q1578" s="65"/>
      <c r="R1578" s="65"/>
      <c r="S1578" s="65"/>
      <c r="T1578" s="65"/>
      <c r="U1578" s="65"/>
      <c r="V1578" s="65"/>
      <c r="W1578" s="65"/>
      <c r="X1578" s="65"/>
      <c r="Y1578" s="65"/>
      <c r="Z1578" s="65"/>
      <c r="AA1578" s="65"/>
      <c r="AB1578" s="65"/>
      <c r="AC1578" s="65"/>
    </row>
    <row r="1579">
      <c r="A1579" s="70">
        <v>208.0</v>
      </c>
      <c r="B1579" s="67" t="s">
        <v>4055</v>
      </c>
      <c r="C1579" s="70" t="s">
        <v>56</v>
      </c>
      <c r="D1579" s="70" t="s">
        <v>2661</v>
      </c>
      <c r="E1579" s="70" t="s">
        <v>4056</v>
      </c>
      <c r="F1579" s="70" t="s">
        <v>4057</v>
      </c>
      <c r="G1579" s="70" t="s">
        <v>4058</v>
      </c>
      <c r="H1579" s="70" t="s">
        <v>4059</v>
      </c>
      <c r="I1579" s="70">
        <v>52.31</v>
      </c>
      <c r="J1579" s="70" t="s">
        <v>58</v>
      </c>
      <c r="K1579" s="65"/>
      <c r="L1579" s="65"/>
      <c r="M1579" s="65"/>
      <c r="N1579" s="65"/>
      <c r="O1579" s="65"/>
      <c r="P1579" s="65"/>
      <c r="Q1579" s="65"/>
      <c r="R1579" s="65"/>
      <c r="S1579" s="65"/>
      <c r="T1579" s="65"/>
      <c r="U1579" s="65"/>
      <c r="V1579" s="65"/>
      <c r="W1579" s="65"/>
      <c r="X1579" s="65"/>
      <c r="Y1579" s="65"/>
      <c r="Z1579" s="65"/>
      <c r="AA1579" s="65"/>
      <c r="AB1579" s="65"/>
      <c r="AC1579" s="65"/>
    </row>
    <row r="1580">
      <c r="A1580" s="70">
        <v>207.0</v>
      </c>
      <c r="B1580" s="67" t="s">
        <v>4060</v>
      </c>
      <c r="C1580" s="70" t="s">
        <v>56</v>
      </c>
      <c r="D1580" s="70" t="s">
        <v>4045</v>
      </c>
      <c r="E1580" s="70" t="s">
        <v>4061</v>
      </c>
      <c r="F1580" s="70" t="s">
        <v>4062</v>
      </c>
      <c r="G1580" s="70" t="s">
        <v>4063</v>
      </c>
      <c r="H1580" s="70" t="s">
        <v>4064</v>
      </c>
      <c r="I1580" s="70">
        <v>44.3</v>
      </c>
      <c r="J1580" s="70" t="s">
        <v>58</v>
      </c>
      <c r="K1580" s="65"/>
      <c r="L1580" s="65"/>
      <c r="M1580" s="65"/>
      <c r="N1580" s="65"/>
      <c r="O1580" s="65"/>
      <c r="P1580" s="65"/>
      <c r="Q1580" s="65"/>
      <c r="R1580" s="65"/>
      <c r="S1580" s="65"/>
      <c r="T1580" s="65"/>
      <c r="U1580" s="65"/>
      <c r="V1580" s="65"/>
      <c r="W1580" s="65"/>
      <c r="X1580" s="65"/>
      <c r="Y1580" s="65"/>
      <c r="Z1580" s="65"/>
      <c r="AA1580" s="65"/>
      <c r="AB1580" s="65"/>
      <c r="AC1580" s="65"/>
    </row>
    <row r="1581">
      <c r="A1581" s="70">
        <v>206.0</v>
      </c>
      <c r="B1581" s="67" t="s">
        <v>4065</v>
      </c>
      <c r="C1581" s="70" t="s">
        <v>69</v>
      </c>
      <c r="D1581" s="70" t="s">
        <v>206</v>
      </c>
      <c r="E1581" s="70" t="s">
        <v>4066</v>
      </c>
      <c r="F1581" s="70" t="s">
        <v>4067</v>
      </c>
      <c r="G1581" s="70" t="s">
        <v>4068</v>
      </c>
      <c r="H1581" s="70" t="s">
        <v>4069</v>
      </c>
      <c r="I1581" s="70">
        <v>65.48</v>
      </c>
      <c r="J1581" s="70" t="s">
        <v>58</v>
      </c>
      <c r="K1581" s="65"/>
      <c r="L1581" s="65"/>
      <c r="M1581" s="65"/>
      <c r="N1581" s="65"/>
      <c r="O1581" s="65"/>
      <c r="P1581" s="65"/>
      <c r="Q1581" s="65"/>
      <c r="R1581" s="65"/>
      <c r="S1581" s="65"/>
      <c r="T1581" s="65"/>
      <c r="U1581" s="65"/>
      <c r="V1581" s="65"/>
      <c r="W1581" s="65"/>
      <c r="X1581" s="65"/>
      <c r="Y1581" s="65"/>
      <c r="Z1581" s="65"/>
      <c r="AA1581" s="65"/>
      <c r="AB1581" s="65"/>
      <c r="AC1581" s="65"/>
    </row>
    <row r="1582">
      <c r="A1582" s="70">
        <v>205.0</v>
      </c>
      <c r="B1582" s="67" t="s">
        <v>4070</v>
      </c>
      <c r="C1582" s="70" t="s">
        <v>69</v>
      </c>
      <c r="D1582" s="70" t="s">
        <v>284</v>
      </c>
      <c r="E1582" s="70" t="s">
        <v>4071</v>
      </c>
      <c r="F1582" s="70" t="s">
        <v>4072</v>
      </c>
      <c r="G1582" s="70" t="s">
        <v>4073</v>
      </c>
      <c r="H1582" s="70" t="s">
        <v>4074</v>
      </c>
      <c r="I1582" s="70">
        <v>40.54</v>
      </c>
      <c r="J1582" s="70" t="s">
        <v>58</v>
      </c>
      <c r="K1582" s="65"/>
      <c r="L1582" s="65"/>
      <c r="M1582" s="65"/>
      <c r="N1582" s="65"/>
      <c r="O1582" s="65"/>
      <c r="P1582" s="65"/>
      <c r="Q1582" s="65"/>
      <c r="R1582" s="65"/>
      <c r="S1582" s="65"/>
      <c r="T1582" s="65"/>
      <c r="U1582" s="65"/>
      <c r="V1582" s="65"/>
      <c r="W1582" s="65"/>
      <c r="X1582" s="65"/>
      <c r="Y1582" s="65"/>
      <c r="Z1582" s="65"/>
      <c r="AA1582" s="65"/>
      <c r="AB1582" s="65"/>
      <c r="AC1582" s="65"/>
    </row>
    <row r="1583">
      <c r="A1583" s="70">
        <v>204.0</v>
      </c>
      <c r="B1583" s="67" t="s">
        <v>4075</v>
      </c>
      <c r="C1583" s="70" t="s">
        <v>69</v>
      </c>
      <c r="D1583" s="70" t="s">
        <v>479</v>
      </c>
      <c r="E1583" s="70" t="s">
        <v>4076</v>
      </c>
      <c r="F1583" s="70" t="s">
        <v>4077</v>
      </c>
      <c r="G1583" s="70" t="s">
        <v>4078</v>
      </c>
      <c r="H1583" s="70" t="s">
        <v>4079</v>
      </c>
      <c r="I1583" s="70">
        <v>32.29</v>
      </c>
      <c r="J1583" s="70" t="s">
        <v>58</v>
      </c>
      <c r="K1583" s="65"/>
      <c r="L1583" s="65"/>
      <c r="M1583" s="65"/>
      <c r="N1583" s="65"/>
      <c r="O1583" s="65"/>
      <c r="P1583" s="65"/>
      <c r="Q1583" s="65"/>
      <c r="R1583" s="65"/>
      <c r="S1583" s="65"/>
      <c r="T1583" s="65"/>
      <c r="U1583" s="65"/>
      <c r="V1583" s="65"/>
      <c r="W1583" s="65"/>
      <c r="X1583" s="65"/>
      <c r="Y1583" s="65"/>
      <c r="Z1583" s="65"/>
      <c r="AA1583" s="65"/>
      <c r="AB1583" s="65"/>
      <c r="AC1583" s="65"/>
    </row>
    <row r="1584">
      <c r="A1584" s="70">
        <v>203.0</v>
      </c>
      <c r="B1584" s="67" t="s">
        <v>4080</v>
      </c>
      <c r="C1584" s="70" t="s">
        <v>69</v>
      </c>
      <c r="D1584" s="70" t="s">
        <v>206</v>
      </c>
      <c r="E1584" s="70" t="s">
        <v>4081</v>
      </c>
      <c r="F1584" s="70" t="s">
        <v>4082</v>
      </c>
      <c r="G1584" s="70" t="s">
        <v>4083</v>
      </c>
      <c r="H1584" s="70" t="s">
        <v>4084</v>
      </c>
      <c r="I1584" s="70">
        <v>39.31</v>
      </c>
      <c r="J1584" s="70" t="s">
        <v>58</v>
      </c>
      <c r="K1584" s="65"/>
      <c r="L1584" s="65"/>
      <c r="M1584" s="65"/>
      <c r="N1584" s="65"/>
      <c r="O1584" s="65"/>
      <c r="P1584" s="65"/>
      <c r="Q1584" s="65"/>
      <c r="R1584" s="65"/>
      <c r="S1584" s="65"/>
      <c r="T1584" s="65"/>
      <c r="U1584" s="65"/>
      <c r="V1584" s="65"/>
      <c r="W1584" s="65"/>
      <c r="X1584" s="65"/>
      <c r="Y1584" s="65"/>
      <c r="Z1584" s="65"/>
      <c r="AA1584" s="65"/>
      <c r="AB1584" s="65"/>
      <c r="AC1584" s="65"/>
    </row>
    <row r="1585">
      <c r="A1585" s="70">
        <v>202.0</v>
      </c>
      <c r="B1585" s="67" t="s">
        <v>4085</v>
      </c>
      <c r="C1585" s="70" t="s">
        <v>69</v>
      </c>
      <c r="D1585" s="70" t="s">
        <v>479</v>
      </c>
      <c r="E1585" s="70" t="s">
        <v>4086</v>
      </c>
      <c r="F1585" s="70" t="s">
        <v>4087</v>
      </c>
      <c r="G1585" s="70" t="s">
        <v>4088</v>
      </c>
      <c r="H1585" s="70" t="s">
        <v>4089</v>
      </c>
      <c r="I1585" s="70">
        <v>51.32</v>
      </c>
      <c r="J1585" s="70" t="s">
        <v>58</v>
      </c>
      <c r="K1585" s="65"/>
      <c r="L1585" s="65"/>
      <c r="M1585" s="65"/>
      <c r="N1585" s="65"/>
      <c r="O1585" s="65"/>
      <c r="P1585" s="65"/>
      <c r="Q1585" s="65"/>
      <c r="R1585" s="65"/>
      <c r="S1585" s="65"/>
      <c r="T1585" s="65"/>
      <c r="U1585" s="65"/>
      <c r="V1585" s="65"/>
      <c r="W1585" s="65"/>
      <c r="X1585" s="65"/>
      <c r="Y1585" s="65"/>
      <c r="Z1585" s="65"/>
      <c r="AA1585" s="65"/>
      <c r="AB1585" s="65"/>
      <c r="AC1585" s="65"/>
    </row>
    <row r="1586">
      <c r="A1586" s="70">
        <v>201.0</v>
      </c>
      <c r="B1586" s="67" t="s">
        <v>4090</v>
      </c>
      <c r="C1586" s="70" t="s">
        <v>56</v>
      </c>
      <c r="D1586" s="70" t="s">
        <v>182</v>
      </c>
      <c r="E1586" s="70" t="s">
        <v>1017</v>
      </c>
      <c r="F1586" s="70" t="s">
        <v>298</v>
      </c>
      <c r="G1586" s="70" t="s">
        <v>1017</v>
      </c>
      <c r="H1586" s="70" t="s">
        <v>1017</v>
      </c>
      <c r="I1586" s="70">
        <v>39.65</v>
      </c>
      <c r="J1586" s="70" t="s">
        <v>58</v>
      </c>
      <c r="K1586" s="65"/>
      <c r="L1586" s="65"/>
      <c r="M1586" s="65"/>
      <c r="N1586" s="65"/>
      <c r="O1586" s="65"/>
      <c r="P1586" s="65"/>
      <c r="Q1586" s="65"/>
      <c r="R1586" s="65"/>
      <c r="S1586" s="65"/>
      <c r="T1586" s="65"/>
      <c r="U1586" s="65"/>
      <c r="V1586" s="65"/>
      <c r="W1586" s="65"/>
      <c r="X1586" s="65"/>
      <c r="Y1586" s="65"/>
      <c r="Z1586" s="65"/>
      <c r="AA1586" s="65"/>
      <c r="AB1586" s="65"/>
      <c r="AC1586" s="65"/>
    </row>
    <row r="1587">
      <c r="A1587" s="70">
        <v>200.0</v>
      </c>
      <c r="B1587" s="67" t="s">
        <v>4091</v>
      </c>
      <c r="C1587" s="70" t="s">
        <v>56</v>
      </c>
      <c r="D1587" s="70" t="s">
        <v>965</v>
      </c>
      <c r="E1587" s="70" t="s">
        <v>4092</v>
      </c>
      <c r="F1587" s="70" t="s">
        <v>4093</v>
      </c>
      <c r="G1587" s="70" t="s">
        <v>4094</v>
      </c>
      <c r="H1587" s="70" t="s">
        <v>4095</v>
      </c>
      <c r="I1587" s="70">
        <v>49.32</v>
      </c>
      <c r="J1587" s="70" t="s">
        <v>58</v>
      </c>
      <c r="K1587" s="65"/>
      <c r="L1587" s="65"/>
      <c r="M1587" s="65"/>
      <c r="N1587" s="65"/>
      <c r="O1587" s="65"/>
      <c r="P1587" s="65"/>
      <c r="Q1587" s="65"/>
      <c r="R1587" s="65"/>
      <c r="S1587" s="65"/>
      <c r="T1587" s="65"/>
      <c r="U1587" s="65"/>
      <c r="V1587" s="65"/>
      <c r="W1587" s="65"/>
      <c r="X1587" s="65"/>
      <c r="Y1587" s="65"/>
      <c r="Z1587" s="65"/>
      <c r="AA1587" s="65"/>
      <c r="AB1587" s="65"/>
      <c r="AC1587" s="65"/>
    </row>
    <row r="1588">
      <c r="A1588" s="70">
        <v>199.0</v>
      </c>
      <c r="B1588" s="67" t="s">
        <v>4096</v>
      </c>
      <c r="C1588" s="70" t="s">
        <v>56</v>
      </c>
      <c r="D1588" s="70" t="s">
        <v>4097</v>
      </c>
      <c r="E1588" s="70" t="s">
        <v>4098</v>
      </c>
      <c r="F1588" s="70" t="s">
        <v>4099</v>
      </c>
      <c r="G1588" s="70" t="s">
        <v>4100</v>
      </c>
      <c r="H1588" s="70" t="s">
        <v>4101</v>
      </c>
      <c r="I1588" s="70">
        <v>56.43</v>
      </c>
      <c r="J1588" s="70" t="s">
        <v>58</v>
      </c>
      <c r="K1588" s="65"/>
      <c r="L1588" s="65"/>
      <c r="M1588" s="65"/>
      <c r="N1588" s="65"/>
      <c r="O1588" s="65"/>
      <c r="P1588" s="65"/>
      <c r="Q1588" s="65"/>
      <c r="R1588" s="65"/>
      <c r="S1588" s="65"/>
      <c r="T1588" s="65"/>
      <c r="U1588" s="65"/>
      <c r="V1588" s="65"/>
      <c r="W1588" s="65"/>
      <c r="X1588" s="65"/>
      <c r="Y1588" s="65"/>
      <c r="Z1588" s="65"/>
      <c r="AA1588" s="65"/>
      <c r="AB1588" s="65"/>
      <c r="AC1588" s="65"/>
    </row>
    <row r="1589">
      <c r="A1589" s="70">
        <v>198.0</v>
      </c>
      <c r="B1589" s="67" t="s">
        <v>4102</v>
      </c>
      <c r="C1589" s="70" t="s">
        <v>56</v>
      </c>
      <c r="D1589" s="70" t="s">
        <v>76</v>
      </c>
      <c r="E1589" s="70" t="s">
        <v>4103</v>
      </c>
      <c r="F1589" s="70" t="s">
        <v>4104</v>
      </c>
      <c r="G1589" s="70" t="s">
        <v>4105</v>
      </c>
      <c r="H1589" s="70" t="s">
        <v>4106</v>
      </c>
      <c r="I1589" s="70">
        <v>42.97</v>
      </c>
      <c r="J1589" s="70" t="s">
        <v>58</v>
      </c>
      <c r="K1589" s="65"/>
      <c r="L1589" s="65"/>
      <c r="M1589" s="65"/>
      <c r="N1589" s="65"/>
      <c r="O1589" s="65"/>
      <c r="P1589" s="65"/>
      <c r="Q1589" s="65"/>
      <c r="R1589" s="65"/>
      <c r="S1589" s="65"/>
      <c r="T1589" s="65"/>
      <c r="U1589" s="65"/>
      <c r="V1589" s="65"/>
      <c r="W1589" s="65"/>
      <c r="X1589" s="65"/>
      <c r="Y1589" s="65"/>
      <c r="Z1589" s="65"/>
      <c r="AA1589" s="65"/>
      <c r="AB1589" s="65"/>
      <c r="AC1589" s="65"/>
    </row>
    <row r="1590">
      <c r="A1590" s="70">
        <v>197.0</v>
      </c>
      <c r="B1590" s="67" t="s">
        <v>4107</v>
      </c>
      <c r="C1590" s="70" t="s">
        <v>69</v>
      </c>
      <c r="D1590" s="73"/>
      <c r="E1590" s="70" t="s">
        <v>298</v>
      </c>
      <c r="F1590" s="73"/>
      <c r="G1590" s="73"/>
      <c r="H1590" s="70" t="s">
        <v>298</v>
      </c>
      <c r="I1590" s="70">
        <v>40.05</v>
      </c>
      <c r="J1590" s="70" t="s">
        <v>73</v>
      </c>
      <c r="K1590" s="65"/>
      <c r="L1590" s="65"/>
      <c r="M1590" s="65"/>
      <c r="N1590" s="65"/>
      <c r="O1590" s="65"/>
      <c r="P1590" s="65"/>
      <c r="Q1590" s="65"/>
      <c r="R1590" s="65"/>
      <c r="S1590" s="65"/>
      <c r="T1590" s="65"/>
      <c r="U1590" s="65"/>
      <c r="V1590" s="65"/>
      <c r="W1590" s="65"/>
      <c r="X1590" s="65"/>
      <c r="Y1590" s="65"/>
      <c r="Z1590" s="65"/>
      <c r="AA1590" s="65"/>
      <c r="AB1590" s="65"/>
      <c r="AC1590" s="65"/>
    </row>
    <row r="1591">
      <c r="A1591" s="70">
        <v>196.0</v>
      </c>
      <c r="B1591" s="67" t="s">
        <v>4108</v>
      </c>
      <c r="C1591" s="70" t="s">
        <v>69</v>
      </c>
      <c r="D1591" s="73"/>
      <c r="E1591" s="70" t="s">
        <v>684</v>
      </c>
      <c r="F1591" s="73"/>
      <c r="G1591" s="70" t="s">
        <v>64</v>
      </c>
      <c r="H1591" s="70" t="s">
        <v>684</v>
      </c>
      <c r="I1591" s="70">
        <v>45.58</v>
      </c>
      <c r="J1591" s="70" t="s">
        <v>73</v>
      </c>
      <c r="K1591" s="65"/>
      <c r="L1591" s="65"/>
      <c r="M1591" s="65"/>
      <c r="N1591" s="65"/>
      <c r="O1591" s="65"/>
      <c r="P1591" s="65"/>
      <c r="Q1591" s="65"/>
      <c r="R1591" s="65"/>
      <c r="S1591" s="65"/>
      <c r="T1591" s="65"/>
      <c r="U1591" s="65"/>
      <c r="V1591" s="65"/>
      <c r="W1591" s="65"/>
      <c r="X1591" s="65"/>
      <c r="Y1591" s="65"/>
      <c r="Z1591" s="65"/>
      <c r="AA1591" s="65"/>
      <c r="AB1591" s="65"/>
      <c r="AC1591" s="65"/>
    </row>
    <row r="1592">
      <c r="A1592" s="70">
        <v>195.0</v>
      </c>
      <c r="B1592" s="67" t="s">
        <v>4109</v>
      </c>
      <c r="C1592" s="70" t="s">
        <v>69</v>
      </c>
      <c r="D1592" s="73"/>
      <c r="E1592" s="70" t="s">
        <v>4110</v>
      </c>
      <c r="F1592" s="73"/>
      <c r="G1592" s="73"/>
      <c r="H1592" s="70" t="s">
        <v>4111</v>
      </c>
      <c r="I1592" s="70">
        <v>32.8</v>
      </c>
      <c r="J1592" s="70" t="s">
        <v>4112</v>
      </c>
      <c r="K1592" s="65"/>
      <c r="L1592" s="65"/>
      <c r="M1592" s="65"/>
      <c r="N1592" s="65"/>
      <c r="O1592" s="65"/>
      <c r="P1592" s="65"/>
      <c r="Q1592" s="65"/>
      <c r="R1592" s="65"/>
      <c r="S1592" s="65"/>
      <c r="T1592" s="65"/>
      <c r="U1592" s="65"/>
      <c r="V1592" s="65"/>
      <c r="W1592" s="65"/>
      <c r="X1592" s="65"/>
      <c r="Y1592" s="65"/>
      <c r="Z1592" s="65"/>
      <c r="AA1592" s="65"/>
      <c r="AB1592" s="65"/>
      <c r="AC1592" s="65"/>
    </row>
    <row r="1593">
      <c r="A1593" s="70">
        <v>194.0</v>
      </c>
      <c r="B1593" s="67" t="s">
        <v>4113</v>
      </c>
      <c r="C1593" s="70" t="s">
        <v>56</v>
      </c>
      <c r="D1593" s="73"/>
      <c r="E1593" s="73"/>
      <c r="F1593" s="73"/>
      <c r="G1593" s="73"/>
      <c r="H1593" s="73"/>
      <c r="I1593" s="70">
        <v>24.41</v>
      </c>
      <c r="J1593" s="70" t="s">
        <v>4112</v>
      </c>
      <c r="K1593" s="65"/>
      <c r="L1593" s="65"/>
      <c r="M1593" s="65"/>
      <c r="N1593" s="65"/>
      <c r="O1593" s="65"/>
      <c r="P1593" s="65"/>
      <c r="Q1593" s="65"/>
      <c r="R1593" s="65"/>
      <c r="S1593" s="65"/>
      <c r="T1593" s="65"/>
      <c r="U1593" s="65"/>
      <c r="V1593" s="65"/>
      <c r="W1593" s="65"/>
      <c r="X1593" s="65"/>
      <c r="Y1593" s="65"/>
      <c r="Z1593" s="65"/>
      <c r="AA1593" s="65"/>
      <c r="AB1593" s="65"/>
      <c r="AC1593" s="65"/>
    </row>
    <row r="1594">
      <c r="A1594" s="70">
        <v>193.0</v>
      </c>
      <c r="B1594" s="67" t="s">
        <v>4114</v>
      </c>
      <c r="C1594" s="70" t="s">
        <v>69</v>
      </c>
      <c r="D1594" s="73"/>
      <c r="E1594" s="70" t="s">
        <v>896</v>
      </c>
      <c r="F1594" s="73"/>
      <c r="G1594" s="73"/>
      <c r="H1594" s="70" t="s">
        <v>896</v>
      </c>
      <c r="I1594" s="70">
        <v>25.39</v>
      </c>
      <c r="J1594" s="70" t="s">
        <v>4112</v>
      </c>
      <c r="K1594" s="65"/>
      <c r="L1594" s="65"/>
      <c r="M1594" s="65"/>
      <c r="N1594" s="65"/>
      <c r="O1594" s="65"/>
      <c r="P1594" s="65"/>
      <c r="Q1594" s="65"/>
      <c r="R1594" s="65"/>
      <c r="S1594" s="65"/>
      <c r="T1594" s="65"/>
      <c r="U1594" s="65"/>
      <c r="V1594" s="65"/>
      <c r="W1594" s="65"/>
      <c r="X1594" s="65"/>
      <c r="Y1594" s="65"/>
      <c r="Z1594" s="65"/>
      <c r="AA1594" s="65"/>
      <c r="AB1594" s="65"/>
      <c r="AC1594" s="65"/>
    </row>
    <row r="1595">
      <c r="A1595" s="70">
        <v>192.0</v>
      </c>
      <c r="B1595" s="67" t="s">
        <v>4115</v>
      </c>
      <c r="C1595" s="70" t="s">
        <v>56</v>
      </c>
      <c r="D1595" s="73"/>
      <c r="E1595" s="70" t="s">
        <v>4116</v>
      </c>
      <c r="F1595" s="73"/>
      <c r="G1595" s="70" t="s">
        <v>579</v>
      </c>
      <c r="H1595" s="70" t="s">
        <v>2281</v>
      </c>
      <c r="I1595" s="70">
        <v>25.63</v>
      </c>
      <c r="J1595" s="70" t="s">
        <v>4112</v>
      </c>
      <c r="K1595" s="65"/>
      <c r="L1595" s="65"/>
      <c r="M1595" s="65"/>
      <c r="N1595" s="65"/>
      <c r="O1595" s="65"/>
      <c r="P1595" s="65"/>
      <c r="Q1595" s="65"/>
      <c r="R1595" s="65"/>
      <c r="S1595" s="65"/>
      <c r="T1595" s="65"/>
      <c r="U1595" s="65"/>
      <c r="V1595" s="65"/>
      <c r="W1595" s="65"/>
      <c r="X1595" s="65"/>
      <c r="Y1595" s="65"/>
      <c r="Z1595" s="65"/>
      <c r="AA1595" s="65"/>
      <c r="AB1595" s="65"/>
      <c r="AC1595" s="65"/>
    </row>
    <row r="1596">
      <c r="A1596" s="70">
        <v>191.0</v>
      </c>
      <c r="B1596" s="67" t="s">
        <v>4117</v>
      </c>
      <c r="C1596" s="70" t="s">
        <v>69</v>
      </c>
      <c r="D1596" s="70" t="s">
        <v>182</v>
      </c>
      <c r="E1596" s="70" t="s">
        <v>4118</v>
      </c>
      <c r="F1596" s="70" t="s">
        <v>4119</v>
      </c>
      <c r="G1596" s="70" t="s">
        <v>4120</v>
      </c>
      <c r="H1596" s="70" t="s">
        <v>4121</v>
      </c>
      <c r="I1596" s="70">
        <v>54.03</v>
      </c>
      <c r="J1596" s="70" t="s">
        <v>58</v>
      </c>
      <c r="K1596" s="65"/>
      <c r="L1596" s="65"/>
      <c r="M1596" s="65"/>
      <c r="N1596" s="65"/>
      <c r="O1596" s="65"/>
      <c r="P1596" s="65"/>
      <c r="Q1596" s="65"/>
      <c r="R1596" s="65"/>
      <c r="S1596" s="65"/>
      <c r="T1596" s="65"/>
      <c r="U1596" s="65"/>
      <c r="V1596" s="65"/>
      <c r="W1596" s="65"/>
      <c r="X1596" s="65"/>
      <c r="Y1596" s="65"/>
      <c r="Z1596" s="65"/>
      <c r="AA1596" s="65"/>
      <c r="AB1596" s="65"/>
      <c r="AC1596" s="65"/>
    </row>
    <row r="1597">
      <c r="A1597" s="70">
        <v>190.0</v>
      </c>
      <c r="B1597" s="67" t="s">
        <v>4122</v>
      </c>
      <c r="C1597" s="70" t="s">
        <v>69</v>
      </c>
      <c r="D1597" s="70" t="s">
        <v>182</v>
      </c>
      <c r="E1597" s="70" t="s">
        <v>4123</v>
      </c>
      <c r="F1597" s="73"/>
      <c r="G1597" s="70" t="s">
        <v>579</v>
      </c>
      <c r="H1597" s="70" t="s">
        <v>4124</v>
      </c>
      <c r="I1597" s="70">
        <v>42.38</v>
      </c>
      <c r="J1597" s="70" t="s">
        <v>58</v>
      </c>
      <c r="K1597" s="65"/>
      <c r="L1597" s="65"/>
      <c r="M1597" s="65"/>
      <c r="N1597" s="65"/>
      <c r="O1597" s="65"/>
      <c r="P1597" s="65"/>
      <c r="Q1597" s="65"/>
      <c r="R1597" s="65"/>
      <c r="S1597" s="65"/>
      <c r="T1597" s="65"/>
      <c r="U1597" s="65"/>
      <c r="V1597" s="65"/>
      <c r="W1597" s="65"/>
      <c r="X1597" s="65"/>
      <c r="Y1597" s="65"/>
      <c r="Z1597" s="65"/>
      <c r="AA1597" s="65"/>
      <c r="AB1597" s="65"/>
      <c r="AC1597" s="65"/>
    </row>
    <row r="1598">
      <c r="A1598" s="70">
        <v>189.0</v>
      </c>
      <c r="B1598" s="67" t="s">
        <v>4125</v>
      </c>
      <c r="C1598" s="70" t="s">
        <v>56</v>
      </c>
      <c r="D1598" s="70" t="s">
        <v>93</v>
      </c>
      <c r="E1598" s="70" t="s">
        <v>4126</v>
      </c>
      <c r="F1598" s="70" t="s">
        <v>4127</v>
      </c>
      <c r="G1598" s="70" t="s">
        <v>4128</v>
      </c>
      <c r="H1598" s="70" t="s">
        <v>4129</v>
      </c>
      <c r="I1598" s="70">
        <v>36.7</v>
      </c>
      <c r="J1598" s="70" t="s">
        <v>58</v>
      </c>
      <c r="K1598" s="65"/>
      <c r="L1598" s="65"/>
      <c r="M1598" s="65"/>
      <c r="N1598" s="65"/>
      <c r="O1598" s="65"/>
      <c r="P1598" s="65"/>
      <c r="Q1598" s="65"/>
      <c r="R1598" s="65"/>
      <c r="S1598" s="65"/>
      <c r="T1598" s="65"/>
      <c r="U1598" s="65"/>
      <c r="V1598" s="65"/>
      <c r="W1598" s="65"/>
      <c r="X1598" s="65"/>
      <c r="Y1598" s="65"/>
      <c r="Z1598" s="65"/>
      <c r="AA1598" s="65"/>
      <c r="AB1598" s="65"/>
      <c r="AC1598" s="65"/>
    </row>
    <row r="1599">
      <c r="A1599" s="70">
        <v>188.0</v>
      </c>
      <c r="B1599" s="67" t="s">
        <v>4130</v>
      </c>
      <c r="C1599" s="70" t="s">
        <v>60</v>
      </c>
      <c r="D1599" s="70" t="s">
        <v>76</v>
      </c>
      <c r="E1599" s="70" t="s">
        <v>4131</v>
      </c>
      <c r="F1599" s="70" t="s">
        <v>87</v>
      </c>
      <c r="G1599" s="70" t="s">
        <v>4132</v>
      </c>
      <c r="H1599" s="70" t="s">
        <v>4133</v>
      </c>
      <c r="I1599" s="70">
        <v>29.87</v>
      </c>
      <c r="J1599" s="70" t="s">
        <v>58</v>
      </c>
      <c r="K1599" s="65"/>
      <c r="L1599" s="65"/>
      <c r="M1599" s="65"/>
      <c r="N1599" s="65"/>
      <c r="O1599" s="65"/>
      <c r="P1599" s="65"/>
      <c r="Q1599" s="65"/>
      <c r="R1599" s="65"/>
      <c r="S1599" s="65"/>
      <c r="T1599" s="65"/>
      <c r="U1599" s="65"/>
      <c r="V1599" s="65"/>
      <c r="W1599" s="65"/>
      <c r="X1599" s="65"/>
      <c r="Y1599" s="65"/>
      <c r="Z1599" s="65"/>
      <c r="AA1599" s="65"/>
      <c r="AB1599" s="65"/>
      <c r="AC1599" s="65"/>
    </row>
    <row r="1600">
      <c r="A1600" s="70">
        <v>187.0</v>
      </c>
      <c r="B1600" s="67" t="s">
        <v>4134</v>
      </c>
      <c r="C1600" s="70" t="s">
        <v>56</v>
      </c>
      <c r="D1600" s="70" t="s">
        <v>1296</v>
      </c>
      <c r="E1600" s="70" t="s">
        <v>4135</v>
      </c>
      <c r="F1600" s="70" t="s">
        <v>112</v>
      </c>
      <c r="G1600" s="70" t="s">
        <v>4136</v>
      </c>
      <c r="H1600" s="70" t="s">
        <v>4137</v>
      </c>
      <c r="I1600" s="70">
        <v>41.56</v>
      </c>
      <c r="J1600" s="70" t="s">
        <v>58</v>
      </c>
      <c r="K1600" s="65"/>
      <c r="L1600" s="65"/>
      <c r="M1600" s="65"/>
      <c r="N1600" s="65"/>
      <c r="O1600" s="65"/>
      <c r="P1600" s="65"/>
      <c r="Q1600" s="65"/>
      <c r="R1600" s="65"/>
      <c r="S1600" s="65"/>
      <c r="T1600" s="65"/>
      <c r="U1600" s="65"/>
      <c r="V1600" s="65"/>
      <c r="W1600" s="65"/>
      <c r="X1600" s="65"/>
      <c r="Y1600" s="65"/>
      <c r="Z1600" s="65"/>
      <c r="AA1600" s="65"/>
      <c r="AB1600" s="65"/>
      <c r="AC1600" s="65"/>
    </row>
    <row r="1601">
      <c r="A1601" s="70">
        <v>186.0</v>
      </c>
      <c r="B1601" s="67" t="s">
        <v>4138</v>
      </c>
      <c r="C1601" s="70" t="s">
        <v>56</v>
      </c>
      <c r="D1601" s="70" t="s">
        <v>70</v>
      </c>
      <c r="E1601" s="70" t="s">
        <v>4139</v>
      </c>
      <c r="F1601" s="73"/>
      <c r="G1601" s="70" t="s">
        <v>4140</v>
      </c>
      <c r="H1601" s="70" t="s">
        <v>4141</v>
      </c>
      <c r="I1601" s="70">
        <v>45.76</v>
      </c>
      <c r="J1601" s="70" t="s">
        <v>58</v>
      </c>
      <c r="K1601" s="65"/>
      <c r="L1601" s="65"/>
      <c r="M1601" s="65"/>
      <c r="N1601" s="65"/>
      <c r="O1601" s="65"/>
      <c r="P1601" s="65"/>
      <c r="Q1601" s="65"/>
      <c r="R1601" s="65"/>
      <c r="S1601" s="65"/>
      <c r="T1601" s="65"/>
      <c r="U1601" s="65"/>
      <c r="V1601" s="65"/>
      <c r="W1601" s="65"/>
      <c r="X1601" s="65"/>
      <c r="Y1601" s="65"/>
      <c r="Z1601" s="65"/>
      <c r="AA1601" s="65"/>
      <c r="AB1601" s="65"/>
      <c r="AC1601" s="65"/>
    </row>
    <row r="1602">
      <c r="A1602" s="70">
        <v>185.0</v>
      </c>
      <c r="B1602" s="67" t="s">
        <v>4142</v>
      </c>
      <c r="C1602" s="70" t="s">
        <v>60</v>
      </c>
      <c r="D1602" s="73"/>
      <c r="E1602" s="70" t="s">
        <v>4143</v>
      </c>
      <c r="F1602" s="70" t="s">
        <v>64</v>
      </c>
      <c r="G1602" s="70" t="s">
        <v>1520</v>
      </c>
      <c r="H1602" s="70" t="s">
        <v>4144</v>
      </c>
      <c r="I1602" s="70">
        <v>39.38</v>
      </c>
      <c r="J1602" s="70" t="s">
        <v>73</v>
      </c>
      <c r="K1602" s="65"/>
      <c r="L1602" s="65"/>
      <c r="M1602" s="65"/>
      <c r="N1602" s="65"/>
      <c r="O1602" s="65"/>
      <c r="P1602" s="65"/>
      <c r="Q1602" s="65"/>
      <c r="R1602" s="65"/>
      <c r="S1602" s="65"/>
      <c r="T1602" s="65"/>
      <c r="U1602" s="65"/>
      <c r="V1602" s="65"/>
      <c r="W1602" s="65"/>
      <c r="X1602" s="65"/>
      <c r="Y1602" s="65"/>
      <c r="Z1602" s="65"/>
      <c r="AA1602" s="65"/>
      <c r="AB1602" s="65"/>
      <c r="AC1602" s="65"/>
    </row>
    <row r="1603">
      <c r="A1603" s="70">
        <v>184.0</v>
      </c>
      <c r="B1603" s="67" t="s">
        <v>4145</v>
      </c>
      <c r="C1603" s="70" t="s">
        <v>56</v>
      </c>
      <c r="D1603" s="73"/>
      <c r="E1603" s="70" t="s">
        <v>4146</v>
      </c>
      <c r="F1603" s="70" t="s">
        <v>64</v>
      </c>
      <c r="G1603" s="70" t="s">
        <v>64</v>
      </c>
      <c r="H1603" s="70" t="s">
        <v>4147</v>
      </c>
      <c r="I1603" s="70">
        <v>40.47</v>
      </c>
      <c r="J1603" s="70" t="s">
        <v>73</v>
      </c>
      <c r="K1603" s="65"/>
      <c r="L1603" s="65"/>
      <c r="M1603" s="65"/>
      <c r="N1603" s="65"/>
      <c r="O1603" s="65"/>
      <c r="P1603" s="65"/>
      <c r="Q1603" s="65"/>
      <c r="R1603" s="65"/>
      <c r="S1603" s="65"/>
      <c r="T1603" s="65"/>
      <c r="U1603" s="65"/>
      <c r="V1603" s="65"/>
      <c r="W1603" s="65"/>
      <c r="X1603" s="65"/>
      <c r="Y1603" s="65"/>
      <c r="Z1603" s="65"/>
      <c r="AA1603" s="65"/>
      <c r="AB1603" s="65"/>
      <c r="AC1603" s="65"/>
    </row>
    <row r="1604">
      <c r="A1604" s="70">
        <v>183.0</v>
      </c>
      <c r="B1604" s="67" t="s">
        <v>4148</v>
      </c>
      <c r="C1604" s="70" t="s">
        <v>69</v>
      </c>
      <c r="D1604" s="73"/>
      <c r="E1604" s="70" t="s">
        <v>635</v>
      </c>
      <c r="F1604" s="70" t="s">
        <v>189</v>
      </c>
      <c r="G1604" s="70" t="s">
        <v>636</v>
      </c>
      <c r="H1604" s="70" t="s">
        <v>636</v>
      </c>
      <c r="I1604" s="70">
        <v>57.16</v>
      </c>
      <c r="J1604" s="70" t="s">
        <v>73</v>
      </c>
      <c r="K1604" s="65"/>
      <c r="L1604" s="65"/>
      <c r="M1604" s="65"/>
      <c r="N1604" s="65"/>
      <c r="O1604" s="65"/>
      <c r="P1604" s="65"/>
      <c r="Q1604" s="65"/>
      <c r="R1604" s="65"/>
      <c r="S1604" s="65"/>
      <c r="T1604" s="65"/>
      <c r="U1604" s="65"/>
      <c r="V1604" s="65"/>
      <c r="W1604" s="65"/>
      <c r="X1604" s="65"/>
      <c r="Y1604" s="65"/>
      <c r="Z1604" s="65"/>
      <c r="AA1604" s="65"/>
      <c r="AB1604" s="65"/>
      <c r="AC1604" s="65"/>
    </row>
    <row r="1605">
      <c r="A1605" s="70">
        <v>182.0</v>
      </c>
      <c r="B1605" s="67" t="s">
        <v>4149</v>
      </c>
      <c r="C1605" s="70" t="s">
        <v>69</v>
      </c>
      <c r="D1605" s="73"/>
      <c r="E1605" s="70" t="s">
        <v>67</v>
      </c>
      <c r="F1605" s="73"/>
      <c r="G1605" s="73"/>
      <c r="H1605" s="70" t="s">
        <v>67</v>
      </c>
      <c r="I1605" s="70">
        <v>64.82</v>
      </c>
      <c r="J1605" s="70" t="s">
        <v>73</v>
      </c>
      <c r="K1605" s="65"/>
      <c r="L1605" s="65"/>
      <c r="M1605" s="65"/>
      <c r="N1605" s="65"/>
      <c r="O1605" s="65"/>
      <c r="P1605" s="65"/>
      <c r="Q1605" s="65"/>
      <c r="R1605" s="65"/>
      <c r="S1605" s="65"/>
      <c r="T1605" s="65"/>
      <c r="U1605" s="65"/>
      <c r="V1605" s="65"/>
      <c r="W1605" s="65"/>
      <c r="X1605" s="65"/>
      <c r="Y1605" s="65"/>
      <c r="Z1605" s="65"/>
      <c r="AA1605" s="65"/>
      <c r="AB1605" s="65"/>
      <c r="AC1605" s="65"/>
    </row>
    <row r="1606">
      <c r="A1606" s="70">
        <v>181.0</v>
      </c>
      <c r="B1606" s="67" t="s">
        <v>4150</v>
      </c>
      <c r="C1606" s="70" t="s">
        <v>69</v>
      </c>
      <c r="D1606" s="73"/>
      <c r="E1606" s="70" t="s">
        <v>1168</v>
      </c>
      <c r="F1606" s="70" t="s">
        <v>64</v>
      </c>
      <c r="G1606" s="70" t="s">
        <v>1679</v>
      </c>
      <c r="H1606" s="70" t="s">
        <v>4151</v>
      </c>
      <c r="I1606" s="70">
        <v>60.71</v>
      </c>
      <c r="J1606" s="70" t="s">
        <v>73</v>
      </c>
      <c r="K1606" s="65"/>
      <c r="L1606" s="65"/>
      <c r="M1606" s="65"/>
      <c r="N1606" s="65"/>
      <c r="O1606" s="65"/>
      <c r="P1606" s="65"/>
      <c r="Q1606" s="65"/>
      <c r="R1606" s="65"/>
      <c r="S1606" s="65"/>
      <c r="T1606" s="65"/>
      <c r="U1606" s="65"/>
      <c r="V1606" s="65"/>
      <c r="W1606" s="65"/>
      <c r="X1606" s="65"/>
      <c r="Y1606" s="65"/>
      <c r="Z1606" s="65"/>
      <c r="AA1606" s="65"/>
      <c r="AB1606" s="65"/>
      <c r="AC1606" s="65"/>
    </row>
    <row r="1607">
      <c r="A1607" s="70">
        <v>180.0</v>
      </c>
      <c r="B1607" s="67" t="s">
        <v>4152</v>
      </c>
      <c r="C1607" s="70" t="s">
        <v>56</v>
      </c>
      <c r="D1607" s="73"/>
      <c r="E1607" s="70" t="s">
        <v>64</v>
      </c>
      <c r="F1607" s="73"/>
      <c r="G1607" s="70" t="s">
        <v>64</v>
      </c>
      <c r="H1607" s="70" t="s">
        <v>64</v>
      </c>
      <c r="I1607" s="70">
        <v>42.41</v>
      </c>
      <c r="J1607" s="70" t="s">
        <v>73</v>
      </c>
      <c r="K1607" s="65"/>
      <c r="L1607" s="65"/>
      <c r="M1607" s="65"/>
      <c r="N1607" s="65"/>
      <c r="O1607" s="65"/>
      <c r="P1607" s="65"/>
      <c r="Q1607" s="65"/>
      <c r="R1607" s="65"/>
      <c r="S1607" s="65"/>
      <c r="T1607" s="65"/>
      <c r="U1607" s="65"/>
      <c r="V1607" s="65"/>
      <c r="W1607" s="65"/>
      <c r="X1607" s="65"/>
      <c r="Y1607" s="65"/>
      <c r="Z1607" s="65"/>
      <c r="AA1607" s="65"/>
      <c r="AB1607" s="65"/>
      <c r="AC1607" s="65"/>
    </row>
    <row r="1608">
      <c r="A1608" s="70">
        <v>179.0</v>
      </c>
      <c r="B1608" s="67" t="s">
        <v>4153</v>
      </c>
      <c r="C1608" s="70" t="s">
        <v>56</v>
      </c>
      <c r="D1608" s="70" t="s">
        <v>368</v>
      </c>
      <c r="E1608" s="70" t="s">
        <v>4154</v>
      </c>
      <c r="F1608" s="70" t="s">
        <v>4155</v>
      </c>
      <c r="G1608" s="70" t="s">
        <v>4156</v>
      </c>
      <c r="H1608" s="70" t="s">
        <v>4157</v>
      </c>
      <c r="I1608" s="70">
        <v>30.75</v>
      </c>
      <c r="J1608" s="70" t="s">
        <v>58</v>
      </c>
      <c r="K1608" s="65"/>
      <c r="L1608" s="65"/>
      <c r="M1608" s="65"/>
      <c r="N1608" s="65"/>
      <c r="O1608" s="65"/>
      <c r="P1608" s="65"/>
      <c r="Q1608" s="65"/>
      <c r="R1608" s="65"/>
      <c r="S1608" s="65"/>
      <c r="T1608" s="65"/>
      <c r="U1608" s="65"/>
      <c r="V1608" s="65"/>
      <c r="W1608" s="65"/>
      <c r="X1608" s="65"/>
      <c r="Y1608" s="65"/>
      <c r="Z1608" s="65"/>
      <c r="AA1608" s="65"/>
      <c r="AB1608" s="65"/>
      <c r="AC1608" s="65"/>
    </row>
    <row r="1609">
      <c r="A1609" s="70">
        <v>178.0</v>
      </c>
      <c r="B1609" s="67" t="s">
        <v>4158</v>
      </c>
      <c r="C1609" s="70" t="s">
        <v>56</v>
      </c>
      <c r="D1609" s="73"/>
      <c r="E1609" s="70" t="s">
        <v>4159</v>
      </c>
      <c r="F1609" s="73"/>
      <c r="G1609" s="70" t="s">
        <v>2978</v>
      </c>
      <c r="H1609" s="70" t="s">
        <v>4160</v>
      </c>
      <c r="I1609" s="70">
        <v>50.59</v>
      </c>
      <c r="J1609" s="70" t="s">
        <v>73</v>
      </c>
      <c r="K1609" s="65"/>
      <c r="L1609" s="65"/>
      <c r="M1609" s="65"/>
      <c r="N1609" s="65"/>
      <c r="O1609" s="65"/>
      <c r="P1609" s="65"/>
      <c r="Q1609" s="65"/>
      <c r="R1609" s="65"/>
      <c r="S1609" s="65"/>
      <c r="T1609" s="65"/>
      <c r="U1609" s="65"/>
      <c r="V1609" s="65"/>
      <c r="W1609" s="65"/>
      <c r="X1609" s="65"/>
      <c r="Y1609" s="65"/>
      <c r="Z1609" s="65"/>
      <c r="AA1609" s="65"/>
      <c r="AB1609" s="65"/>
      <c r="AC1609" s="65"/>
    </row>
    <row r="1610">
      <c r="A1610" s="70">
        <v>177.0</v>
      </c>
      <c r="B1610" s="67" t="s">
        <v>4161</v>
      </c>
      <c r="C1610" s="70" t="s">
        <v>56</v>
      </c>
      <c r="D1610" s="73"/>
      <c r="E1610" s="70" t="s">
        <v>4162</v>
      </c>
      <c r="F1610" s="70" t="s">
        <v>4163</v>
      </c>
      <c r="G1610" s="70" t="s">
        <v>4164</v>
      </c>
      <c r="H1610" s="70" t="s">
        <v>4165</v>
      </c>
      <c r="I1610" s="70">
        <v>33.43</v>
      </c>
      <c r="J1610" s="70" t="s">
        <v>73</v>
      </c>
      <c r="K1610" s="65"/>
      <c r="L1610" s="65"/>
      <c r="M1610" s="65"/>
      <c r="N1610" s="65"/>
      <c r="O1610" s="65"/>
      <c r="P1610" s="65"/>
      <c r="Q1610" s="65"/>
      <c r="R1610" s="65"/>
      <c r="S1610" s="65"/>
      <c r="T1610" s="65"/>
      <c r="U1610" s="65"/>
      <c r="V1610" s="65"/>
      <c r="W1610" s="65"/>
      <c r="X1610" s="65"/>
      <c r="Y1610" s="65"/>
      <c r="Z1610" s="65"/>
      <c r="AA1610" s="65"/>
      <c r="AB1610" s="65"/>
      <c r="AC1610" s="65"/>
    </row>
    <row r="1611">
      <c r="A1611" s="70">
        <v>176.0</v>
      </c>
      <c r="B1611" s="67" t="s">
        <v>4166</v>
      </c>
      <c r="C1611" s="70" t="s">
        <v>69</v>
      </c>
      <c r="D1611" s="73"/>
      <c r="E1611" s="70" t="s">
        <v>4167</v>
      </c>
      <c r="F1611" s="70" t="s">
        <v>4168</v>
      </c>
      <c r="G1611" s="70" t="s">
        <v>4169</v>
      </c>
      <c r="H1611" s="70" t="s">
        <v>4170</v>
      </c>
      <c r="I1611" s="70">
        <v>33.38</v>
      </c>
      <c r="J1611" s="70" t="s">
        <v>73</v>
      </c>
      <c r="K1611" s="65"/>
      <c r="L1611" s="65"/>
      <c r="M1611" s="65"/>
      <c r="N1611" s="65"/>
      <c r="O1611" s="65"/>
      <c r="P1611" s="65"/>
      <c r="Q1611" s="65"/>
      <c r="R1611" s="65"/>
      <c r="S1611" s="65"/>
      <c r="T1611" s="65"/>
      <c r="U1611" s="65"/>
      <c r="V1611" s="65"/>
      <c r="W1611" s="65"/>
      <c r="X1611" s="65"/>
      <c r="Y1611" s="65"/>
      <c r="Z1611" s="65"/>
      <c r="AA1611" s="65"/>
      <c r="AB1611" s="65"/>
      <c r="AC1611" s="65"/>
    </row>
    <row r="1612">
      <c r="A1612" s="70">
        <v>175.0</v>
      </c>
      <c r="B1612" s="67" t="s">
        <v>4171</v>
      </c>
      <c r="C1612" s="70" t="s">
        <v>69</v>
      </c>
      <c r="D1612" s="73"/>
      <c r="E1612" s="70" t="s">
        <v>4172</v>
      </c>
      <c r="F1612" s="70" t="s">
        <v>2012</v>
      </c>
      <c r="G1612" s="70" t="s">
        <v>4168</v>
      </c>
      <c r="H1612" s="70" t="s">
        <v>4173</v>
      </c>
      <c r="I1612" s="70">
        <v>64.43</v>
      </c>
      <c r="J1612" s="70" t="s">
        <v>73</v>
      </c>
      <c r="K1612" s="65"/>
      <c r="L1612" s="65"/>
      <c r="M1612" s="65"/>
      <c r="N1612" s="65"/>
      <c r="O1612" s="65"/>
      <c r="P1612" s="65"/>
      <c r="Q1612" s="65"/>
      <c r="R1612" s="65"/>
      <c r="S1612" s="65"/>
      <c r="T1612" s="65"/>
      <c r="U1612" s="65"/>
      <c r="V1612" s="65"/>
      <c r="W1612" s="65"/>
      <c r="X1612" s="65"/>
      <c r="Y1612" s="65"/>
      <c r="Z1612" s="65"/>
      <c r="AA1612" s="65"/>
      <c r="AB1612" s="65"/>
      <c r="AC1612" s="65"/>
    </row>
    <row r="1613">
      <c r="A1613" s="70">
        <v>174.0</v>
      </c>
      <c r="B1613" s="67" t="s">
        <v>4174</v>
      </c>
      <c r="C1613" s="70" t="s">
        <v>60</v>
      </c>
      <c r="D1613" s="70" t="s">
        <v>147</v>
      </c>
      <c r="E1613" s="70" t="s">
        <v>4175</v>
      </c>
      <c r="F1613" s="70" t="s">
        <v>428</v>
      </c>
      <c r="G1613" s="70" t="s">
        <v>4176</v>
      </c>
      <c r="H1613" s="70" t="s">
        <v>4177</v>
      </c>
      <c r="I1613" s="70">
        <v>33.35</v>
      </c>
      <c r="J1613" s="70" t="s">
        <v>58</v>
      </c>
      <c r="K1613" s="65"/>
      <c r="L1613" s="65"/>
      <c r="M1613" s="65"/>
      <c r="N1613" s="65"/>
      <c r="O1613" s="65"/>
      <c r="P1613" s="65"/>
      <c r="Q1613" s="65"/>
      <c r="R1613" s="65"/>
      <c r="S1613" s="65"/>
      <c r="T1613" s="65"/>
      <c r="U1613" s="65"/>
      <c r="V1613" s="65"/>
      <c r="W1613" s="65"/>
      <c r="X1613" s="65"/>
      <c r="Y1613" s="65"/>
      <c r="Z1613" s="65"/>
      <c r="AA1613" s="65"/>
      <c r="AB1613" s="65"/>
      <c r="AC1613" s="65"/>
    </row>
    <row r="1614">
      <c r="A1614" s="70">
        <v>173.0</v>
      </c>
      <c r="B1614" s="67" t="s">
        <v>4178</v>
      </c>
      <c r="C1614" s="70" t="s">
        <v>56</v>
      </c>
      <c r="D1614" s="70" t="s">
        <v>4179</v>
      </c>
      <c r="E1614" s="70" t="s">
        <v>4180</v>
      </c>
      <c r="F1614" s="70" t="s">
        <v>4181</v>
      </c>
      <c r="G1614" s="70" t="s">
        <v>4182</v>
      </c>
      <c r="H1614" s="70" t="s">
        <v>4183</v>
      </c>
      <c r="I1614" s="70">
        <v>60.37</v>
      </c>
      <c r="J1614" s="70" t="s">
        <v>58</v>
      </c>
      <c r="K1614" s="65"/>
      <c r="L1614" s="65"/>
      <c r="M1614" s="65"/>
      <c r="N1614" s="65"/>
      <c r="O1614" s="65"/>
      <c r="P1614" s="65"/>
      <c r="Q1614" s="65"/>
      <c r="R1614" s="65"/>
      <c r="S1614" s="65"/>
      <c r="T1614" s="65"/>
      <c r="U1614" s="65"/>
      <c r="V1614" s="65"/>
      <c r="W1614" s="65"/>
      <c r="X1614" s="65"/>
      <c r="Y1614" s="65"/>
      <c r="Z1614" s="65"/>
      <c r="AA1614" s="65"/>
      <c r="AB1614" s="65"/>
      <c r="AC1614" s="65"/>
    </row>
    <row r="1615">
      <c r="A1615" s="70">
        <v>172.0</v>
      </c>
      <c r="B1615" s="67" t="s">
        <v>4184</v>
      </c>
      <c r="C1615" s="70" t="s">
        <v>69</v>
      </c>
      <c r="D1615" s="70" t="s">
        <v>99</v>
      </c>
      <c r="E1615" s="70" t="s">
        <v>4185</v>
      </c>
      <c r="F1615" s="73"/>
      <c r="G1615" s="70" t="s">
        <v>2589</v>
      </c>
      <c r="H1615" s="70" t="s">
        <v>4186</v>
      </c>
      <c r="I1615" s="70">
        <v>38.67</v>
      </c>
      <c r="J1615" s="70" t="s">
        <v>58</v>
      </c>
      <c r="K1615" s="65"/>
      <c r="L1615" s="65"/>
      <c r="M1615" s="65"/>
      <c r="N1615" s="65"/>
      <c r="O1615" s="65"/>
      <c r="P1615" s="65"/>
      <c r="Q1615" s="65"/>
      <c r="R1615" s="65"/>
      <c r="S1615" s="65"/>
      <c r="T1615" s="65"/>
      <c r="U1615" s="65"/>
      <c r="V1615" s="65"/>
      <c r="W1615" s="65"/>
      <c r="X1615" s="65"/>
      <c r="Y1615" s="65"/>
      <c r="Z1615" s="65"/>
      <c r="AA1615" s="65"/>
      <c r="AB1615" s="65"/>
      <c r="AC1615" s="65"/>
    </row>
    <row r="1616">
      <c r="A1616" s="70">
        <v>171.0</v>
      </c>
      <c r="B1616" s="67" t="s">
        <v>4187</v>
      </c>
      <c r="C1616" s="70" t="s">
        <v>69</v>
      </c>
      <c r="D1616" s="70" t="s">
        <v>99</v>
      </c>
      <c r="E1616" s="70" t="s">
        <v>4188</v>
      </c>
      <c r="F1616" s="70" t="s">
        <v>110</v>
      </c>
      <c r="G1616" s="70" t="s">
        <v>4189</v>
      </c>
      <c r="H1616" s="70" t="s">
        <v>4190</v>
      </c>
      <c r="I1616" s="70">
        <v>57.01</v>
      </c>
      <c r="J1616" s="70" t="s">
        <v>58</v>
      </c>
      <c r="K1616" s="65"/>
      <c r="L1616" s="65"/>
      <c r="M1616" s="65"/>
      <c r="N1616" s="65"/>
      <c r="O1616" s="65"/>
      <c r="P1616" s="65"/>
      <c r="Q1616" s="65"/>
      <c r="R1616" s="65"/>
      <c r="S1616" s="65"/>
      <c r="T1616" s="65"/>
      <c r="U1616" s="65"/>
      <c r="V1616" s="65"/>
      <c r="W1616" s="65"/>
      <c r="X1616" s="65"/>
      <c r="Y1616" s="65"/>
      <c r="Z1616" s="65"/>
      <c r="AA1616" s="65"/>
      <c r="AB1616" s="65"/>
      <c r="AC1616" s="65"/>
    </row>
    <row r="1617">
      <c r="A1617" s="70">
        <v>170.0</v>
      </c>
      <c r="B1617" s="67" t="s">
        <v>4191</v>
      </c>
      <c r="C1617" s="70" t="s">
        <v>69</v>
      </c>
      <c r="D1617" s="70" t="s">
        <v>737</v>
      </c>
      <c r="E1617" s="70" t="s">
        <v>3437</v>
      </c>
      <c r="F1617" s="73"/>
      <c r="G1617" s="73"/>
      <c r="H1617" s="70" t="s">
        <v>462</v>
      </c>
      <c r="I1617" s="70">
        <v>34.95</v>
      </c>
      <c r="J1617" s="70" t="s">
        <v>58</v>
      </c>
      <c r="K1617" s="65"/>
      <c r="L1617" s="65"/>
      <c r="M1617" s="65"/>
      <c r="N1617" s="65"/>
      <c r="O1617" s="65"/>
      <c r="P1617" s="65"/>
      <c r="Q1617" s="65"/>
      <c r="R1617" s="65"/>
      <c r="S1617" s="65"/>
      <c r="T1617" s="65"/>
      <c r="U1617" s="65"/>
      <c r="V1617" s="65"/>
      <c r="W1617" s="65"/>
      <c r="X1617" s="65"/>
      <c r="Y1617" s="65"/>
      <c r="Z1617" s="65"/>
      <c r="AA1617" s="65"/>
      <c r="AB1617" s="65"/>
      <c r="AC1617" s="65"/>
    </row>
    <row r="1618">
      <c r="A1618" s="70">
        <v>169.0</v>
      </c>
      <c r="B1618" s="67" t="s">
        <v>4192</v>
      </c>
      <c r="C1618" s="70" t="s">
        <v>69</v>
      </c>
      <c r="D1618" s="70" t="s">
        <v>4193</v>
      </c>
      <c r="E1618" s="70" t="s">
        <v>4194</v>
      </c>
      <c r="F1618" s="70" t="s">
        <v>4195</v>
      </c>
      <c r="G1618" s="70" t="s">
        <v>4196</v>
      </c>
      <c r="H1618" s="70" t="s">
        <v>4197</v>
      </c>
      <c r="I1618" s="70">
        <v>60.14</v>
      </c>
      <c r="J1618" s="70" t="s">
        <v>58</v>
      </c>
      <c r="K1618" s="65"/>
      <c r="L1618" s="65"/>
      <c r="M1618" s="65"/>
      <c r="N1618" s="65"/>
      <c r="O1618" s="65"/>
      <c r="P1618" s="65"/>
      <c r="Q1618" s="65"/>
      <c r="R1618" s="65"/>
      <c r="S1618" s="65"/>
      <c r="T1618" s="65"/>
      <c r="U1618" s="65"/>
      <c r="V1618" s="65"/>
      <c r="W1618" s="65"/>
      <c r="X1618" s="65"/>
      <c r="Y1618" s="65"/>
      <c r="Z1618" s="65"/>
      <c r="AA1618" s="65"/>
      <c r="AB1618" s="65"/>
      <c r="AC1618" s="65"/>
    </row>
    <row r="1619">
      <c r="A1619" s="70">
        <v>168.0</v>
      </c>
      <c r="B1619" s="67" t="s">
        <v>4198</v>
      </c>
      <c r="C1619" s="70" t="s">
        <v>69</v>
      </c>
      <c r="D1619" s="70" t="s">
        <v>99</v>
      </c>
      <c r="E1619" s="70" t="s">
        <v>4199</v>
      </c>
      <c r="F1619" s="70" t="s">
        <v>352</v>
      </c>
      <c r="G1619" s="70" t="s">
        <v>4200</v>
      </c>
      <c r="H1619" s="70" t="s">
        <v>4201</v>
      </c>
      <c r="I1619" s="70">
        <v>31.82</v>
      </c>
      <c r="J1619" s="70" t="s">
        <v>58</v>
      </c>
      <c r="K1619" s="65"/>
      <c r="L1619" s="65"/>
      <c r="M1619" s="65"/>
      <c r="N1619" s="65"/>
      <c r="O1619" s="65"/>
      <c r="P1619" s="65"/>
      <c r="Q1619" s="65"/>
      <c r="R1619" s="65"/>
      <c r="S1619" s="65"/>
      <c r="T1619" s="65"/>
      <c r="U1619" s="65"/>
      <c r="V1619" s="65"/>
      <c r="W1619" s="65"/>
      <c r="X1619" s="65"/>
      <c r="Y1619" s="65"/>
      <c r="Z1619" s="65"/>
      <c r="AA1619" s="65"/>
      <c r="AB1619" s="65"/>
      <c r="AC1619" s="65"/>
    </row>
    <row r="1620">
      <c r="A1620" s="70">
        <v>167.0</v>
      </c>
      <c r="B1620" s="67" t="s">
        <v>4202</v>
      </c>
      <c r="C1620" s="70" t="s">
        <v>69</v>
      </c>
      <c r="D1620" s="70" t="s">
        <v>3715</v>
      </c>
      <c r="E1620" s="70" t="s">
        <v>4203</v>
      </c>
      <c r="F1620" s="70" t="s">
        <v>4204</v>
      </c>
      <c r="G1620" s="70" t="s">
        <v>4205</v>
      </c>
      <c r="H1620" s="70" t="s">
        <v>4206</v>
      </c>
      <c r="I1620" s="70">
        <v>55.74</v>
      </c>
      <c r="J1620" s="70" t="s">
        <v>58</v>
      </c>
      <c r="K1620" s="65"/>
      <c r="L1620" s="65"/>
      <c r="M1620" s="65"/>
      <c r="N1620" s="65"/>
      <c r="O1620" s="65"/>
      <c r="P1620" s="65"/>
      <c r="Q1620" s="65"/>
      <c r="R1620" s="65"/>
      <c r="S1620" s="65"/>
      <c r="T1620" s="65"/>
      <c r="U1620" s="65"/>
      <c r="V1620" s="65"/>
      <c r="W1620" s="65"/>
      <c r="X1620" s="65"/>
      <c r="Y1620" s="65"/>
      <c r="Z1620" s="65"/>
      <c r="AA1620" s="65"/>
      <c r="AB1620" s="65"/>
      <c r="AC1620" s="65"/>
    </row>
    <row r="1621">
      <c r="A1621" s="70">
        <v>166.0</v>
      </c>
      <c r="B1621" s="67" t="s">
        <v>4207</v>
      </c>
      <c r="C1621" s="70" t="s">
        <v>56</v>
      </c>
      <c r="D1621" s="70" t="s">
        <v>479</v>
      </c>
      <c r="E1621" s="70" t="s">
        <v>4208</v>
      </c>
      <c r="F1621" s="70" t="s">
        <v>3769</v>
      </c>
      <c r="G1621" s="70" t="s">
        <v>4209</v>
      </c>
      <c r="H1621" s="70" t="s">
        <v>4210</v>
      </c>
      <c r="I1621" s="70">
        <v>22.35</v>
      </c>
      <c r="J1621" s="70" t="s">
        <v>58</v>
      </c>
      <c r="K1621" s="65"/>
      <c r="L1621" s="65"/>
      <c r="M1621" s="65"/>
      <c r="N1621" s="65"/>
      <c r="O1621" s="65"/>
      <c r="P1621" s="65"/>
      <c r="Q1621" s="65"/>
      <c r="R1621" s="65"/>
      <c r="S1621" s="65"/>
      <c r="T1621" s="65"/>
      <c r="U1621" s="65"/>
      <c r="V1621" s="65"/>
      <c r="W1621" s="65"/>
      <c r="X1621" s="65"/>
      <c r="Y1621" s="65"/>
      <c r="Z1621" s="65"/>
      <c r="AA1621" s="65"/>
      <c r="AB1621" s="65"/>
      <c r="AC1621" s="65"/>
    </row>
    <row r="1622">
      <c r="A1622" s="70">
        <v>165.0</v>
      </c>
      <c r="B1622" s="67" t="s">
        <v>4211</v>
      </c>
      <c r="C1622" s="70" t="s">
        <v>56</v>
      </c>
      <c r="D1622" s="70" t="s">
        <v>70</v>
      </c>
      <c r="E1622" s="70" t="s">
        <v>4212</v>
      </c>
      <c r="F1622" s="70" t="s">
        <v>4213</v>
      </c>
      <c r="G1622" s="70" t="s">
        <v>4213</v>
      </c>
      <c r="H1622" s="70" t="s">
        <v>4214</v>
      </c>
      <c r="I1622" s="70">
        <v>30.53</v>
      </c>
      <c r="J1622" s="70" t="s">
        <v>58</v>
      </c>
      <c r="K1622" s="65"/>
      <c r="L1622" s="65"/>
      <c r="M1622" s="65"/>
      <c r="N1622" s="65"/>
      <c r="O1622" s="65"/>
      <c r="P1622" s="65"/>
      <c r="Q1622" s="65"/>
      <c r="R1622" s="65"/>
      <c r="S1622" s="65"/>
      <c r="T1622" s="65"/>
      <c r="U1622" s="65"/>
      <c r="V1622" s="65"/>
      <c r="W1622" s="65"/>
      <c r="X1622" s="65"/>
      <c r="Y1622" s="65"/>
      <c r="Z1622" s="65"/>
      <c r="AA1622" s="65"/>
      <c r="AB1622" s="65"/>
      <c r="AC1622" s="65"/>
    </row>
    <row r="1623">
      <c r="A1623" s="70">
        <v>164.0</v>
      </c>
      <c r="B1623" s="67" t="s">
        <v>4215</v>
      </c>
      <c r="C1623" s="70" t="s">
        <v>60</v>
      </c>
      <c r="D1623" s="70" t="s">
        <v>368</v>
      </c>
      <c r="E1623" s="70" t="s">
        <v>64</v>
      </c>
      <c r="F1623" s="73"/>
      <c r="G1623" s="73"/>
      <c r="H1623" s="70" t="s">
        <v>64</v>
      </c>
      <c r="I1623" s="70">
        <v>36.98</v>
      </c>
      <c r="J1623" s="70" t="s">
        <v>58</v>
      </c>
      <c r="K1623" s="65"/>
      <c r="L1623" s="65"/>
      <c r="M1623" s="65"/>
      <c r="N1623" s="65"/>
      <c r="O1623" s="65"/>
      <c r="P1623" s="65"/>
      <c r="Q1623" s="65"/>
      <c r="R1623" s="65"/>
      <c r="S1623" s="65"/>
      <c r="T1623" s="65"/>
      <c r="U1623" s="65"/>
      <c r="V1623" s="65"/>
      <c r="W1623" s="65"/>
      <c r="X1623" s="65"/>
      <c r="Y1623" s="65"/>
      <c r="Z1623" s="65"/>
      <c r="AA1623" s="65"/>
      <c r="AB1623" s="65"/>
      <c r="AC1623" s="65"/>
    </row>
    <row r="1624">
      <c r="A1624" s="70">
        <v>163.0</v>
      </c>
      <c r="B1624" s="67" t="s">
        <v>4216</v>
      </c>
      <c r="C1624" s="70" t="s">
        <v>69</v>
      </c>
      <c r="D1624" s="70" t="s">
        <v>93</v>
      </c>
      <c r="E1624" s="70" t="s">
        <v>4217</v>
      </c>
      <c r="F1624" s="70" t="s">
        <v>4218</v>
      </c>
      <c r="G1624" s="70" t="s">
        <v>4218</v>
      </c>
      <c r="H1624" s="70" t="s">
        <v>4218</v>
      </c>
      <c r="I1624" s="70">
        <v>27.13</v>
      </c>
      <c r="J1624" s="70" t="s">
        <v>58</v>
      </c>
      <c r="K1624" s="65"/>
      <c r="L1624" s="65"/>
      <c r="M1624" s="65"/>
      <c r="N1624" s="65"/>
      <c r="O1624" s="65"/>
      <c r="P1624" s="65"/>
      <c r="Q1624" s="65"/>
      <c r="R1624" s="65"/>
      <c r="S1624" s="65"/>
      <c r="T1624" s="65"/>
      <c r="U1624" s="65"/>
      <c r="V1624" s="65"/>
      <c r="W1624" s="65"/>
      <c r="X1624" s="65"/>
      <c r="Y1624" s="65"/>
      <c r="Z1624" s="65"/>
      <c r="AA1624" s="65"/>
      <c r="AB1624" s="65"/>
      <c r="AC1624" s="65"/>
    </row>
    <row r="1625">
      <c r="A1625" s="70">
        <v>162.0</v>
      </c>
      <c r="B1625" s="67" t="s">
        <v>4219</v>
      </c>
      <c r="C1625" s="70" t="s">
        <v>56</v>
      </c>
      <c r="D1625" s="70" t="s">
        <v>484</v>
      </c>
      <c r="E1625" s="70" t="s">
        <v>4220</v>
      </c>
      <c r="F1625" s="70" t="s">
        <v>4221</v>
      </c>
      <c r="G1625" s="70" t="s">
        <v>4222</v>
      </c>
      <c r="H1625" s="70" t="s">
        <v>4223</v>
      </c>
      <c r="I1625" s="70">
        <v>44.02</v>
      </c>
      <c r="J1625" s="70" t="s">
        <v>58</v>
      </c>
      <c r="K1625" s="65"/>
      <c r="L1625" s="65"/>
      <c r="M1625" s="65"/>
      <c r="N1625" s="65"/>
      <c r="O1625" s="65"/>
      <c r="P1625" s="65"/>
      <c r="Q1625" s="65"/>
      <c r="R1625" s="65"/>
      <c r="S1625" s="65"/>
      <c r="T1625" s="65"/>
      <c r="U1625" s="65"/>
      <c r="V1625" s="65"/>
      <c r="W1625" s="65"/>
      <c r="X1625" s="65"/>
      <c r="Y1625" s="65"/>
      <c r="Z1625" s="65"/>
      <c r="AA1625" s="65"/>
      <c r="AB1625" s="65"/>
      <c r="AC1625" s="65"/>
    </row>
    <row r="1626">
      <c r="A1626" s="70">
        <v>161.0</v>
      </c>
      <c r="B1626" s="67" t="s">
        <v>4224</v>
      </c>
      <c r="C1626" s="70" t="s">
        <v>56</v>
      </c>
      <c r="D1626" s="70" t="s">
        <v>70</v>
      </c>
      <c r="E1626" s="70" t="s">
        <v>4225</v>
      </c>
      <c r="F1626" s="70" t="s">
        <v>4226</v>
      </c>
      <c r="G1626" s="70" t="s">
        <v>4226</v>
      </c>
      <c r="H1626" s="70" t="s">
        <v>4227</v>
      </c>
      <c r="I1626" s="70">
        <v>33.1</v>
      </c>
      <c r="J1626" s="70" t="s">
        <v>58</v>
      </c>
      <c r="K1626" s="65"/>
      <c r="L1626" s="65"/>
      <c r="M1626" s="65"/>
      <c r="N1626" s="65"/>
      <c r="O1626" s="65"/>
      <c r="P1626" s="65"/>
      <c r="Q1626" s="65"/>
      <c r="R1626" s="65"/>
      <c r="S1626" s="65"/>
      <c r="T1626" s="65"/>
      <c r="U1626" s="65"/>
      <c r="V1626" s="65"/>
      <c r="W1626" s="65"/>
      <c r="X1626" s="65"/>
      <c r="Y1626" s="65"/>
      <c r="Z1626" s="65"/>
      <c r="AA1626" s="65"/>
      <c r="AB1626" s="65"/>
      <c r="AC1626" s="65"/>
    </row>
    <row r="1627">
      <c r="A1627" s="70">
        <v>160.0</v>
      </c>
      <c r="B1627" s="67" t="s">
        <v>4228</v>
      </c>
      <c r="C1627" s="70" t="s">
        <v>69</v>
      </c>
      <c r="D1627" s="70" t="s">
        <v>206</v>
      </c>
      <c r="E1627" s="70" t="s">
        <v>4229</v>
      </c>
      <c r="F1627" s="70" t="s">
        <v>4230</v>
      </c>
      <c r="G1627" s="70" t="s">
        <v>4231</v>
      </c>
      <c r="H1627" s="70" t="s">
        <v>4232</v>
      </c>
      <c r="I1627" s="70">
        <v>44.24</v>
      </c>
      <c r="J1627" s="70" t="s">
        <v>58</v>
      </c>
      <c r="K1627" s="65"/>
      <c r="L1627" s="65"/>
      <c r="M1627" s="65"/>
      <c r="N1627" s="65"/>
      <c r="O1627" s="65"/>
      <c r="P1627" s="65"/>
      <c r="Q1627" s="65"/>
      <c r="R1627" s="65"/>
      <c r="S1627" s="65"/>
      <c r="T1627" s="65"/>
      <c r="U1627" s="65"/>
      <c r="V1627" s="65"/>
      <c r="W1627" s="65"/>
      <c r="X1627" s="65"/>
      <c r="Y1627" s="65"/>
      <c r="Z1627" s="65"/>
      <c r="AA1627" s="65"/>
      <c r="AB1627" s="65"/>
      <c r="AC1627" s="65"/>
    </row>
    <row r="1628">
      <c r="A1628" s="70">
        <v>159.0</v>
      </c>
      <c r="B1628" s="67" t="s">
        <v>4233</v>
      </c>
      <c r="C1628" s="70" t="s">
        <v>56</v>
      </c>
      <c r="D1628" s="70" t="s">
        <v>4234</v>
      </c>
      <c r="E1628" s="70" t="s">
        <v>4235</v>
      </c>
      <c r="F1628" s="70" t="s">
        <v>71</v>
      </c>
      <c r="G1628" s="70" t="s">
        <v>4236</v>
      </c>
      <c r="H1628" s="70" t="s">
        <v>4237</v>
      </c>
      <c r="I1628" s="70">
        <v>50.57</v>
      </c>
      <c r="J1628" s="70" t="s">
        <v>58</v>
      </c>
      <c r="K1628" s="65"/>
      <c r="L1628" s="65"/>
      <c r="M1628" s="65"/>
      <c r="N1628" s="65"/>
      <c r="O1628" s="65"/>
      <c r="P1628" s="65"/>
      <c r="Q1628" s="65"/>
      <c r="R1628" s="65"/>
      <c r="S1628" s="65"/>
      <c r="T1628" s="65"/>
      <c r="U1628" s="65"/>
      <c r="V1628" s="65"/>
      <c r="W1628" s="65"/>
      <c r="X1628" s="65"/>
      <c r="Y1628" s="65"/>
      <c r="Z1628" s="65"/>
      <c r="AA1628" s="65"/>
      <c r="AB1628" s="65"/>
      <c r="AC1628" s="65"/>
    </row>
    <row r="1629">
      <c r="A1629" s="70">
        <v>158.0</v>
      </c>
      <c r="B1629" s="67" t="s">
        <v>4238</v>
      </c>
      <c r="C1629" s="70" t="s">
        <v>60</v>
      </c>
      <c r="D1629" s="70" t="s">
        <v>70</v>
      </c>
      <c r="E1629" s="70" t="s">
        <v>4239</v>
      </c>
      <c r="F1629" s="70" t="s">
        <v>4240</v>
      </c>
      <c r="G1629" s="70" t="s">
        <v>4241</v>
      </c>
      <c r="H1629" s="70" t="s">
        <v>4242</v>
      </c>
      <c r="I1629" s="70">
        <v>37.11</v>
      </c>
      <c r="J1629" s="70" t="s">
        <v>58</v>
      </c>
      <c r="K1629" s="65"/>
      <c r="L1629" s="65"/>
      <c r="M1629" s="65"/>
      <c r="N1629" s="65"/>
      <c r="O1629" s="65"/>
      <c r="P1629" s="65"/>
      <c r="Q1629" s="65"/>
      <c r="R1629" s="65"/>
      <c r="S1629" s="65"/>
      <c r="T1629" s="65"/>
      <c r="U1629" s="65"/>
      <c r="V1629" s="65"/>
      <c r="W1629" s="65"/>
      <c r="X1629" s="65"/>
      <c r="Y1629" s="65"/>
      <c r="Z1629" s="65"/>
      <c r="AA1629" s="65"/>
      <c r="AB1629" s="65"/>
      <c r="AC1629" s="65"/>
    </row>
    <row r="1630">
      <c r="A1630" s="70">
        <v>157.0</v>
      </c>
      <c r="B1630" s="67" t="s">
        <v>4243</v>
      </c>
      <c r="C1630" s="70" t="s">
        <v>69</v>
      </c>
      <c r="D1630" s="70" t="s">
        <v>70</v>
      </c>
      <c r="E1630" s="70" t="s">
        <v>4244</v>
      </c>
      <c r="F1630" s="70" t="s">
        <v>4245</v>
      </c>
      <c r="G1630" s="70" t="s">
        <v>4246</v>
      </c>
      <c r="H1630" s="70" t="s">
        <v>4247</v>
      </c>
      <c r="I1630" s="70">
        <v>37.48</v>
      </c>
      <c r="J1630" s="70" t="s">
        <v>58</v>
      </c>
      <c r="K1630" s="65"/>
      <c r="L1630" s="65"/>
      <c r="M1630" s="65"/>
      <c r="N1630" s="65"/>
      <c r="O1630" s="65"/>
      <c r="P1630" s="65"/>
      <c r="Q1630" s="65"/>
      <c r="R1630" s="65"/>
      <c r="S1630" s="65"/>
      <c r="T1630" s="65"/>
      <c r="U1630" s="65"/>
      <c r="V1630" s="65"/>
      <c r="W1630" s="65"/>
      <c r="X1630" s="65"/>
      <c r="Y1630" s="65"/>
      <c r="Z1630" s="65"/>
      <c r="AA1630" s="65"/>
      <c r="AB1630" s="65"/>
      <c r="AC1630" s="65"/>
    </row>
    <row r="1631">
      <c r="A1631" s="70">
        <v>156.0</v>
      </c>
      <c r="B1631" s="67" t="s">
        <v>4248</v>
      </c>
      <c r="C1631" s="70" t="s">
        <v>56</v>
      </c>
      <c r="D1631" s="70" t="s">
        <v>320</v>
      </c>
      <c r="E1631" s="70" t="s">
        <v>2007</v>
      </c>
      <c r="F1631" s="73"/>
      <c r="G1631" s="70" t="s">
        <v>462</v>
      </c>
      <c r="H1631" s="70" t="s">
        <v>462</v>
      </c>
      <c r="I1631" s="70">
        <v>56.49</v>
      </c>
      <c r="J1631" s="70" t="s">
        <v>58</v>
      </c>
      <c r="K1631" s="65"/>
      <c r="L1631" s="65"/>
      <c r="M1631" s="65"/>
      <c r="N1631" s="65"/>
      <c r="O1631" s="65"/>
      <c r="P1631" s="65"/>
      <c r="Q1631" s="65"/>
      <c r="R1631" s="65"/>
      <c r="S1631" s="65"/>
      <c r="T1631" s="65"/>
      <c r="U1631" s="65"/>
      <c r="V1631" s="65"/>
      <c r="W1631" s="65"/>
      <c r="X1631" s="65"/>
      <c r="Y1631" s="65"/>
      <c r="Z1631" s="65"/>
      <c r="AA1631" s="65"/>
      <c r="AB1631" s="65"/>
      <c r="AC1631" s="65"/>
    </row>
    <row r="1632">
      <c r="A1632" s="70">
        <v>155.0</v>
      </c>
      <c r="B1632" s="67" t="s">
        <v>4249</v>
      </c>
      <c r="C1632" s="70" t="s">
        <v>69</v>
      </c>
      <c r="D1632" s="70" t="s">
        <v>830</v>
      </c>
      <c r="E1632" s="70" t="s">
        <v>4250</v>
      </c>
      <c r="F1632" s="70" t="s">
        <v>4251</v>
      </c>
      <c r="G1632" s="70" t="s">
        <v>4252</v>
      </c>
      <c r="H1632" s="70" t="s">
        <v>4253</v>
      </c>
      <c r="I1632" s="70">
        <v>46.6</v>
      </c>
      <c r="J1632" s="70" t="s">
        <v>58</v>
      </c>
      <c r="K1632" s="65"/>
      <c r="L1632" s="65"/>
      <c r="M1632" s="65"/>
      <c r="N1632" s="65"/>
      <c r="O1632" s="65"/>
      <c r="P1632" s="65"/>
      <c r="Q1632" s="65"/>
      <c r="R1632" s="65"/>
      <c r="S1632" s="65"/>
      <c r="T1632" s="65"/>
      <c r="U1632" s="65"/>
      <c r="V1632" s="65"/>
      <c r="W1632" s="65"/>
      <c r="X1632" s="65"/>
      <c r="Y1632" s="65"/>
      <c r="Z1632" s="65"/>
      <c r="AA1632" s="65"/>
      <c r="AB1632" s="65"/>
      <c r="AC1632" s="65"/>
    </row>
    <row r="1633">
      <c r="A1633" s="70">
        <v>154.0</v>
      </c>
      <c r="B1633" s="67" t="s">
        <v>4254</v>
      </c>
      <c r="C1633" s="70" t="s">
        <v>60</v>
      </c>
      <c r="D1633" s="70" t="s">
        <v>484</v>
      </c>
      <c r="E1633" s="70" t="s">
        <v>4255</v>
      </c>
      <c r="F1633" s="70" t="s">
        <v>4256</v>
      </c>
      <c r="G1633" s="70" t="s">
        <v>4257</v>
      </c>
      <c r="H1633" s="70" t="s">
        <v>4258</v>
      </c>
      <c r="I1633" s="70">
        <v>42.07</v>
      </c>
      <c r="J1633" s="70" t="s">
        <v>58</v>
      </c>
      <c r="K1633" s="65"/>
      <c r="L1633" s="65"/>
      <c r="M1633" s="65"/>
      <c r="N1633" s="65"/>
      <c r="O1633" s="65"/>
      <c r="P1633" s="65"/>
      <c r="Q1633" s="65"/>
      <c r="R1633" s="65"/>
      <c r="S1633" s="65"/>
      <c r="T1633" s="65"/>
      <c r="U1633" s="65"/>
      <c r="V1633" s="65"/>
      <c r="W1633" s="65"/>
      <c r="X1633" s="65"/>
      <c r="Y1633" s="65"/>
      <c r="Z1633" s="65"/>
      <c r="AA1633" s="65"/>
      <c r="AB1633" s="65"/>
      <c r="AC1633" s="65"/>
    </row>
    <row r="1634">
      <c r="A1634" s="70">
        <v>153.0</v>
      </c>
      <c r="B1634" s="67" t="s">
        <v>4259</v>
      </c>
      <c r="C1634" s="70" t="s">
        <v>56</v>
      </c>
      <c r="D1634" s="70" t="s">
        <v>484</v>
      </c>
      <c r="E1634" s="70" t="s">
        <v>4260</v>
      </c>
      <c r="F1634" s="70" t="s">
        <v>4261</v>
      </c>
      <c r="G1634" s="70" t="s">
        <v>4262</v>
      </c>
      <c r="H1634" s="70" t="s">
        <v>4263</v>
      </c>
      <c r="I1634" s="70">
        <v>46.25</v>
      </c>
      <c r="J1634" s="70" t="s">
        <v>58</v>
      </c>
      <c r="K1634" s="65"/>
      <c r="L1634" s="65"/>
      <c r="M1634" s="65"/>
      <c r="N1634" s="65"/>
      <c r="O1634" s="65"/>
      <c r="P1634" s="65"/>
      <c r="Q1634" s="65"/>
      <c r="R1634" s="65"/>
      <c r="S1634" s="65"/>
      <c r="T1634" s="65"/>
      <c r="U1634" s="65"/>
      <c r="V1634" s="65"/>
      <c r="W1634" s="65"/>
      <c r="X1634" s="65"/>
      <c r="Y1634" s="65"/>
      <c r="Z1634" s="65"/>
      <c r="AA1634" s="65"/>
      <c r="AB1634" s="65"/>
      <c r="AC1634" s="65"/>
    </row>
    <row r="1635">
      <c r="A1635" s="70">
        <v>152.0</v>
      </c>
      <c r="B1635" s="67" t="s">
        <v>4264</v>
      </c>
      <c r="C1635" s="70" t="s">
        <v>56</v>
      </c>
      <c r="D1635" s="70" t="s">
        <v>1069</v>
      </c>
      <c r="E1635" s="70" t="s">
        <v>4265</v>
      </c>
      <c r="F1635" s="70" t="s">
        <v>4266</v>
      </c>
      <c r="G1635" s="70" t="s">
        <v>4267</v>
      </c>
      <c r="H1635" s="70" t="s">
        <v>4268</v>
      </c>
      <c r="I1635" s="70">
        <v>32.82</v>
      </c>
      <c r="J1635" s="70" t="s">
        <v>58</v>
      </c>
      <c r="K1635" s="65"/>
      <c r="L1635" s="65"/>
      <c r="M1635" s="65"/>
      <c r="N1635" s="65"/>
      <c r="O1635" s="65"/>
      <c r="P1635" s="65"/>
      <c r="Q1635" s="65"/>
      <c r="R1635" s="65"/>
      <c r="S1635" s="65"/>
      <c r="T1635" s="65"/>
      <c r="U1635" s="65"/>
      <c r="V1635" s="65"/>
      <c r="W1635" s="65"/>
      <c r="X1635" s="65"/>
      <c r="Y1635" s="65"/>
      <c r="Z1635" s="65"/>
      <c r="AA1635" s="65"/>
      <c r="AB1635" s="65"/>
      <c r="AC1635" s="65"/>
    </row>
    <row r="1636">
      <c r="A1636" s="70">
        <v>151.0</v>
      </c>
      <c r="B1636" s="67" t="s">
        <v>4269</v>
      </c>
      <c r="C1636" s="70" t="s">
        <v>56</v>
      </c>
      <c r="D1636" s="70" t="s">
        <v>70</v>
      </c>
      <c r="E1636" s="70" t="s">
        <v>4270</v>
      </c>
      <c r="F1636" s="70" t="s">
        <v>4271</v>
      </c>
      <c r="G1636" s="70" t="s">
        <v>4272</v>
      </c>
      <c r="H1636" s="70" t="s">
        <v>4273</v>
      </c>
      <c r="I1636" s="70">
        <v>23.94</v>
      </c>
      <c r="J1636" s="70" t="s">
        <v>58</v>
      </c>
      <c r="K1636" s="65"/>
      <c r="L1636" s="65"/>
      <c r="M1636" s="65"/>
      <c r="N1636" s="65"/>
      <c r="O1636" s="65"/>
      <c r="P1636" s="65"/>
      <c r="Q1636" s="65"/>
      <c r="R1636" s="65"/>
      <c r="S1636" s="65"/>
      <c r="T1636" s="65"/>
      <c r="U1636" s="65"/>
      <c r="V1636" s="65"/>
      <c r="W1636" s="65"/>
      <c r="X1636" s="65"/>
      <c r="Y1636" s="65"/>
      <c r="Z1636" s="65"/>
      <c r="AA1636" s="65"/>
      <c r="AB1636" s="65"/>
      <c r="AC1636" s="65"/>
    </row>
    <row r="1637">
      <c r="A1637" s="70">
        <v>150.0</v>
      </c>
      <c r="B1637" s="67" t="s">
        <v>4274</v>
      </c>
      <c r="C1637" s="70" t="s">
        <v>56</v>
      </c>
      <c r="D1637" s="70" t="s">
        <v>240</v>
      </c>
      <c r="E1637" s="70" t="s">
        <v>4275</v>
      </c>
      <c r="F1637" s="70" t="s">
        <v>4276</v>
      </c>
      <c r="G1637" s="70" t="s">
        <v>4277</v>
      </c>
      <c r="H1637" s="70" t="s">
        <v>4278</v>
      </c>
      <c r="I1637" s="70">
        <v>38.06</v>
      </c>
      <c r="J1637" s="70" t="s">
        <v>58</v>
      </c>
      <c r="K1637" s="65"/>
      <c r="L1637" s="65"/>
      <c r="M1637" s="65"/>
      <c r="N1637" s="65"/>
      <c r="O1637" s="65"/>
      <c r="P1637" s="65"/>
      <c r="Q1637" s="65"/>
      <c r="R1637" s="65"/>
      <c r="S1637" s="65"/>
      <c r="T1637" s="65"/>
      <c r="U1637" s="65"/>
      <c r="V1637" s="65"/>
      <c r="W1637" s="65"/>
      <c r="X1637" s="65"/>
      <c r="Y1637" s="65"/>
      <c r="Z1637" s="65"/>
      <c r="AA1637" s="65"/>
      <c r="AB1637" s="65"/>
      <c r="AC1637" s="65"/>
    </row>
    <row r="1638">
      <c r="A1638" s="70">
        <v>149.0</v>
      </c>
      <c r="B1638" s="67" t="s">
        <v>4279</v>
      </c>
      <c r="C1638" s="70" t="s">
        <v>60</v>
      </c>
      <c r="D1638" s="70" t="s">
        <v>479</v>
      </c>
      <c r="E1638" s="70" t="s">
        <v>4280</v>
      </c>
      <c r="F1638" s="70" t="s">
        <v>4281</v>
      </c>
      <c r="G1638" s="70" t="s">
        <v>4282</v>
      </c>
      <c r="H1638" s="70" t="s">
        <v>4283</v>
      </c>
      <c r="I1638" s="70">
        <v>17.51</v>
      </c>
      <c r="J1638" s="70" t="s">
        <v>58</v>
      </c>
      <c r="K1638" s="65"/>
      <c r="L1638" s="65"/>
      <c r="M1638" s="65"/>
      <c r="N1638" s="65"/>
      <c r="O1638" s="65"/>
      <c r="P1638" s="65"/>
      <c r="Q1638" s="65"/>
      <c r="R1638" s="65"/>
      <c r="S1638" s="65"/>
      <c r="T1638" s="65"/>
      <c r="U1638" s="65"/>
      <c r="V1638" s="65"/>
      <c r="W1638" s="65"/>
      <c r="X1638" s="65"/>
      <c r="Y1638" s="65"/>
      <c r="Z1638" s="65"/>
      <c r="AA1638" s="65"/>
      <c r="AB1638" s="65"/>
      <c r="AC1638" s="65"/>
    </row>
    <row r="1639">
      <c r="A1639" s="70">
        <v>148.0</v>
      </c>
      <c r="B1639" s="67" t="s">
        <v>4284</v>
      </c>
      <c r="C1639" s="70" t="s">
        <v>56</v>
      </c>
      <c r="D1639" s="70" t="s">
        <v>4285</v>
      </c>
      <c r="E1639" s="70" t="s">
        <v>4286</v>
      </c>
      <c r="F1639" s="70" t="s">
        <v>4287</v>
      </c>
      <c r="G1639" s="70" t="s">
        <v>4288</v>
      </c>
      <c r="H1639" s="70" t="s">
        <v>4289</v>
      </c>
      <c r="I1639" s="70">
        <v>46.46</v>
      </c>
      <c r="J1639" s="70" t="s">
        <v>58</v>
      </c>
      <c r="K1639" s="65"/>
      <c r="L1639" s="65"/>
      <c r="M1639" s="65"/>
      <c r="N1639" s="65"/>
      <c r="O1639" s="65"/>
      <c r="P1639" s="65"/>
      <c r="Q1639" s="65"/>
      <c r="R1639" s="65"/>
      <c r="S1639" s="65"/>
      <c r="T1639" s="65"/>
      <c r="U1639" s="65"/>
      <c r="V1639" s="65"/>
      <c r="W1639" s="65"/>
      <c r="X1639" s="65"/>
      <c r="Y1639" s="65"/>
      <c r="Z1639" s="65"/>
      <c r="AA1639" s="65"/>
      <c r="AB1639" s="65"/>
      <c r="AC1639" s="65"/>
    </row>
    <row r="1640">
      <c r="A1640" s="70">
        <v>147.0</v>
      </c>
      <c r="B1640" s="67" t="s">
        <v>4290</v>
      </c>
      <c r="C1640" s="70" t="s">
        <v>56</v>
      </c>
      <c r="D1640" s="70" t="s">
        <v>4285</v>
      </c>
      <c r="E1640" s="70" t="s">
        <v>4291</v>
      </c>
      <c r="F1640" s="73"/>
      <c r="G1640" s="70" t="s">
        <v>3095</v>
      </c>
      <c r="H1640" s="70" t="s">
        <v>3095</v>
      </c>
      <c r="I1640" s="70">
        <v>44.51</v>
      </c>
      <c r="J1640" s="70" t="s">
        <v>58</v>
      </c>
      <c r="K1640" s="65"/>
      <c r="L1640" s="65"/>
      <c r="M1640" s="65"/>
      <c r="N1640" s="65"/>
      <c r="O1640" s="65"/>
      <c r="P1640" s="65"/>
      <c r="Q1640" s="65"/>
      <c r="R1640" s="65"/>
      <c r="S1640" s="65"/>
      <c r="T1640" s="65"/>
      <c r="U1640" s="65"/>
      <c r="V1640" s="65"/>
      <c r="W1640" s="65"/>
      <c r="X1640" s="65"/>
      <c r="Y1640" s="65"/>
      <c r="Z1640" s="65"/>
      <c r="AA1640" s="65"/>
      <c r="AB1640" s="65"/>
      <c r="AC1640" s="65"/>
    </row>
    <row r="1641">
      <c r="A1641" s="70">
        <v>146.0</v>
      </c>
      <c r="B1641" s="67" t="s">
        <v>4292</v>
      </c>
      <c r="C1641" s="70" t="s">
        <v>56</v>
      </c>
      <c r="D1641" s="70" t="s">
        <v>440</v>
      </c>
      <c r="E1641" s="70" t="s">
        <v>4293</v>
      </c>
      <c r="F1641" s="70" t="s">
        <v>4294</v>
      </c>
      <c r="G1641" s="70" t="s">
        <v>4295</v>
      </c>
      <c r="H1641" s="70" t="s">
        <v>4296</v>
      </c>
      <c r="I1641" s="70">
        <v>36.03</v>
      </c>
      <c r="J1641" s="70" t="s">
        <v>58</v>
      </c>
      <c r="K1641" s="65"/>
      <c r="L1641" s="65"/>
      <c r="M1641" s="65"/>
      <c r="N1641" s="65"/>
      <c r="O1641" s="65"/>
      <c r="P1641" s="65"/>
      <c r="Q1641" s="65"/>
      <c r="R1641" s="65"/>
      <c r="S1641" s="65"/>
      <c r="T1641" s="65"/>
      <c r="U1641" s="65"/>
      <c r="V1641" s="65"/>
      <c r="W1641" s="65"/>
      <c r="X1641" s="65"/>
      <c r="Y1641" s="65"/>
      <c r="Z1641" s="65"/>
      <c r="AA1641" s="65"/>
      <c r="AB1641" s="65"/>
      <c r="AC1641" s="65"/>
    </row>
    <row r="1642">
      <c r="A1642" s="70">
        <v>145.0</v>
      </c>
      <c r="B1642" s="67" t="s">
        <v>4297</v>
      </c>
      <c r="C1642" s="70" t="s">
        <v>56</v>
      </c>
      <c r="D1642" s="70" t="s">
        <v>3782</v>
      </c>
      <c r="E1642" s="70" t="s">
        <v>4298</v>
      </c>
      <c r="F1642" s="70" t="s">
        <v>64</v>
      </c>
      <c r="G1642" s="70" t="s">
        <v>2914</v>
      </c>
      <c r="H1642" s="70" t="s">
        <v>4299</v>
      </c>
      <c r="I1642" s="70">
        <v>57.82</v>
      </c>
      <c r="J1642" s="70" t="s">
        <v>58</v>
      </c>
      <c r="K1642" s="65"/>
      <c r="L1642" s="65"/>
      <c r="M1642" s="65"/>
      <c r="N1642" s="65"/>
      <c r="O1642" s="65"/>
      <c r="P1642" s="65"/>
      <c r="Q1642" s="65"/>
      <c r="R1642" s="65"/>
      <c r="S1642" s="65"/>
      <c r="T1642" s="65"/>
      <c r="U1642" s="65"/>
      <c r="V1642" s="65"/>
      <c r="W1642" s="65"/>
      <c r="X1642" s="65"/>
      <c r="Y1642" s="65"/>
      <c r="Z1642" s="65"/>
      <c r="AA1642" s="65"/>
      <c r="AB1642" s="65"/>
      <c r="AC1642" s="65"/>
    </row>
    <row r="1643">
      <c r="A1643" s="70">
        <v>144.0</v>
      </c>
      <c r="B1643" s="67" t="s">
        <v>4300</v>
      </c>
      <c r="C1643" s="70" t="s">
        <v>56</v>
      </c>
      <c r="D1643" s="70" t="s">
        <v>3782</v>
      </c>
      <c r="E1643" s="70" t="s">
        <v>4301</v>
      </c>
      <c r="F1643" s="70" t="s">
        <v>411</v>
      </c>
      <c r="G1643" s="70" t="s">
        <v>675</v>
      </c>
      <c r="H1643" s="70" t="s">
        <v>4302</v>
      </c>
      <c r="I1643" s="70">
        <v>57.66</v>
      </c>
      <c r="J1643" s="70" t="s">
        <v>58</v>
      </c>
      <c r="K1643" s="65"/>
      <c r="L1643" s="65"/>
      <c r="M1643" s="65"/>
      <c r="N1643" s="65"/>
      <c r="O1643" s="65"/>
      <c r="P1643" s="65"/>
      <c r="Q1643" s="65"/>
      <c r="R1643" s="65"/>
      <c r="S1643" s="65"/>
      <c r="T1643" s="65"/>
      <c r="U1643" s="65"/>
      <c r="V1643" s="65"/>
      <c r="W1643" s="65"/>
      <c r="X1643" s="65"/>
      <c r="Y1643" s="65"/>
      <c r="Z1643" s="65"/>
      <c r="AA1643" s="65"/>
      <c r="AB1643" s="65"/>
      <c r="AC1643" s="65"/>
    </row>
    <row r="1644">
      <c r="A1644" s="70">
        <v>143.0</v>
      </c>
      <c r="B1644" s="67" t="s">
        <v>4303</v>
      </c>
      <c r="C1644" s="70" t="s">
        <v>56</v>
      </c>
      <c r="D1644" s="70" t="s">
        <v>206</v>
      </c>
      <c r="E1644" s="70" t="s">
        <v>4304</v>
      </c>
      <c r="F1644" s="70" t="s">
        <v>4305</v>
      </c>
      <c r="G1644" s="70" t="s">
        <v>4306</v>
      </c>
      <c r="H1644" s="70" t="s">
        <v>4307</v>
      </c>
      <c r="I1644" s="70">
        <v>40.83</v>
      </c>
      <c r="J1644" s="70" t="s">
        <v>58</v>
      </c>
      <c r="K1644" s="65"/>
      <c r="L1644" s="65"/>
      <c r="M1644" s="65"/>
      <c r="N1644" s="65"/>
      <c r="O1644" s="65"/>
      <c r="P1644" s="65"/>
      <c r="Q1644" s="65"/>
      <c r="R1644" s="65"/>
      <c r="S1644" s="65"/>
      <c r="T1644" s="65"/>
      <c r="U1644" s="65"/>
      <c r="V1644" s="65"/>
      <c r="W1644" s="65"/>
      <c r="X1644" s="65"/>
      <c r="Y1644" s="65"/>
      <c r="Z1644" s="65"/>
      <c r="AA1644" s="65"/>
      <c r="AB1644" s="65"/>
      <c r="AC1644" s="65"/>
    </row>
    <row r="1645">
      <c r="A1645" s="70">
        <v>142.0</v>
      </c>
      <c r="B1645" s="67" t="s">
        <v>4308</v>
      </c>
      <c r="C1645" s="70" t="s">
        <v>56</v>
      </c>
      <c r="D1645" s="70" t="s">
        <v>3933</v>
      </c>
      <c r="E1645" s="70" t="s">
        <v>4309</v>
      </c>
      <c r="F1645" s="70" t="s">
        <v>346</v>
      </c>
      <c r="G1645" s="70" t="s">
        <v>346</v>
      </c>
      <c r="H1645" s="70" t="s">
        <v>4310</v>
      </c>
      <c r="I1645" s="70">
        <v>39.84</v>
      </c>
      <c r="J1645" s="70" t="s">
        <v>58</v>
      </c>
      <c r="K1645" s="65"/>
      <c r="L1645" s="65"/>
      <c r="M1645" s="65"/>
      <c r="N1645" s="65"/>
      <c r="O1645" s="65"/>
      <c r="P1645" s="65"/>
      <c r="Q1645" s="65"/>
      <c r="R1645" s="65"/>
      <c r="S1645" s="65"/>
      <c r="T1645" s="65"/>
      <c r="U1645" s="65"/>
      <c r="V1645" s="65"/>
      <c r="W1645" s="65"/>
      <c r="X1645" s="65"/>
      <c r="Y1645" s="65"/>
      <c r="Z1645" s="65"/>
      <c r="AA1645" s="65"/>
      <c r="AB1645" s="65"/>
      <c r="AC1645" s="65"/>
    </row>
    <row r="1646">
      <c r="A1646" s="70">
        <v>141.0</v>
      </c>
      <c r="B1646" s="67" t="s">
        <v>4311</v>
      </c>
      <c r="C1646" s="70" t="s">
        <v>69</v>
      </c>
      <c r="D1646" s="70" t="s">
        <v>3933</v>
      </c>
      <c r="E1646" s="70" t="s">
        <v>4312</v>
      </c>
      <c r="F1646" s="70" t="s">
        <v>4313</v>
      </c>
      <c r="G1646" s="70" t="s">
        <v>4314</v>
      </c>
      <c r="H1646" s="70" t="s">
        <v>4315</v>
      </c>
      <c r="I1646" s="70">
        <v>43.0</v>
      </c>
      <c r="J1646" s="70" t="s">
        <v>58</v>
      </c>
      <c r="K1646" s="65"/>
      <c r="L1646" s="65"/>
      <c r="M1646" s="65"/>
      <c r="N1646" s="65"/>
      <c r="O1646" s="65"/>
      <c r="P1646" s="65"/>
      <c r="Q1646" s="65"/>
      <c r="R1646" s="65"/>
      <c r="S1646" s="65"/>
      <c r="T1646" s="65"/>
      <c r="U1646" s="65"/>
      <c r="V1646" s="65"/>
      <c r="W1646" s="65"/>
      <c r="X1646" s="65"/>
      <c r="Y1646" s="65"/>
      <c r="Z1646" s="65"/>
      <c r="AA1646" s="65"/>
      <c r="AB1646" s="65"/>
      <c r="AC1646" s="65"/>
    </row>
    <row r="1647">
      <c r="A1647" s="70">
        <v>140.0</v>
      </c>
      <c r="B1647" s="67" t="s">
        <v>4316</v>
      </c>
      <c r="C1647" s="70" t="s">
        <v>60</v>
      </c>
      <c r="D1647" s="70" t="s">
        <v>322</v>
      </c>
      <c r="E1647" s="70" t="s">
        <v>4317</v>
      </c>
      <c r="F1647" s="70" t="s">
        <v>4318</v>
      </c>
      <c r="G1647" s="70" t="s">
        <v>4319</v>
      </c>
      <c r="H1647" s="70" t="s">
        <v>4320</v>
      </c>
      <c r="I1647" s="70">
        <v>34.99</v>
      </c>
      <c r="J1647" s="70" t="s">
        <v>58</v>
      </c>
      <c r="K1647" s="65"/>
      <c r="L1647" s="65"/>
      <c r="M1647" s="65"/>
      <c r="N1647" s="65"/>
      <c r="O1647" s="65"/>
      <c r="P1647" s="65"/>
      <c r="Q1647" s="65"/>
      <c r="R1647" s="65"/>
      <c r="S1647" s="65"/>
      <c r="T1647" s="65"/>
      <c r="U1647" s="65"/>
      <c r="V1647" s="65"/>
      <c r="W1647" s="65"/>
      <c r="X1647" s="65"/>
      <c r="Y1647" s="65"/>
      <c r="Z1647" s="65"/>
      <c r="AA1647" s="65"/>
      <c r="AB1647" s="65"/>
      <c r="AC1647" s="65"/>
    </row>
    <row r="1648">
      <c r="A1648" s="70">
        <v>139.0</v>
      </c>
      <c r="B1648" s="67" t="s">
        <v>4321</v>
      </c>
      <c r="C1648" s="70" t="s">
        <v>56</v>
      </c>
      <c r="D1648" s="70" t="s">
        <v>76</v>
      </c>
      <c r="E1648" s="70" t="s">
        <v>4322</v>
      </c>
      <c r="F1648" s="70" t="s">
        <v>4323</v>
      </c>
      <c r="G1648" s="70" t="s">
        <v>4324</v>
      </c>
      <c r="H1648" s="70" t="s">
        <v>4325</v>
      </c>
      <c r="I1648" s="70">
        <v>41.8</v>
      </c>
      <c r="J1648" s="70" t="s">
        <v>58</v>
      </c>
      <c r="K1648" s="65"/>
      <c r="L1648" s="65"/>
      <c r="M1648" s="65"/>
      <c r="N1648" s="65"/>
      <c r="O1648" s="65"/>
      <c r="P1648" s="65"/>
      <c r="Q1648" s="65"/>
      <c r="R1648" s="65"/>
      <c r="S1648" s="65"/>
      <c r="T1648" s="65"/>
      <c r="U1648" s="65"/>
      <c r="V1648" s="65"/>
      <c r="W1648" s="65"/>
      <c r="X1648" s="65"/>
      <c r="Y1648" s="65"/>
      <c r="Z1648" s="65"/>
      <c r="AA1648" s="65"/>
      <c r="AB1648" s="65"/>
      <c r="AC1648" s="65"/>
    </row>
    <row r="1649">
      <c r="A1649" s="70">
        <v>138.0</v>
      </c>
      <c r="B1649" s="67" t="s">
        <v>4326</v>
      </c>
      <c r="C1649" s="70" t="s">
        <v>56</v>
      </c>
      <c r="D1649" s="70" t="s">
        <v>4327</v>
      </c>
      <c r="E1649" s="70" t="s">
        <v>4328</v>
      </c>
      <c r="F1649" s="70" t="s">
        <v>4329</v>
      </c>
      <c r="G1649" s="70" t="s">
        <v>4330</v>
      </c>
      <c r="H1649" s="70" t="s">
        <v>4331</v>
      </c>
      <c r="I1649" s="70">
        <v>41.17</v>
      </c>
      <c r="J1649" s="70" t="s">
        <v>58</v>
      </c>
      <c r="K1649" s="65"/>
      <c r="L1649" s="65"/>
      <c r="M1649" s="65"/>
      <c r="N1649" s="65"/>
      <c r="O1649" s="65"/>
      <c r="P1649" s="65"/>
      <c r="Q1649" s="65"/>
      <c r="R1649" s="65"/>
      <c r="S1649" s="65"/>
      <c r="T1649" s="65"/>
      <c r="U1649" s="65"/>
      <c r="V1649" s="65"/>
      <c r="W1649" s="65"/>
      <c r="X1649" s="65"/>
      <c r="Y1649" s="65"/>
      <c r="Z1649" s="65"/>
      <c r="AA1649" s="65"/>
      <c r="AB1649" s="65"/>
      <c r="AC1649" s="65"/>
    </row>
    <row r="1650">
      <c r="A1650" s="70">
        <v>137.0</v>
      </c>
      <c r="B1650" s="67" t="s">
        <v>4332</v>
      </c>
      <c r="C1650" s="70" t="s">
        <v>56</v>
      </c>
      <c r="D1650" s="70" t="s">
        <v>182</v>
      </c>
      <c r="E1650" s="70" t="s">
        <v>4333</v>
      </c>
      <c r="F1650" s="70" t="s">
        <v>1017</v>
      </c>
      <c r="G1650" s="70" t="s">
        <v>4334</v>
      </c>
      <c r="H1650" s="70" t="s">
        <v>4335</v>
      </c>
      <c r="I1650" s="70">
        <v>53.96</v>
      </c>
      <c r="J1650" s="70" t="s">
        <v>58</v>
      </c>
      <c r="K1650" s="65"/>
      <c r="L1650" s="65"/>
      <c r="M1650" s="65"/>
      <c r="N1650" s="65"/>
      <c r="O1650" s="65"/>
      <c r="P1650" s="65"/>
      <c r="Q1650" s="65"/>
      <c r="R1650" s="65"/>
      <c r="S1650" s="65"/>
      <c r="T1650" s="65"/>
      <c r="U1650" s="65"/>
      <c r="V1650" s="65"/>
      <c r="W1650" s="65"/>
      <c r="X1650" s="65"/>
      <c r="Y1650" s="65"/>
      <c r="Z1650" s="65"/>
      <c r="AA1650" s="65"/>
      <c r="AB1650" s="65"/>
      <c r="AC1650" s="65"/>
    </row>
    <row r="1651">
      <c r="A1651" s="70">
        <v>136.0</v>
      </c>
      <c r="B1651" s="67" t="s">
        <v>4336</v>
      </c>
      <c r="C1651" s="70" t="s">
        <v>69</v>
      </c>
      <c r="D1651" s="70" t="s">
        <v>1296</v>
      </c>
      <c r="E1651" s="70" t="s">
        <v>4337</v>
      </c>
      <c r="F1651" s="70" t="s">
        <v>4338</v>
      </c>
      <c r="G1651" s="70" t="s">
        <v>4339</v>
      </c>
      <c r="H1651" s="70" t="s">
        <v>4340</v>
      </c>
      <c r="I1651" s="70">
        <v>66.61</v>
      </c>
      <c r="J1651" s="70" t="s">
        <v>58</v>
      </c>
      <c r="K1651" s="65"/>
      <c r="L1651" s="65"/>
      <c r="M1651" s="65"/>
      <c r="N1651" s="65"/>
      <c r="O1651" s="65"/>
      <c r="P1651" s="65"/>
      <c r="Q1651" s="65"/>
      <c r="R1651" s="65"/>
      <c r="S1651" s="65"/>
      <c r="T1651" s="65"/>
      <c r="U1651" s="65"/>
      <c r="V1651" s="65"/>
      <c r="W1651" s="65"/>
      <c r="X1651" s="65"/>
      <c r="Y1651" s="65"/>
      <c r="Z1651" s="65"/>
      <c r="AA1651" s="65"/>
      <c r="AB1651" s="65"/>
      <c r="AC1651" s="65"/>
    </row>
    <row r="1652">
      <c r="A1652" s="70">
        <v>135.0</v>
      </c>
      <c r="B1652" s="67" t="s">
        <v>4341</v>
      </c>
      <c r="C1652" s="70" t="s">
        <v>60</v>
      </c>
      <c r="D1652" s="70" t="s">
        <v>61</v>
      </c>
      <c r="E1652" s="70" t="s">
        <v>4342</v>
      </c>
      <c r="F1652" s="70" t="s">
        <v>64</v>
      </c>
      <c r="G1652" s="70" t="s">
        <v>4343</v>
      </c>
      <c r="H1652" s="70" t="s">
        <v>4344</v>
      </c>
      <c r="I1652" s="70">
        <v>33.19</v>
      </c>
      <c r="J1652" s="70" t="s">
        <v>58</v>
      </c>
      <c r="K1652" s="65"/>
      <c r="L1652" s="65"/>
      <c r="M1652" s="65"/>
      <c r="N1652" s="65"/>
      <c r="O1652" s="65"/>
      <c r="P1652" s="65"/>
      <c r="Q1652" s="65"/>
      <c r="R1652" s="65"/>
      <c r="S1652" s="65"/>
      <c r="T1652" s="65"/>
      <c r="U1652" s="65"/>
      <c r="V1652" s="65"/>
      <c r="W1652" s="65"/>
      <c r="X1652" s="65"/>
      <c r="Y1652" s="65"/>
      <c r="Z1652" s="65"/>
      <c r="AA1652" s="65"/>
      <c r="AB1652" s="65"/>
      <c r="AC1652" s="65"/>
    </row>
    <row r="1653">
      <c r="A1653" s="70">
        <v>134.0</v>
      </c>
      <c r="B1653" s="67" t="s">
        <v>4345</v>
      </c>
      <c r="C1653" s="70" t="s">
        <v>56</v>
      </c>
      <c r="D1653" s="70" t="s">
        <v>61</v>
      </c>
      <c r="E1653" s="70" t="s">
        <v>4346</v>
      </c>
      <c r="F1653" s="70" t="s">
        <v>4347</v>
      </c>
      <c r="G1653" s="70" t="s">
        <v>4348</v>
      </c>
      <c r="H1653" s="70" t="s">
        <v>4349</v>
      </c>
      <c r="I1653" s="70">
        <v>41.4</v>
      </c>
      <c r="J1653" s="70" t="s">
        <v>58</v>
      </c>
      <c r="K1653" s="65"/>
      <c r="L1653" s="65"/>
      <c r="M1653" s="65"/>
      <c r="N1653" s="65"/>
      <c r="O1653" s="65"/>
      <c r="P1653" s="65"/>
      <c r="Q1653" s="65"/>
      <c r="R1653" s="65"/>
      <c r="S1653" s="65"/>
      <c r="T1653" s="65"/>
      <c r="U1653" s="65"/>
      <c r="V1653" s="65"/>
      <c r="W1653" s="65"/>
      <c r="X1653" s="65"/>
      <c r="Y1653" s="65"/>
      <c r="Z1653" s="65"/>
      <c r="AA1653" s="65"/>
      <c r="AB1653" s="65"/>
      <c r="AC1653" s="65"/>
    </row>
    <row r="1654">
      <c r="A1654" s="70">
        <v>133.0</v>
      </c>
      <c r="B1654" s="67" t="s">
        <v>4350</v>
      </c>
      <c r="C1654" s="70" t="s">
        <v>56</v>
      </c>
      <c r="D1654" s="70" t="s">
        <v>95</v>
      </c>
      <c r="E1654" s="70" t="s">
        <v>4351</v>
      </c>
      <c r="F1654" s="70" t="s">
        <v>4352</v>
      </c>
      <c r="G1654" s="70" t="s">
        <v>4353</v>
      </c>
      <c r="H1654" s="70" t="s">
        <v>4354</v>
      </c>
      <c r="I1654" s="70">
        <v>39.51</v>
      </c>
      <c r="J1654" s="70" t="s">
        <v>58</v>
      </c>
      <c r="K1654" s="65"/>
      <c r="L1654" s="65"/>
      <c r="M1654" s="65"/>
      <c r="N1654" s="65"/>
      <c r="O1654" s="65"/>
      <c r="P1654" s="65"/>
      <c r="Q1654" s="65"/>
      <c r="R1654" s="65"/>
      <c r="S1654" s="65"/>
      <c r="T1654" s="65"/>
      <c r="U1654" s="65"/>
      <c r="V1654" s="65"/>
      <c r="W1654" s="65"/>
      <c r="X1654" s="65"/>
      <c r="Y1654" s="65"/>
      <c r="Z1654" s="65"/>
      <c r="AA1654" s="65"/>
      <c r="AB1654" s="65"/>
      <c r="AC1654" s="65"/>
    </row>
    <row r="1655">
      <c r="A1655" s="70">
        <v>132.0</v>
      </c>
      <c r="B1655" s="67" t="s">
        <v>4355</v>
      </c>
      <c r="C1655" s="70" t="s">
        <v>60</v>
      </c>
      <c r="D1655" s="70" t="s">
        <v>76</v>
      </c>
      <c r="E1655" s="70" t="s">
        <v>4356</v>
      </c>
      <c r="F1655" s="70" t="s">
        <v>64</v>
      </c>
      <c r="G1655" s="70" t="s">
        <v>112</v>
      </c>
      <c r="H1655" s="70" t="s">
        <v>4357</v>
      </c>
      <c r="I1655" s="70">
        <v>31.35</v>
      </c>
      <c r="J1655" s="70" t="s">
        <v>58</v>
      </c>
      <c r="K1655" s="65"/>
      <c r="L1655" s="65"/>
      <c r="M1655" s="65"/>
      <c r="N1655" s="65"/>
      <c r="O1655" s="65"/>
      <c r="P1655" s="65"/>
      <c r="Q1655" s="65"/>
      <c r="R1655" s="65"/>
      <c r="S1655" s="65"/>
      <c r="T1655" s="65"/>
      <c r="U1655" s="65"/>
      <c r="V1655" s="65"/>
      <c r="W1655" s="65"/>
      <c r="X1655" s="65"/>
      <c r="Y1655" s="65"/>
      <c r="Z1655" s="65"/>
      <c r="AA1655" s="65"/>
      <c r="AB1655" s="65"/>
      <c r="AC1655" s="65"/>
    </row>
    <row r="1656">
      <c r="A1656" s="70">
        <v>131.0</v>
      </c>
      <c r="B1656" s="67" t="s">
        <v>4358</v>
      </c>
      <c r="C1656" s="70" t="s">
        <v>56</v>
      </c>
      <c r="D1656" s="70" t="s">
        <v>4359</v>
      </c>
      <c r="E1656" s="70" t="s">
        <v>4360</v>
      </c>
      <c r="F1656" s="70" t="s">
        <v>4361</v>
      </c>
      <c r="G1656" s="70" t="s">
        <v>4362</v>
      </c>
      <c r="H1656" s="70" t="s">
        <v>4363</v>
      </c>
      <c r="I1656" s="70">
        <v>52.33</v>
      </c>
      <c r="J1656" s="70" t="s">
        <v>58</v>
      </c>
      <c r="K1656" s="65"/>
      <c r="L1656" s="65"/>
      <c r="M1656" s="65"/>
      <c r="N1656" s="65"/>
      <c r="O1656" s="65"/>
      <c r="P1656" s="65"/>
      <c r="Q1656" s="65"/>
      <c r="R1656" s="65"/>
      <c r="S1656" s="65"/>
      <c r="T1656" s="65"/>
      <c r="U1656" s="65"/>
      <c r="V1656" s="65"/>
      <c r="W1656" s="65"/>
      <c r="X1656" s="65"/>
      <c r="Y1656" s="65"/>
      <c r="Z1656" s="65"/>
      <c r="AA1656" s="65"/>
      <c r="AB1656" s="65"/>
      <c r="AC1656" s="65"/>
    </row>
    <row r="1657">
      <c r="A1657" s="70">
        <v>130.0</v>
      </c>
      <c r="B1657" s="67" t="s">
        <v>4364</v>
      </c>
      <c r="C1657" s="70" t="s">
        <v>56</v>
      </c>
      <c r="D1657" s="70" t="s">
        <v>965</v>
      </c>
      <c r="E1657" s="70" t="s">
        <v>4365</v>
      </c>
      <c r="F1657" s="70" t="s">
        <v>1407</v>
      </c>
      <c r="G1657" s="70" t="s">
        <v>4366</v>
      </c>
      <c r="H1657" s="70" t="s">
        <v>4367</v>
      </c>
      <c r="I1657" s="70">
        <v>29.58</v>
      </c>
      <c r="J1657" s="70" t="s">
        <v>58</v>
      </c>
      <c r="K1657" s="65"/>
      <c r="L1657" s="65"/>
      <c r="M1657" s="65"/>
      <c r="N1657" s="65"/>
      <c r="O1657" s="65"/>
      <c r="P1657" s="65"/>
      <c r="Q1657" s="65"/>
      <c r="R1657" s="65"/>
      <c r="S1657" s="65"/>
      <c r="T1657" s="65"/>
      <c r="U1657" s="65"/>
      <c r="V1657" s="65"/>
      <c r="W1657" s="65"/>
      <c r="X1657" s="65"/>
      <c r="Y1657" s="65"/>
      <c r="Z1657" s="65"/>
      <c r="AA1657" s="65"/>
      <c r="AB1657" s="65"/>
      <c r="AC1657" s="65"/>
    </row>
    <row r="1658">
      <c r="A1658" s="70">
        <v>129.0</v>
      </c>
      <c r="B1658" s="67" t="s">
        <v>4368</v>
      </c>
      <c r="C1658" s="70" t="s">
        <v>56</v>
      </c>
      <c r="D1658" s="70" t="s">
        <v>289</v>
      </c>
      <c r="E1658" s="70" t="s">
        <v>4369</v>
      </c>
      <c r="F1658" s="70" t="s">
        <v>4370</v>
      </c>
      <c r="G1658" s="70" t="s">
        <v>4371</v>
      </c>
      <c r="H1658" s="70" t="s">
        <v>4371</v>
      </c>
      <c r="I1658" s="70">
        <v>51.11</v>
      </c>
      <c r="J1658" s="70" t="s">
        <v>58</v>
      </c>
      <c r="K1658" s="65"/>
      <c r="L1658" s="65"/>
      <c r="M1658" s="65"/>
      <c r="N1658" s="65"/>
      <c r="O1658" s="65"/>
      <c r="P1658" s="65"/>
      <c r="Q1658" s="65"/>
      <c r="R1658" s="65"/>
      <c r="S1658" s="65"/>
      <c r="T1658" s="65"/>
      <c r="U1658" s="65"/>
      <c r="V1658" s="65"/>
      <c r="W1658" s="65"/>
      <c r="X1658" s="65"/>
      <c r="Y1658" s="65"/>
      <c r="Z1658" s="65"/>
      <c r="AA1658" s="65"/>
      <c r="AB1658" s="65"/>
      <c r="AC1658" s="65"/>
    </row>
    <row r="1659">
      <c r="A1659" s="70">
        <v>128.0</v>
      </c>
      <c r="B1659" s="67" t="s">
        <v>4372</v>
      </c>
      <c r="C1659" s="70" t="s">
        <v>60</v>
      </c>
      <c r="D1659" s="70" t="s">
        <v>1243</v>
      </c>
      <c r="E1659" s="70" t="s">
        <v>4373</v>
      </c>
      <c r="F1659" s="70" t="s">
        <v>4374</v>
      </c>
      <c r="G1659" s="70" t="s">
        <v>4375</v>
      </c>
      <c r="H1659" s="70" t="s">
        <v>4376</v>
      </c>
      <c r="I1659" s="70">
        <v>46.36</v>
      </c>
      <c r="J1659" s="70" t="s">
        <v>58</v>
      </c>
      <c r="K1659" s="65"/>
      <c r="L1659" s="65"/>
      <c r="M1659" s="65"/>
      <c r="N1659" s="65"/>
      <c r="O1659" s="65"/>
      <c r="P1659" s="65"/>
      <c r="Q1659" s="65"/>
      <c r="R1659" s="65"/>
      <c r="S1659" s="65"/>
      <c r="T1659" s="65"/>
      <c r="U1659" s="65"/>
      <c r="V1659" s="65"/>
      <c r="W1659" s="65"/>
      <c r="X1659" s="65"/>
      <c r="Y1659" s="65"/>
      <c r="Z1659" s="65"/>
      <c r="AA1659" s="65"/>
      <c r="AB1659" s="65"/>
      <c r="AC1659" s="65"/>
    </row>
    <row r="1660">
      <c r="A1660" s="70">
        <v>127.0</v>
      </c>
      <c r="B1660" s="67" t="s">
        <v>4377</v>
      </c>
      <c r="C1660" s="70" t="s">
        <v>60</v>
      </c>
      <c r="D1660" s="70" t="s">
        <v>852</v>
      </c>
      <c r="E1660" s="70" t="s">
        <v>4378</v>
      </c>
      <c r="F1660" s="70" t="s">
        <v>4379</v>
      </c>
      <c r="G1660" s="70" t="s">
        <v>4380</v>
      </c>
      <c r="H1660" s="70" t="s">
        <v>4381</v>
      </c>
      <c r="I1660" s="70">
        <v>31.97</v>
      </c>
      <c r="J1660" s="70" t="s">
        <v>58</v>
      </c>
      <c r="K1660" s="65"/>
      <c r="L1660" s="65"/>
      <c r="M1660" s="65"/>
      <c r="N1660" s="65"/>
      <c r="O1660" s="65"/>
      <c r="P1660" s="65"/>
      <c r="Q1660" s="65"/>
      <c r="R1660" s="65"/>
      <c r="S1660" s="65"/>
      <c r="T1660" s="65"/>
      <c r="U1660" s="65"/>
      <c r="V1660" s="65"/>
      <c r="W1660" s="65"/>
      <c r="X1660" s="65"/>
      <c r="Y1660" s="65"/>
      <c r="Z1660" s="65"/>
      <c r="AA1660" s="65"/>
      <c r="AB1660" s="65"/>
      <c r="AC1660" s="65"/>
    </row>
    <row r="1661">
      <c r="A1661" s="70">
        <v>126.0</v>
      </c>
      <c r="B1661" s="67" t="s">
        <v>4382</v>
      </c>
      <c r="C1661" s="70" t="s">
        <v>60</v>
      </c>
      <c r="D1661" s="70" t="s">
        <v>4383</v>
      </c>
      <c r="E1661" s="70" t="s">
        <v>4384</v>
      </c>
      <c r="F1661" s="70" t="s">
        <v>4385</v>
      </c>
      <c r="G1661" s="70" t="s">
        <v>4386</v>
      </c>
      <c r="H1661" s="70" t="s">
        <v>4387</v>
      </c>
      <c r="I1661" s="70">
        <v>23.85</v>
      </c>
      <c r="J1661" s="70" t="s">
        <v>58</v>
      </c>
      <c r="K1661" s="65"/>
      <c r="L1661" s="65"/>
      <c r="M1661" s="65"/>
      <c r="N1661" s="65"/>
      <c r="O1661" s="65"/>
      <c r="P1661" s="65"/>
      <c r="Q1661" s="65"/>
      <c r="R1661" s="65"/>
      <c r="S1661" s="65"/>
      <c r="T1661" s="65"/>
      <c r="U1661" s="65"/>
      <c r="V1661" s="65"/>
      <c r="W1661" s="65"/>
      <c r="X1661" s="65"/>
      <c r="Y1661" s="65"/>
      <c r="Z1661" s="65"/>
      <c r="AA1661" s="65"/>
      <c r="AB1661" s="65"/>
      <c r="AC1661" s="65"/>
    </row>
    <row r="1662">
      <c r="A1662" s="70">
        <v>125.0</v>
      </c>
      <c r="B1662" s="67" t="s">
        <v>4388</v>
      </c>
      <c r="C1662" s="70" t="s">
        <v>69</v>
      </c>
      <c r="D1662" s="70" t="s">
        <v>1165</v>
      </c>
      <c r="E1662" s="70" t="s">
        <v>4389</v>
      </c>
      <c r="F1662" s="70" t="s">
        <v>4390</v>
      </c>
      <c r="G1662" s="70" t="s">
        <v>4391</v>
      </c>
      <c r="H1662" s="70" t="s">
        <v>4392</v>
      </c>
      <c r="I1662" s="70">
        <v>38.37</v>
      </c>
      <c r="J1662" s="70" t="s">
        <v>58</v>
      </c>
      <c r="K1662" s="65"/>
      <c r="L1662" s="65"/>
      <c r="M1662" s="65"/>
      <c r="N1662" s="65"/>
      <c r="O1662" s="65"/>
      <c r="P1662" s="65"/>
      <c r="Q1662" s="65"/>
      <c r="R1662" s="65"/>
      <c r="S1662" s="65"/>
      <c r="T1662" s="65"/>
      <c r="U1662" s="65"/>
      <c r="V1662" s="65"/>
      <c r="W1662" s="65"/>
      <c r="X1662" s="65"/>
      <c r="Y1662" s="65"/>
      <c r="Z1662" s="65"/>
      <c r="AA1662" s="65"/>
      <c r="AB1662" s="65"/>
      <c r="AC1662" s="65"/>
    </row>
    <row r="1663">
      <c r="A1663" s="70">
        <v>124.0</v>
      </c>
      <c r="B1663" s="67" t="s">
        <v>4393</v>
      </c>
      <c r="C1663" s="70" t="s">
        <v>60</v>
      </c>
      <c r="D1663" s="70" t="s">
        <v>1960</v>
      </c>
      <c r="E1663" s="70" t="s">
        <v>4394</v>
      </c>
      <c r="F1663" s="70" t="s">
        <v>4395</v>
      </c>
      <c r="G1663" s="70" t="s">
        <v>4396</v>
      </c>
      <c r="H1663" s="70" t="s">
        <v>4397</v>
      </c>
      <c r="I1663" s="70">
        <v>35.55</v>
      </c>
      <c r="J1663" s="70" t="s">
        <v>58</v>
      </c>
      <c r="K1663" s="65"/>
      <c r="L1663" s="65"/>
      <c r="M1663" s="65"/>
      <c r="N1663" s="65"/>
      <c r="O1663" s="65"/>
      <c r="P1663" s="65"/>
      <c r="Q1663" s="65"/>
      <c r="R1663" s="65"/>
      <c r="S1663" s="65"/>
      <c r="T1663" s="65"/>
      <c r="U1663" s="65"/>
      <c r="V1663" s="65"/>
      <c r="W1663" s="65"/>
      <c r="X1663" s="65"/>
      <c r="Y1663" s="65"/>
      <c r="Z1663" s="65"/>
      <c r="AA1663" s="65"/>
      <c r="AB1663" s="65"/>
      <c r="AC1663" s="65"/>
    </row>
    <row r="1664">
      <c r="A1664" s="70">
        <v>123.0</v>
      </c>
      <c r="B1664" s="67" t="s">
        <v>4398</v>
      </c>
      <c r="C1664" s="70" t="s">
        <v>60</v>
      </c>
      <c r="D1664" s="70" t="s">
        <v>1069</v>
      </c>
      <c r="E1664" s="70" t="s">
        <v>4399</v>
      </c>
      <c r="F1664" s="70" t="s">
        <v>1017</v>
      </c>
      <c r="G1664" s="70" t="s">
        <v>4400</v>
      </c>
      <c r="H1664" s="70" t="s">
        <v>4401</v>
      </c>
      <c r="I1664" s="70">
        <v>40.05</v>
      </c>
      <c r="J1664" s="70" t="s">
        <v>58</v>
      </c>
      <c r="K1664" s="65"/>
      <c r="L1664" s="65"/>
      <c r="M1664" s="65"/>
      <c r="N1664" s="65"/>
      <c r="O1664" s="65"/>
      <c r="P1664" s="65"/>
      <c r="Q1664" s="65"/>
      <c r="R1664" s="65"/>
      <c r="S1664" s="65"/>
      <c r="T1664" s="65"/>
      <c r="U1664" s="65"/>
      <c r="V1664" s="65"/>
      <c r="W1664" s="65"/>
      <c r="X1664" s="65"/>
      <c r="Y1664" s="65"/>
      <c r="Z1664" s="65"/>
      <c r="AA1664" s="65"/>
      <c r="AB1664" s="65"/>
      <c r="AC1664" s="65"/>
    </row>
    <row r="1665">
      <c r="A1665" s="70">
        <v>122.0</v>
      </c>
      <c r="B1665" s="67" t="s">
        <v>4402</v>
      </c>
      <c r="C1665" s="70" t="s">
        <v>69</v>
      </c>
      <c r="D1665" s="70" t="s">
        <v>114</v>
      </c>
      <c r="E1665" s="70" t="s">
        <v>4403</v>
      </c>
      <c r="F1665" s="70" t="s">
        <v>4404</v>
      </c>
      <c r="G1665" s="70" t="s">
        <v>4405</v>
      </c>
      <c r="H1665" s="70" t="s">
        <v>4406</v>
      </c>
      <c r="I1665" s="70">
        <v>58.68</v>
      </c>
      <c r="J1665" s="70" t="s">
        <v>58</v>
      </c>
      <c r="K1665" s="65"/>
      <c r="L1665" s="65"/>
      <c r="M1665" s="65"/>
      <c r="N1665" s="65"/>
      <c r="O1665" s="65"/>
      <c r="P1665" s="65"/>
      <c r="Q1665" s="65"/>
      <c r="R1665" s="65"/>
      <c r="S1665" s="65"/>
      <c r="T1665" s="65"/>
      <c r="U1665" s="65"/>
      <c r="V1665" s="65"/>
      <c r="W1665" s="65"/>
      <c r="X1665" s="65"/>
      <c r="Y1665" s="65"/>
      <c r="Z1665" s="65"/>
      <c r="AA1665" s="65"/>
      <c r="AB1665" s="65"/>
      <c r="AC1665" s="65"/>
    </row>
    <row r="1666">
      <c r="A1666" s="70">
        <v>121.0</v>
      </c>
      <c r="B1666" s="67" t="s">
        <v>4407</v>
      </c>
      <c r="C1666" s="70" t="s">
        <v>69</v>
      </c>
      <c r="D1666" s="70" t="s">
        <v>1069</v>
      </c>
      <c r="E1666" s="70" t="s">
        <v>4408</v>
      </c>
      <c r="F1666" s="70" t="s">
        <v>4409</v>
      </c>
      <c r="G1666" s="70" t="s">
        <v>4410</v>
      </c>
      <c r="H1666" s="70" t="s">
        <v>4411</v>
      </c>
      <c r="I1666" s="70">
        <v>51.73</v>
      </c>
      <c r="J1666" s="70" t="s">
        <v>58</v>
      </c>
      <c r="K1666" s="65"/>
      <c r="L1666" s="65"/>
      <c r="M1666" s="65"/>
      <c r="N1666" s="65"/>
      <c r="O1666" s="65"/>
      <c r="P1666" s="65"/>
      <c r="Q1666" s="65"/>
      <c r="R1666" s="65"/>
      <c r="S1666" s="65"/>
      <c r="T1666" s="65"/>
      <c r="U1666" s="65"/>
      <c r="V1666" s="65"/>
      <c r="W1666" s="65"/>
      <c r="X1666" s="65"/>
      <c r="Y1666" s="65"/>
      <c r="Z1666" s="65"/>
      <c r="AA1666" s="65"/>
      <c r="AB1666" s="65"/>
      <c r="AC1666" s="65"/>
    </row>
    <row r="1667">
      <c r="A1667" s="70">
        <v>120.0</v>
      </c>
      <c r="B1667" s="67" t="s">
        <v>4412</v>
      </c>
      <c r="C1667" s="70" t="s">
        <v>56</v>
      </c>
      <c r="D1667" s="70" t="s">
        <v>1069</v>
      </c>
      <c r="E1667" s="70" t="s">
        <v>4413</v>
      </c>
      <c r="F1667" s="70" t="s">
        <v>636</v>
      </c>
      <c r="G1667" s="70" t="s">
        <v>974</v>
      </c>
      <c r="H1667" s="70" t="s">
        <v>4414</v>
      </c>
      <c r="I1667" s="70">
        <v>45.92</v>
      </c>
      <c r="J1667" s="70" t="s">
        <v>58</v>
      </c>
      <c r="K1667" s="65"/>
      <c r="L1667" s="65"/>
      <c r="M1667" s="65"/>
      <c r="N1667" s="65"/>
      <c r="O1667" s="65"/>
      <c r="P1667" s="65"/>
      <c r="Q1667" s="65"/>
      <c r="R1667" s="65"/>
      <c r="S1667" s="65"/>
      <c r="T1667" s="65"/>
      <c r="U1667" s="65"/>
      <c r="V1667" s="65"/>
      <c r="W1667" s="65"/>
      <c r="X1667" s="65"/>
      <c r="Y1667" s="65"/>
      <c r="Z1667" s="65"/>
      <c r="AA1667" s="65"/>
      <c r="AB1667" s="65"/>
      <c r="AC1667" s="65"/>
    </row>
    <row r="1668">
      <c r="A1668" s="70">
        <v>119.0</v>
      </c>
      <c r="B1668" s="67" t="s">
        <v>4415</v>
      </c>
      <c r="C1668" s="70" t="s">
        <v>69</v>
      </c>
      <c r="D1668" s="70" t="s">
        <v>93</v>
      </c>
      <c r="E1668" s="70" t="s">
        <v>4416</v>
      </c>
      <c r="F1668" s="73"/>
      <c r="G1668" s="70" t="s">
        <v>2642</v>
      </c>
      <c r="H1668" s="70" t="s">
        <v>4417</v>
      </c>
      <c r="I1668" s="70">
        <v>52.37</v>
      </c>
      <c r="J1668" s="70" t="s">
        <v>58</v>
      </c>
      <c r="K1668" s="65"/>
      <c r="L1668" s="65"/>
      <c r="M1668" s="65"/>
      <c r="N1668" s="65"/>
      <c r="O1668" s="65"/>
      <c r="P1668" s="65"/>
      <c r="Q1668" s="65"/>
      <c r="R1668" s="65"/>
      <c r="S1668" s="65"/>
      <c r="T1668" s="65"/>
      <c r="U1668" s="65"/>
      <c r="V1668" s="65"/>
      <c r="W1668" s="65"/>
      <c r="X1668" s="65"/>
      <c r="Y1668" s="65"/>
      <c r="Z1668" s="65"/>
      <c r="AA1668" s="65"/>
      <c r="AB1668" s="65"/>
      <c r="AC1668" s="65"/>
    </row>
    <row r="1669">
      <c r="A1669" s="70">
        <v>118.0</v>
      </c>
      <c r="B1669" s="67" t="s">
        <v>4418</v>
      </c>
      <c r="C1669" s="70" t="s">
        <v>69</v>
      </c>
      <c r="D1669" s="70" t="s">
        <v>93</v>
      </c>
      <c r="E1669" s="70" t="s">
        <v>4419</v>
      </c>
      <c r="F1669" s="70" t="s">
        <v>4420</v>
      </c>
      <c r="G1669" s="70" t="s">
        <v>4421</v>
      </c>
      <c r="H1669" s="70" t="s">
        <v>4422</v>
      </c>
      <c r="I1669" s="70">
        <v>55.16</v>
      </c>
      <c r="J1669" s="70" t="s">
        <v>58</v>
      </c>
      <c r="K1669" s="65"/>
      <c r="L1669" s="65"/>
      <c r="M1669" s="65"/>
      <c r="N1669" s="65"/>
      <c r="O1669" s="65"/>
      <c r="P1669" s="65"/>
      <c r="Q1669" s="65"/>
      <c r="R1669" s="65"/>
      <c r="S1669" s="65"/>
      <c r="T1669" s="65"/>
      <c r="U1669" s="65"/>
      <c r="V1669" s="65"/>
      <c r="W1669" s="65"/>
      <c r="X1669" s="65"/>
      <c r="Y1669" s="65"/>
      <c r="Z1669" s="65"/>
      <c r="AA1669" s="65"/>
      <c r="AB1669" s="65"/>
      <c r="AC1669" s="65"/>
    </row>
    <row r="1670">
      <c r="A1670" s="70">
        <v>117.0</v>
      </c>
      <c r="B1670" s="67" t="s">
        <v>4423</v>
      </c>
      <c r="C1670" s="70" t="s">
        <v>56</v>
      </c>
      <c r="D1670" s="70" t="s">
        <v>289</v>
      </c>
      <c r="E1670" s="70" t="s">
        <v>4424</v>
      </c>
      <c r="F1670" s="70" t="s">
        <v>2757</v>
      </c>
      <c r="G1670" s="70" t="s">
        <v>4425</v>
      </c>
      <c r="H1670" s="70" t="s">
        <v>4426</v>
      </c>
      <c r="I1670" s="70">
        <v>42.25</v>
      </c>
      <c r="J1670" s="70" t="s">
        <v>58</v>
      </c>
      <c r="K1670" s="65"/>
      <c r="L1670" s="65"/>
      <c r="M1670" s="65"/>
      <c r="N1670" s="65"/>
      <c r="O1670" s="65"/>
      <c r="P1670" s="65"/>
      <c r="Q1670" s="65"/>
      <c r="R1670" s="65"/>
      <c r="S1670" s="65"/>
      <c r="T1670" s="65"/>
      <c r="U1670" s="65"/>
      <c r="V1670" s="65"/>
      <c r="W1670" s="65"/>
      <c r="X1670" s="65"/>
      <c r="Y1670" s="65"/>
      <c r="Z1670" s="65"/>
      <c r="AA1670" s="65"/>
      <c r="AB1670" s="65"/>
      <c r="AC1670" s="65"/>
    </row>
    <row r="1671">
      <c r="A1671" s="70">
        <v>116.0</v>
      </c>
      <c r="B1671" s="67" t="s">
        <v>4427</v>
      </c>
      <c r="C1671" s="70" t="s">
        <v>56</v>
      </c>
      <c r="D1671" s="70" t="s">
        <v>173</v>
      </c>
      <c r="E1671" s="70" t="s">
        <v>4428</v>
      </c>
      <c r="F1671" s="70" t="s">
        <v>4429</v>
      </c>
      <c r="G1671" s="70" t="s">
        <v>4430</v>
      </c>
      <c r="H1671" s="70" t="s">
        <v>4431</v>
      </c>
      <c r="I1671" s="70">
        <v>49.36</v>
      </c>
      <c r="J1671" s="70" t="s">
        <v>58</v>
      </c>
      <c r="K1671" s="65"/>
      <c r="L1671" s="65"/>
      <c r="M1671" s="65"/>
      <c r="N1671" s="65"/>
      <c r="O1671" s="65"/>
      <c r="P1671" s="65"/>
      <c r="Q1671" s="65"/>
      <c r="R1671" s="65"/>
      <c r="S1671" s="65"/>
      <c r="T1671" s="65"/>
      <c r="U1671" s="65"/>
      <c r="V1671" s="65"/>
      <c r="W1671" s="65"/>
      <c r="X1671" s="65"/>
      <c r="Y1671" s="65"/>
      <c r="Z1671" s="65"/>
      <c r="AA1671" s="65"/>
      <c r="AB1671" s="65"/>
      <c r="AC1671" s="65"/>
    </row>
    <row r="1672">
      <c r="A1672" s="70">
        <v>115.0</v>
      </c>
      <c r="B1672" s="67" t="s">
        <v>4432</v>
      </c>
      <c r="C1672" s="70" t="s">
        <v>60</v>
      </c>
      <c r="D1672" s="70" t="s">
        <v>161</v>
      </c>
      <c r="E1672" s="70" t="s">
        <v>4433</v>
      </c>
      <c r="F1672" s="70" t="s">
        <v>4434</v>
      </c>
      <c r="G1672" s="70" t="s">
        <v>4435</v>
      </c>
      <c r="H1672" s="70" t="s">
        <v>4436</v>
      </c>
      <c r="I1672" s="70">
        <v>39.86</v>
      </c>
      <c r="J1672" s="70" t="s">
        <v>58</v>
      </c>
      <c r="K1672" s="65"/>
      <c r="L1672" s="65"/>
      <c r="M1672" s="65"/>
      <c r="N1672" s="65"/>
      <c r="O1672" s="65"/>
      <c r="P1672" s="65"/>
      <c r="Q1672" s="65"/>
      <c r="R1672" s="65"/>
      <c r="S1672" s="65"/>
      <c r="T1672" s="65"/>
      <c r="U1672" s="65"/>
      <c r="V1672" s="65"/>
      <c r="W1672" s="65"/>
      <c r="X1672" s="65"/>
      <c r="Y1672" s="65"/>
      <c r="Z1672" s="65"/>
      <c r="AA1672" s="65"/>
      <c r="AB1672" s="65"/>
      <c r="AC1672" s="65"/>
    </row>
    <row r="1673">
      <c r="A1673" s="70">
        <v>114.0</v>
      </c>
      <c r="B1673" s="67" t="s">
        <v>4437</v>
      </c>
      <c r="C1673" s="70" t="s">
        <v>56</v>
      </c>
      <c r="D1673" s="70" t="s">
        <v>289</v>
      </c>
      <c r="E1673" s="70" t="s">
        <v>4438</v>
      </c>
      <c r="F1673" s="70" t="s">
        <v>2469</v>
      </c>
      <c r="G1673" s="70" t="s">
        <v>4439</v>
      </c>
      <c r="H1673" s="70" t="s">
        <v>4440</v>
      </c>
      <c r="I1673" s="70">
        <v>52.17</v>
      </c>
      <c r="J1673" s="70" t="s">
        <v>58</v>
      </c>
      <c r="K1673" s="65"/>
      <c r="L1673" s="65"/>
      <c r="M1673" s="65"/>
      <c r="N1673" s="65"/>
      <c r="O1673" s="65"/>
      <c r="P1673" s="65"/>
      <c r="Q1673" s="65"/>
      <c r="R1673" s="65"/>
      <c r="S1673" s="65"/>
      <c r="T1673" s="65"/>
      <c r="U1673" s="65"/>
      <c r="V1673" s="65"/>
      <c r="W1673" s="65"/>
      <c r="X1673" s="65"/>
      <c r="Y1673" s="65"/>
      <c r="Z1673" s="65"/>
      <c r="AA1673" s="65"/>
      <c r="AB1673" s="65"/>
      <c r="AC1673" s="65"/>
    </row>
    <row r="1674">
      <c r="A1674" s="70">
        <v>113.0</v>
      </c>
      <c r="B1674" s="67" t="s">
        <v>4441</v>
      </c>
      <c r="C1674" s="70" t="s">
        <v>56</v>
      </c>
      <c r="D1674" s="70" t="s">
        <v>289</v>
      </c>
      <c r="E1674" s="70" t="s">
        <v>4442</v>
      </c>
      <c r="F1674" s="70" t="s">
        <v>4443</v>
      </c>
      <c r="G1674" s="70" t="s">
        <v>4444</v>
      </c>
      <c r="H1674" s="70" t="s">
        <v>4445</v>
      </c>
      <c r="I1674" s="70">
        <v>49.3</v>
      </c>
      <c r="J1674" s="70" t="s">
        <v>58</v>
      </c>
      <c r="K1674" s="65"/>
      <c r="L1674" s="65"/>
      <c r="M1674" s="65"/>
      <c r="N1674" s="65"/>
      <c r="O1674" s="65"/>
      <c r="P1674" s="65"/>
      <c r="Q1674" s="65"/>
      <c r="R1674" s="65"/>
      <c r="S1674" s="65"/>
      <c r="T1674" s="65"/>
      <c r="U1674" s="65"/>
      <c r="V1674" s="65"/>
      <c r="W1674" s="65"/>
      <c r="X1674" s="65"/>
      <c r="Y1674" s="65"/>
      <c r="Z1674" s="65"/>
      <c r="AA1674" s="65"/>
      <c r="AB1674" s="65"/>
      <c r="AC1674" s="65"/>
    </row>
    <row r="1675">
      <c r="A1675" s="70">
        <v>112.0</v>
      </c>
      <c r="B1675" s="67" t="s">
        <v>4446</v>
      </c>
      <c r="C1675" s="70" t="s">
        <v>69</v>
      </c>
      <c r="D1675" s="70" t="s">
        <v>289</v>
      </c>
      <c r="E1675" s="70" t="s">
        <v>4447</v>
      </c>
      <c r="F1675" s="70" t="s">
        <v>4448</v>
      </c>
      <c r="G1675" s="70" t="s">
        <v>4449</v>
      </c>
      <c r="H1675" s="70" t="s">
        <v>4450</v>
      </c>
      <c r="I1675" s="70">
        <v>42.53</v>
      </c>
      <c r="J1675" s="70" t="s">
        <v>58</v>
      </c>
      <c r="K1675" s="65"/>
      <c r="L1675" s="65"/>
      <c r="M1675" s="65"/>
      <c r="N1675" s="65"/>
      <c r="O1675" s="65"/>
      <c r="P1675" s="65"/>
      <c r="Q1675" s="65"/>
      <c r="R1675" s="65"/>
      <c r="S1675" s="65"/>
      <c r="T1675" s="65"/>
      <c r="U1675" s="65"/>
      <c r="V1675" s="65"/>
      <c r="W1675" s="65"/>
      <c r="X1675" s="65"/>
      <c r="Y1675" s="65"/>
      <c r="Z1675" s="65"/>
      <c r="AA1675" s="65"/>
      <c r="AB1675" s="65"/>
      <c r="AC1675" s="65"/>
    </row>
    <row r="1676">
      <c r="A1676" s="70">
        <v>111.0</v>
      </c>
      <c r="B1676" s="67" t="s">
        <v>4451</v>
      </c>
      <c r="C1676" s="70" t="s">
        <v>69</v>
      </c>
      <c r="D1676" s="70" t="s">
        <v>173</v>
      </c>
      <c r="E1676" s="70" t="s">
        <v>4452</v>
      </c>
      <c r="F1676" s="70" t="s">
        <v>3119</v>
      </c>
      <c r="G1676" s="70" t="s">
        <v>4453</v>
      </c>
      <c r="H1676" s="70" t="s">
        <v>4454</v>
      </c>
      <c r="I1676" s="70">
        <v>39.67</v>
      </c>
      <c r="J1676" s="70" t="s">
        <v>58</v>
      </c>
      <c r="K1676" s="65"/>
      <c r="L1676" s="65"/>
      <c r="M1676" s="65"/>
      <c r="N1676" s="65"/>
      <c r="O1676" s="65"/>
      <c r="P1676" s="65"/>
      <c r="Q1676" s="65"/>
      <c r="R1676" s="65"/>
      <c r="S1676" s="65"/>
      <c r="T1676" s="65"/>
      <c r="U1676" s="65"/>
      <c r="V1676" s="65"/>
      <c r="W1676" s="65"/>
      <c r="X1676" s="65"/>
      <c r="Y1676" s="65"/>
      <c r="Z1676" s="65"/>
      <c r="AA1676" s="65"/>
      <c r="AB1676" s="65"/>
      <c r="AC1676" s="65"/>
    </row>
    <row r="1677">
      <c r="A1677" s="70">
        <v>110.0</v>
      </c>
      <c r="B1677" s="67" t="s">
        <v>4455</v>
      </c>
      <c r="C1677" s="70" t="s">
        <v>69</v>
      </c>
      <c r="D1677" s="70" t="s">
        <v>1960</v>
      </c>
      <c r="E1677" s="70" t="s">
        <v>4456</v>
      </c>
      <c r="F1677" s="70" t="s">
        <v>87</v>
      </c>
      <c r="G1677" s="70" t="s">
        <v>4457</v>
      </c>
      <c r="H1677" s="70" t="s">
        <v>4458</v>
      </c>
      <c r="I1677" s="70">
        <v>44.77</v>
      </c>
      <c r="J1677" s="70" t="s">
        <v>58</v>
      </c>
      <c r="K1677" s="65"/>
      <c r="L1677" s="65"/>
      <c r="M1677" s="65"/>
      <c r="N1677" s="65"/>
      <c r="O1677" s="65"/>
      <c r="P1677" s="65"/>
      <c r="Q1677" s="65"/>
      <c r="R1677" s="65"/>
      <c r="S1677" s="65"/>
      <c r="T1677" s="65"/>
      <c r="U1677" s="65"/>
      <c r="V1677" s="65"/>
      <c r="W1677" s="65"/>
      <c r="X1677" s="65"/>
      <c r="Y1677" s="65"/>
      <c r="Z1677" s="65"/>
      <c r="AA1677" s="65"/>
      <c r="AB1677" s="65"/>
      <c r="AC1677" s="65"/>
    </row>
    <row r="1678">
      <c r="A1678" s="70">
        <v>109.0</v>
      </c>
      <c r="B1678" s="67" t="s">
        <v>4459</v>
      </c>
      <c r="C1678" s="70" t="s">
        <v>56</v>
      </c>
      <c r="D1678" s="70" t="s">
        <v>3217</v>
      </c>
      <c r="E1678" s="70" t="s">
        <v>4460</v>
      </c>
      <c r="F1678" s="70" t="s">
        <v>4461</v>
      </c>
      <c r="G1678" s="70" t="s">
        <v>4462</v>
      </c>
      <c r="H1678" s="70" t="s">
        <v>4463</v>
      </c>
      <c r="I1678" s="70">
        <v>50.42</v>
      </c>
      <c r="J1678" s="70" t="s">
        <v>58</v>
      </c>
      <c r="K1678" s="65"/>
      <c r="L1678" s="65"/>
      <c r="M1678" s="65"/>
      <c r="N1678" s="65"/>
      <c r="O1678" s="65"/>
      <c r="P1678" s="65"/>
      <c r="Q1678" s="65"/>
      <c r="R1678" s="65"/>
      <c r="S1678" s="65"/>
      <c r="T1678" s="65"/>
      <c r="U1678" s="65"/>
      <c r="V1678" s="65"/>
      <c r="W1678" s="65"/>
      <c r="X1678" s="65"/>
      <c r="Y1678" s="65"/>
      <c r="Z1678" s="65"/>
      <c r="AA1678" s="65"/>
      <c r="AB1678" s="65"/>
      <c r="AC1678" s="65"/>
    </row>
    <row r="1679">
      <c r="A1679" s="70">
        <v>108.0</v>
      </c>
      <c r="B1679" s="67" t="s">
        <v>4464</v>
      </c>
      <c r="C1679" s="70" t="s">
        <v>69</v>
      </c>
      <c r="D1679" s="70" t="s">
        <v>289</v>
      </c>
      <c r="E1679" s="70" t="s">
        <v>4465</v>
      </c>
      <c r="F1679" s="70" t="s">
        <v>4466</v>
      </c>
      <c r="G1679" s="70" t="s">
        <v>4467</v>
      </c>
      <c r="H1679" s="70" t="s">
        <v>4468</v>
      </c>
      <c r="I1679" s="70">
        <v>60.66</v>
      </c>
      <c r="J1679" s="70" t="s">
        <v>58</v>
      </c>
      <c r="K1679" s="65"/>
      <c r="L1679" s="65"/>
      <c r="M1679" s="65"/>
      <c r="N1679" s="65"/>
      <c r="O1679" s="65"/>
      <c r="P1679" s="65"/>
      <c r="Q1679" s="65"/>
      <c r="R1679" s="65"/>
      <c r="S1679" s="65"/>
      <c r="T1679" s="65"/>
      <c r="U1679" s="65"/>
      <c r="V1679" s="65"/>
      <c r="W1679" s="65"/>
      <c r="X1679" s="65"/>
      <c r="Y1679" s="65"/>
      <c r="Z1679" s="65"/>
      <c r="AA1679" s="65"/>
      <c r="AB1679" s="65"/>
      <c r="AC1679" s="65"/>
    </row>
    <row r="1680">
      <c r="A1680" s="70">
        <v>107.0</v>
      </c>
      <c r="B1680" s="67" t="s">
        <v>4469</v>
      </c>
      <c r="C1680" s="70" t="s">
        <v>56</v>
      </c>
      <c r="D1680" s="70" t="s">
        <v>442</v>
      </c>
      <c r="E1680" s="70" t="s">
        <v>4470</v>
      </c>
      <c r="F1680" s="70" t="s">
        <v>346</v>
      </c>
      <c r="G1680" s="70" t="s">
        <v>4471</v>
      </c>
      <c r="H1680" s="70" t="s">
        <v>4472</v>
      </c>
      <c r="I1680" s="70">
        <v>55.34</v>
      </c>
      <c r="J1680" s="70" t="s">
        <v>58</v>
      </c>
      <c r="K1680" s="65"/>
      <c r="L1680" s="65"/>
      <c r="M1680" s="65"/>
      <c r="N1680" s="65"/>
      <c r="O1680" s="65"/>
      <c r="P1680" s="65"/>
      <c r="Q1680" s="65"/>
      <c r="R1680" s="65"/>
      <c r="S1680" s="65"/>
      <c r="T1680" s="65"/>
      <c r="U1680" s="65"/>
      <c r="V1680" s="65"/>
      <c r="W1680" s="65"/>
      <c r="X1680" s="65"/>
      <c r="Y1680" s="65"/>
      <c r="Z1680" s="65"/>
      <c r="AA1680" s="65"/>
      <c r="AB1680" s="65"/>
      <c r="AC1680" s="65"/>
    </row>
    <row r="1681">
      <c r="A1681" s="70">
        <v>106.0</v>
      </c>
      <c r="B1681" s="67" t="s">
        <v>4473</v>
      </c>
      <c r="C1681" s="70" t="s">
        <v>56</v>
      </c>
      <c r="D1681" s="70" t="s">
        <v>4474</v>
      </c>
      <c r="E1681" s="70" t="s">
        <v>4475</v>
      </c>
      <c r="F1681" s="70" t="s">
        <v>3686</v>
      </c>
      <c r="G1681" s="70" t="s">
        <v>739</v>
      </c>
      <c r="H1681" s="70" t="s">
        <v>4476</v>
      </c>
      <c r="I1681" s="70">
        <v>49.89</v>
      </c>
      <c r="J1681" s="70" t="s">
        <v>58</v>
      </c>
      <c r="K1681" s="65"/>
      <c r="L1681" s="65"/>
      <c r="M1681" s="65"/>
      <c r="N1681" s="65"/>
      <c r="O1681" s="65"/>
      <c r="P1681" s="65"/>
      <c r="Q1681" s="65"/>
      <c r="R1681" s="65"/>
      <c r="S1681" s="65"/>
      <c r="T1681" s="65"/>
      <c r="U1681" s="65"/>
      <c r="V1681" s="65"/>
      <c r="W1681" s="65"/>
      <c r="X1681" s="65"/>
      <c r="Y1681" s="65"/>
      <c r="Z1681" s="65"/>
      <c r="AA1681" s="65"/>
      <c r="AB1681" s="65"/>
      <c r="AC1681" s="65"/>
    </row>
    <row r="1682">
      <c r="A1682" s="70">
        <v>105.0</v>
      </c>
      <c r="B1682" s="67" t="s">
        <v>4477</v>
      </c>
      <c r="C1682" s="70" t="s">
        <v>56</v>
      </c>
      <c r="D1682" s="70" t="s">
        <v>4474</v>
      </c>
      <c r="E1682" s="70" t="s">
        <v>4478</v>
      </c>
      <c r="F1682" s="70" t="s">
        <v>4479</v>
      </c>
      <c r="G1682" s="70" t="s">
        <v>4480</v>
      </c>
      <c r="H1682" s="70" t="s">
        <v>4481</v>
      </c>
      <c r="I1682" s="70">
        <v>52.1</v>
      </c>
      <c r="J1682" s="70" t="s">
        <v>58</v>
      </c>
      <c r="K1682" s="65"/>
      <c r="L1682" s="65"/>
      <c r="M1682" s="65"/>
      <c r="N1682" s="65"/>
      <c r="O1682" s="65"/>
      <c r="P1682" s="65"/>
      <c r="Q1682" s="65"/>
      <c r="R1682" s="65"/>
      <c r="S1682" s="65"/>
      <c r="T1682" s="65"/>
      <c r="U1682" s="65"/>
      <c r="V1682" s="65"/>
      <c r="W1682" s="65"/>
      <c r="X1682" s="65"/>
      <c r="Y1682" s="65"/>
      <c r="Z1682" s="65"/>
      <c r="AA1682" s="65"/>
      <c r="AB1682" s="65"/>
      <c r="AC1682" s="65"/>
    </row>
    <row r="1683">
      <c r="A1683" s="70">
        <v>104.0</v>
      </c>
      <c r="B1683" s="67" t="s">
        <v>4482</v>
      </c>
      <c r="C1683" s="70" t="s">
        <v>69</v>
      </c>
      <c r="D1683" s="70" t="s">
        <v>1960</v>
      </c>
      <c r="E1683" s="70" t="s">
        <v>4483</v>
      </c>
      <c r="F1683" s="70" t="s">
        <v>4484</v>
      </c>
      <c r="G1683" s="70" t="s">
        <v>4485</v>
      </c>
      <c r="H1683" s="70" t="s">
        <v>4486</v>
      </c>
      <c r="I1683" s="70">
        <v>68.19</v>
      </c>
      <c r="J1683" s="70" t="s">
        <v>58</v>
      </c>
      <c r="K1683" s="65"/>
      <c r="L1683" s="65"/>
      <c r="M1683" s="65"/>
      <c r="N1683" s="65"/>
      <c r="O1683" s="65"/>
      <c r="P1683" s="65"/>
      <c r="Q1683" s="65"/>
      <c r="R1683" s="65"/>
      <c r="S1683" s="65"/>
      <c r="T1683" s="65"/>
      <c r="U1683" s="65"/>
      <c r="V1683" s="65"/>
      <c r="W1683" s="65"/>
      <c r="X1683" s="65"/>
      <c r="Y1683" s="65"/>
      <c r="Z1683" s="65"/>
      <c r="AA1683" s="65"/>
      <c r="AB1683" s="65"/>
      <c r="AC1683" s="65"/>
    </row>
    <row r="1684">
      <c r="A1684" s="70">
        <v>103.0</v>
      </c>
      <c r="B1684" s="67" t="s">
        <v>4487</v>
      </c>
      <c r="C1684" s="70" t="s">
        <v>56</v>
      </c>
      <c r="D1684" s="70" t="s">
        <v>4488</v>
      </c>
      <c r="E1684" s="70" t="s">
        <v>4489</v>
      </c>
      <c r="F1684" s="70" t="s">
        <v>4490</v>
      </c>
      <c r="G1684" s="70" t="s">
        <v>4491</v>
      </c>
      <c r="H1684" s="70" t="s">
        <v>4492</v>
      </c>
      <c r="I1684" s="70">
        <v>50.28</v>
      </c>
      <c r="J1684" s="70" t="s">
        <v>58</v>
      </c>
      <c r="K1684" s="65"/>
      <c r="L1684" s="65"/>
      <c r="M1684" s="65"/>
      <c r="N1684" s="65"/>
      <c r="O1684" s="65"/>
      <c r="P1684" s="65"/>
      <c r="Q1684" s="65"/>
      <c r="R1684" s="65"/>
      <c r="S1684" s="65"/>
      <c r="T1684" s="65"/>
      <c r="U1684" s="65"/>
      <c r="V1684" s="65"/>
      <c r="W1684" s="65"/>
      <c r="X1684" s="65"/>
      <c r="Y1684" s="65"/>
      <c r="Z1684" s="65"/>
      <c r="AA1684" s="65"/>
      <c r="AB1684" s="65"/>
      <c r="AC1684" s="65"/>
    </row>
    <row r="1685">
      <c r="A1685" s="70">
        <v>102.0</v>
      </c>
      <c r="B1685" s="67" t="s">
        <v>4493</v>
      </c>
      <c r="C1685" s="70" t="s">
        <v>56</v>
      </c>
      <c r="D1685" s="70" t="s">
        <v>442</v>
      </c>
      <c r="E1685" s="70" t="s">
        <v>4494</v>
      </c>
      <c r="F1685" s="70" t="s">
        <v>4495</v>
      </c>
      <c r="G1685" s="70" t="s">
        <v>4496</v>
      </c>
      <c r="H1685" s="70" t="s">
        <v>4497</v>
      </c>
      <c r="I1685" s="70">
        <v>56.8</v>
      </c>
      <c r="J1685" s="70" t="s">
        <v>58</v>
      </c>
      <c r="K1685" s="65"/>
      <c r="L1685" s="65"/>
      <c r="M1685" s="65"/>
      <c r="N1685" s="65"/>
      <c r="O1685" s="65"/>
      <c r="P1685" s="65"/>
      <c r="Q1685" s="65"/>
      <c r="R1685" s="65"/>
      <c r="S1685" s="65"/>
      <c r="T1685" s="65"/>
      <c r="U1685" s="65"/>
      <c r="V1685" s="65"/>
      <c r="W1685" s="65"/>
      <c r="X1685" s="65"/>
      <c r="Y1685" s="65"/>
      <c r="Z1685" s="65"/>
      <c r="AA1685" s="65"/>
      <c r="AB1685" s="65"/>
      <c r="AC1685" s="65"/>
    </row>
    <row r="1686">
      <c r="A1686" s="70">
        <v>101.0</v>
      </c>
      <c r="B1686" s="67" t="s">
        <v>4498</v>
      </c>
      <c r="C1686" s="70" t="s">
        <v>69</v>
      </c>
      <c r="D1686" s="70" t="s">
        <v>173</v>
      </c>
      <c r="E1686" s="70" t="s">
        <v>4499</v>
      </c>
      <c r="F1686" s="70" t="s">
        <v>4500</v>
      </c>
      <c r="G1686" s="70" t="s">
        <v>4501</v>
      </c>
      <c r="H1686" s="70" t="s">
        <v>4502</v>
      </c>
      <c r="I1686" s="70">
        <v>48.28</v>
      </c>
      <c r="J1686" s="70" t="s">
        <v>58</v>
      </c>
      <c r="K1686" s="65"/>
      <c r="L1686" s="65"/>
      <c r="M1686" s="65"/>
      <c r="N1686" s="65"/>
      <c r="O1686" s="65"/>
      <c r="P1686" s="65"/>
      <c r="Q1686" s="65"/>
      <c r="R1686" s="65"/>
      <c r="S1686" s="65"/>
      <c r="T1686" s="65"/>
      <c r="U1686" s="65"/>
      <c r="V1686" s="65"/>
      <c r="W1686" s="65"/>
      <c r="X1686" s="65"/>
      <c r="Y1686" s="65"/>
      <c r="Z1686" s="65"/>
      <c r="AA1686" s="65"/>
      <c r="AB1686" s="65"/>
      <c r="AC1686" s="65"/>
    </row>
    <row r="1687">
      <c r="A1687" s="70">
        <v>100.0</v>
      </c>
      <c r="B1687" s="67" t="s">
        <v>4503</v>
      </c>
      <c r="C1687" s="70" t="s">
        <v>69</v>
      </c>
      <c r="D1687" s="70" t="s">
        <v>289</v>
      </c>
      <c r="E1687" s="70" t="s">
        <v>4504</v>
      </c>
      <c r="F1687" s="70" t="s">
        <v>4505</v>
      </c>
      <c r="G1687" s="70" t="s">
        <v>4082</v>
      </c>
      <c r="H1687" s="70" t="s">
        <v>4506</v>
      </c>
      <c r="I1687" s="70">
        <v>54.18</v>
      </c>
      <c r="J1687" s="70" t="s">
        <v>58</v>
      </c>
      <c r="K1687" s="65"/>
      <c r="L1687" s="65"/>
      <c r="M1687" s="65"/>
      <c r="N1687" s="65"/>
      <c r="O1687" s="65"/>
      <c r="P1687" s="65"/>
      <c r="Q1687" s="65"/>
      <c r="R1687" s="65"/>
      <c r="S1687" s="65"/>
      <c r="T1687" s="65"/>
      <c r="U1687" s="65"/>
      <c r="V1687" s="65"/>
      <c r="W1687" s="65"/>
      <c r="X1687" s="65"/>
      <c r="Y1687" s="65"/>
      <c r="Z1687" s="65"/>
      <c r="AA1687" s="65"/>
      <c r="AB1687" s="65"/>
      <c r="AC1687" s="65"/>
    </row>
    <row r="1688">
      <c r="A1688" s="70">
        <v>99.0</v>
      </c>
      <c r="B1688" s="67" t="s">
        <v>4507</v>
      </c>
      <c r="C1688" s="70" t="s">
        <v>60</v>
      </c>
      <c r="D1688" s="70" t="s">
        <v>289</v>
      </c>
      <c r="E1688" s="70" t="s">
        <v>4508</v>
      </c>
      <c r="F1688" s="70" t="s">
        <v>4509</v>
      </c>
      <c r="G1688" s="70" t="s">
        <v>4510</v>
      </c>
      <c r="H1688" s="70" t="s">
        <v>4511</v>
      </c>
      <c r="I1688" s="70">
        <v>42.6</v>
      </c>
      <c r="J1688" s="70" t="s">
        <v>58</v>
      </c>
      <c r="K1688" s="65"/>
      <c r="L1688" s="65"/>
      <c r="M1688" s="65"/>
      <c r="N1688" s="65"/>
      <c r="O1688" s="65"/>
      <c r="P1688" s="65"/>
      <c r="Q1688" s="65"/>
      <c r="R1688" s="65"/>
      <c r="S1688" s="65"/>
      <c r="T1688" s="65"/>
      <c r="U1688" s="65"/>
      <c r="V1688" s="65"/>
      <c r="W1688" s="65"/>
      <c r="X1688" s="65"/>
      <c r="Y1688" s="65"/>
      <c r="Z1688" s="65"/>
      <c r="AA1688" s="65"/>
      <c r="AB1688" s="65"/>
      <c r="AC1688" s="65"/>
    </row>
    <row r="1689">
      <c r="A1689" s="70">
        <v>98.0</v>
      </c>
      <c r="B1689" s="67" t="s">
        <v>4512</v>
      </c>
      <c r="C1689" s="70" t="s">
        <v>56</v>
      </c>
      <c r="D1689" s="70" t="s">
        <v>1960</v>
      </c>
      <c r="E1689" s="70" t="s">
        <v>4513</v>
      </c>
      <c r="F1689" s="70" t="s">
        <v>4514</v>
      </c>
      <c r="G1689" s="70" t="s">
        <v>4515</v>
      </c>
      <c r="H1689" s="70" t="s">
        <v>4516</v>
      </c>
      <c r="I1689" s="70">
        <v>28.84</v>
      </c>
      <c r="J1689" s="70" t="s">
        <v>58</v>
      </c>
      <c r="K1689" s="65"/>
      <c r="L1689" s="65"/>
      <c r="M1689" s="65"/>
      <c r="N1689" s="65"/>
      <c r="O1689" s="65"/>
      <c r="P1689" s="65"/>
      <c r="Q1689" s="65"/>
      <c r="R1689" s="65"/>
      <c r="S1689" s="65"/>
      <c r="T1689" s="65"/>
      <c r="U1689" s="65"/>
      <c r="V1689" s="65"/>
      <c r="W1689" s="65"/>
      <c r="X1689" s="65"/>
      <c r="Y1689" s="65"/>
      <c r="Z1689" s="65"/>
      <c r="AA1689" s="65"/>
      <c r="AB1689" s="65"/>
      <c r="AC1689" s="65"/>
    </row>
    <row r="1690">
      <c r="A1690" s="70">
        <v>97.0</v>
      </c>
      <c r="B1690" s="67" t="s">
        <v>4517</v>
      </c>
      <c r="C1690" s="70" t="s">
        <v>60</v>
      </c>
      <c r="D1690" s="70" t="s">
        <v>161</v>
      </c>
      <c r="E1690" s="70" t="s">
        <v>4518</v>
      </c>
      <c r="F1690" s="70" t="s">
        <v>67</v>
      </c>
      <c r="G1690" s="70" t="s">
        <v>4519</v>
      </c>
      <c r="H1690" s="70" t="s">
        <v>4520</v>
      </c>
      <c r="I1690" s="70">
        <v>32.65</v>
      </c>
      <c r="J1690" s="70" t="s">
        <v>58</v>
      </c>
      <c r="K1690" s="65"/>
      <c r="L1690" s="65"/>
      <c r="M1690" s="65"/>
      <c r="N1690" s="65"/>
      <c r="O1690" s="65"/>
      <c r="P1690" s="65"/>
      <c r="Q1690" s="65"/>
      <c r="R1690" s="65"/>
      <c r="S1690" s="65"/>
      <c r="T1690" s="65"/>
      <c r="U1690" s="65"/>
      <c r="V1690" s="65"/>
      <c r="W1690" s="65"/>
      <c r="X1690" s="65"/>
      <c r="Y1690" s="65"/>
      <c r="Z1690" s="65"/>
      <c r="AA1690" s="65"/>
      <c r="AB1690" s="65"/>
      <c r="AC1690" s="65"/>
    </row>
    <row r="1691">
      <c r="A1691" s="70">
        <v>96.0</v>
      </c>
      <c r="B1691" s="67" t="s">
        <v>4521</v>
      </c>
      <c r="C1691" s="70" t="s">
        <v>56</v>
      </c>
      <c r="D1691" s="70" t="s">
        <v>846</v>
      </c>
      <c r="E1691" s="70" t="s">
        <v>4522</v>
      </c>
      <c r="F1691" s="70" t="s">
        <v>3686</v>
      </c>
      <c r="G1691" s="70" t="s">
        <v>4523</v>
      </c>
      <c r="H1691" s="70" t="s">
        <v>4524</v>
      </c>
      <c r="I1691" s="70">
        <v>54.55</v>
      </c>
      <c r="J1691" s="70" t="s">
        <v>58</v>
      </c>
      <c r="K1691" s="65"/>
      <c r="L1691" s="65"/>
      <c r="M1691" s="65"/>
      <c r="N1691" s="65"/>
      <c r="O1691" s="65"/>
      <c r="P1691" s="65"/>
      <c r="Q1691" s="65"/>
      <c r="R1691" s="65"/>
      <c r="S1691" s="65"/>
      <c r="T1691" s="65"/>
      <c r="U1691" s="65"/>
      <c r="V1691" s="65"/>
      <c r="W1691" s="65"/>
      <c r="X1691" s="65"/>
      <c r="Y1691" s="65"/>
      <c r="Z1691" s="65"/>
      <c r="AA1691" s="65"/>
      <c r="AB1691" s="65"/>
      <c r="AC1691" s="65"/>
    </row>
    <row r="1692">
      <c r="A1692" s="70">
        <v>95.0</v>
      </c>
      <c r="B1692" s="67" t="s">
        <v>4525</v>
      </c>
      <c r="C1692" s="70" t="s">
        <v>56</v>
      </c>
      <c r="D1692" s="70" t="s">
        <v>846</v>
      </c>
      <c r="E1692" s="70" t="s">
        <v>4526</v>
      </c>
      <c r="F1692" s="70" t="s">
        <v>87</v>
      </c>
      <c r="G1692" s="70" t="s">
        <v>87</v>
      </c>
      <c r="H1692" s="70" t="s">
        <v>4527</v>
      </c>
      <c r="I1692" s="70">
        <v>42.8</v>
      </c>
      <c r="J1692" s="70" t="s">
        <v>58</v>
      </c>
      <c r="K1692" s="65"/>
      <c r="L1692" s="65"/>
      <c r="M1692" s="65"/>
      <c r="N1692" s="65"/>
      <c r="O1692" s="65"/>
      <c r="P1692" s="65"/>
      <c r="Q1692" s="65"/>
      <c r="R1692" s="65"/>
      <c r="S1692" s="65"/>
      <c r="T1692" s="65"/>
      <c r="U1692" s="65"/>
      <c r="V1692" s="65"/>
      <c r="W1692" s="65"/>
      <c r="X1692" s="65"/>
      <c r="Y1692" s="65"/>
      <c r="Z1692" s="65"/>
      <c r="AA1692" s="65"/>
      <c r="AB1692" s="65"/>
      <c r="AC1692" s="65"/>
    </row>
    <row r="1693">
      <c r="A1693" s="70">
        <v>94.0</v>
      </c>
      <c r="B1693" s="67" t="s">
        <v>4528</v>
      </c>
      <c r="C1693" s="70" t="s">
        <v>56</v>
      </c>
      <c r="D1693" s="70" t="s">
        <v>4529</v>
      </c>
      <c r="E1693" s="70" t="s">
        <v>4530</v>
      </c>
      <c r="F1693" s="70" t="s">
        <v>4531</v>
      </c>
      <c r="G1693" s="70" t="s">
        <v>4532</v>
      </c>
      <c r="H1693" s="70" t="s">
        <v>4533</v>
      </c>
      <c r="I1693" s="70">
        <v>66.07</v>
      </c>
      <c r="J1693" s="70" t="s">
        <v>58</v>
      </c>
      <c r="K1693" s="65"/>
      <c r="L1693" s="65"/>
      <c r="M1693" s="65"/>
      <c r="N1693" s="65"/>
      <c r="O1693" s="65"/>
      <c r="P1693" s="65"/>
      <c r="Q1693" s="65"/>
      <c r="R1693" s="65"/>
      <c r="S1693" s="65"/>
      <c r="T1693" s="65"/>
      <c r="U1693" s="65"/>
      <c r="V1693" s="65"/>
      <c r="W1693" s="65"/>
      <c r="X1693" s="65"/>
      <c r="Y1693" s="65"/>
      <c r="Z1693" s="65"/>
      <c r="AA1693" s="65"/>
      <c r="AB1693" s="65"/>
      <c r="AC1693" s="65"/>
    </row>
    <row r="1694">
      <c r="A1694" s="70">
        <v>93.0</v>
      </c>
      <c r="B1694" s="67" t="s">
        <v>4534</v>
      </c>
      <c r="C1694" s="70" t="s">
        <v>56</v>
      </c>
      <c r="D1694" s="70" t="s">
        <v>4535</v>
      </c>
      <c r="E1694" s="70" t="s">
        <v>4536</v>
      </c>
      <c r="F1694" s="70" t="s">
        <v>778</v>
      </c>
      <c r="G1694" s="70" t="s">
        <v>4537</v>
      </c>
      <c r="H1694" s="70" t="s">
        <v>4538</v>
      </c>
      <c r="I1694" s="70">
        <v>37.72</v>
      </c>
      <c r="J1694" s="70" t="s">
        <v>58</v>
      </c>
      <c r="K1694" s="65"/>
      <c r="L1694" s="65"/>
      <c r="M1694" s="65"/>
      <c r="N1694" s="65"/>
      <c r="O1694" s="65"/>
      <c r="P1694" s="65"/>
      <c r="Q1694" s="65"/>
      <c r="R1694" s="65"/>
      <c r="S1694" s="65"/>
      <c r="T1694" s="65"/>
      <c r="U1694" s="65"/>
      <c r="V1694" s="65"/>
      <c r="W1694" s="65"/>
      <c r="X1694" s="65"/>
      <c r="Y1694" s="65"/>
      <c r="Z1694" s="65"/>
      <c r="AA1694" s="65"/>
      <c r="AB1694" s="65"/>
      <c r="AC1694" s="65"/>
    </row>
    <row r="1695">
      <c r="A1695" s="70">
        <v>92.0</v>
      </c>
      <c r="B1695" s="67" t="s">
        <v>4539</v>
      </c>
      <c r="C1695" s="70" t="s">
        <v>56</v>
      </c>
      <c r="D1695" s="70" t="s">
        <v>206</v>
      </c>
      <c r="E1695" s="70" t="s">
        <v>4540</v>
      </c>
      <c r="F1695" s="70" t="s">
        <v>4541</v>
      </c>
      <c r="G1695" s="70" t="s">
        <v>4542</v>
      </c>
      <c r="H1695" s="70" t="s">
        <v>4542</v>
      </c>
      <c r="I1695" s="70">
        <v>40.71</v>
      </c>
      <c r="J1695" s="70" t="s">
        <v>58</v>
      </c>
      <c r="K1695" s="65"/>
      <c r="L1695" s="65"/>
      <c r="M1695" s="65"/>
      <c r="N1695" s="65"/>
      <c r="O1695" s="65"/>
      <c r="P1695" s="65"/>
      <c r="Q1695" s="65"/>
      <c r="R1695" s="65"/>
      <c r="S1695" s="65"/>
      <c r="T1695" s="65"/>
      <c r="U1695" s="65"/>
      <c r="V1695" s="65"/>
      <c r="W1695" s="65"/>
      <c r="X1695" s="65"/>
      <c r="Y1695" s="65"/>
      <c r="Z1695" s="65"/>
      <c r="AA1695" s="65"/>
      <c r="AB1695" s="65"/>
      <c r="AC1695" s="65"/>
    </row>
    <row r="1696">
      <c r="A1696" s="70">
        <v>91.0</v>
      </c>
      <c r="B1696" s="67" t="s">
        <v>4543</v>
      </c>
      <c r="C1696" s="70" t="s">
        <v>56</v>
      </c>
      <c r="D1696" s="70" t="s">
        <v>161</v>
      </c>
      <c r="E1696" s="70" t="s">
        <v>4544</v>
      </c>
      <c r="F1696" s="70" t="s">
        <v>4545</v>
      </c>
      <c r="G1696" s="70" t="s">
        <v>4546</v>
      </c>
      <c r="H1696" s="70" t="s">
        <v>4547</v>
      </c>
      <c r="I1696" s="70">
        <v>26.73</v>
      </c>
      <c r="J1696" s="70" t="s">
        <v>58</v>
      </c>
      <c r="K1696" s="65"/>
      <c r="L1696" s="65"/>
      <c r="M1696" s="65"/>
      <c r="N1696" s="65"/>
      <c r="O1696" s="65"/>
      <c r="P1696" s="65"/>
      <c r="Q1696" s="65"/>
      <c r="R1696" s="65"/>
      <c r="S1696" s="65"/>
      <c r="T1696" s="65"/>
      <c r="U1696" s="65"/>
      <c r="V1696" s="65"/>
      <c r="W1696" s="65"/>
      <c r="X1696" s="65"/>
      <c r="Y1696" s="65"/>
      <c r="Z1696" s="65"/>
      <c r="AA1696" s="65"/>
      <c r="AB1696" s="65"/>
      <c r="AC1696" s="65"/>
    </row>
    <row r="1697">
      <c r="A1697" s="70">
        <v>90.0</v>
      </c>
      <c r="B1697" s="67" t="s">
        <v>4548</v>
      </c>
      <c r="C1697" s="70" t="s">
        <v>56</v>
      </c>
      <c r="D1697" s="70" t="s">
        <v>4016</v>
      </c>
      <c r="E1697" s="70" t="s">
        <v>4549</v>
      </c>
      <c r="F1697" s="70" t="s">
        <v>4550</v>
      </c>
      <c r="G1697" s="70" t="s">
        <v>4551</v>
      </c>
      <c r="H1697" s="70" t="s">
        <v>4552</v>
      </c>
      <c r="I1697" s="70">
        <v>48.99</v>
      </c>
      <c r="J1697" s="70" t="s">
        <v>58</v>
      </c>
      <c r="K1697" s="65"/>
      <c r="L1697" s="65"/>
      <c r="M1697" s="65"/>
      <c r="N1697" s="65"/>
      <c r="O1697" s="65"/>
      <c r="P1697" s="65"/>
      <c r="Q1697" s="65"/>
      <c r="R1697" s="65"/>
      <c r="S1697" s="65"/>
      <c r="T1697" s="65"/>
      <c r="U1697" s="65"/>
      <c r="V1697" s="65"/>
      <c r="W1697" s="65"/>
      <c r="X1697" s="65"/>
      <c r="Y1697" s="65"/>
      <c r="Z1697" s="65"/>
      <c r="AA1697" s="65"/>
      <c r="AB1697" s="65"/>
      <c r="AC1697" s="65"/>
    </row>
    <row r="1698">
      <c r="A1698" s="70">
        <v>89.0</v>
      </c>
      <c r="B1698" s="67" t="s">
        <v>4553</v>
      </c>
      <c r="C1698" s="70" t="s">
        <v>56</v>
      </c>
      <c r="D1698" s="70" t="s">
        <v>271</v>
      </c>
      <c r="E1698" s="70" t="s">
        <v>411</v>
      </c>
      <c r="F1698" s="73"/>
      <c r="G1698" s="70" t="s">
        <v>67</v>
      </c>
      <c r="H1698" s="70" t="s">
        <v>411</v>
      </c>
      <c r="I1698" s="70">
        <v>50.54</v>
      </c>
      <c r="J1698" s="70" t="s">
        <v>58</v>
      </c>
      <c r="K1698" s="65"/>
      <c r="L1698" s="65"/>
      <c r="M1698" s="65"/>
      <c r="N1698" s="65"/>
      <c r="O1698" s="65"/>
      <c r="P1698" s="65"/>
      <c r="Q1698" s="65"/>
      <c r="R1698" s="65"/>
      <c r="S1698" s="65"/>
      <c r="T1698" s="65"/>
      <c r="U1698" s="65"/>
      <c r="V1698" s="65"/>
      <c r="W1698" s="65"/>
      <c r="X1698" s="65"/>
      <c r="Y1698" s="65"/>
      <c r="Z1698" s="65"/>
      <c r="AA1698" s="65"/>
      <c r="AB1698" s="65"/>
      <c r="AC1698" s="65"/>
    </row>
    <row r="1699">
      <c r="A1699" s="70">
        <v>88.0</v>
      </c>
      <c r="B1699" s="67" t="s">
        <v>4554</v>
      </c>
      <c r="C1699" s="70" t="s">
        <v>69</v>
      </c>
      <c r="D1699" s="70" t="s">
        <v>1755</v>
      </c>
      <c r="E1699" s="70" t="s">
        <v>4555</v>
      </c>
      <c r="F1699" s="70" t="s">
        <v>4556</v>
      </c>
      <c r="G1699" s="70" t="s">
        <v>4557</v>
      </c>
      <c r="H1699" s="70" t="s">
        <v>4558</v>
      </c>
      <c r="I1699" s="70">
        <v>40.79</v>
      </c>
      <c r="J1699" s="70" t="s">
        <v>58</v>
      </c>
      <c r="K1699" s="65"/>
      <c r="L1699" s="65"/>
      <c r="M1699" s="65"/>
      <c r="N1699" s="65"/>
      <c r="O1699" s="65"/>
      <c r="P1699" s="65"/>
      <c r="Q1699" s="65"/>
      <c r="R1699" s="65"/>
      <c r="S1699" s="65"/>
      <c r="T1699" s="65"/>
      <c r="U1699" s="65"/>
      <c r="V1699" s="65"/>
      <c r="W1699" s="65"/>
      <c r="X1699" s="65"/>
      <c r="Y1699" s="65"/>
      <c r="Z1699" s="65"/>
      <c r="AA1699" s="65"/>
      <c r="AB1699" s="65"/>
      <c r="AC1699" s="65"/>
    </row>
    <row r="1700">
      <c r="A1700" s="70">
        <v>87.0</v>
      </c>
      <c r="B1700" s="67" t="s">
        <v>4559</v>
      </c>
      <c r="C1700" s="70" t="s">
        <v>60</v>
      </c>
      <c r="D1700" s="70" t="s">
        <v>161</v>
      </c>
      <c r="E1700" s="70" t="s">
        <v>3380</v>
      </c>
      <c r="F1700" s="73"/>
      <c r="G1700" s="70" t="s">
        <v>579</v>
      </c>
      <c r="H1700" s="70" t="s">
        <v>896</v>
      </c>
      <c r="I1700" s="70">
        <v>34.77</v>
      </c>
      <c r="J1700" s="70" t="s">
        <v>58</v>
      </c>
      <c r="K1700" s="65"/>
      <c r="L1700" s="65"/>
      <c r="M1700" s="65"/>
      <c r="N1700" s="65"/>
      <c r="O1700" s="65"/>
      <c r="P1700" s="65"/>
      <c r="Q1700" s="65"/>
      <c r="R1700" s="65"/>
      <c r="S1700" s="65"/>
      <c r="T1700" s="65"/>
      <c r="U1700" s="65"/>
      <c r="V1700" s="65"/>
      <c r="W1700" s="65"/>
      <c r="X1700" s="65"/>
      <c r="Y1700" s="65"/>
      <c r="Z1700" s="65"/>
      <c r="AA1700" s="65"/>
      <c r="AB1700" s="65"/>
      <c r="AC1700" s="65"/>
    </row>
    <row r="1701">
      <c r="A1701" s="70">
        <v>86.0</v>
      </c>
      <c r="B1701" s="67" t="s">
        <v>4560</v>
      </c>
      <c r="C1701" s="70" t="s">
        <v>56</v>
      </c>
      <c r="D1701" s="70" t="s">
        <v>3933</v>
      </c>
      <c r="E1701" s="70" t="s">
        <v>4561</v>
      </c>
      <c r="F1701" s="70" t="s">
        <v>4562</v>
      </c>
      <c r="G1701" s="70" t="s">
        <v>4562</v>
      </c>
      <c r="H1701" s="70" t="s">
        <v>4562</v>
      </c>
      <c r="I1701" s="70">
        <v>43.58</v>
      </c>
      <c r="J1701" s="70" t="s">
        <v>58</v>
      </c>
      <c r="K1701" s="65"/>
      <c r="L1701" s="65"/>
      <c r="M1701" s="65"/>
      <c r="N1701" s="65"/>
      <c r="O1701" s="65"/>
      <c r="P1701" s="65"/>
      <c r="Q1701" s="65"/>
      <c r="R1701" s="65"/>
      <c r="S1701" s="65"/>
      <c r="T1701" s="65"/>
      <c r="U1701" s="65"/>
      <c r="V1701" s="65"/>
      <c r="W1701" s="65"/>
      <c r="X1701" s="65"/>
      <c r="Y1701" s="65"/>
      <c r="Z1701" s="65"/>
      <c r="AA1701" s="65"/>
      <c r="AB1701" s="65"/>
      <c r="AC1701" s="65"/>
    </row>
    <row r="1702">
      <c r="A1702" s="70">
        <v>85.0</v>
      </c>
      <c r="B1702" s="67" t="s">
        <v>4563</v>
      </c>
      <c r="C1702" s="70" t="s">
        <v>60</v>
      </c>
      <c r="D1702" s="70" t="s">
        <v>4564</v>
      </c>
      <c r="E1702" s="70" t="s">
        <v>4565</v>
      </c>
      <c r="F1702" s="70" t="s">
        <v>4566</v>
      </c>
      <c r="G1702" s="70" t="s">
        <v>4567</v>
      </c>
      <c r="H1702" s="70" t="s">
        <v>4568</v>
      </c>
      <c r="I1702" s="70">
        <v>39.59</v>
      </c>
      <c r="J1702" s="70" t="s">
        <v>58</v>
      </c>
      <c r="K1702" s="65"/>
      <c r="L1702" s="65"/>
      <c r="M1702" s="65"/>
      <c r="N1702" s="65"/>
      <c r="O1702" s="65"/>
      <c r="P1702" s="65"/>
      <c r="Q1702" s="65"/>
      <c r="R1702" s="65"/>
      <c r="S1702" s="65"/>
      <c r="T1702" s="65"/>
      <c r="U1702" s="65"/>
      <c r="V1702" s="65"/>
      <c r="W1702" s="65"/>
      <c r="X1702" s="65"/>
      <c r="Y1702" s="65"/>
      <c r="Z1702" s="65"/>
      <c r="AA1702" s="65"/>
      <c r="AB1702" s="65"/>
      <c r="AC1702" s="65"/>
    </row>
    <row r="1703">
      <c r="A1703" s="70">
        <v>84.0</v>
      </c>
      <c r="B1703" s="67" t="s">
        <v>4569</v>
      </c>
      <c r="C1703" s="70" t="s">
        <v>60</v>
      </c>
      <c r="D1703" s="70" t="s">
        <v>1935</v>
      </c>
      <c r="E1703" s="70" t="s">
        <v>4570</v>
      </c>
      <c r="F1703" s="70" t="s">
        <v>4571</v>
      </c>
      <c r="G1703" s="70" t="s">
        <v>4572</v>
      </c>
      <c r="H1703" s="70" t="s">
        <v>4573</v>
      </c>
      <c r="I1703" s="70">
        <v>37.28</v>
      </c>
      <c r="J1703" s="70" t="s">
        <v>58</v>
      </c>
      <c r="K1703" s="65"/>
      <c r="L1703" s="65"/>
      <c r="M1703" s="65"/>
      <c r="N1703" s="65"/>
      <c r="O1703" s="65"/>
      <c r="P1703" s="65"/>
      <c r="Q1703" s="65"/>
      <c r="R1703" s="65"/>
      <c r="S1703" s="65"/>
      <c r="T1703" s="65"/>
      <c r="U1703" s="65"/>
      <c r="V1703" s="65"/>
      <c r="W1703" s="65"/>
      <c r="X1703" s="65"/>
      <c r="Y1703" s="65"/>
      <c r="Z1703" s="65"/>
      <c r="AA1703" s="65"/>
      <c r="AB1703" s="65"/>
      <c r="AC1703" s="65"/>
    </row>
    <row r="1704">
      <c r="A1704" s="70">
        <v>83.0</v>
      </c>
      <c r="B1704" s="67" t="s">
        <v>4574</v>
      </c>
      <c r="C1704" s="70" t="s">
        <v>69</v>
      </c>
      <c r="D1704" s="70" t="s">
        <v>206</v>
      </c>
      <c r="E1704" s="70" t="s">
        <v>4575</v>
      </c>
      <c r="F1704" s="70" t="s">
        <v>4576</v>
      </c>
      <c r="G1704" s="70" t="s">
        <v>4577</v>
      </c>
      <c r="H1704" s="70" t="s">
        <v>4578</v>
      </c>
      <c r="I1704" s="70">
        <v>46.61</v>
      </c>
      <c r="J1704" s="70" t="s">
        <v>58</v>
      </c>
      <c r="K1704" s="65"/>
      <c r="L1704" s="65"/>
      <c r="M1704" s="65"/>
      <c r="N1704" s="65"/>
      <c r="O1704" s="65"/>
      <c r="P1704" s="65"/>
      <c r="Q1704" s="65"/>
      <c r="R1704" s="65"/>
      <c r="S1704" s="65"/>
      <c r="T1704" s="65"/>
      <c r="U1704" s="65"/>
      <c r="V1704" s="65"/>
      <c r="W1704" s="65"/>
      <c r="X1704" s="65"/>
      <c r="Y1704" s="65"/>
      <c r="Z1704" s="65"/>
      <c r="AA1704" s="65"/>
      <c r="AB1704" s="65"/>
      <c r="AC1704" s="65"/>
    </row>
    <row r="1705">
      <c r="A1705" s="70">
        <v>82.0</v>
      </c>
      <c r="B1705" s="67" t="s">
        <v>4579</v>
      </c>
      <c r="C1705" s="70" t="s">
        <v>56</v>
      </c>
      <c r="D1705" s="70" t="s">
        <v>206</v>
      </c>
      <c r="E1705" s="70" t="s">
        <v>4580</v>
      </c>
      <c r="F1705" s="70" t="s">
        <v>636</v>
      </c>
      <c r="G1705" s="70" t="s">
        <v>4581</v>
      </c>
      <c r="H1705" s="70" t="s">
        <v>4582</v>
      </c>
      <c r="I1705" s="70">
        <v>39.37</v>
      </c>
      <c r="J1705" s="70" t="s">
        <v>58</v>
      </c>
      <c r="K1705" s="65"/>
      <c r="L1705" s="65"/>
      <c r="M1705" s="65"/>
      <c r="N1705" s="65"/>
      <c r="O1705" s="65"/>
      <c r="P1705" s="65"/>
      <c r="Q1705" s="65"/>
      <c r="R1705" s="65"/>
      <c r="S1705" s="65"/>
      <c r="T1705" s="65"/>
      <c r="U1705" s="65"/>
      <c r="V1705" s="65"/>
      <c r="W1705" s="65"/>
      <c r="X1705" s="65"/>
      <c r="Y1705" s="65"/>
      <c r="Z1705" s="65"/>
      <c r="AA1705" s="65"/>
      <c r="AB1705" s="65"/>
      <c r="AC1705" s="65"/>
    </row>
    <row r="1706">
      <c r="A1706" s="70">
        <v>81.0</v>
      </c>
      <c r="B1706" s="67" t="s">
        <v>4583</v>
      </c>
      <c r="C1706" s="70" t="s">
        <v>56</v>
      </c>
      <c r="D1706" s="70" t="s">
        <v>484</v>
      </c>
      <c r="E1706" s="70" t="s">
        <v>4584</v>
      </c>
      <c r="F1706" s="70" t="s">
        <v>64</v>
      </c>
      <c r="G1706" s="70" t="s">
        <v>4585</v>
      </c>
      <c r="H1706" s="70" t="s">
        <v>4586</v>
      </c>
      <c r="I1706" s="70">
        <v>33.61</v>
      </c>
      <c r="J1706" s="70" t="s">
        <v>58</v>
      </c>
      <c r="K1706" s="65"/>
      <c r="L1706" s="65"/>
      <c r="M1706" s="65"/>
      <c r="N1706" s="65"/>
      <c r="O1706" s="65"/>
      <c r="P1706" s="65"/>
      <c r="Q1706" s="65"/>
      <c r="R1706" s="65"/>
      <c r="S1706" s="65"/>
      <c r="T1706" s="65"/>
      <c r="U1706" s="65"/>
      <c r="V1706" s="65"/>
      <c r="W1706" s="65"/>
      <c r="X1706" s="65"/>
      <c r="Y1706" s="65"/>
      <c r="Z1706" s="65"/>
      <c r="AA1706" s="65"/>
      <c r="AB1706" s="65"/>
      <c r="AC1706" s="65"/>
    </row>
    <row r="1707">
      <c r="A1707" s="70">
        <v>80.0</v>
      </c>
      <c r="B1707" s="67" t="s">
        <v>4587</v>
      </c>
      <c r="C1707" s="70" t="s">
        <v>56</v>
      </c>
      <c r="D1707" s="70" t="s">
        <v>1755</v>
      </c>
      <c r="E1707" s="70" t="s">
        <v>4588</v>
      </c>
      <c r="F1707" s="70" t="s">
        <v>67</v>
      </c>
      <c r="G1707" s="70" t="s">
        <v>242</v>
      </c>
      <c r="H1707" s="70" t="s">
        <v>4589</v>
      </c>
      <c r="I1707" s="70">
        <v>46.23</v>
      </c>
      <c r="J1707" s="70" t="s">
        <v>58</v>
      </c>
      <c r="K1707" s="65"/>
      <c r="L1707" s="65"/>
      <c r="M1707" s="65"/>
      <c r="N1707" s="65"/>
      <c r="O1707" s="65"/>
      <c r="P1707" s="65"/>
      <c r="Q1707" s="65"/>
      <c r="R1707" s="65"/>
      <c r="S1707" s="65"/>
      <c r="T1707" s="65"/>
      <c r="U1707" s="65"/>
      <c r="V1707" s="65"/>
      <c r="W1707" s="65"/>
      <c r="X1707" s="65"/>
      <c r="Y1707" s="65"/>
      <c r="Z1707" s="65"/>
      <c r="AA1707" s="65"/>
      <c r="AB1707" s="65"/>
      <c r="AC1707" s="65"/>
    </row>
    <row r="1708">
      <c r="A1708" s="70">
        <v>79.0</v>
      </c>
      <c r="B1708" s="67" t="s">
        <v>4590</v>
      </c>
      <c r="C1708" s="70" t="s">
        <v>56</v>
      </c>
      <c r="D1708" s="70" t="s">
        <v>4016</v>
      </c>
      <c r="E1708" s="70" t="s">
        <v>4591</v>
      </c>
      <c r="F1708" s="70" t="s">
        <v>4592</v>
      </c>
      <c r="G1708" s="70" t="s">
        <v>4593</v>
      </c>
      <c r="H1708" s="70" t="s">
        <v>4594</v>
      </c>
      <c r="I1708" s="70">
        <v>37.0</v>
      </c>
      <c r="J1708" s="70" t="s">
        <v>58</v>
      </c>
      <c r="K1708" s="65"/>
      <c r="L1708" s="65"/>
      <c r="M1708" s="65"/>
      <c r="N1708" s="65"/>
      <c r="O1708" s="65"/>
      <c r="P1708" s="65"/>
      <c r="Q1708" s="65"/>
      <c r="R1708" s="65"/>
      <c r="S1708" s="65"/>
      <c r="T1708" s="65"/>
      <c r="U1708" s="65"/>
      <c r="V1708" s="65"/>
      <c r="W1708" s="65"/>
      <c r="X1708" s="65"/>
      <c r="Y1708" s="65"/>
      <c r="Z1708" s="65"/>
      <c r="AA1708" s="65"/>
      <c r="AB1708" s="65"/>
      <c r="AC1708" s="65"/>
    </row>
    <row r="1709">
      <c r="A1709" s="70">
        <v>78.0</v>
      </c>
      <c r="B1709" s="67" t="s">
        <v>4595</v>
      </c>
      <c r="C1709" s="70" t="s">
        <v>56</v>
      </c>
      <c r="D1709" s="70" t="s">
        <v>4596</v>
      </c>
      <c r="E1709" s="70" t="s">
        <v>4597</v>
      </c>
      <c r="F1709" s="70" t="s">
        <v>4598</v>
      </c>
      <c r="G1709" s="70" t="s">
        <v>4599</v>
      </c>
      <c r="H1709" s="70" t="s">
        <v>4600</v>
      </c>
      <c r="I1709" s="70">
        <v>65.37</v>
      </c>
      <c r="J1709" s="70" t="s">
        <v>58</v>
      </c>
      <c r="K1709" s="65"/>
      <c r="L1709" s="65"/>
      <c r="M1709" s="65"/>
      <c r="N1709" s="65"/>
      <c r="O1709" s="65"/>
      <c r="P1709" s="65"/>
      <c r="Q1709" s="65"/>
      <c r="R1709" s="65"/>
      <c r="S1709" s="65"/>
      <c r="T1709" s="65"/>
      <c r="U1709" s="65"/>
      <c r="V1709" s="65"/>
      <c r="W1709" s="65"/>
      <c r="X1709" s="65"/>
      <c r="Y1709" s="65"/>
      <c r="Z1709" s="65"/>
      <c r="AA1709" s="65"/>
      <c r="AB1709" s="65"/>
      <c r="AC1709" s="65"/>
    </row>
    <row r="1710">
      <c r="A1710" s="70">
        <v>77.0</v>
      </c>
      <c r="B1710" s="67" t="s">
        <v>4601</v>
      </c>
      <c r="C1710" s="70" t="s">
        <v>56</v>
      </c>
      <c r="D1710" s="70" t="s">
        <v>271</v>
      </c>
      <c r="E1710" s="70" t="s">
        <v>4602</v>
      </c>
      <c r="F1710" s="70" t="s">
        <v>71</v>
      </c>
      <c r="G1710" s="70" t="s">
        <v>4603</v>
      </c>
      <c r="H1710" s="70" t="s">
        <v>4604</v>
      </c>
      <c r="I1710" s="70">
        <v>57.72</v>
      </c>
      <c r="J1710" s="70" t="s">
        <v>58</v>
      </c>
      <c r="K1710" s="65"/>
      <c r="L1710" s="65"/>
      <c r="M1710" s="65"/>
      <c r="N1710" s="65"/>
      <c r="O1710" s="65"/>
      <c r="P1710" s="65"/>
      <c r="Q1710" s="65"/>
      <c r="R1710" s="65"/>
      <c r="S1710" s="65"/>
      <c r="T1710" s="65"/>
      <c r="U1710" s="65"/>
      <c r="V1710" s="65"/>
      <c r="W1710" s="65"/>
      <c r="X1710" s="65"/>
      <c r="Y1710" s="65"/>
      <c r="Z1710" s="65"/>
      <c r="AA1710" s="65"/>
      <c r="AB1710" s="65"/>
      <c r="AC1710" s="65"/>
    </row>
    <row r="1711">
      <c r="A1711" s="70">
        <v>76.0</v>
      </c>
      <c r="B1711" s="67" t="s">
        <v>4605</v>
      </c>
      <c r="C1711" s="70" t="s">
        <v>60</v>
      </c>
      <c r="D1711" s="70" t="s">
        <v>4234</v>
      </c>
      <c r="E1711" s="70" t="s">
        <v>4606</v>
      </c>
      <c r="F1711" s="70" t="s">
        <v>4607</v>
      </c>
      <c r="G1711" s="70" t="s">
        <v>4608</v>
      </c>
      <c r="H1711" s="70" t="s">
        <v>4609</v>
      </c>
      <c r="I1711" s="70">
        <v>36.07</v>
      </c>
      <c r="J1711" s="70" t="s">
        <v>58</v>
      </c>
      <c r="K1711" s="65"/>
      <c r="L1711" s="65"/>
      <c r="M1711" s="65"/>
      <c r="N1711" s="65"/>
      <c r="O1711" s="65"/>
      <c r="P1711" s="65"/>
      <c r="Q1711" s="65"/>
      <c r="R1711" s="65"/>
      <c r="S1711" s="65"/>
      <c r="T1711" s="65"/>
      <c r="U1711" s="65"/>
      <c r="V1711" s="65"/>
      <c r="W1711" s="65"/>
      <c r="X1711" s="65"/>
      <c r="Y1711" s="65"/>
      <c r="Z1711" s="65"/>
      <c r="AA1711" s="65"/>
      <c r="AB1711" s="65"/>
      <c r="AC1711" s="65"/>
    </row>
    <row r="1712">
      <c r="A1712" s="70">
        <v>75.0</v>
      </c>
      <c r="B1712" s="67" t="s">
        <v>4610</v>
      </c>
      <c r="C1712" s="70" t="s">
        <v>56</v>
      </c>
      <c r="D1712" s="70" t="s">
        <v>1468</v>
      </c>
      <c r="E1712" s="70" t="s">
        <v>4611</v>
      </c>
      <c r="F1712" s="70" t="s">
        <v>4612</v>
      </c>
      <c r="G1712" s="70" t="s">
        <v>4613</v>
      </c>
      <c r="H1712" s="70" t="s">
        <v>4614</v>
      </c>
      <c r="I1712" s="70">
        <v>49.6</v>
      </c>
      <c r="J1712" s="70" t="s">
        <v>58</v>
      </c>
      <c r="K1712" s="65"/>
      <c r="L1712" s="65"/>
      <c r="M1712" s="65"/>
      <c r="N1712" s="65"/>
      <c r="O1712" s="65"/>
      <c r="P1712" s="65"/>
      <c r="Q1712" s="65"/>
      <c r="R1712" s="65"/>
      <c r="S1712" s="65"/>
      <c r="T1712" s="65"/>
      <c r="U1712" s="65"/>
      <c r="V1712" s="65"/>
      <c r="W1712" s="65"/>
      <c r="X1712" s="65"/>
      <c r="Y1712" s="65"/>
      <c r="Z1712" s="65"/>
      <c r="AA1712" s="65"/>
      <c r="AB1712" s="65"/>
      <c r="AC1712" s="65"/>
    </row>
    <row r="1713">
      <c r="A1713" s="70">
        <v>74.0</v>
      </c>
      <c r="B1713" s="67" t="s">
        <v>4615</v>
      </c>
      <c r="C1713" s="70" t="s">
        <v>56</v>
      </c>
      <c r="D1713" s="70" t="s">
        <v>484</v>
      </c>
      <c r="E1713" s="70" t="s">
        <v>4616</v>
      </c>
      <c r="F1713" s="70" t="s">
        <v>4617</v>
      </c>
      <c r="G1713" s="70" t="s">
        <v>4618</v>
      </c>
      <c r="H1713" s="70" t="s">
        <v>4619</v>
      </c>
      <c r="I1713" s="70">
        <v>37.95</v>
      </c>
      <c r="J1713" s="70" t="s">
        <v>58</v>
      </c>
      <c r="K1713" s="65"/>
      <c r="L1713" s="65"/>
      <c r="M1713" s="65"/>
      <c r="N1713" s="65"/>
      <c r="O1713" s="65"/>
      <c r="P1713" s="65"/>
      <c r="Q1713" s="65"/>
      <c r="R1713" s="65"/>
      <c r="S1713" s="65"/>
      <c r="T1713" s="65"/>
      <c r="U1713" s="65"/>
      <c r="V1713" s="65"/>
      <c r="W1713" s="65"/>
      <c r="X1713" s="65"/>
      <c r="Y1713" s="65"/>
      <c r="Z1713" s="65"/>
      <c r="AA1713" s="65"/>
      <c r="AB1713" s="65"/>
      <c r="AC1713" s="65"/>
    </row>
    <row r="1714">
      <c r="A1714" s="70">
        <v>73.0</v>
      </c>
      <c r="B1714" s="67" t="s">
        <v>4620</v>
      </c>
      <c r="C1714" s="70" t="s">
        <v>56</v>
      </c>
      <c r="D1714" s="70" t="s">
        <v>93</v>
      </c>
      <c r="E1714" s="70" t="s">
        <v>4621</v>
      </c>
      <c r="F1714" s="70" t="s">
        <v>4622</v>
      </c>
      <c r="G1714" s="70" t="s">
        <v>4623</v>
      </c>
      <c r="H1714" s="70" t="s">
        <v>4624</v>
      </c>
      <c r="I1714" s="70">
        <v>44.43</v>
      </c>
      <c r="J1714" s="70" t="s">
        <v>58</v>
      </c>
      <c r="K1714" s="65"/>
      <c r="L1714" s="65"/>
      <c r="M1714" s="65"/>
      <c r="N1714" s="65"/>
      <c r="O1714" s="65"/>
      <c r="P1714" s="65"/>
      <c r="Q1714" s="65"/>
      <c r="R1714" s="65"/>
      <c r="S1714" s="65"/>
      <c r="T1714" s="65"/>
      <c r="U1714" s="65"/>
      <c r="V1714" s="65"/>
      <c r="W1714" s="65"/>
      <c r="X1714" s="65"/>
      <c r="Y1714" s="65"/>
      <c r="Z1714" s="65"/>
      <c r="AA1714" s="65"/>
      <c r="AB1714" s="65"/>
      <c r="AC1714" s="65"/>
    </row>
    <row r="1715">
      <c r="A1715" s="70">
        <v>72.0</v>
      </c>
      <c r="B1715" s="67" t="s">
        <v>4625</v>
      </c>
      <c r="C1715" s="70" t="s">
        <v>60</v>
      </c>
      <c r="D1715" s="70" t="s">
        <v>161</v>
      </c>
      <c r="E1715" s="70" t="s">
        <v>4626</v>
      </c>
      <c r="F1715" s="70" t="s">
        <v>4627</v>
      </c>
      <c r="G1715" s="70" t="s">
        <v>4628</v>
      </c>
      <c r="H1715" s="70" t="s">
        <v>4629</v>
      </c>
      <c r="I1715" s="70">
        <v>46.92</v>
      </c>
      <c r="J1715" s="70" t="s">
        <v>58</v>
      </c>
      <c r="K1715" s="65"/>
      <c r="L1715" s="65"/>
      <c r="M1715" s="65"/>
      <c r="N1715" s="65"/>
      <c r="O1715" s="65"/>
      <c r="P1715" s="65"/>
      <c r="Q1715" s="65"/>
      <c r="R1715" s="65"/>
      <c r="S1715" s="65"/>
      <c r="T1715" s="65"/>
      <c r="U1715" s="65"/>
      <c r="V1715" s="65"/>
      <c r="W1715" s="65"/>
      <c r="X1715" s="65"/>
      <c r="Y1715" s="65"/>
      <c r="Z1715" s="65"/>
      <c r="AA1715" s="65"/>
      <c r="AB1715" s="65"/>
      <c r="AC1715" s="65"/>
    </row>
    <row r="1716">
      <c r="A1716" s="70">
        <v>71.0</v>
      </c>
      <c r="B1716" s="67" t="s">
        <v>4630</v>
      </c>
      <c r="C1716" s="70" t="s">
        <v>56</v>
      </c>
      <c r="D1716" s="70" t="s">
        <v>531</v>
      </c>
      <c r="E1716" s="70" t="s">
        <v>4631</v>
      </c>
      <c r="F1716" s="70" t="s">
        <v>1528</v>
      </c>
      <c r="G1716" s="70" t="s">
        <v>4632</v>
      </c>
      <c r="H1716" s="70" t="s">
        <v>4633</v>
      </c>
      <c r="I1716" s="70">
        <v>34.8</v>
      </c>
      <c r="J1716" s="70" t="s">
        <v>58</v>
      </c>
      <c r="K1716" s="65"/>
      <c r="L1716" s="65"/>
      <c r="M1716" s="65"/>
      <c r="N1716" s="65"/>
      <c r="O1716" s="65"/>
      <c r="P1716" s="65"/>
      <c r="Q1716" s="65"/>
      <c r="R1716" s="65"/>
      <c r="S1716" s="65"/>
      <c r="T1716" s="65"/>
      <c r="U1716" s="65"/>
      <c r="V1716" s="65"/>
      <c r="W1716" s="65"/>
      <c r="X1716" s="65"/>
      <c r="Y1716" s="65"/>
      <c r="Z1716" s="65"/>
      <c r="AA1716" s="65"/>
      <c r="AB1716" s="65"/>
      <c r="AC1716" s="65"/>
    </row>
    <row r="1717">
      <c r="A1717" s="70">
        <v>70.0</v>
      </c>
      <c r="B1717" s="67" t="s">
        <v>4634</v>
      </c>
      <c r="C1717" s="70" t="s">
        <v>69</v>
      </c>
      <c r="D1717" s="70" t="s">
        <v>76</v>
      </c>
      <c r="E1717" s="70" t="s">
        <v>4635</v>
      </c>
      <c r="F1717" s="70" t="s">
        <v>4636</v>
      </c>
      <c r="G1717" s="70" t="s">
        <v>4637</v>
      </c>
      <c r="H1717" s="70" t="s">
        <v>4638</v>
      </c>
      <c r="I1717" s="70">
        <v>48.7</v>
      </c>
      <c r="J1717" s="70" t="s">
        <v>58</v>
      </c>
      <c r="K1717" s="65"/>
      <c r="L1717" s="65"/>
      <c r="M1717" s="65"/>
      <c r="N1717" s="65"/>
      <c r="O1717" s="65"/>
      <c r="P1717" s="65"/>
      <c r="Q1717" s="65"/>
      <c r="R1717" s="65"/>
      <c r="S1717" s="65"/>
      <c r="T1717" s="65"/>
      <c r="U1717" s="65"/>
      <c r="V1717" s="65"/>
      <c r="W1717" s="65"/>
      <c r="X1717" s="65"/>
      <c r="Y1717" s="65"/>
      <c r="Z1717" s="65"/>
      <c r="AA1717" s="65"/>
      <c r="AB1717" s="65"/>
      <c r="AC1717" s="65"/>
    </row>
    <row r="1718">
      <c r="A1718" s="70">
        <v>69.0</v>
      </c>
      <c r="B1718" s="67" t="s">
        <v>4639</v>
      </c>
      <c r="C1718" s="70" t="s">
        <v>69</v>
      </c>
      <c r="D1718" s="70" t="s">
        <v>175</v>
      </c>
      <c r="E1718" s="70" t="s">
        <v>4640</v>
      </c>
      <c r="F1718" s="70" t="s">
        <v>4641</v>
      </c>
      <c r="G1718" s="70" t="s">
        <v>4642</v>
      </c>
      <c r="H1718" s="70" t="s">
        <v>4643</v>
      </c>
      <c r="I1718" s="70">
        <v>35.2</v>
      </c>
      <c r="J1718" s="70" t="s">
        <v>58</v>
      </c>
      <c r="K1718" s="65"/>
      <c r="L1718" s="65"/>
      <c r="M1718" s="65"/>
      <c r="N1718" s="65"/>
      <c r="O1718" s="65"/>
      <c r="P1718" s="65"/>
      <c r="Q1718" s="65"/>
      <c r="R1718" s="65"/>
      <c r="S1718" s="65"/>
      <c r="T1718" s="65"/>
      <c r="U1718" s="65"/>
      <c r="V1718" s="65"/>
      <c r="W1718" s="65"/>
      <c r="X1718" s="65"/>
      <c r="Y1718" s="65"/>
      <c r="Z1718" s="65"/>
      <c r="AA1718" s="65"/>
      <c r="AB1718" s="65"/>
      <c r="AC1718" s="65"/>
    </row>
    <row r="1719">
      <c r="A1719" s="70">
        <v>68.0</v>
      </c>
      <c r="B1719" s="67" t="s">
        <v>4644</v>
      </c>
      <c r="C1719" s="70" t="s">
        <v>60</v>
      </c>
      <c r="D1719" s="70" t="s">
        <v>70</v>
      </c>
      <c r="E1719" s="70" t="s">
        <v>4645</v>
      </c>
      <c r="F1719" s="70" t="s">
        <v>4646</v>
      </c>
      <c r="G1719" s="70" t="s">
        <v>4647</v>
      </c>
      <c r="H1719" s="70" t="s">
        <v>4648</v>
      </c>
      <c r="I1719" s="70">
        <v>29.93</v>
      </c>
      <c r="J1719" s="70" t="s">
        <v>58</v>
      </c>
      <c r="K1719" s="65"/>
      <c r="L1719" s="65"/>
      <c r="M1719" s="65"/>
      <c r="N1719" s="65"/>
      <c r="O1719" s="65"/>
      <c r="P1719" s="65"/>
      <c r="Q1719" s="65"/>
      <c r="R1719" s="65"/>
      <c r="S1719" s="65"/>
      <c r="T1719" s="65"/>
      <c r="U1719" s="65"/>
      <c r="V1719" s="65"/>
      <c r="W1719" s="65"/>
      <c r="X1719" s="65"/>
      <c r="Y1719" s="65"/>
      <c r="Z1719" s="65"/>
      <c r="AA1719" s="65"/>
      <c r="AB1719" s="65"/>
      <c r="AC1719" s="65"/>
    </row>
    <row r="1720">
      <c r="A1720" s="70">
        <v>67.0</v>
      </c>
      <c r="B1720" s="67" t="s">
        <v>4649</v>
      </c>
      <c r="C1720" s="70" t="s">
        <v>69</v>
      </c>
      <c r="D1720" s="70" t="s">
        <v>588</v>
      </c>
      <c r="E1720" s="70" t="s">
        <v>4650</v>
      </c>
      <c r="F1720" s="70" t="s">
        <v>4651</v>
      </c>
      <c r="G1720" s="70" t="s">
        <v>4652</v>
      </c>
      <c r="H1720" s="70" t="s">
        <v>4653</v>
      </c>
      <c r="I1720" s="70">
        <v>47.13</v>
      </c>
      <c r="J1720" s="70" t="s">
        <v>58</v>
      </c>
      <c r="K1720" s="65"/>
      <c r="L1720" s="65"/>
      <c r="M1720" s="65"/>
      <c r="N1720" s="65"/>
      <c r="O1720" s="65"/>
      <c r="P1720" s="65"/>
      <c r="Q1720" s="65"/>
      <c r="R1720" s="65"/>
      <c r="S1720" s="65"/>
      <c r="T1720" s="65"/>
      <c r="U1720" s="65"/>
      <c r="V1720" s="65"/>
      <c r="W1720" s="65"/>
      <c r="X1720" s="65"/>
      <c r="Y1720" s="65"/>
      <c r="Z1720" s="65"/>
      <c r="AA1720" s="65"/>
      <c r="AB1720" s="65"/>
      <c r="AC1720" s="65"/>
    </row>
    <row r="1721">
      <c r="A1721" s="70">
        <v>66.0</v>
      </c>
      <c r="B1721" s="67" t="s">
        <v>4654</v>
      </c>
      <c r="C1721" s="70" t="s">
        <v>69</v>
      </c>
      <c r="D1721" s="70" t="s">
        <v>93</v>
      </c>
      <c r="E1721" s="70" t="s">
        <v>4655</v>
      </c>
      <c r="F1721" s="70" t="s">
        <v>4656</v>
      </c>
      <c r="G1721" s="70" t="s">
        <v>4657</v>
      </c>
      <c r="H1721" s="70" t="s">
        <v>4658</v>
      </c>
      <c r="I1721" s="70">
        <v>42.29</v>
      </c>
      <c r="J1721" s="70" t="s">
        <v>58</v>
      </c>
      <c r="K1721" s="65"/>
      <c r="L1721" s="65"/>
      <c r="M1721" s="65"/>
      <c r="N1721" s="65"/>
      <c r="O1721" s="65"/>
      <c r="P1721" s="65"/>
      <c r="Q1721" s="65"/>
      <c r="R1721" s="65"/>
      <c r="S1721" s="65"/>
      <c r="T1721" s="65"/>
      <c r="U1721" s="65"/>
      <c r="V1721" s="65"/>
      <c r="W1721" s="65"/>
      <c r="X1721" s="65"/>
      <c r="Y1721" s="65"/>
      <c r="Z1721" s="65"/>
      <c r="AA1721" s="65"/>
      <c r="AB1721" s="65"/>
      <c r="AC1721" s="65"/>
    </row>
    <row r="1722">
      <c r="A1722" s="70">
        <v>65.0</v>
      </c>
      <c r="B1722" s="67" t="s">
        <v>4659</v>
      </c>
      <c r="C1722" s="70" t="s">
        <v>60</v>
      </c>
      <c r="D1722" s="70" t="s">
        <v>588</v>
      </c>
      <c r="E1722" s="70" t="s">
        <v>4660</v>
      </c>
      <c r="F1722" s="70" t="s">
        <v>3785</v>
      </c>
      <c r="G1722" s="70" t="s">
        <v>3786</v>
      </c>
      <c r="H1722" s="70" t="s">
        <v>4661</v>
      </c>
      <c r="I1722" s="70">
        <v>15.96</v>
      </c>
      <c r="J1722" s="70" t="s">
        <v>58</v>
      </c>
      <c r="K1722" s="65"/>
      <c r="L1722" s="65"/>
      <c r="M1722" s="65"/>
      <c r="N1722" s="65"/>
      <c r="O1722" s="65"/>
      <c r="P1722" s="65"/>
      <c r="Q1722" s="65"/>
      <c r="R1722" s="65"/>
      <c r="S1722" s="65"/>
      <c r="T1722" s="65"/>
      <c r="U1722" s="65"/>
      <c r="V1722" s="65"/>
      <c r="W1722" s="65"/>
      <c r="X1722" s="65"/>
      <c r="Y1722" s="65"/>
      <c r="Z1722" s="65"/>
      <c r="AA1722" s="65"/>
      <c r="AB1722" s="65"/>
      <c r="AC1722" s="65"/>
    </row>
    <row r="1723">
      <c r="A1723" s="70">
        <v>64.0</v>
      </c>
      <c r="B1723" s="67" t="s">
        <v>4662</v>
      </c>
      <c r="C1723" s="70" t="s">
        <v>56</v>
      </c>
      <c r="D1723" s="70" t="s">
        <v>1069</v>
      </c>
      <c r="E1723" s="70" t="s">
        <v>4663</v>
      </c>
      <c r="F1723" s="70" t="s">
        <v>4664</v>
      </c>
      <c r="G1723" s="70" t="s">
        <v>4665</v>
      </c>
      <c r="H1723" s="70" t="s">
        <v>4666</v>
      </c>
      <c r="I1723" s="70">
        <v>56.34</v>
      </c>
      <c r="J1723" s="70" t="s">
        <v>58</v>
      </c>
      <c r="K1723" s="65"/>
      <c r="L1723" s="65"/>
      <c r="M1723" s="65"/>
      <c r="N1723" s="65"/>
      <c r="O1723" s="65"/>
      <c r="P1723" s="65"/>
      <c r="Q1723" s="65"/>
      <c r="R1723" s="65"/>
      <c r="S1723" s="65"/>
      <c r="T1723" s="65"/>
      <c r="U1723" s="65"/>
      <c r="V1723" s="65"/>
      <c r="W1723" s="65"/>
      <c r="X1723" s="65"/>
      <c r="Y1723" s="65"/>
      <c r="Z1723" s="65"/>
      <c r="AA1723" s="65"/>
      <c r="AB1723" s="65"/>
      <c r="AC1723" s="65"/>
    </row>
    <row r="1724">
      <c r="A1724" s="70">
        <v>63.0</v>
      </c>
      <c r="B1724" s="67" t="s">
        <v>4667</v>
      </c>
      <c r="C1724" s="70" t="s">
        <v>56</v>
      </c>
      <c r="D1724" s="70" t="s">
        <v>1069</v>
      </c>
      <c r="E1724" s="70" t="s">
        <v>4668</v>
      </c>
      <c r="F1724" s="70" t="s">
        <v>1593</v>
      </c>
      <c r="G1724" s="70" t="s">
        <v>4669</v>
      </c>
      <c r="H1724" s="70" t="s">
        <v>4670</v>
      </c>
      <c r="I1724" s="70">
        <v>35.32</v>
      </c>
      <c r="J1724" s="70" t="s">
        <v>58</v>
      </c>
      <c r="K1724" s="65"/>
      <c r="L1724" s="65"/>
      <c r="M1724" s="65"/>
      <c r="N1724" s="65"/>
      <c r="O1724" s="65"/>
      <c r="P1724" s="65"/>
      <c r="Q1724" s="65"/>
      <c r="R1724" s="65"/>
      <c r="S1724" s="65"/>
      <c r="T1724" s="65"/>
      <c r="U1724" s="65"/>
      <c r="V1724" s="65"/>
      <c r="W1724" s="65"/>
      <c r="X1724" s="65"/>
      <c r="Y1724" s="65"/>
      <c r="Z1724" s="65"/>
      <c r="AA1724" s="65"/>
      <c r="AB1724" s="65"/>
      <c r="AC1724" s="65"/>
    </row>
    <row r="1725">
      <c r="A1725" s="70">
        <v>62.0</v>
      </c>
      <c r="B1725" s="67" t="s">
        <v>4671</v>
      </c>
      <c r="C1725" s="70" t="s">
        <v>56</v>
      </c>
      <c r="D1725" s="70" t="s">
        <v>1069</v>
      </c>
      <c r="E1725" s="70" t="s">
        <v>4672</v>
      </c>
      <c r="F1725" s="70" t="s">
        <v>4673</v>
      </c>
      <c r="G1725" s="70" t="s">
        <v>4674</v>
      </c>
      <c r="H1725" s="70" t="s">
        <v>4675</v>
      </c>
      <c r="I1725" s="70">
        <v>56.17</v>
      </c>
      <c r="J1725" s="70" t="s">
        <v>58</v>
      </c>
      <c r="K1725" s="65"/>
      <c r="L1725" s="65"/>
      <c r="M1725" s="65"/>
      <c r="N1725" s="65"/>
      <c r="O1725" s="65"/>
      <c r="P1725" s="65"/>
      <c r="Q1725" s="65"/>
      <c r="R1725" s="65"/>
      <c r="S1725" s="65"/>
      <c r="T1725" s="65"/>
      <c r="U1725" s="65"/>
      <c r="V1725" s="65"/>
      <c r="W1725" s="65"/>
      <c r="X1725" s="65"/>
      <c r="Y1725" s="65"/>
      <c r="Z1725" s="65"/>
      <c r="AA1725" s="65"/>
      <c r="AB1725" s="65"/>
      <c r="AC1725" s="65"/>
    </row>
    <row r="1726">
      <c r="A1726" s="70">
        <v>61.0</v>
      </c>
      <c r="B1726" s="67" t="s">
        <v>4676</v>
      </c>
      <c r="C1726" s="70" t="s">
        <v>56</v>
      </c>
      <c r="D1726" s="70" t="s">
        <v>3933</v>
      </c>
      <c r="E1726" s="70" t="s">
        <v>4677</v>
      </c>
      <c r="F1726" s="70" t="s">
        <v>739</v>
      </c>
      <c r="G1726" s="70" t="s">
        <v>4678</v>
      </c>
      <c r="H1726" s="70" t="s">
        <v>4679</v>
      </c>
      <c r="I1726" s="70">
        <v>31.84</v>
      </c>
      <c r="J1726" s="70" t="s">
        <v>58</v>
      </c>
      <c r="K1726" s="65"/>
      <c r="L1726" s="65"/>
      <c r="M1726" s="65"/>
      <c r="N1726" s="65"/>
      <c r="O1726" s="65"/>
      <c r="P1726" s="65"/>
      <c r="Q1726" s="65"/>
      <c r="R1726" s="65"/>
      <c r="S1726" s="65"/>
      <c r="T1726" s="65"/>
      <c r="U1726" s="65"/>
      <c r="V1726" s="65"/>
      <c r="W1726" s="65"/>
      <c r="X1726" s="65"/>
      <c r="Y1726" s="65"/>
      <c r="Z1726" s="65"/>
      <c r="AA1726" s="65"/>
      <c r="AB1726" s="65"/>
      <c r="AC1726" s="65"/>
    </row>
    <row r="1727">
      <c r="A1727" s="70">
        <v>60.0</v>
      </c>
      <c r="B1727" s="67" t="s">
        <v>4680</v>
      </c>
      <c r="C1727" s="70" t="s">
        <v>60</v>
      </c>
      <c r="D1727" s="70" t="s">
        <v>672</v>
      </c>
      <c r="E1727" s="70" t="s">
        <v>4681</v>
      </c>
      <c r="F1727" s="70" t="s">
        <v>64</v>
      </c>
      <c r="G1727" s="70" t="s">
        <v>4682</v>
      </c>
      <c r="H1727" s="70" t="s">
        <v>4683</v>
      </c>
      <c r="I1727" s="70">
        <v>39.47</v>
      </c>
      <c r="J1727" s="70" t="s">
        <v>58</v>
      </c>
      <c r="K1727" s="65"/>
      <c r="L1727" s="65"/>
      <c r="M1727" s="65"/>
      <c r="N1727" s="65"/>
      <c r="O1727" s="65"/>
      <c r="P1727" s="65"/>
      <c r="Q1727" s="65"/>
      <c r="R1727" s="65"/>
      <c r="S1727" s="65"/>
      <c r="T1727" s="65"/>
      <c r="U1727" s="65"/>
      <c r="V1727" s="65"/>
      <c r="W1727" s="65"/>
      <c r="X1727" s="65"/>
      <c r="Y1727" s="65"/>
      <c r="Z1727" s="65"/>
      <c r="AA1727" s="65"/>
      <c r="AB1727" s="65"/>
      <c r="AC1727" s="65"/>
    </row>
    <row r="1728">
      <c r="A1728" s="70">
        <v>59.0</v>
      </c>
      <c r="B1728" s="67" t="s">
        <v>4684</v>
      </c>
      <c r="C1728" s="70" t="s">
        <v>56</v>
      </c>
      <c r="D1728" s="70" t="s">
        <v>93</v>
      </c>
      <c r="E1728" s="70" t="s">
        <v>4685</v>
      </c>
      <c r="F1728" s="70" t="s">
        <v>67</v>
      </c>
      <c r="G1728" s="70" t="s">
        <v>4686</v>
      </c>
      <c r="H1728" s="70" t="s">
        <v>4687</v>
      </c>
      <c r="I1728" s="70">
        <v>58.03</v>
      </c>
      <c r="J1728" s="70" t="s">
        <v>58</v>
      </c>
      <c r="K1728" s="65"/>
      <c r="L1728" s="65"/>
      <c r="M1728" s="65"/>
      <c r="N1728" s="65"/>
      <c r="O1728" s="65"/>
      <c r="P1728" s="65"/>
      <c r="Q1728" s="65"/>
      <c r="R1728" s="65"/>
      <c r="S1728" s="65"/>
      <c r="T1728" s="65"/>
      <c r="U1728" s="65"/>
      <c r="V1728" s="65"/>
      <c r="W1728" s="65"/>
      <c r="X1728" s="65"/>
      <c r="Y1728" s="65"/>
      <c r="Z1728" s="65"/>
      <c r="AA1728" s="65"/>
      <c r="AB1728" s="65"/>
      <c r="AC1728" s="65"/>
    </row>
    <row r="1729">
      <c r="A1729" s="70">
        <v>58.0</v>
      </c>
      <c r="B1729" s="67" t="s">
        <v>4688</v>
      </c>
      <c r="C1729" s="70" t="s">
        <v>69</v>
      </c>
      <c r="D1729" s="70" t="s">
        <v>70</v>
      </c>
      <c r="E1729" s="70" t="s">
        <v>1013</v>
      </c>
      <c r="F1729" s="73"/>
      <c r="G1729" s="70" t="s">
        <v>1013</v>
      </c>
      <c r="H1729" s="70" t="s">
        <v>1013</v>
      </c>
      <c r="I1729" s="70">
        <v>33.5</v>
      </c>
      <c r="J1729" s="70" t="s">
        <v>58</v>
      </c>
      <c r="K1729" s="65"/>
      <c r="L1729" s="65"/>
      <c r="M1729" s="65"/>
      <c r="N1729" s="65"/>
      <c r="O1729" s="65"/>
      <c r="P1729" s="65"/>
      <c r="Q1729" s="65"/>
      <c r="R1729" s="65"/>
      <c r="S1729" s="65"/>
      <c r="T1729" s="65"/>
      <c r="U1729" s="65"/>
      <c r="V1729" s="65"/>
      <c r="W1729" s="65"/>
      <c r="X1729" s="65"/>
      <c r="Y1729" s="65"/>
      <c r="Z1729" s="65"/>
      <c r="AA1729" s="65"/>
      <c r="AB1729" s="65"/>
      <c r="AC1729" s="65"/>
    </row>
    <row r="1730">
      <c r="A1730" s="70">
        <v>57.0</v>
      </c>
      <c r="B1730" s="67" t="s">
        <v>4689</v>
      </c>
      <c r="C1730" s="70" t="s">
        <v>56</v>
      </c>
      <c r="D1730" s="70" t="s">
        <v>370</v>
      </c>
      <c r="E1730" s="70" t="s">
        <v>4690</v>
      </c>
      <c r="F1730" s="70" t="s">
        <v>4691</v>
      </c>
      <c r="G1730" s="70" t="s">
        <v>4691</v>
      </c>
      <c r="H1730" s="70" t="s">
        <v>4692</v>
      </c>
      <c r="I1730" s="70">
        <v>35.2</v>
      </c>
      <c r="J1730" s="70" t="s">
        <v>58</v>
      </c>
      <c r="K1730" s="65"/>
      <c r="L1730" s="65"/>
      <c r="M1730" s="65"/>
      <c r="N1730" s="65"/>
      <c r="O1730" s="65"/>
      <c r="P1730" s="65"/>
      <c r="Q1730" s="65"/>
      <c r="R1730" s="65"/>
      <c r="S1730" s="65"/>
      <c r="T1730" s="65"/>
      <c r="U1730" s="65"/>
      <c r="V1730" s="65"/>
      <c r="W1730" s="65"/>
      <c r="X1730" s="65"/>
      <c r="Y1730" s="65"/>
      <c r="Z1730" s="65"/>
      <c r="AA1730" s="65"/>
      <c r="AB1730" s="65"/>
      <c r="AC1730" s="65"/>
    </row>
    <row r="1731">
      <c r="A1731" s="70">
        <v>56.0</v>
      </c>
      <c r="B1731" s="67" t="s">
        <v>4693</v>
      </c>
      <c r="C1731" s="70" t="s">
        <v>56</v>
      </c>
      <c r="D1731" s="70" t="s">
        <v>370</v>
      </c>
      <c r="E1731" s="70" t="s">
        <v>4694</v>
      </c>
      <c r="F1731" s="70" t="s">
        <v>4695</v>
      </c>
      <c r="G1731" s="70" t="s">
        <v>4696</v>
      </c>
      <c r="H1731" s="70" t="s">
        <v>4697</v>
      </c>
      <c r="I1731" s="70">
        <v>41.21</v>
      </c>
      <c r="J1731" s="70" t="s">
        <v>58</v>
      </c>
      <c r="K1731" s="65"/>
      <c r="L1731" s="65"/>
      <c r="M1731" s="65"/>
      <c r="N1731" s="65"/>
      <c r="O1731" s="65"/>
      <c r="P1731" s="65"/>
      <c r="Q1731" s="65"/>
      <c r="R1731" s="65"/>
      <c r="S1731" s="65"/>
      <c r="T1731" s="65"/>
      <c r="U1731" s="65"/>
      <c r="V1731" s="65"/>
      <c r="W1731" s="65"/>
      <c r="X1731" s="65"/>
      <c r="Y1731" s="65"/>
      <c r="Z1731" s="65"/>
      <c r="AA1731" s="65"/>
      <c r="AB1731" s="65"/>
      <c r="AC1731" s="65"/>
    </row>
    <row r="1732">
      <c r="A1732" s="70">
        <v>55.0</v>
      </c>
      <c r="B1732" s="67" t="s">
        <v>4698</v>
      </c>
      <c r="C1732" s="70" t="s">
        <v>56</v>
      </c>
      <c r="D1732" s="70" t="s">
        <v>114</v>
      </c>
      <c r="E1732" s="70" t="s">
        <v>4699</v>
      </c>
      <c r="F1732" s="70" t="s">
        <v>4700</v>
      </c>
      <c r="G1732" s="70" t="s">
        <v>4701</v>
      </c>
      <c r="H1732" s="70" t="s">
        <v>4702</v>
      </c>
      <c r="I1732" s="70">
        <v>35.19</v>
      </c>
      <c r="J1732" s="70" t="s">
        <v>58</v>
      </c>
      <c r="K1732" s="65"/>
      <c r="L1732" s="65"/>
      <c r="M1732" s="65"/>
      <c r="N1732" s="65"/>
      <c r="O1732" s="65"/>
      <c r="P1732" s="65"/>
      <c r="Q1732" s="65"/>
      <c r="R1732" s="65"/>
      <c r="S1732" s="65"/>
      <c r="T1732" s="65"/>
      <c r="U1732" s="65"/>
      <c r="V1732" s="65"/>
      <c r="W1732" s="65"/>
      <c r="X1732" s="65"/>
      <c r="Y1732" s="65"/>
      <c r="Z1732" s="65"/>
      <c r="AA1732" s="65"/>
      <c r="AB1732" s="65"/>
      <c r="AC1732" s="65"/>
    </row>
    <row r="1733">
      <c r="A1733" s="70">
        <v>54.0</v>
      </c>
      <c r="B1733" s="67" t="s">
        <v>4703</v>
      </c>
      <c r="C1733" s="70" t="s">
        <v>56</v>
      </c>
      <c r="D1733" s="70" t="s">
        <v>93</v>
      </c>
      <c r="E1733" s="70" t="s">
        <v>4704</v>
      </c>
      <c r="F1733" s="70" t="s">
        <v>4705</v>
      </c>
      <c r="G1733" s="70" t="s">
        <v>4706</v>
      </c>
      <c r="H1733" s="70" t="s">
        <v>4707</v>
      </c>
      <c r="I1733" s="70">
        <v>36.25</v>
      </c>
      <c r="J1733" s="70" t="s">
        <v>58</v>
      </c>
      <c r="K1733" s="65"/>
      <c r="L1733" s="65"/>
      <c r="M1733" s="65"/>
      <c r="N1733" s="65"/>
      <c r="O1733" s="65"/>
      <c r="P1733" s="65"/>
      <c r="Q1733" s="65"/>
      <c r="R1733" s="65"/>
      <c r="S1733" s="65"/>
      <c r="T1733" s="65"/>
      <c r="U1733" s="65"/>
      <c r="V1733" s="65"/>
      <c r="W1733" s="65"/>
      <c r="X1733" s="65"/>
      <c r="Y1733" s="65"/>
      <c r="Z1733" s="65"/>
      <c r="AA1733" s="65"/>
      <c r="AB1733" s="65"/>
      <c r="AC1733" s="65"/>
    </row>
    <row r="1734">
      <c r="A1734" s="70">
        <v>53.0</v>
      </c>
      <c r="B1734" s="67" t="s">
        <v>4708</v>
      </c>
      <c r="C1734" s="70" t="s">
        <v>69</v>
      </c>
      <c r="D1734" s="70" t="s">
        <v>4709</v>
      </c>
      <c r="E1734" s="70" t="s">
        <v>4710</v>
      </c>
      <c r="F1734" s="70" t="s">
        <v>4711</v>
      </c>
      <c r="G1734" s="70" t="s">
        <v>4712</v>
      </c>
      <c r="H1734" s="70" t="s">
        <v>4713</v>
      </c>
      <c r="I1734" s="70">
        <v>47.81</v>
      </c>
      <c r="J1734" s="70" t="s">
        <v>58</v>
      </c>
      <c r="K1734" s="65"/>
      <c r="L1734" s="65"/>
      <c r="M1734" s="65"/>
      <c r="N1734" s="65"/>
      <c r="O1734" s="65"/>
      <c r="P1734" s="65"/>
      <c r="Q1734" s="65"/>
      <c r="R1734" s="65"/>
      <c r="S1734" s="65"/>
      <c r="T1734" s="65"/>
      <c r="U1734" s="65"/>
      <c r="V1734" s="65"/>
      <c r="W1734" s="65"/>
      <c r="X1734" s="65"/>
      <c r="Y1734" s="65"/>
      <c r="Z1734" s="65"/>
      <c r="AA1734" s="65"/>
      <c r="AB1734" s="65"/>
      <c r="AC1734" s="65"/>
    </row>
    <row r="1735">
      <c r="A1735" s="70">
        <v>52.0</v>
      </c>
      <c r="B1735" s="67" t="s">
        <v>4714</v>
      </c>
      <c r="C1735" s="70" t="s">
        <v>60</v>
      </c>
      <c r="D1735" s="70" t="s">
        <v>271</v>
      </c>
      <c r="E1735" s="70" t="s">
        <v>4715</v>
      </c>
      <c r="F1735" s="73"/>
      <c r="G1735" s="73"/>
      <c r="H1735" s="70" t="s">
        <v>4716</v>
      </c>
      <c r="I1735" s="70">
        <v>60.36</v>
      </c>
      <c r="J1735" s="70" t="s">
        <v>58</v>
      </c>
      <c r="K1735" s="65"/>
      <c r="L1735" s="65"/>
      <c r="M1735" s="65"/>
      <c r="N1735" s="65"/>
      <c r="O1735" s="65"/>
      <c r="P1735" s="65"/>
      <c r="Q1735" s="65"/>
      <c r="R1735" s="65"/>
      <c r="S1735" s="65"/>
      <c r="T1735" s="65"/>
      <c r="U1735" s="65"/>
      <c r="V1735" s="65"/>
      <c r="W1735" s="65"/>
      <c r="X1735" s="65"/>
      <c r="Y1735" s="65"/>
      <c r="Z1735" s="65"/>
      <c r="AA1735" s="65"/>
      <c r="AB1735" s="65"/>
      <c r="AC1735" s="65"/>
    </row>
    <row r="1736">
      <c r="A1736" s="70">
        <v>51.0</v>
      </c>
      <c r="B1736" s="67" t="s">
        <v>4717</v>
      </c>
      <c r="C1736" s="70" t="s">
        <v>60</v>
      </c>
      <c r="D1736" s="70" t="s">
        <v>271</v>
      </c>
      <c r="E1736" s="70" t="s">
        <v>4718</v>
      </c>
      <c r="F1736" s="70" t="s">
        <v>4719</v>
      </c>
      <c r="G1736" s="70" t="s">
        <v>4720</v>
      </c>
      <c r="H1736" s="70" t="s">
        <v>4721</v>
      </c>
      <c r="I1736" s="70">
        <v>49.9</v>
      </c>
      <c r="J1736" s="70" t="s">
        <v>58</v>
      </c>
      <c r="K1736" s="65"/>
      <c r="L1736" s="65"/>
      <c r="M1736" s="65"/>
      <c r="N1736" s="65"/>
      <c r="O1736" s="65"/>
      <c r="P1736" s="65"/>
      <c r="Q1736" s="65"/>
      <c r="R1736" s="65"/>
      <c r="S1736" s="65"/>
      <c r="T1736" s="65"/>
      <c r="U1736" s="65"/>
      <c r="V1736" s="65"/>
      <c r="W1736" s="65"/>
      <c r="X1736" s="65"/>
      <c r="Y1736" s="65"/>
      <c r="Z1736" s="65"/>
      <c r="AA1736" s="65"/>
      <c r="AB1736" s="65"/>
      <c r="AC1736" s="65"/>
    </row>
    <row r="1737">
      <c r="A1737" s="70">
        <v>50.0</v>
      </c>
      <c r="B1737" s="67" t="s">
        <v>4722</v>
      </c>
      <c r="C1737" s="70" t="s">
        <v>56</v>
      </c>
      <c r="D1737" s="70" t="s">
        <v>175</v>
      </c>
      <c r="E1737" s="70" t="s">
        <v>4723</v>
      </c>
      <c r="F1737" s="70" t="s">
        <v>4724</v>
      </c>
      <c r="G1737" s="70" t="s">
        <v>4725</v>
      </c>
      <c r="H1737" s="70" t="s">
        <v>4726</v>
      </c>
      <c r="I1737" s="70">
        <v>30.99</v>
      </c>
      <c r="J1737" s="70" t="s">
        <v>58</v>
      </c>
      <c r="K1737" s="65"/>
      <c r="L1737" s="65"/>
      <c r="M1737" s="65"/>
      <c r="N1737" s="65"/>
      <c r="O1737" s="65"/>
      <c r="P1737" s="65"/>
      <c r="Q1737" s="65"/>
      <c r="R1737" s="65"/>
      <c r="S1737" s="65"/>
      <c r="T1737" s="65"/>
      <c r="U1737" s="65"/>
      <c r="V1737" s="65"/>
      <c r="W1737" s="65"/>
      <c r="X1737" s="65"/>
      <c r="Y1737" s="65"/>
      <c r="Z1737" s="65"/>
      <c r="AA1737" s="65"/>
      <c r="AB1737" s="65"/>
      <c r="AC1737" s="65"/>
    </row>
    <row r="1738">
      <c r="A1738" s="70">
        <v>49.0</v>
      </c>
      <c r="B1738" s="67" t="s">
        <v>4727</v>
      </c>
      <c r="C1738" s="70" t="s">
        <v>56</v>
      </c>
      <c r="D1738" s="70" t="s">
        <v>89</v>
      </c>
      <c r="E1738" s="70" t="s">
        <v>4728</v>
      </c>
      <c r="F1738" s="70" t="s">
        <v>4729</v>
      </c>
      <c r="G1738" s="70" t="s">
        <v>4730</v>
      </c>
      <c r="H1738" s="70" t="s">
        <v>4731</v>
      </c>
      <c r="I1738" s="70">
        <v>59.5</v>
      </c>
      <c r="J1738" s="70" t="s">
        <v>58</v>
      </c>
      <c r="K1738" s="65"/>
      <c r="L1738" s="65"/>
      <c r="M1738" s="65"/>
      <c r="N1738" s="65"/>
      <c r="O1738" s="65"/>
      <c r="P1738" s="65"/>
      <c r="Q1738" s="65"/>
      <c r="R1738" s="65"/>
      <c r="S1738" s="65"/>
      <c r="T1738" s="65"/>
      <c r="U1738" s="65"/>
      <c r="V1738" s="65"/>
      <c r="W1738" s="65"/>
      <c r="X1738" s="65"/>
      <c r="Y1738" s="65"/>
      <c r="Z1738" s="65"/>
      <c r="AA1738" s="65"/>
      <c r="AB1738" s="65"/>
      <c r="AC1738" s="65"/>
    </row>
    <row r="1739">
      <c r="A1739" s="70">
        <v>48.0</v>
      </c>
      <c r="B1739" s="67" t="s">
        <v>4732</v>
      </c>
      <c r="C1739" s="70" t="s">
        <v>56</v>
      </c>
      <c r="D1739" s="70" t="s">
        <v>93</v>
      </c>
      <c r="E1739" s="70" t="s">
        <v>4733</v>
      </c>
      <c r="F1739" s="70" t="s">
        <v>4734</v>
      </c>
      <c r="G1739" s="70" t="s">
        <v>4735</v>
      </c>
      <c r="H1739" s="70" t="s">
        <v>4736</v>
      </c>
      <c r="I1739" s="70">
        <v>60.22</v>
      </c>
      <c r="J1739" s="70" t="s">
        <v>58</v>
      </c>
      <c r="K1739" s="65"/>
      <c r="L1739" s="65"/>
      <c r="M1739" s="65"/>
      <c r="N1739" s="65"/>
      <c r="O1739" s="65"/>
      <c r="P1739" s="65"/>
      <c r="Q1739" s="65"/>
      <c r="R1739" s="65"/>
      <c r="S1739" s="65"/>
      <c r="T1739" s="65"/>
      <c r="U1739" s="65"/>
      <c r="V1739" s="65"/>
      <c r="W1739" s="65"/>
      <c r="X1739" s="65"/>
      <c r="Y1739" s="65"/>
      <c r="Z1739" s="65"/>
      <c r="AA1739" s="65"/>
      <c r="AB1739" s="65"/>
      <c r="AC1739" s="65"/>
    </row>
    <row r="1740">
      <c r="A1740" s="70">
        <v>47.0</v>
      </c>
      <c r="B1740" s="67" t="s">
        <v>4737</v>
      </c>
      <c r="C1740" s="70" t="s">
        <v>56</v>
      </c>
      <c r="D1740" s="70" t="s">
        <v>271</v>
      </c>
      <c r="E1740" s="70" t="s">
        <v>4738</v>
      </c>
      <c r="F1740" s="70" t="s">
        <v>4739</v>
      </c>
      <c r="G1740" s="70" t="s">
        <v>4740</v>
      </c>
      <c r="H1740" s="70" t="s">
        <v>4741</v>
      </c>
      <c r="I1740" s="70">
        <v>49.6</v>
      </c>
      <c r="J1740" s="70" t="s">
        <v>58</v>
      </c>
      <c r="K1740" s="65"/>
      <c r="L1740" s="65"/>
      <c r="M1740" s="65"/>
      <c r="N1740" s="65"/>
      <c r="O1740" s="65"/>
      <c r="P1740" s="65"/>
      <c r="Q1740" s="65"/>
      <c r="R1740" s="65"/>
      <c r="S1740" s="65"/>
      <c r="T1740" s="65"/>
      <c r="U1740" s="65"/>
      <c r="V1740" s="65"/>
      <c r="W1740" s="65"/>
      <c r="X1740" s="65"/>
      <c r="Y1740" s="65"/>
      <c r="Z1740" s="65"/>
      <c r="AA1740" s="65"/>
      <c r="AB1740" s="65"/>
      <c r="AC1740" s="65"/>
    </row>
    <row r="1741">
      <c r="A1741" s="70">
        <v>46.0</v>
      </c>
      <c r="B1741" s="67" t="s">
        <v>4742</v>
      </c>
      <c r="C1741" s="70" t="s">
        <v>56</v>
      </c>
      <c r="D1741" s="70" t="s">
        <v>271</v>
      </c>
      <c r="E1741" s="70" t="s">
        <v>4743</v>
      </c>
      <c r="F1741" s="70" t="s">
        <v>4744</v>
      </c>
      <c r="G1741" s="70" t="s">
        <v>4745</v>
      </c>
      <c r="H1741" s="70" t="s">
        <v>4746</v>
      </c>
      <c r="I1741" s="70">
        <v>66.84</v>
      </c>
      <c r="J1741" s="70" t="s">
        <v>58</v>
      </c>
      <c r="K1741" s="65"/>
      <c r="L1741" s="65"/>
      <c r="M1741" s="65"/>
      <c r="N1741" s="65"/>
      <c r="O1741" s="65"/>
      <c r="P1741" s="65"/>
      <c r="Q1741" s="65"/>
      <c r="R1741" s="65"/>
      <c r="S1741" s="65"/>
      <c r="T1741" s="65"/>
      <c r="U1741" s="65"/>
      <c r="V1741" s="65"/>
      <c r="W1741" s="65"/>
      <c r="X1741" s="65"/>
      <c r="Y1741" s="65"/>
      <c r="Z1741" s="65"/>
      <c r="AA1741" s="65"/>
      <c r="AB1741" s="65"/>
      <c r="AC1741" s="65"/>
    </row>
    <row r="1742">
      <c r="A1742" s="70">
        <v>45.0</v>
      </c>
      <c r="B1742" s="67" t="s">
        <v>4747</v>
      </c>
      <c r="C1742" s="70" t="s">
        <v>56</v>
      </c>
      <c r="D1742" s="70" t="s">
        <v>114</v>
      </c>
      <c r="E1742" s="70" t="s">
        <v>4748</v>
      </c>
      <c r="F1742" s="70" t="s">
        <v>896</v>
      </c>
      <c r="G1742" s="70" t="s">
        <v>4749</v>
      </c>
      <c r="H1742" s="70" t="s">
        <v>4750</v>
      </c>
      <c r="I1742" s="70">
        <v>31.52</v>
      </c>
      <c r="J1742" s="70" t="s">
        <v>58</v>
      </c>
      <c r="K1742" s="65"/>
      <c r="L1742" s="65"/>
      <c r="M1742" s="65"/>
      <c r="N1742" s="65"/>
      <c r="O1742" s="65"/>
      <c r="P1742" s="65"/>
      <c r="Q1742" s="65"/>
      <c r="R1742" s="65"/>
      <c r="S1742" s="65"/>
      <c r="T1742" s="65"/>
      <c r="U1742" s="65"/>
      <c r="V1742" s="65"/>
      <c r="W1742" s="65"/>
      <c r="X1742" s="65"/>
      <c r="Y1742" s="65"/>
      <c r="Z1742" s="65"/>
      <c r="AA1742" s="65"/>
      <c r="AB1742" s="65"/>
      <c r="AC1742" s="65"/>
    </row>
    <row r="1743">
      <c r="A1743" s="70">
        <v>44.0</v>
      </c>
      <c r="B1743" s="67" t="s">
        <v>4751</v>
      </c>
      <c r="C1743" s="70" t="s">
        <v>60</v>
      </c>
      <c r="D1743" s="70" t="s">
        <v>4752</v>
      </c>
      <c r="E1743" s="70" t="s">
        <v>4753</v>
      </c>
      <c r="F1743" s="70" t="s">
        <v>4754</v>
      </c>
      <c r="G1743" s="70" t="s">
        <v>4755</v>
      </c>
      <c r="H1743" s="70" t="s">
        <v>4756</v>
      </c>
      <c r="I1743" s="70">
        <v>25.47</v>
      </c>
      <c r="J1743" s="70" t="s">
        <v>58</v>
      </c>
      <c r="K1743" s="65"/>
      <c r="L1743" s="65"/>
      <c r="M1743" s="65"/>
      <c r="N1743" s="65"/>
      <c r="O1743" s="65"/>
      <c r="P1743" s="65"/>
      <c r="Q1743" s="65"/>
      <c r="R1743" s="65"/>
      <c r="S1743" s="65"/>
      <c r="T1743" s="65"/>
      <c r="U1743" s="65"/>
      <c r="V1743" s="65"/>
      <c r="W1743" s="65"/>
      <c r="X1743" s="65"/>
      <c r="Y1743" s="65"/>
      <c r="Z1743" s="65"/>
      <c r="AA1743" s="65"/>
      <c r="AB1743" s="65"/>
      <c r="AC1743" s="65"/>
    </row>
    <row r="1744">
      <c r="A1744" s="70">
        <v>43.0</v>
      </c>
      <c r="B1744" s="67" t="s">
        <v>4757</v>
      </c>
      <c r="C1744" s="70" t="s">
        <v>56</v>
      </c>
      <c r="D1744" s="70" t="s">
        <v>588</v>
      </c>
      <c r="E1744" s="70" t="s">
        <v>4758</v>
      </c>
      <c r="F1744" s="70" t="s">
        <v>4759</v>
      </c>
      <c r="G1744" s="70" t="s">
        <v>4760</v>
      </c>
      <c r="H1744" s="70" t="s">
        <v>4761</v>
      </c>
      <c r="I1744" s="70">
        <v>35.03</v>
      </c>
      <c r="J1744" s="70" t="s">
        <v>58</v>
      </c>
      <c r="K1744" s="65"/>
      <c r="L1744" s="65"/>
      <c r="M1744" s="65"/>
      <c r="N1744" s="65"/>
      <c r="O1744" s="65"/>
      <c r="P1744" s="65"/>
      <c r="Q1744" s="65"/>
      <c r="R1744" s="65"/>
      <c r="S1744" s="65"/>
      <c r="T1744" s="65"/>
      <c r="U1744" s="65"/>
      <c r="V1744" s="65"/>
      <c r="W1744" s="65"/>
      <c r="X1744" s="65"/>
      <c r="Y1744" s="65"/>
      <c r="Z1744" s="65"/>
      <c r="AA1744" s="65"/>
      <c r="AB1744" s="65"/>
      <c r="AC1744" s="65"/>
    </row>
    <row r="1745">
      <c r="A1745" s="70">
        <v>42.0</v>
      </c>
      <c r="B1745" s="67" t="s">
        <v>4762</v>
      </c>
      <c r="C1745" s="70" t="s">
        <v>60</v>
      </c>
      <c r="D1745" s="70" t="s">
        <v>4763</v>
      </c>
      <c r="E1745" s="70" t="s">
        <v>4764</v>
      </c>
      <c r="F1745" s="70" t="s">
        <v>4765</v>
      </c>
      <c r="G1745" s="70" t="s">
        <v>4766</v>
      </c>
      <c r="H1745" s="70" t="s">
        <v>4767</v>
      </c>
      <c r="I1745" s="70">
        <v>51.4</v>
      </c>
      <c r="J1745" s="70" t="s">
        <v>58</v>
      </c>
      <c r="K1745" s="65"/>
      <c r="L1745" s="65"/>
      <c r="M1745" s="65"/>
      <c r="N1745" s="65"/>
      <c r="O1745" s="65"/>
      <c r="P1745" s="65"/>
      <c r="Q1745" s="65"/>
      <c r="R1745" s="65"/>
      <c r="S1745" s="65"/>
      <c r="T1745" s="65"/>
      <c r="U1745" s="65"/>
      <c r="V1745" s="65"/>
      <c r="W1745" s="65"/>
      <c r="X1745" s="65"/>
      <c r="Y1745" s="65"/>
      <c r="Z1745" s="65"/>
      <c r="AA1745" s="65"/>
      <c r="AB1745" s="65"/>
      <c r="AC1745" s="65"/>
    </row>
    <row r="1746">
      <c r="A1746" s="70">
        <v>41.0</v>
      </c>
      <c r="B1746" s="67" t="s">
        <v>4768</v>
      </c>
      <c r="C1746" s="70" t="s">
        <v>60</v>
      </c>
      <c r="D1746" s="70" t="s">
        <v>93</v>
      </c>
      <c r="E1746" s="70" t="s">
        <v>4769</v>
      </c>
      <c r="F1746" s="70" t="s">
        <v>4770</v>
      </c>
      <c r="G1746" s="70" t="s">
        <v>4771</v>
      </c>
      <c r="H1746" s="70" t="s">
        <v>4772</v>
      </c>
      <c r="I1746" s="70">
        <v>33.83</v>
      </c>
      <c r="J1746" s="70" t="s">
        <v>58</v>
      </c>
      <c r="K1746" s="65"/>
      <c r="L1746" s="65"/>
      <c r="M1746" s="65"/>
      <c r="N1746" s="65"/>
      <c r="O1746" s="65"/>
      <c r="P1746" s="65"/>
      <c r="Q1746" s="65"/>
      <c r="R1746" s="65"/>
      <c r="S1746" s="65"/>
      <c r="T1746" s="65"/>
      <c r="U1746" s="65"/>
      <c r="V1746" s="65"/>
      <c r="W1746" s="65"/>
      <c r="X1746" s="65"/>
      <c r="Y1746" s="65"/>
      <c r="Z1746" s="65"/>
      <c r="AA1746" s="65"/>
      <c r="AB1746" s="65"/>
      <c r="AC1746" s="65"/>
    </row>
    <row r="1747">
      <c r="A1747" s="70">
        <v>40.0</v>
      </c>
      <c r="B1747" s="67" t="s">
        <v>4773</v>
      </c>
      <c r="C1747" s="70" t="s">
        <v>56</v>
      </c>
      <c r="D1747" s="70" t="s">
        <v>4016</v>
      </c>
      <c r="E1747" s="70" t="s">
        <v>4774</v>
      </c>
      <c r="F1747" s="70" t="s">
        <v>1348</v>
      </c>
      <c r="G1747" s="70" t="s">
        <v>4775</v>
      </c>
      <c r="H1747" s="70" t="s">
        <v>4776</v>
      </c>
      <c r="I1747" s="70">
        <v>50.27</v>
      </c>
      <c r="J1747" s="70" t="s">
        <v>58</v>
      </c>
      <c r="K1747" s="65"/>
      <c r="L1747" s="65"/>
      <c r="M1747" s="65"/>
      <c r="N1747" s="65"/>
      <c r="O1747" s="65"/>
      <c r="P1747" s="65"/>
      <c r="Q1747" s="65"/>
      <c r="R1747" s="65"/>
      <c r="S1747" s="65"/>
      <c r="T1747" s="65"/>
      <c r="U1747" s="65"/>
      <c r="V1747" s="65"/>
      <c r="W1747" s="65"/>
      <c r="X1747" s="65"/>
      <c r="Y1747" s="65"/>
      <c r="Z1747" s="65"/>
      <c r="AA1747" s="65"/>
      <c r="AB1747" s="65"/>
      <c r="AC1747" s="65"/>
    </row>
    <row r="1748">
      <c r="A1748" s="70">
        <v>39.0</v>
      </c>
      <c r="B1748" s="67" t="s">
        <v>4777</v>
      </c>
      <c r="C1748" s="70" t="s">
        <v>56</v>
      </c>
      <c r="D1748" s="70" t="s">
        <v>4016</v>
      </c>
      <c r="E1748" s="70" t="s">
        <v>4778</v>
      </c>
      <c r="F1748" s="70" t="s">
        <v>4779</v>
      </c>
      <c r="G1748" s="70" t="s">
        <v>4780</v>
      </c>
      <c r="H1748" s="70" t="s">
        <v>4781</v>
      </c>
      <c r="I1748" s="70">
        <v>59.49</v>
      </c>
      <c r="J1748" s="70" t="s">
        <v>58</v>
      </c>
      <c r="K1748" s="65"/>
      <c r="L1748" s="65"/>
      <c r="M1748" s="65"/>
      <c r="N1748" s="65"/>
      <c r="O1748" s="65"/>
      <c r="P1748" s="65"/>
      <c r="Q1748" s="65"/>
      <c r="R1748" s="65"/>
      <c r="S1748" s="65"/>
      <c r="T1748" s="65"/>
      <c r="U1748" s="65"/>
      <c r="V1748" s="65"/>
      <c r="W1748" s="65"/>
      <c r="X1748" s="65"/>
      <c r="Y1748" s="65"/>
      <c r="Z1748" s="65"/>
      <c r="AA1748" s="65"/>
      <c r="AB1748" s="65"/>
      <c r="AC1748" s="65"/>
    </row>
    <row r="1749">
      <c r="A1749" s="70">
        <v>38.0</v>
      </c>
      <c r="B1749" s="67" t="s">
        <v>4782</v>
      </c>
      <c r="C1749" s="70" t="s">
        <v>56</v>
      </c>
      <c r="D1749" s="70" t="s">
        <v>70</v>
      </c>
      <c r="E1749" s="70" t="s">
        <v>4783</v>
      </c>
      <c r="F1749" s="70" t="s">
        <v>4784</v>
      </c>
      <c r="G1749" s="70" t="s">
        <v>4785</v>
      </c>
      <c r="H1749" s="70" t="s">
        <v>4786</v>
      </c>
      <c r="I1749" s="70">
        <v>46.16</v>
      </c>
      <c r="J1749" s="70" t="s">
        <v>58</v>
      </c>
      <c r="K1749" s="65"/>
      <c r="L1749" s="65"/>
      <c r="M1749" s="65"/>
      <c r="N1749" s="65"/>
      <c r="O1749" s="65"/>
      <c r="P1749" s="65"/>
      <c r="Q1749" s="65"/>
      <c r="R1749" s="65"/>
      <c r="S1749" s="65"/>
      <c r="T1749" s="65"/>
      <c r="U1749" s="65"/>
      <c r="V1749" s="65"/>
      <c r="W1749" s="65"/>
      <c r="X1749" s="65"/>
      <c r="Y1749" s="65"/>
      <c r="Z1749" s="65"/>
      <c r="AA1749" s="65"/>
      <c r="AB1749" s="65"/>
      <c r="AC1749" s="65"/>
    </row>
    <row r="1750">
      <c r="A1750" s="70">
        <v>37.0</v>
      </c>
      <c r="B1750" s="67" t="s">
        <v>4787</v>
      </c>
      <c r="C1750" s="70" t="s">
        <v>60</v>
      </c>
      <c r="D1750" s="70" t="s">
        <v>4788</v>
      </c>
      <c r="E1750" s="70" t="s">
        <v>4789</v>
      </c>
      <c r="F1750" s="70" t="s">
        <v>4790</v>
      </c>
      <c r="G1750" s="70" t="s">
        <v>4791</v>
      </c>
      <c r="H1750" s="70" t="s">
        <v>4792</v>
      </c>
      <c r="I1750" s="70">
        <v>46.79</v>
      </c>
      <c r="J1750" s="70" t="s">
        <v>58</v>
      </c>
      <c r="K1750" s="65"/>
      <c r="L1750" s="65"/>
      <c r="M1750" s="65"/>
      <c r="N1750" s="65"/>
      <c r="O1750" s="65"/>
      <c r="P1750" s="65"/>
      <c r="Q1750" s="65"/>
      <c r="R1750" s="65"/>
      <c r="S1750" s="65"/>
      <c r="T1750" s="65"/>
      <c r="U1750" s="65"/>
      <c r="V1750" s="65"/>
      <c r="W1750" s="65"/>
      <c r="X1750" s="65"/>
      <c r="Y1750" s="65"/>
      <c r="Z1750" s="65"/>
      <c r="AA1750" s="65"/>
      <c r="AB1750" s="65"/>
      <c r="AC1750" s="65"/>
    </row>
    <row r="1751">
      <c r="A1751" s="70">
        <v>36.0</v>
      </c>
      <c r="B1751" s="67" t="s">
        <v>4793</v>
      </c>
      <c r="C1751" s="70" t="s">
        <v>56</v>
      </c>
      <c r="D1751" s="70" t="s">
        <v>284</v>
      </c>
      <c r="E1751" s="70" t="s">
        <v>4794</v>
      </c>
      <c r="F1751" s="70" t="s">
        <v>4795</v>
      </c>
      <c r="G1751" s="70" t="s">
        <v>4796</v>
      </c>
      <c r="H1751" s="70" t="s">
        <v>4797</v>
      </c>
      <c r="I1751" s="70">
        <v>50.72</v>
      </c>
      <c r="J1751" s="70" t="s">
        <v>58</v>
      </c>
      <c r="K1751" s="65"/>
      <c r="L1751" s="65"/>
      <c r="M1751" s="65"/>
      <c r="N1751" s="65"/>
      <c r="O1751" s="65"/>
      <c r="P1751" s="65"/>
      <c r="Q1751" s="65"/>
      <c r="R1751" s="65"/>
      <c r="S1751" s="65"/>
      <c r="T1751" s="65"/>
      <c r="U1751" s="65"/>
      <c r="V1751" s="65"/>
      <c r="W1751" s="65"/>
      <c r="X1751" s="65"/>
      <c r="Y1751" s="65"/>
      <c r="Z1751" s="65"/>
      <c r="AA1751" s="65"/>
      <c r="AB1751" s="65"/>
      <c r="AC1751" s="65"/>
    </row>
    <row r="1752">
      <c r="A1752" s="70">
        <v>35.0</v>
      </c>
      <c r="B1752" s="67" t="s">
        <v>4798</v>
      </c>
      <c r="C1752" s="70" t="s">
        <v>69</v>
      </c>
      <c r="D1752" s="70" t="s">
        <v>484</v>
      </c>
      <c r="E1752" s="70" t="s">
        <v>4799</v>
      </c>
      <c r="F1752" s="70" t="s">
        <v>896</v>
      </c>
      <c r="G1752" s="70" t="s">
        <v>4800</v>
      </c>
      <c r="H1752" s="70" t="s">
        <v>4801</v>
      </c>
      <c r="I1752" s="70">
        <v>42.81</v>
      </c>
      <c r="J1752" s="70" t="s">
        <v>58</v>
      </c>
      <c r="K1752" s="65"/>
      <c r="L1752" s="65"/>
      <c r="M1752" s="65"/>
      <c r="N1752" s="65"/>
      <c r="O1752" s="65"/>
      <c r="P1752" s="65"/>
      <c r="Q1752" s="65"/>
      <c r="R1752" s="65"/>
      <c r="S1752" s="65"/>
      <c r="T1752" s="65"/>
      <c r="U1752" s="65"/>
      <c r="V1752" s="65"/>
      <c r="W1752" s="65"/>
      <c r="X1752" s="65"/>
      <c r="Y1752" s="65"/>
      <c r="Z1752" s="65"/>
      <c r="AA1752" s="65"/>
      <c r="AB1752" s="65"/>
      <c r="AC1752" s="65"/>
    </row>
    <row r="1753">
      <c r="A1753" s="70">
        <v>34.0</v>
      </c>
      <c r="B1753" s="67" t="s">
        <v>4802</v>
      </c>
      <c r="C1753" s="70" t="s">
        <v>56</v>
      </c>
      <c r="D1753" s="70" t="s">
        <v>484</v>
      </c>
      <c r="E1753" s="70" t="s">
        <v>4803</v>
      </c>
      <c r="F1753" s="70" t="s">
        <v>4804</v>
      </c>
      <c r="G1753" s="70" t="s">
        <v>4805</v>
      </c>
      <c r="H1753" s="70" t="s">
        <v>4806</v>
      </c>
      <c r="I1753" s="70">
        <v>37.38</v>
      </c>
      <c r="J1753" s="70" t="s">
        <v>58</v>
      </c>
      <c r="K1753" s="65"/>
      <c r="L1753" s="65"/>
      <c r="M1753" s="65"/>
      <c r="N1753" s="65"/>
      <c r="O1753" s="65"/>
      <c r="P1753" s="65"/>
      <c r="Q1753" s="65"/>
      <c r="R1753" s="65"/>
      <c r="S1753" s="65"/>
      <c r="T1753" s="65"/>
      <c r="U1753" s="65"/>
      <c r="V1753" s="65"/>
      <c r="W1753" s="65"/>
      <c r="X1753" s="65"/>
      <c r="Y1753" s="65"/>
      <c r="Z1753" s="65"/>
      <c r="AA1753" s="65"/>
      <c r="AB1753" s="65"/>
      <c r="AC1753" s="65"/>
    </row>
    <row r="1754">
      <c r="A1754" s="70">
        <v>33.0</v>
      </c>
      <c r="B1754" s="67" t="s">
        <v>4807</v>
      </c>
      <c r="C1754" s="70" t="s">
        <v>56</v>
      </c>
      <c r="D1754" s="70" t="s">
        <v>484</v>
      </c>
      <c r="E1754" s="70" t="s">
        <v>4808</v>
      </c>
      <c r="F1754" s="70" t="s">
        <v>4809</v>
      </c>
      <c r="G1754" s="70" t="s">
        <v>4810</v>
      </c>
      <c r="H1754" s="70" t="s">
        <v>4811</v>
      </c>
      <c r="I1754" s="70">
        <v>35.99</v>
      </c>
      <c r="J1754" s="70" t="s">
        <v>58</v>
      </c>
      <c r="K1754" s="65"/>
      <c r="L1754" s="65"/>
      <c r="M1754" s="65"/>
      <c r="N1754" s="65"/>
      <c r="O1754" s="65"/>
      <c r="P1754" s="65"/>
      <c r="Q1754" s="65"/>
      <c r="R1754" s="65"/>
      <c r="S1754" s="65"/>
      <c r="T1754" s="65"/>
      <c r="U1754" s="65"/>
      <c r="V1754" s="65"/>
      <c r="W1754" s="65"/>
      <c r="X1754" s="65"/>
      <c r="Y1754" s="65"/>
      <c r="Z1754" s="65"/>
      <c r="AA1754" s="65"/>
      <c r="AB1754" s="65"/>
      <c r="AC1754" s="65"/>
    </row>
    <row r="1755">
      <c r="A1755" s="70">
        <v>32.0</v>
      </c>
      <c r="B1755" s="67" t="s">
        <v>4812</v>
      </c>
      <c r="C1755" s="70" t="s">
        <v>60</v>
      </c>
      <c r="D1755" s="70" t="s">
        <v>161</v>
      </c>
      <c r="E1755" s="70" t="s">
        <v>4813</v>
      </c>
      <c r="F1755" s="70" t="s">
        <v>4814</v>
      </c>
      <c r="G1755" s="70" t="s">
        <v>4815</v>
      </c>
      <c r="H1755" s="70" t="s">
        <v>4816</v>
      </c>
      <c r="I1755" s="70">
        <v>29.36</v>
      </c>
      <c r="J1755" s="70" t="s">
        <v>58</v>
      </c>
      <c r="K1755" s="65"/>
      <c r="L1755" s="65"/>
      <c r="M1755" s="65"/>
      <c r="N1755" s="65"/>
      <c r="O1755" s="65"/>
      <c r="P1755" s="65"/>
      <c r="Q1755" s="65"/>
      <c r="R1755" s="65"/>
      <c r="S1755" s="65"/>
      <c r="T1755" s="65"/>
      <c r="U1755" s="65"/>
      <c r="V1755" s="65"/>
      <c r="W1755" s="65"/>
      <c r="X1755" s="65"/>
      <c r="Y1755" s="65"/>
      <c r="Z1755" s="65"/>
      <c r="AA1755" s="65"/>
      <c r="AB1755" s="65"/>
      <c r="AC1755" s="65"/>
    </row>
    <row r="1756">
      <c r="A1756" s="70">
        <v>31.0</v>
      </c>
      <c r="B1756" s="67" t="s">
        <v>4817</v>
      </c>
      <c r="C1756" s="70" t="s">
        <v>56</v>
      </c>
      <c r="D1756" s="70" t="s">
        <v>93</v>
      </c>
      <c r="E1756" s="70" t="s">
        <v>4818</v>
      </c>
      <c r="F1756" s="70" t="s">
        <v>4819</v>
      </c>
      <c r="G1756" s="70" t="s">
        <v>4820</v>
      </c>
      <c r="H1756" s="70" t="s">
        <v>4821</v>
      </c>
      <c r="I1756" s="70">
        <v>33.83</v>
      </c>
      <c r="J1756" s="70" t="s">
        <v>58</v>
      </c>
      <c r="K1756" s="65"/>
      <c r="L1756" s="65"/>
      <c r="M1756" s="65"/>
      <c r="N1756" s="65"/>
      <c r="O1756" s="65"/>
      <c r="P1756" s="65"/>
      <c r="Q1756" s="65"/>
      <c r="R1756" s="65"/>
      <c r="S1756" s="65"/>
      <c r="T1756" s="65"/>
      <c r="U1756" s="65"/>
      <c r="V1756" s="65"/>
      <c r="W1756" s="65"/>
      <c r="X1756" s="65"/>
      <c r="Y1756" s="65"/>
      <c r="Z1756" s="65"/>
      <c r="AA1756" s="65"/>
      <c r="AB1756" s="65"/>
      <c r="AC1756" s="65"/>
    </row>
    <row r="1757">
      <c r="A1757" s="70">
        <v>30.0</v>
      </c>
      <c r="B1757" s="67" t="s">
        <v>4822</v>
      </c>
      <c r="C1757" s="70" t="s">
        <v>60</v>
      </c>
      <c r="D1757" s="70" t="s">
        <v>2690</v>
      </c>
      <c r="E1757" s="70" t="s">
        <v>4823</v>
      </c>
      <c r="F1757" s="70" t="s">
        <v>1017</v>
      </c>
      <c r="G1757" s="70" t="s">
        <v>4824</v>
      </c>
      <c r="H1757" s="70" t="s">
        <v>4825</v>
      </c>
      <c r="I1757" s="70">
        <v>26.28</v>
      </c>
      <c r="J1757" s="70" t="s">
        <v>58</v>
      </c>
      <c r="K1757" s="65"/>
      <c r="L1757" s="65"/>
      <c r="M1757" s="65"/>
      <c r="N1757" s="65"/>
      <c r="O1757" s="65"/>
      <c r="P1757" s="65"/>
      <c r="Q1757" s="65"/>
      <c r="R1757" s="65"/>
      <c r="S1757" s="65"/>
      <c r="T1757" s="65"/>
      <c r="U1757" s="65"/>
      <c r="V1757" s="65"/>
      <c r="W1757" s="65"/>
      <c r="X1757" s="65"/>
      <c r="Y1757" s="65"/>
      <c r="Z1757" s="65"/>
      <c r="AA1757" s="65"/>
      <c r="AB1757" s="65"/>
      <c r="AC1757" s="65"/>
    </row>
    <row r="1758">
      <c r="A1758" s="70">
        <v>29.0</v>
      </c>
      <c r="B1758" s="67" t="s">
        <v>4826</v>
      </c>
      <c r="C1758" s="70" t="s">
        <v>56</v>
      </c>
      <c r="D1758" s="70" t="s">
        <v>175</v>
      </c>
      <c r="E1758" s="70" t="s">
        <v>4827</v>
      </c>
      <c r="F1758" s="70" t="s">
        <v>800</v>
      </c>
      <c r="G1758" s="70" t="s">
        <v>4828</v>
      </c>
      <c r="H1758" s="70" t="s">
        <v>4829</v>
      </c>
      <c r="I1758" s="70">
        <v>16.93</v>
      </c>
      <c r="J1758" s="70" t="s">
        <v>58</v>
      </c>
      <c r="K1758" s="65"/>
      <c r="L1758" s="65"/>
      <c r="M1758" s="65"/>
      <c r="N1758" s="65"/>
      <c r="O1758" s="65"/>
      <c r="P1758" s="65"/>
      <c r="Q1758" s="65"/>
      <c r="R1758" s="65"/>
      <c r="S1758" s="65"/>
      <c r="T1758" s="65"/>
      <c r="U1758" s="65"/>
      <c r="V1758" s="65"/>
      <c r="W1758" s="65"/>
      <c r="X1758" s="65"/>
      <c r="Y1758" s="65"/>
      <c r="Z1758" s="65"/>
      <c r="AA1758" s="65"/>
      <c r="AB1758" s="65"/>
      <c r="AC1758" s="65"/>
    </row>
    <row r="1759">
      <c r="A1759" s="70">
        <v>28.0</v>
      </c>
      <c r="B1759" s="67" t="s">
        <v>4830</v>
      </c>
      <c r="C1759" s="70" t="s">
        <v>69</v>
      </c>
      <c r="D1759" s="70" t="s">
        <v>1165</v>
      </c>
      <c r="E1759" s="70" t="s">
        <v>4831</v>
      </c>
      <c r="F1759" s="70" t="s">
        <v>800</v>
      </c>
      <c r="G1759" s="70" t="s">
        <v>4832</v>
      </c>
      <c r="H1759" s="70" t="s">
        <v>4833</v>
      </c>
      <c r="I1759" s="70">
        <v>35.29</v>
      </c>
      <c r="J1759" s="70" t="s">
        <v>58</v>
      </c>
      <c r="K1759" s="65"/>
      <c r="L1759" s="65"/>
      <c r="M1759" s="65"/>
      <c r="N1759" s="65"/>
      <c r="O1759" s="65"/>
      <c r="P1759" s="65"/>
      <c r="Q1759" s="65"/>
      <c r="R1759" s="65"/>
      <c r="S1759" s="65"/>
      <c r="T1759" s="65"/>
      <c r="U1759" s="65"/>
      <c r="V1759" s="65"/>
      <c r="W1759" s="65"/>
      <c r="X1759" s="65"/>
      <c r="Y1759" s="65"/>
      <c r="Z1759" s="65"/>
      <c r="AA1759" s="65"/>
      <c r="AB1759" s="65"/>
      <c r="AC1759" s="65"/>
    </row>
    <row r="1760">
      <c r="A1760" s="70">
        <v>27.0</v>
      </c>
      <c r="B1760" s="67" t="s">
        <v>4834</v>
      </c>
      <c r="C1760" s="70" t="s">
        <v>69</v>
      </c>
      <c r="D1760" s="70" t="s">
        <v>1755</v>
      </c>
      <c r="E1760" s="70" t="s">
        <v>4835</v>
      </c>
      <c r="F1760" s="70" t="s">
        <v>4836</v>
      </c>
      <c r="G1760" s="70" t="s">
        <v>4837</v>
      </c>
      <c r="H1760" s="70" t="s">
        <v>4838</v>
      </c>
      <c r="I1760" s="70">
        <v>49.36</v>
      </c>
      <c r="J1760" s="70" t="s">
        <v>58</v>
      </c>
      <c r="K1760" s="65"/>
      <c r="L1760" s="65"/>
      <c r="M1760" s="65"/>
      <c r="N1760" s="65"/>
      <c r="O1760" s="65"/>
      <c r="P1760" s="65"/>
      <c r="Q1760" s="65"/>
      <c r="R1760" s="65"/>
      <c r="S1760" s="65"/>
      <c r="T1760" s="65"/>
      <c r="U1760" s="65"/>
      <c r="V1760" s="65"/>
      <c r="W1760" s="65"/>
      <c r="X1760" s="65"/>
      <c r="Y1760" s="65"/>
      <c r="Z1760" s="65"/>
      <c r="AA1760" s="65"/>
      <c r="AB1760" s="65"/>
      <c r="AC1760" s="65"/>
    </row>
    <row r="1761">
      <c r="A1761" s="70">
        <v>26.0</v>
      </c>
      <c r="B1761" s="67" t="s">
        <v>4839</v>
      </c>
      <c r="C1761" s="70" t="s">
        <v>69</v>
      </c>
      <c r="D1761" s="70" t="s">
        <v>1755</v>
      </c>
      <c r="E1761" s="70" t="s">
        <v>4840</v>
      </c>
      <c r="F1761" s="70" t="s">
        <v>3581</v>
      </c>
      <c r="G1761" s="70" t="s">
        <v>4841</v>
      </c>
      <c r="H1761" s="70" t="s">
        <v>4842</v>
      </c>
      <c r="I1761" s="70">
        <v>46.67</v>
      </c>
      <c r="J1761" s="70" t="s">
        <v>58</v>
      </c>
      <c r="K1761" s="65"/>
      <c r="L1761" s="65"/>
      <c r="M1761" s="65"/>
      <c r="N1761" s="65"/>
      <c r="O1761" s="65"/>
      <c r="P1761" s="65"/>
      <c r="Q1761" s="65"/>
      <c r="R1761" s="65"/>
      <c r="S1761" s="65"/>
      <c r="T1761" s="65"/>
      <c r="U1761" s="65"/>
      <c r="V1761" s="65"/>
      <c r="W1761" s="65"/>
      <c r="X1761" s="65"/>
      <c r="Y1761" s="65"/>
      <c r="Z1761" s="65"/>
      <c r="AA1761" s="65"/>
      <c r="AB1761" s="65"/>
      <c r="AC1761" s="65"/>
    </row>
    <row r="1762">
      <c r="A1762" s="70">
        <v>25.0</v>
      </c>
      <c r="B1762" s="67" t="s">
        <v>4843</v>
      </c>
      <c r="C1762" s="70" t="s">
        <v>60</v>
      </c>
      <c r="D1762" s="70" t="s">
        <v>206</v>
      </c>
      <c r="E1762" s="70" t="s">
        <v>4844</v>
      </c>
      <c r="F1762" s="70" t="s">
        <v>4845</v>
      </c>
      <c r="G1762" s="70" t="s">
        <v>4846</v>
      </c>
      <c r="H1762" s="70" t="s">
        <v>4847</v>
      </c>
      <c r="I1762" s="70">
        <v>45.12</v>
      </c>
      <c r="J1762" s="70" t="s">
        <v>58</v>
      </c>
      <c r="K1762" s="65"/>
      <c r="L1762" s="65"/>
      <c r="M1762" s="65"/>
      <c r="N1762" s="65"/>
      <c r="O1762" s="65"/>
      <c r="P1762" s="65"/>
      <c r="Q1762" s="65"/>
      <c r="R1762" s="65"/>
      <c r="S1762" s="65"/>
      <c r="T1762" s="65"/>
      <c r="U1762" s="65"/>
      <c r="V1762" s="65"/>
      <c r="W1762" s="65"/>
      <c r="X1762" s="65"/>
      <c r="Y1762" s="65"/>
      <c r="Z1762" s="65"/>
      <c r="AA1762" s="65"/>
      <c r="AB1762" s="65"/>
      <c r="AC1762" s="65"/>
    </row>
    <row r="1763">
      <c r="A1763" s="70">
        <v>24.0</v>
      </c>
      <c r="B1763" s="67" t="s">
        <v>4848</v>
      </c>
      <c r="C1763" s="70" t="s">
        <v>56</v>
      </c>
      <c r="D1763" s="70" t="s">
        <v>3420</v>
      </c>
      <c r="E1763" s="70" t="s">
        <v>4849</v>
      </c>
      <c r="F1763" s="70" t="s">
        <v>4850</v>
      </c>
      <c r="G1763" s="70" t="s">
        <v>4851</v>
      </c>
      <c r="H1763" s="70" t="s">
        <v>4852</v>
      </c>
      <c r="I1763" s="70">
        <v>53.3</v>
      </c>
      <c r="J1763" s="70" t="s">
        <v>58</v>
      </c>
      <c r="K1763" s="65"/>
      <c r="L1763" s="65"/>
      <c r="M1763" s="65"/>
      <c r="N1763" s="65"/>
      <c r="O1763" s="65"/>
      <c r="P1763" s="65"/>
      <c r="Q1763" s="65"/>
      <c r="R1763" s="65"/>
      <c r="S1763" s="65"/>
      <c r="T1763" s="65"/>
      <c r="U1763" s="65"/>
      <c r="V1763" s="65"/>
      <c r="W1763" s="65"/>
      <c r="X1763" s="65"/>
      <c r="Y1763" s="65"/>
      <c r="Z1763" s="65"/>
      <c r="AA1763" s="65"/>
      <c r="AB1763" s="65"/>
      <c r="AC1763" s="65"/>
    </row>
    <row r="1764">
      <c r="A1764" s="70">
        <v>23.0</v>
      </c>
      <c r="B1764" s="67" t="s">
        <v>4853</v>
      </c>
      <c r="C1764" s="70" t="s">
        <v>60</v>
      </c>
      <c r="D1764" s="70" t="s">
        <v>4854</v>
      </c>
      <c r="E1764" s="70" t="s">
        <v>4855</v>
      </c>
      <c r="F1764" s="70" t="s">
        <v>4856</v>
      </c>
      <c r="G1764" s="70" t="s">
        <v>4857</v>
      </c>
      <c r="H1764" s="70" t="s">
        <v>4858</v>
      </c>
      <c r="I1764" s="70">
        <v>42.86</v>
      </c>
      <c r="J1764" s="70" t="s">
        <v>58</v>
      </c>
      <c r="K1764" s="65"/>
      <c r="L1764" s="65"/>
      <c r="M1764" s="65"/>
      <c r="N1764" s="65"/>
      <c r="O1764" s="65"/>
      <c r="P1764" s="65"/>
      <c r="Q1764" s="65"/>
      <c r="R1764" s="65"/>
      <c r="S1764" s="65"/>
      <c r="T1764" s="65"/>
      <c r="U1764" s="65"/>
      <c r="V1764" s="65"/>
      <c r="W1764" s="65"/>
      <c r="X1764" s="65"/>
      <c r="Y1764" s="65"/>
      <c r="Z1764" s="65"/>
      <c r="AA1764" s="65"/>
      <c r="AB1764" s="65"/>
      <c r="AC1764" s="65"/>
    </row>
    <row r="1765">
      <c r="A1765" s="70">
        <v>22.0</v>
      </c>
      <c r="B1765" s="67" t="s">
        <v>4859</v>
      </c>
      <c r="C1765" s="70" t="s">
        <v>56</v>
      </c>
      <c r="D1765" s="70" t="s">
        <v>4535</v>
      </c>
      <c r="E1765" s="70" t="s">
        <v>4860</v>
      </c>
      <c r="F1765" s="70" t="s">
        <v>4861</v>
      </c>
      <c r="G1765" s="70" t="s">
        <v>4862</v>
      </c>
      <c r="H1765" s="70" t="s">
        <v>4863</v>
      </c>
      <c r="I1765" s="70">
        <v>65.53</v>
      </c>
      <c r="J1765" s="70" t="s">
        <v>58</v>
      </c>
      <c r="K1765" s="65"/>
      <c r="L1765" s="65"/>
      <c r="M1765" s="65"/>
      <c r="N1765" s="65"/>
      <c r="O1765" s="65"/>
      <c r="P1765" s="65"/>
      <c r="Q1765" s="65"/>
      <c r="R1765" s="65"/>
      <c r="S1765" s="65"/>
      <c r="T1765" s="65"/>
      <c r="U1765" s="65"/>
      <c r="V1765" s="65"/>
      <c r="W1765" s="65"/>
      <c r="X1765" s="65"/>
      <c r="Y1765" s="65"/>
      <c r="Z1765" s="65"/>
      <c r="AA1765" s="65"/>
      <c r="AB1765" s="65"/>
      <c r="AC1765" s="65"/>
    </row>
    <row r="1766">
      <c r="A1766" s="70">
        <v>21.0</v>
      </c>
      <c r="B1766" s="67" t="s">
        <v>4864</v>
      </c>
      <c r="C1766" s="70" t="s">
        <v>69</v>
      </c>
      <c r="D1766" s="70" t="s">
        <v>3420</v>
      </c>
      <c r="E1766" s="70" t="s">
        <v>4865</v>
      </c>
      <c r="F1766" s="70" t="s">
        <v>4866</v>
      </c>
      <c r="G1766" s="70" t="s">
        <v>4867</v>
      </c>
      <c r="H1766" s="70" t="s">
        <v>4868</v>
      </c>
      <c r="I1766" s="70">
        <v>56.23</v>
      </c>
      <c r="J1766" s="70" t="s">
        <v>58</v>
      </c>
      <c r="K1766" s="65"/>
      <c r="L1766" s="65"/>
      <c r="M1766" s="65"/>
      <c r="N1766" s="65"/>
      <c r="O1766" s="65"/>
      <c r="P1766" s="65"/>
      <c r="Q1766" s="65"/>
      <c r="R1766" s="65"/>
      <c r="S1766" s="65"/>
      <c r="T1766" s="65"/>
      <c r="U1766" s="65"/>
      <c r="V1766" s="65"/>
      <c r="W1766" s="65"/>
      <c r="X1766" s="65"/>
      <c r="Y1766" s="65"/>
      <c r="Z1766" s="65"/>
      <c r="AA1766" s="65"/>
      <c r="AB1766" s="65"/>
      <c r="AC1766" s="65"/>
    </row>
    <row r="1767">
      <c r="A1767" s="70">
        <v>20.0</v>
      </c>
      <c r="B1767" s="67" t="s">
        <v>4869</v>
      </c>
      <c r="C1767" s="70" t="s">
        <v>69</v>
      </c>
      <c r="D1767" s="70" t="s">
        <v>531</v>
      </c>
      <c r="E1767" s="70" t="s">
        <v>4870</v>
      </c>
      <c r="F1767" s="70" t="s">
        <v>4871</v>
      </c>
      <c r="G1767" s="70" t="s">
        <v>4872</v>
      </c>
      <c r="H1767" s="70" t="s">
        <v>4873</v>
      </c>
      <c r="I1767" s="70">
        <v>39.93</v>
      </c>
      <c r="J1767" s="70" t="s">
        <v>58</v>
      </c>
      <c r="K1767" s="65"/>
      <c r="L1767" s="65"/>
      <c r="M1767" s="65"/>
      <c r="N1767" s="65"/>
      <c r="O1767" s="65"/>
      <c r="P1767" s="65"/>
      <c r="Q1767" s="65"/>
      <c r="R1767" s="65"/>
      <c r="S1767" s="65"/>
      <c r="T1767" s="65"/>
      <c r="U1767" s="65"/>
      <c r="V1767" s="65"/>
      <c r="W1767" s="65"/>
      <c r="X1767" s="65"/>
      <c r="Y1767" s="65"/>
      <c r="Z1767" s="65"/>
      <c r="AA1767" s="65"/>
      <c r="AB1767" s="65"/>
      <c r="AC1767" s="65"/>
    </row>
    <row r="1768">
      <c r="A1768" s="70">
        <v>19.0</v>
      </c>
      <c r="B1768" s="67" t="s">
        <v>4874</v>
      </c>
      <c r="C1768" s="70" t="s">
        <v>56</v>
      </c>
      <c r="D1768" s="70" t="s">
        <v>3933</v>
      </c>
      <c r="E1768" s="70" t="s">
        <v>4875</v>
      </c>
      <c r="F1768" s="70" t="s">
        <v>4876</v>
      </c>
      <c r="G1768" s="70" t="s">
        <v>4877</v>
      </c>
      <c r="H1768" s="70" t="s">
        <v>4878</v>
      </c>
      <c r="I1768" s="70">
        <v>35.79</v>
      </c>
      <c r="J1768" s="70" t="s">
        <v>58</v>
      </c>
      <c r="K1768" s="65"/>
      <c r="L1768" s="65"/>
      <c r="M1768" s="65"/>
      <c r="N1768" s="65"/>
      <c r="O1768" s="65"/>
      <c r="P1768" s="65"/>
      <c r="Q1768" s="65"/>
      <c r="R1768" s="65"/>
      <c r="S1768" s="65"/>
      <c r="T1768" s="65"/>
      <c r="U1768" s="65"/>
      <c r="V1768" s="65"/>
      <c r="W1768" s="65"/>
      <c r="X1768" s="65"/>
      <c r="Y1768" s="65"/>
      <c r="Z1768" s="65"/>
      <c r="AA1768" s="65"/>
      <c r="AB1768" s="65"/>
      <c r="AC1768" s="65"/>
    </row>
    <row r="1769">
      <c r="A1769" s="70">
        <v>18.0</v>
      </c>
      <c r="B1769" s="67" t="s">
        <v>4879</v>
      </c>
      <c r="C1769" s="70" t="s">
        <v>56</v>
      </c>
      <c r="D1769" s="70" t="s">
        <v>227</v>
      </c>
      <c r="E1769" s="70" t="s">
        <v>4880</v>
      </c>
      <c r="F1769" s="70" t="s">
        <v>636</v>
      </c>
      <c r="G1769" s="70" t="s">
        <v>4881</v>
      </c>
      <c r="H1769" s="70" t="s">
        <v>4882</v>
      </c>
      <c r="I1769" s="70">
        <v>34.99</v>
      </c>
      <c r="J1769" s="70" t="s">
        <v>58</v>
      </c>
      <c r="K1769" s="65"/>
      <c r="L1769" s="65"/>
      <c r="M1769" s="65"/>
      <c r="N1769" s="65"/>
      <c r="O1769" s="65"/>
      <c r="P1769" s="65"/>
      <c r="Q1769" s="65"/>
      <c r="R1769" s="65"/>
      <c r="S1769" s="65"/>
      <c r="T1769" s="65"/>
      <c r="U1769" s="65"/>
      <c r="V1769" s="65"/>
      <c r="W1769" s="65"/>
      <c r="X1769" s="65"/>
      <c r="Y1769" s="65"/>
      <c r="Z1769" s="65"/>
      <c r="AA1769" s="65"/>
      <c r="AB1769" s="65"/>
      <c r="AC1769" s="65"/>
    </row>
    <row r="1770">
      <c r="A1770" s="70">
        <v>17.0</v>
      </c>
      <c r="B1770" s="67" t="s">
        <v>4883</v>
      </c>
      <c r="C1770" s="70" t="s">
        <v>56</v>
      </c>
      <c r="D1770" s="70" t="s">
        <v>4884</v>
      </c>
      <c r="E1770" s="70" t="s">
        <v>4885</v>
      </c>
      <c r="F1770" s="70" t="s">
        <v>4886</v>
      </c>
      <c r="G1770" s="70" t="s">
        <v>4887</v>
      </c>
      <c r="H1770" s="70" t="s">
        <v>4888</v>
      </c>
      <c r="I1770" s="70">
        <v>49.34</v>
      </c>
      <c r="J1770" s="70" t="s">
        <v>58</v>
      </c>
      <c r="K1770" s="65"/>
      <c r="L1770" s="65"/>
      <c r="M1770" s="65"/>
      <c r="N1770" s="65"/>
      <c r="O1770" s="65"/>
      <c r="P1770" s="65"/>
      <c r="Q1770" s="65"/>
      <c r="R1770" s="65"/>
      <c r="S1770" s="65"/>
      <c r="T1770" s="65"/>
      <c r="U1770" s="65"/>
      <c r="V1770" s="65"/>
      <c r="W1770" s="65"/>
      <c r="X1770" s="65"/>
      <c r="Y1770" s="65"/>
      <c r="Z1770" s="65"/>
      <c r="AA1770" s="65"/>
      <c r="AB1770" s="65"/>
      <c r="AC1770" s="65"/>
    </row>
    <row r="1771">
      <c r="A1771" s="70">
        <v>16.0</v>
      </c>
      <c r="B1771" s="67" t="s">
        <v>4889</v>
      </c>
      <c r="C1771" s="70" t="s">
        <v>56</v>
      </c>
      <c r="D1771" s="70" t="s">
        <v>1755</v>
      </c>
      <c r="E1771" s="70" t="s">
        <v>4890</v>
      </c>
      <c r="F1771" s="70" t="s">
        <v>4891</v>
      </c>
      <c r="G1771" s="70" t="s">
        <v>4892</v>
      </c>
      <c r="H1771" s="70" t="s">
        <v>4893</v>
      </c>
      <c r="I1771" s="70">
        <v>46.32</v>
      </c>
      <c r="J1771" s="70" t="s">
        <v>58</v>
      </c>
      <c r="K1771" s="65"/>
      <c r="L1771" s="65"/>
      <c r="M1771" s="65"/>
      <c r="N1771" s="65"/>
      <c r="O1771" s="65"/>
      <c r="P1771" s="65"/>
      <c r="Q1771" s="65"/>
      <c r="R1771" s="65"/>
      <c r="S1771" s="65"/>
      <c r="T1771" s="65"/>
      <c r="U1771" s="65"/>
      <c r="V1771" s="65"/>
      <c r="W1771" s="65"/>
      <c r="X1771" s="65"/>
      <c r="Y1771" s="65"/>
      <c r="Z1771" s="65"/>
      <c r="AA1771" s="65"/>
      <c r="AB1771" s="65"/>
      <c r="AC1771" s="65"/>
    </row>
    <row r="1772">
      <c r="A1772" s="70">
        <v>15.0</v>
      </c>
      <c r="B1772" s="67" t="s">
        <v>4894</v>
      </c>
      <c r="C1772" s="70" t="s">
        <v>56</v>
      </c>
      <c r="D1772" s="70" t="s">
        <v>1755</v>
      </c>
      <c r="E1772" s="70" t="s">
        <v>4895</v>
      </c>
      <c r="F1772" s="70" t="s">
        <v>4896</v>
      </c>
      <c r="G1772" s="70" t="s">
        <v>4897</v>
      </c>
      <c r="H1772" s="70" t="s">
        <v>4898</v>
      </c>
      <c r="I1772" s="70">
        <v>28.14</v>
      </c>
      <c r="J1772" s="70" t="s">
        <v>58</v>
      </c>
      <c r="K1772" s="65"/>
      <c r="L1772" s="65"/>
      <c r="M1772" s="65"/>
      <c r="N1772" s="65"/>
      <c r="O1772" s="65"/>
      <c r="P1772" s="65"/>
      <c r="Q1772" s="65"/>
      <c r="R1772" s="65"/>
      <c r="S1772" s="65"/>
      <c r="T1772" s="65"/>
      <c r="U1772" s="65"/>
      <c r="V1772" s="65"/>
      <c r="W1772" s="65"/>
      <c r="X1772" s="65"/>
      <c r="Y1772" s="65"/>
      <c r="Z1772" s="65"/>
      <c r="AA1772" s="65"/>
      <c r="AB1772" s="65"/>
      <c r="AC1772" s="65"/>
    </row>
    <row r="1773">
      <c r="A1773" s="70">
        <v>14.0</v>
      </c>
      <c r="B1773" s="67" t="s">
        <v>4899</v>
      </c>
      <c r="C1773" s="70" t="s">
        <v>69</v>
      </c>
      <c r="D1773" s="70" t="s">
        <v>70</v>
      </c>
      <c r="E1773" s="70" t="s">
        <v>4900</v>
      </c>
      <c r="F1773" s="70" t="s">
        <v>4901</v>
      </c>
      <c r="G1773" s="70" t="s">
        <v>4902</v>
      </c>
      <c r="H1773" s="70" t="s">
        <v>4903</v>
      </c>
      <c r="I1773" s="70">
        <v>36.16</v>
      </c>
      <c r="J1773" s="70" t="s">
        <v>58</v>
      </c>
      <c r="K1773" s="65"/>
      <c r="L1773" s="65"/>
      <c r="M1773" s="65"/>
      <c r="N1773" s="65"/>
      <c r="O1773" s="65"/>
      <c r="P1773" s="65"/>
      <c r="Q1773" s="65"/>
      <c r="R1773" s="65"/>
      <c r="S1773" s="65"/>
      <c r="T1773" s="65"/>
      <c r="U1773" s="65"/>
      <c r="V1773" s="65"/>
      <c r="W1773" s="65"/>
      <c r="X1773" s="65"/>
      <c r="Y1773" s="65"/>
      <c r="Z1773" s="65"/>
      <c r="AA1773" s="65"/>
      <c r="AB1773" s="65"/>
      <c r="AC1773" s="65"/>
    </row>
    <row r="1774">
      <c r="A1774" s="70">
        <v>13.0</v>
      </c>
      <c r="B1774" s="67" t="s">
        <v>4904</v>
      </c>
      <c r="C1774" s="70" t="s">
        <v>69</v>
      </c>
      <c r="D1774" s="70" t="s">
        <v>588</v>
      </c>
      <c r="E1774" s="70" t="s">
        <v>4905</v>
      </c>
      <c r="F1774" s="70" t="s">
        <v>4906</v>
      </c>
      <c r="G1774" s="70" t="s">
        <v>4907</v>
      </c>
      <c r="H1774" s="70" t="s">
        <v>4908</v>
      </c>
      <c r="I1774" s="70">
        <v>56.94</v>
      </c>
      <c r="J1774" s="70" t="s">
        <v>58</v>
      </c>
      <c r="K1774" s="65"/>
      <c r="L1774" s="65"/>
      <c r="M1774" s="65"/>
      <c r="N1774" s="65"/>
      <c r="O1774" s="65"/>
      <c r="P1774" s="65"/>
      <c r="Q1774" s="65"/>
      <c r="R1774" s="65"/>
      <c r="S1774" s="65"/>
      <c r="T1774" s="65"/>
      <c r="U1774" s="65"/>
      <c r="V1774" s="65"/>
      <c r="W1774" s="65"/>
      <c r="X1774" s="65"/>
      <c r="Y1774" s="65"/>
      <c r="Z1774" s="65"/>
      <c r="AA1774" s="65"/>
      <c r="AB1774" s="65"/>
      <c r="AC1774" s="65"/>
    </row>
    <row r="1775">
      <c r="A1775" s="70">
        <v>12.0</v>
      </c>
      <c r="B1775" s="67" t="s">
        <v>4909</v>
      </c>
      <c r="C1775" s="70" t="s">
        <v>56</v>
      </c>
      <c r="D1775" s="70" t="s">
        <v>588</v>
      </c>
      <c r="E1775" s="70" t="s">
        <v>4910</v>
      </c>
      <c r="F1775" s="70" t="s">
        <v>4911</v>
      </c>
      <c r="G1775" s="70" t="s">
        <v>4912</v>
      </c>
      <c r="H1775" s="70" t="s">
        <v>4913</v>
      </c>
      <c r="I1775" s="70">
        <v>57.0</v>
      </c>
      <c r="J1775" s="70" t="s">
        <v>58</v>
      </c>
      <c r="K1775" s="65"/>
      <c r="L1775" s="65"/>
      <c r="M1775" s="65"/>
      <c r="N1775" s="65"/>
      <c r="O1775" s="65"/>
      <c r="P1775" s="65"/>
      <c r="Q1775" s="65"/>
      <c r="R1775" s="65"/>
      <c r="S1775" s="65"/>
      <c r="T1775" s="65"/>
      <c r="U1775" s="65"/>
      <c r="V1775" s="65"/>
      <c r="W1775" s="65"/>
      <c r="X1775" s="65"/>
      <c r="Y1775" s="65"/>
      <c r="Z1775" s="65"/>
      <c r="AA1775" s="65"/>
      <c r="AB1775" s="65"/>
      <c r="AC1775" s="65"/>
    </row>
    <row r="1776">
      <c r="A1776" s="70">
        <v>11.0</v>
      </c>
      <c r="B1776" s="67" t="s">
        <v>4914</v>
      </c>
      <c r="C1776" s="70" t="s">
        <v>56</v>
      </c>
      <c r="D1776" s="70" t="s">
        <v>1755</v>
      </c>
      <c r="E1776" s="70" t="s">
        <v>4915</v>
      </c>
      <c r="F1776" s="70" t="s">
        <v>4916</v>
      </c>
      <c r="G1776" s="70" t="s">
        <v>4917</v>
      </c>
      <c r="H1776" s="70" t="s">
        <v>4918</v>
      </c>
      <c r="I1776" s="70">
        <v>52.84</v>
      </c>
      <c r="J1776" s="70" t="s">
        <v>58</v>
      </c>
      <c r="K1776" s="65"/>
      <c r="L1776" s="65"/>
      <c r="M1776" s="65"/>
      <c r="N1776" s="65"/>
      <c r="O1776" s="65"/>
      <c r="P1776" s="65"/>
      <c r="Q1776" s="65"/>
      <c r="R1776" s="65"/>
      <c r="S1776" s="65"/>
      <c r="T1776" s="65"/>
      <c r="U1776" s="65"/>
      <c r="V1776" s="65"/>
      <c r="W1776" s="65"/>
      <c r="X1776" s="65"/>
      <c r="Y1776" s="65"/>
      <c r="Z1776" s="65"/>
      <c r="AA1776" s="65"/>
      <c r="AB1776" s="65"/>
      <c r="AC1776" s="65"/>
    </row>
    <row r="1777">
      <c r="A1777" s="70">
        <v>10.0</v>
      </c>
      <c r="B1777" s="67" t="s">
        <v>4919</v>
      </c>
      <c r="C1777" s="70" t="s">
        <v>60</v>
      </c>
      <c r="D1777" s="70" t="s">
        <v>4920</v>
      </c>
      <c r="E1777" s="70" t="s">
        <v>4921</v>
      </c>
      <c r="F1777" s="70" t="s">
        <v>4922</v>
      </c>
      <c r="G1777" s="70" t="s">
        <v>4923</v>
      </c>
      <c r="H1777" s="70" t="s">
        <v>4924</v>
      </c>
      <c r="I1777" s="70">
        <v>27.39</v>
      </c>
      <c r="J1777" s="70" t="s">
        <v>58</v>
      </c>
      <c r="K1777" s="65"/>
      <c r="L1777" s="65"/>
      <c r="M1777" s="65"/>
      <c r="N1777" s="65"/>
      <c r="O1777" s="65"/>
      <c r="P1777" s="65"/>
      <c r="Q1777" s="65"/>
      <c r="R1777" s="65"/>
      <c r="S1777" s="65"/>
      <c r="T1777" s="65"/>
      <c r="U1777" s="65"/>
      <c r="V1777" s="65"/>
      <c r="W1777" s="65"/>
      <c r="X1777" s="65"/>
      <c r="Y1777" s="65"/>
      <c r="Z1777" s="65"/>
      <c r="AA1777" s="65"/>
      <c r="AB1777" s="65"/>
      <c r="AC1777" s="65"/>
    </row>
    <row r="1778">
      <c r="A1778" s="70">
        <v>9.0</v>
      </c>
      <c r="B1778" s="67" t="s">
        <v>4925</v>
      </c>
      <c r="C1778" s="70" t="s">
        <v>69</v>
      </c>
      <c r="D1778" s="70" t="s">
        <v>99</v>
      </c>
      <c r="E1778" s="70" t="s">
        <v>4926</v>
      </c>
      <c r="F1778" s="70" t="s">
        <v>4927</v>
      </c>
      <c r="G1778" s="70" t="s">
        <v>4928</v>
      </c>
      <c r="H1778" s="70" t="s">
        <v>4929</v>
      </c>
      <c r="I1778" s="70">
        <v>49.89</v>
      </c>
      <c r="J1778" s="70" t="s">
        <v>58</v>
      </c>
      <c r="K1778" s="65"/>
      <c r="L1778" s="65"/>
      <c r="M1778" s="65"/>
      <c r="N1778" s="65"/>
      <c r="O1778" s="65"/>
      <c r="P1778" s="65"/>
      <c r="Q1778" s="65"/>
      <c r="R1778" s="65"/>
      <c r="S1778" s="65"/>
      <c r="T1778" s="65"/>
      <c r="U1778" s="65"/>
      <c r="V1778" s="65"/>
      <c r="W1778" s="65"/>
      <c r="X1778" s="65"/>
      <c r="Y1778" s="65"/>
      <c r="Z1778" s="65"/>
      <c r="AA1778" s="65"/>
      <c r="AB1778" s="65"/>
      <c r="AC1778" s="65"/>
    </row>
    <row r="1779">
      <c r="A1779" s="70">
        <v>8.0</v>
      </c>
      <c r="B1779" s="67" t="s">
        <v>4930</v>
      </c>
      <c r="C1779" s="70" t="s">
        <v>56</v>
      </c>
      <c r="D1779" s="70" t="s">
        <v>588</v>
      </c>
      <c r="E1779" s="70" t="s">
        <v>4931</v>
      </c>
      <c r="F1779" s="70" t="s">
        <v>4932</v>
      </c>
      <c r="G1779" s="70" t="s">
        <v>4933</v>
      </c>
      <c r="H1779" s="70" t="s">
        <v>4934</v>
      </c>
      <c r="I1779" s="70">
        <v>15.68</v>
      </c>
      <c r="J1779" s="70" t="s">
        <v>58</v>
      </c>
      <c r="K1779" s="65"/>
      <c r="L1779" s="65"/>
      <c r="M1779" s="65"/>
      <c r="N1779" s="65"/>
      <c r="O1779" s="65"/>
      <c r="P1779" s="65"/>
      <c r="Q1779" s="65"/>
      <c r="R1779" s="65"/>
      <c r="S1779" s="65"/>
      <c r="T1779" s="65"/>
      <c r="U1779" s="65"/>
      <c r="V1779" s="65"/>
      <c r="W1779" s="65"/>
      <c r="X1779" s="65"/>
      <c r="Y1779" s="65"/>
      <c r="Z1779" s="65"/>
      <c r="AA1779" s="65"/>
      <c r="AB1779" s="65"/>
      <c r="AC1779" s="65"/>
    </row>
    <row r="1780">
      <c r="A1780" s="70">
        <v>7.0</v>
      </c>
      <c r="B1780" s="67" t="s">
        <v>4935</v>
      </c>
      <c r="C1780" s="70" t="s">
        <v>69</v>
      </c>
      <c r="D1780" s="70" t="s">
        <v>99</v>
      </c>
      <c r="E1780" s="70" t="s">
        <v>4936</v>
      </c>
      <c r="F1780" s="70" t="s">
        <v>4937</v>
      </c>
      <c r="G1780" s="70" t="s">
        <v>4938</v>
      </c>
      <c r="H1780" s="70" t="s">
        <v>4939</v>
      </c>
      <c r="I1780" s="70">
        <v>25.93</v>
      </c>
      <c r="J1780" s="70" t="s">
        <v>58</v>
      </c>
      <c r="K1780" s="65"/>
      <c r="L1780" s="65"/>
      <c r="M1780" s="65"/>
      <c r="N1780" s="65"/>
      <c r="O1780" s="65"/>
      <c r="P1780" s="65"/>
      <c r="Q1780" s="65"/>
      <c r="R1780" s="65"/>
      <c r="S1780" s="65"/>
      <c r="T1780" s="65"/>
      <c r="U1780" s="65"/>
      <c r="V1780" s="65"/>
      <c r="W1780" s="65"/>
      <c r="X1780" s="65"/>
      <c r="Y1780" s="65"/>
      <c r="Z1780" s="65"/>
      <c r="AA1780" s="65"/>
      <c r="AB1780" s="65"/>
      <c r="AC1780" s="65"/>
    </row>
    <row r="1781">
      <c r="A1781" s="70">
        <v>6.0</v>
      </c>
      <c r="B1781" s="67" t="s">
        <v>4940</v>
      </c>
      <c r="C1781" s="70" t="s">
        <v>56</v>
      </c>
      <c r="D1781" s="70" t="s">
        <v>70</v>
      </c>
      <c r="E1781" s="70" t="s">
        <v>4941</v>
      </c>
      <c r="F1781" s="70" t="s">
        <v>4942</v>
      </c>
      <c r="G1781" s="70" t="s">
        <v>4943</v>
      </c>
      <c r="H1781" s="70" t="s">
        <v>4944</v>
      </c>
      <c r="I1781" s="70">
        <v>38.1</v>
      </c>
      <c r="J1781" s="70" t="s">
        <v>58</v>
      </c>
      <c r="K1781" s="65"/>
      <c r="L1781" s="65"/>
      <c r="M1781" s="65"/>
      <c r="N1781" s="65"/>
      <c r="O1781" s="65"/>
      <c r="P1781" s="65"/>
      <c r="Q1781" s="65"/>
      <c r="R1781" s="65"/>
      <c r="S1781" s="65"/>
      <c r="T1781" s="65"/>
      <c r="U1781" s="65"/>
      <c r="V1781" s="65"/>
      <c r="W1781" s="65"/>
      <c r="X1781" s="65"/>
      <c r="Y1781" s="65"/>
      <c r="Z1781" s="65"/>
      <c r="AA1781" s="65"/>
      <c r="AB1781" s="65"/>
      <c r="AC1781" s="65"/>
    </row>
    <row r="1782">
      <c r="A1782" s="70">
        <v>5.0</v>
      </c>
      <c r="B1782" s="67" t="s">
        <v>4945</v>
      </c>
      <c r="C1782" s="70" t="s">
        <v>56</v>
      </c>
      <c r="D1782" s="70" t="s">
        <v>161</v>
      </c>
      <c r="E1782" s="70" t="s">
        <v>4946</v>
      </c>
      <c r="F1782" s="70" t="s">
        <v>4947</v>
      </c>
      <c r="G1782" s="70" t="s">
        <v>4948</v>
      </c>
      <c r="H1782" s="70" t="s">
        <v>4949</v>
      </c>
      <c r="I1782" s="70">
        <v>30.58</v>
      </c>
      <c r="J1782" s="70" t="s">
        <v>58</v>
      </c>
      <c r="K1782" s="65"/>
      <c r="L1782" s="65"/>
      <c r="M1782" s="65"/>
      <c r="N1782" s="65"/>
      <c r="O1782" s="65"/>
      <c r="P1782" s="65"/>
      <c r="Q1782" s="65"/>
      <c r="R1782" s="65"/>
      <c r="S1782" s="65"/>
      <c r="T1782" s="65"/>
      <c r="U1782" s="65"/>
      <c r="V1782" s="65"/>
      <c r="W1782" s="65"/>
      <c r="X1782" s="65"/>
      <c r="Y1782" s="65"/>
      <c r="Z1782" s="65"/>
      <c r="AA1782" s="65"/>
      <c r="AB1782" s="65"/>
      <c r="AC1782" s="65"/>
    </row>
    <row r="1783">
      <c r="A1783" s="70">
        <v>4.0</v>
      </c>
      <c r="B1783" s="67" t="s">
        <v>4950</v>
      </c>
      <c r="C1783" s="70" t="s">
        <v>60</v>
      </c>
      <c r="D1783" s="70" t="s">
        <v>4951</v>
      </c>
      <c r="E1783" s="70" t="s">
        <v>4952</v>
      </c>
      <c r="F1783" s="70" t="s">
        <v>4953</v>
      </c>
      <c r="G1783" s="70" t="s">
        <v>4954</v>
      </c>
      <c r="H1783" s="70" t="s">
        <v>4955</v>
      </c>
      <c r="I1783" s="70">
        <v>31.21</v>
      </c>
      <c r="J1783" s="70" t="s">
        <v>58</v>
      </c>
      <c r="K1783" s="65"/>
      <c r="L1783" s="65"/>
      <c r="M1783" s="65"/>
      <c r="N1783" s="65"/>
      <c r="O1783" s="65"/>
      <c r="P1783" s="65"/>
      <c r="Q1783" s="65"/>
      <c r="R1783" s="65"/>
      <c r="S1783" s="65"/>
      <c r="T1783" s="65"/>
      <c r="U1783" s="65"/>
      <c r="V1783" s="65"/>
      <c r="W1783" s="65"/>
      <c r="X1783" s="65"/>
      <c r="Y1783" s="65"/>
      <c r="Z1783" s="65"/>
      <c r="AA1783" s="65"/>
      <c r="AB1783" s="65"/>
      <c r="AC1783" s="65"/>
    </row>
    <row r="1784">
      <c r="A1784" s="70">
        <v>3.0</v>
      </c>
      <c r="B1784" s="67" t="s">
        <v>4956</v>
      </c>
      <c r="C1784" s="70" t="s">
        <v>56</v>
      </c>
      <c r="D1784" s="70" t="s">
        <v>4234</v>
      </c>
      <c r="E1784" s="70" t="s">
        <v>4957</v>
      </c>
      <c r="F1784" s="70" t="s">
        <v>4958</v>
      </c>
      <c r="G1784" s="70" t="s">
        <v>4959</v>
      </c>
      <c r="H1784" s="70" t="s">
        <v>4960</v>
      </c>
      <c r="I1784" s="70">
        <v>31.48</v>
      </c>
      <c r="J1784" s="70" t="s">
        <v>58</v>
      </c>
      <c r="K1784" s="65"/>
      <c r="L1784" s="65"/>
      <c r="M1784" s="65"/>
      <c r="N1784" s="65"/>
      <c r="O1784" s="65"/>
      <c r="P1784" s="65"/>
      <c r="Q1784" s="65"/>
      <c r="R1784" s="65"/>
      <c r="S1784" s="65"/>
      <c r="T1784" s="65"/>
      <c r="U1784" s="65"/>
      <c r="V1784" s="65"/>
      <c r="W1784" s="65"/>
      <c r="X1784" s="65"/>
      <c r="Y1784" s="65"/>
      <c r="Z1784" s="65"/>
      <c r="AA1784" s="65"/>
      <c r="AB1784" s="65"/>
      <c r="AC1784" s="65"/>
    </row>
    <row r="1785">
      <c r="A1785" s="70">
        <v>2.0</v>
      </c>
      <c r="B1785" s="67" t="s">
        <v>4961</v>
      </c>
      <c r="C1785" s="70" t="s">
        <v>56</v>
      </c>
      <c r="D1785" s="70" t="s">
        <v>4962</v>
      </c>
      <c r="E1785" s="70" t="s">
        <v>4963</v>
      </c>
      <c r="F1785" s="70" t="s">
        <v>4964</v>
      </c>
      <c r="G1785" s="70" t="s">
        <v>4965</v>
      </c>
      <c r="H1785" s="70" t="s">
        <v>4966</v>
      </c>
      <c r="I1785" s="70">
        <v>35.59</v>
      </c>
      <c r="J1785" s="70" t="s">
        <v>58</v>
      </c>
      <c r="K1785" s="65"/>
      <c r="L1785" s="65"/>
      <c r="M1785" s="65"/>
      <c r="N1785" s="65"/>
      <c r="O1785" s="65"/>
      <c r="P1785" s="65"/>
      <c r="Q1785" s="65"/>
      <c r="R1785" s="65"/>
      <c r="S1785" s="65"/>
      <c r="T1785" s="65"/>
      <c r="U1785" s="65"/>
      <c r="V1785" s="65"/>
      <c r="W1785" s="65"/>
      <c r="X1785" s="65"/>
      <c r="Y1785" s="65"/>
      <c r="Z1785" s="65"/>
      <c r="AA1785" s="65"/>
      <c r="AB1785" s="65"/>
      <c r="AC1785" s="65"/>
    </row>
    <row r="1786">
      <c r="A1786" s="70">
        <v>1.0</v>
      </c>
      <c r="B1786" s="67" t="s">
        <v>4967</v>
      </c>
      <c r="C1786" s="70" t="s">
        <v>69</v>
      </c>
      <c r="D1786" s="70" t="s">
        <v>156</v>
      </c>
      <c r="E1786" s="70" t="s">
        <v>4968</v>
      </c>
      <c r="F1786" s="70" t="s">
        <v>4969</v>
      </c>
      <c r="G1786" s="70" t="s">
        <v>4970</v>
      </c>
      <c r="H1786" s="70" t="s">
        <v>4971</v>
      </c>
      <c r="I1786" s="70">
        <v>46.59</v>
      </c>
      <c r="J1786" s="70" t="s">
        <v>58</v>
      </c>
      <c r="K1786" s="65"/>
      <c r="L1786" s="65"/>
      <c r="M1786" s="65"/>
      <c r="N1786" s="65"/>
      <c r="O1786" s="65"/>
      <c r="P1786" s="65"/>
      <c r="Q1786" s="65"/>
      <c r="R1786" s="65"/>
      <c r="S1786" s="65"/>
      <c r="T1786" s="65"/>
      <c r="U1786" s="65"/>
      <c r="V1786" s="65"/>
      <c r="W1786" s="65"/>
      <c r="X1786" s="65"/>
      <c r="Y1786" s="65"/>
      <c r="Z1786" s="65"/>
      <c r="AA1786" s="65"/>
      <c r="AB1786" s="65"/>
      <c r="AC1786" s="65"/>
    </row>
  </sheetData>
  <autoFilter ref="$A$1:$J$1786">
    <sortState ref="A1:J1786">
      <sortCondition ref="J1:J1786"/>
      <sortCondition descending="1" ref="A1:A1786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E377"/>
    <hyperlink r:id="rId378" ref="H377"/>
    <hyperlink r:id="rId379" ref="B378"/>
    <hyperlink r:id="rId380" ref="B379"/>
    <hyperlink r:id="rId381" ref="B380"/>
    <hyperlink r:id="rId382" ref="B381"/>
    <hyperlink r:id="rId383" ref="B382"/>
    <hyperlink r:id="rId384" ref="B383"/>
    <hyperlink r:id="rId385" ref="B384"/>
    <hyperlink r:id="rId386" ref="B385"/>
    <hyperlink r:id="rId387" ref="B386"/>
    <hyperlink r:id="rId388" ref="B387"/>
    <hyperlink r:id="rId389" ref="B388"/>
    <hyperlink r:id="rId390" ref="B389"/>
    <hyperlink r:id="rId391" ref="B390"/>
    <hyperlink r:id="rId392" ref="B391"/>
    <hyperlink r:id="rId393" ref="B392"/>
    <hyperlink r:id="rId394" ref="B393"/>
    <hyperlink r:id="rId395" ref="B394"/>
    <hyperlink r:id="rId396" ref="B395"/>
    <hyperlink r:id="rId397" ref="B396"/>
    <hyperlink r:id="rId398" ref="B397"/>
    <hyperlink r:id="rId399" ref="B398"/>
    <hyperlink r:id="rId400" ref="B399"/>
    <hyperlink r:id="rId401" ref="B400"/>
    <hyperlink r:id="rId402" ref="B401"/>
    <hyperlink r:id="rId403" ref="B402"/>
    <hyperlink r:id="rId404" ref="B403"/>
    <hyperlink r:id="rId405" ref="B404"/>
    <hyperlink r:id="rId406" ref="B405"/>
    <hyperlink r:id="rId407" ref="B406"/>
    <hyperlink r:id="rId408" ref="B407"/>
    <hyperlink r:id="rId409" ref="B408"/>
    <hyperlink r:id="rId410" ref="B409"/>
    <hyperlink r:id="rId411" ref="B410"/>
    <hyperlink r:id="rId412" ref="B411"/>
    <hyperlink r:id="rId413" ref="B412"/>
    <hyperlink r:id="rId414" ref="B413"/>
    <hyperlink r:id="rId415" ref="B414"/>
    <hyperlink r:id="rId416" ref="B415"/>
    <hyperlink r:id="rId417" ref="B416"/>
    <hyperlink r:id="rId418" ref="B417"/>
    <hyperlink r:id="rId419" ref="B418"/>
    <hyperlink r:id="rId420" ref="B419"/>
    <hyperlink r:id="rId421" ref="B420"/>
    <hyperlink r:id="rId422" ref="B421"/>
    <hyperlink r:id="rId423" ref="B422"/>
    <hyperlink r:id="rId424" ref="B423"/>
    <hyperlink r:id="rId425" ref="B424"/>
    <hyperlink r:id="rId426" ref="B425"/>
    <hyperlink r:id="rId427" ref="B426"/>
    <hyperlink r:id="rId428" ref="B427"/>
    <hyperlink r:id="rId429" ref="B428"/>
    <hyperlink r:id="rId430" ref="B429"/>
    <hyperlink r:id="rId431" ref="B430"/>
    <hyperlink r:id="rId432" ref="B431"/>
    <hyperlink r:id="rId433" ref="B432"/>
    <hyperlink r:id="rId434" ref="B433"/>
    <hyperlink r:id="rId435" ref="B434"/>
    <hyperlink r:id="rId436" ref="B435"/>
    <hyperlink r:id="rId437" ref="B436"/>
    <hyperlink r:id="rId438" ref="B437"/>
    <hyperlink r:id="rId439" ref="B438"/>
    <hyperlink r:id="rId440" ref="B439"/>
    <hyperlink r:id="rId441" ref="B440"/>
    <hyperlink r:id="rId442" ref="B441"/>
    <hyperlink r:id="rId443" ref="B442"/>
    <hyperlink r:id="rId444" ref="B443"/>
    <hyperlink r:id="rId445" ref="B444"/>
    <hyperlink r:id="rId446" ref="B445"/>
    <hyperlink r:id="rId447" ref="B446"/>
    <hyperlink r:id="rId448" ref="B447"/>
    <hyperlink r:id="rId449" ref="B448"/>
    <hyperlink r:id="rId450" ref="B449"/>
    <hyperlink r:id="rId451" ref="B450"/>
    <hyperlink r:id="rId452" ref="B451"/>
    <hyperlink r:id="rId453" ref="B452"/>
    <hyperlink r:id="rId454" ref="B453"/>
    <hyperlink r:id="rId455" ref="B454"/>
    <hyperlink r:id="rId456" ref="B455"/>
    <hyperlink r:id="rId457" ref="B456"/>
    <hyperlink r:id="rId458" ref="B457"/>
    <hyperlink r:id="rId459" ref="B458"/>
    <hyperlink r:id="rId460" ref="B459"/>
    <hyperlink r:id="rId461" ref="B460"/>
    <hyperlink r:id="rId462" ref="B461"/>
    <hyperlink r:id="rId463" ref="B462"/>
    <hyperlink r:id="rId464" ref="B463"/>
    <hyperlink r:id="rId465" ref="B464"/>
    <hyperlink r:id="rId466" ref="B465"/>
    <hyperlink r:id="rId467" ref="B466"/>
    <hyperlink r:id="rId468" ref="B467"/>
    <hyperlink r:id="rId469" ref="B468"/>
    <hyperlink r:id="rId470" ref="B469"/>
    <hyperlink r:id="rId471" ref="B470"/>
    <hyperlink r:id="rId472" ref="B471"/>
    <hyperlink r:id="rId473" ref="B472"/>
    <hyperlink r:id="rId474" ref="B473"/>
    <hyperlink r:id="rId475" ref="B474"/>
    <hyperlink r:id="rId476" ref="B475"/>
    <hyperlink r:id="rId477" ref="B476"/>
    <hyperlink r:id="rId478" ref="B477"/>
    <hyperlink r:id="rId479" ref="B478"/>
    <hyperlink r:id="rId480" ref="B479"/>
    <hyperlink r:id="rId481" ref="B480"/>
    <hyperlink r:id="rId482" ref="B481"/>
    <hyperlink r:id="rId483" ref="B482"/>
    <hyperlink r:id="rId484" ref="B483"/>
    <hyperlink r:id="rId485" ref="B484"/>
    <hyperlink r:id="rId486" ref="B485"/>
    <hyperlink r:id="rId487" ref="B486"/>
    <hyperlink r:id="rId488" ref="B487"/>
    <hyperlink r:id="rId489" ref="B488"/>
    <hyperlink r:id="rId490" ref="B489"/>
    <hyperlink r:id="rId491" ref="B490"/>
    <hyperlink r:id="rId492" ref="B491"/>
    <hyperlink r:id="rId493" ref="B492"/>
    <hyperlink r:id="rId494" ref="B493"/>
    <hyperlink r:id="rId495" ref="B494"/>
    <hyperlink r:id="rId496" ref="B495"/>
    <hyperlink r:id="rId497" ref="B496"/>
    <hyperlink r:id="rId498" ref="B497"/>
    <hyperlink r:id="rId499" ref="B498"/>
    <hyperlink r:id="rId500" ref="B499"/>
    <hyperlink r:id="rId501" ref="B500"/>
    <hyperlink r:id="rId502" ref="B501"/>
    <hyperlink r:id="rId503" ref="B502"/>
    <hyperlink r:id="rId504" ref="B503"/>
    <hyperlink r:id="rId505" ref="B504"/>
    <hyperlink r:id="rId506" ref="B505"/>
    <hyperlink r:id="rId507" ref="B506"/>
    <hyperlink r:id="rId508" ref="B507"/>
    <hyperlink r:id="rId509" ref="B508"/>
    <hyperlink r:id="rId510" ref="B509"/>
    <hyperlink r:id="rId511" ref="B510"/>
    <hyperlink r:id="rId512" ref="B511"/>
    <hyperlink r:id="rId513" ref="B512"/>
    <hyperlink r:id="rId514" ref="B513"/>
    <hyperlink r:id="rId515" ref="B514"/>
    <hyperlink r:id="rId516" ref="B515"/>
    <hyperlink r:id="rId517" ref="B516"/>
    <hyperlink r:id="rId518" ref="B517"/>
    <hyperlink r:id="rId519" ref="B518"/>
    <hyperlink r:id="rId520" ref="B519"/>
    <hyperlink r:id="rId521" ref="B520"/>
    <hyperlink r:id="rId522" ref="B521"/>
    <hyperlink r:id="rId523" ref="B522"/>
    <hyperlink r:id="rId524" ref="B523"/>
    <hyperlink r:id="rId525" ref="B524"/>
    <hyperlink r:id="rId526" ref="B525"/>
    <hyperlink r:id="rId527" ref="B526"/>
    <hyperlink r:id="rId528" ref="B527"/>
    <hyperlink r:id="rId529" ref="B528"/>
    <hyperlink r:id="rId530" ref="B529"/>
    <hyperlink r:id="rId531" ref="B530"/>
    <hyperlink r:id="rId532" ref="B531"/>
    <hyperlink r:id="rId533" ref="B532"/>
    <hyperlink r:id="rId534" ref="B533"/>
    <hyperlink r:id="rId535" ref="B534"/>
    <hyperlink r:id="rId536" ref="B535"/>
    <hyperlink r:id="rId537" ref="B536"/>
    <hyperlink r:id="rId538" ref="B537"/>
    <hyperlink r:id="rId539" ref="B538"/>
    <hyperlink r:id="rId540" ref="B539"/>
    <hyperlink r:id="rId541" ref="B540"/>
    <hyperlink r:id="rId542" ref="B541"/>
    <hyperlink r:id="rId543" ref="B542"/>
    <hyperlink r:id="rId544" ref="B543"/>
    <hyperlink r:id="rId545" ref="B544"/>
    <hyperlink r:id="rId546" ref="B545"/>
    <hyperlink r:id="rId547" ref="B546"/>
    <hyperlink r:id="rId548" ref="B547"/>
    <hyperlink r:id="rId549" ref="B548"/>
    <hyperlink r:id="rId550" ref="B549"/>
    <hyperlink r:id="rId551" ref="B550"/>
    <hyperlink r:id="rId552" ref="B551"/>
    <hyperlink r:id="rId553" ref="B552"/>
    <hyperlink r:id="rId554" ref="B553"/>
    <hyperlink r:id="rId555" ref="B554"/>
    <hyperlink r:id="rId556" ref="B555"/>
    <hyperlink r:id="rId557" ref="B556"/>
    <hyperlink r:id="rId558" ref="B557"/>
    <hyperlink r:id="rId559" ref="B558"/>
    <hyperlink r:id="rId560" ref="B559"/>
    <hyperlink r:id="rId561" ref="B560"/>
    <hyperlink r:id="rId562" ref="B561"/>
    <hyperlink r:id="rId563" ref="B562"/>
    <hyperlink r:id="rId564" ref="B563"/>
    <hyperlink r:id="rId565" ref="B564"/>
    <hyperlink r:id="rId566" ref="B565"/>
    <hyperlink r:id="rId567" ref="B566"/>
    <hyperlink r:id="rId568" ref="B567"/>
    <hyperlink r:id="rId569" ref="B568"/>
    <hyperlink r:id="rId570" ref="B569"/>
    <hyperlink r:id="rId571" ref="B570"/>
    <hyperlink r:id="rId572" ref="B571"/>
    <hyperlink r:id="rId573" ref="E571"/>
    <hyperlink r:id="rId574" ref="H571"/>
    <hyperlink r:id="rId575" ref="B572"/>
    <hyperlink r:id="rId576" ref="B573"/>
    <hyperlink r:id="rId577" ref="B574"/>
    <hyperlink r:id="rId578" ref="B575"/>
    <hyperlink r:id="rId579" ref="B576"/>
    <hyperlink r:id="rId580" ref="B577"/>
    <hyperlink r:id="rId581" ref="B578"/>
    <hyperlink r:id="rId582" ref="B579"/>
    <hyperlink r:id="rId583" ref="B580"/>
    <hyperlink r:id="rId584" ref="B581"/>
    <hyperlink r:id="rId585" ref="B582"/>
    <hyperlink r:id="rId586" ref="B583"/>
    <hyperlink r:id="rId587" ref="B584"/>
    <hyperlink r:id="rId588" ref="B585"/>
    <hyperlink r:id="rId589" ref="B586"/>
    <hyperlink r:id="rId590" ref="B587"/>
    <hyperlink r:id="rId591" ref="B588"/>
    <hyperlink r:id="rId592" ref="B589"/>
    <hyperlink r:id="rId593" ref="B590"/>
    <hyperlink r:id="rId594" ref="B591"/>
    <hyperlink r:id="rId595" ref="B592"/>
    <hyperlink r:id="rId596" ref="B593"/>
    <hyperlink r:id="rId597" ref="B594"/>
    <hyperlink r:id="rId598" ref="B595"/>
    <hyperlink r:id="rId599" ref="B596"/>
    <hyperlink r:id="rId600" ref="B597"/>
    <hyperlink r:id="rId601" ref="B598"/>
    <hyperlink r:id="rId602" ref="B599"/>
    <hyperlink r:id="rId603" ref="B600"/>
    <hyperlink r:id="rId604" ref="B601"/>
    <hyperlink r:id="rId605" ref="B602"/>
    <hyperlink r:id="rId606" ref="B603"/>
    <hyperlink r:id="rId607" ref="B604"/>
    <hyperlink r:id="rId608" ref="B605"/>
    <hyperlink r:id="rId609" ref="B606"/>
    <hyperlink r:id="rId610" ref="B607"/>
    <hyperlink r:id="rId611" ref="B608"/>
    <hyperlink r:id="rId612" ref="B609"/>
    <hyperlink r:id="rId613" ref="B610"/>
    <hyperlink r:id="rId614" ref="B611"/>
    <hyperlink r:id="rId615" ref="B612"/>
    <hyperlink r:id="rId616" ref="B613"/>
    <hyperlink r:id="rId617" ref="B614"/>
    <hyperlink r:id="rId618" ref="B615"/>
    <hyperlink r:id="rId619" ref="B616"/>
    <hyperlink r:id="rId620" ref="B617"/>
    <hyperlink r:id="rId621" ref="B618"/>
    <hyperlink r:id="rId622" ref="B619"/>
    <hyperlink r:id="rId623" ref="B620"/>
    <hyperlink r:id="rId624" ref="B621"/>
    <hyperlink r:id="rId625" ref="B622"/>
    <hyperlink r:id="rId626" ref="B623"/>
    <hyperlink r:id="rId627" ref="B624"/>
    <hyperlink r:id="rId628" ref="B625"/>
    <hyperlink r:id="rId629" ref="B626"/>
    <hyperlink r:id="rId630" ref="B627"/>
    <hyperlink r:id="rId631" ref="B628"/>
    <hyperlink r:id="rId632" ref="B629"/>
    <hyperlink r:id="rId633" ref="B630"/>
    <hyperlink r:id="rId634" ref="B631"/>
    <hyperlink r:id="rId635" ref="B632"/>
    <hyperlink r:id="rId636" ref="B633"/>
    <hyperlink r:id="rId637" ref="B634"/>
    <hyperlink r:id="rId638" ref="B635"/>
    <hyperlink r:id="rId639" ref="B636"/>
    <hyperlink r:id="rId640" ref="B637"/>
    <hyperlink r:id="rId641" ref="B638"/>
    <hyperlink r:id="rId642" ref="B639"/>
    <hyperlink r:id="rId643" ref="B640"/>
    <hyperlink r:id="rId644" ref="B641"/>
    <hyperlink r:id="rId645" ref="B642"/>
    <hyperlink r:id="rId646" ref="B643"/>
    <hyperlink r:id="rId647" ref="B644"/>
    <hyperlink r:id="rId648" ref="B645"/>
    <hyperlink r:id="rId649" ref="B646"/>
    <hyperlink r:id="rId650" ref="B647"/>
    <hyperlink r:id="rId651" ref="B648"/>
    <hyperlink r:id="rId652" ref="B649"/>
    <hyperlink r:id="rId653" ref="B650"/>
    <hyperlink r:id="rId654" ref="B651"/>
    <hyperlink r:id="rId655" ref="B652"/>
    <hyperlink r:id="rId656" ref="B653"/>
    <hyperlink r:id="rId657" ref="B654"/>
    <hyperlink r:id="rId658" ref="B655"/>
    <hyperlink r:id="rId659" ref="B656"/>
    <hyperlink r:id="rId660" ref="B657"/>
    <hyperlink r:id="rId661" ref="B658"/>
    <hyperlink r:id="rId662" ref="B659"/>
    <hyperlink r:id="rId663" ref="B660"/>
    <hyperlink r:id="rId664" ref="B661"/>
    <hyperlink r:id="rId665" ref="B662"/>
    <hyperlink r:id="rId666" ref="B663"/>
    <hyperlink r:id="rId667" ref="B664"/>
    <hyperlink r:id="rId668" ref="B665"/>
    <hyperlink r:id="rId669" ref="B666"/>
    <hyperlink r:id="rId670" ref="B667"/>
    <hyperlink r:id="rId671" ref="B668"/>
    <hyperlink r:id="rId672" ref="B669"/>
    <hyperlink r:id="rId673" ref="B670"/>
    <hyperlink r:id="rId674" ref="B671"/>
    <hyperlink r:id="rId675" ref="B672"/>
    <hyperlink r:id="rId676" ref="B673"/>
    <hyperlink r:id="rId677" ref="B674"/>
    <hyperlink r:id="rId678" ref="B675"/>
    <hyperlink r:id="rId679" ref="B676"/>
    <hyperlink r:id="rId680" ref="B677"/>
    <hyperlink r:id="rId681" ref="B678"/>
    <hyperlink r:id="rId682" ref="B679"/>
    <hyperlink r:id="rId683" ref="B680"/>
    <hyperlink r:id="rId684" ref="B681"/>
    <hyperlink r:id="rId685" ref="B682"/>
    <hyperlink r:id="rId686" ref="B683"/>
    <hyperlink r:id="rId687" ref="B684"/>
    <hyperlink r:id="rId688" ref="B685"/>
    <hyperlink r:id="rId689" ref="B686"/>
    <hyperlink r:id="rId690" ref="B687"/>
    <hyperlink r:id="rId691" ref="B688"/>
    <hyperlink r:id="rId692" ref="B689"/>
    <hyperlink r:id="rId693" ref="B690"/>
    <hyperlink r:id="rId694" ref="B691"/>
    <hyperlink r:id="rId695" ref="B692"/>
    <hyperlink r:id="rId696" ref="B693"/>
    <hyperlink r:id="rId697" ref="B694"/>
    <hyperlink r:id="rId698" ref="B695"/>
    <hyperlink r:id="rId699" ref="B696"/>
    <hyperlink r:id="rId700" ref="B697"/>
    <hyperlink r:id="rId701" ref="B698"/>
    <hyperlink r:id="rId702" ref="B699"/>
    <hyperlink r:id="rId703" ref="B700"/>
    <hyperlink r:id="rId704" ref="B701"/>
    <hyperlink r:id="rId705" ref="B702"/>
    <hyperlink r:id="rId706" ref="B703"/>
    <hyperlink r:id="rId707" ref="B704"/>
    <hyperlink r:id="rId708" ref="B705"/>
    <hyperlink r:id="rId709" ref="B706"/>
    <hyperlink r:id="rId710" ref="B707"/>
    <hyperlink r:id="rId711" ref="B708"/>
    <hyperlink r:id="rId712" ref="B709"/>
    <hyperlink r:id="rId713" ref="B710"/>
    <hyperlink r:id="rId714" ref="B711"/>
    <hyperlink r:id="rId715" ref="B712"/>
    <hyperlink r:id="rId716" ref="B713"/>
    <hyperlink r:id="rId717" ref="B714"/>
    <hyperlink r:id="rId718" ref="B715"/>
    <hyperlink r:id="rId719" ref="B716"/>
    <hyperlink r:id="rId720" ref="B717"/>
    <hyperlink r:id="rId721" ref="B718"/>
    <hyperlink r:id="rId722" ref="B719"/>
    <hyperlink r:id="rId723" ref="B720"/>
    <hyperlink r:id="rId724" ref="B721"/>
    <hyperlink r:id="rId725" ref="B722"/>
    <hyperlink r:id="rId726" ref="B723"/>
    <hyperlink r:id="rId727" ref="B724"/>
    <hyperlink r:id="rId728" ref="B725"/>
    <hyperlink r:id="rId729" ref="B726"/>
    <hyperlink r:id="rId730" ref="B727"/>
    <hyperlink r:id="rId731" ref="B728"/>
    <hyperlink r:id="rId732" ref="B729"/>
    <hyperlink r:id="rId733" ref="B730"/>
    <hyperlink r:id="rId734" ref="B731"/>
    <hyperlink r:id="rId735" ref="B732"/>
    <hyperlink r:id="rId736" ref="B733"/>
    <hyperlink r:id="rId737" ref="B734"/>
    <hyperlink r:id="rId738" ref="B735"/>
    <hyperlink r:id="rId739" ref="B736"/>
    <hyperlink r:id="rId740" ref="B737"/>
    <hyperlink r:id="rId741" ref="B738"/>
    <hyperlink r:id="rId742" ref="B739"/>
    <hyperlink r:id="rId743" ref="B740"/>
    <hyperlink r:id="rId744" ref="B741"/>
    <hyperlink r:id="rId745" ref="B742"/>
    <hyperlink r:id="rId746" ref="B743"/>
    <hyperlink r:id="rId747" ref="B744"/>
    <hyperlink r:id="rId748" ref="B745"/>
    <hyperlink r:id="rId749" ref="B746"/>
    <hyperlink r:id="rId750" ref="B747"/>
    <hyperlink r:id="rId751" ref="B748"/>
    <hyperlink r:id="rId752" ref="B749"/>
    <hyperlink r:id="rId753" ref="B750"/>
    <hyperlink r:id="rId754" ref="B751"/>
    <hyperlink r:id="rId755" ref="B752"/>
    <hyperlink r:id="rId756" ref="B753"/>
    <hyperlink r:id="rId757" ref="B754"/>
    <hyperlink r:id="rId758" ref="B755"/>
    <hyperlink r:id="rId759" ref="B756"/>
    <hyperlink r:id="rId760" ref="B757"/>
    <hyperlink r:id="rId761" ref="B758"/>
    <hyperlink r:id="rId762" ref="B759"/>
    <hyperlink r:id="rId763" ref="B760"/>
    <hyperlink r:id="rId764" ref="B761"/>
    <hyperlink r:id="rId765" ref="B762"/>
    <hyperlink r:id="rId766" ref="B763"/>
    <hyperlink r:id="rId767" ref="B764"/>
    <hyperlink r:id="rId768" ref="B765"/>
    <hyperlink r:id="rId769" ref="B766"/>
    <hyperlink r:id="rId770" ref="B767"/>
    <hyperlink r:id="rId771" ref="B768"/>
    <hyperlink r:id="rId772" ref="B769"/>
    <hyperlink r:id="rId773" ref="B770"/>
    <hyperlink r:id="rId774" ref="B771"/>
    <hyperlink r:id="rId775" ref="B772"/>
    <hyperlink r:id="rId776" ref="B773"/>
    <hyperlink r:id="rId777" ref="B774"/>
    <hyperlink r:id="rId778" ref="B775"/>
    <hyperlink r:id="rId779" ref="B776"/>
    <hyperlink r:id="rId780" ref="B777"/>
    <hyperlink r:id="rId781" ref="B778"/>
    <hyperlink r:id="rId782" ref="B779"/>
    <hyperlink r:id="rId783" ref="B780"/>
    <hyperlink r:id="rId784" ref="B781"/>
    <hyperlink r:id="rId785" ref="B782"/>
    <hyperlink r:id="rId786" ref="B783"/>
    <hyperlink r:id="rId787" ref="B784"/>
    <hyperlink r:id="rId788" ref="B785"/>
    <hyperlink r:id="rId789" ref="B786"/>
    <hyperlink r:id="rId790" ref="B787"/>
    <hyperlink r:id="rId791" ref="B788"/>
    <hyperlink r:id="rId792" ref="B789"/>
    <hyperlink r:id="rId793" ref="B790"/>
    <hyperlink r:id="rId794" ref="B791"/>
    <hyperlink r:id="rId795" ref="B792"/>
    <hyperlink r:id="rId796" ref="B793"/>
    <hyperlink r:id="rId797" ref="B794"/>
    <hyperlink r:id="rId798" ref="B795"/>
    <hyperlink r:id="rId799" ref="B796"/>
    <hyperlink r:id="rId800" ref="B797"/>
    <hyperlink r:id="rId801" ref="B798"/>
    <hyperlink r:id="rId802" ref="B799"/>
    <hyperlink r:id="rId803" ref="B800"/>
    <hyperlink r:id="rId804" ref="B801"/>
    <hyperlink r:id="rId805" ref="B802"/>
    <hyperlink r:id="rId806" ref="B803"/>
    <hyperlink r:id="rId807" ref="B804"/>
    <hyperlink r:id="rId808" ref="B805"/>
    <hyperlink r:id="rId809" ref="B806"/>
    <hyperlink r:id="rId810" ref="B807"/>
    <hyperlink r:id="rId811" ref="B808"/>
    <hyperlink r:id="rId812" ref="B809"/>
    <hyperlink r:id="rId813" ref="B810"/>
    <hyperlink r:id="rId814" ref="B811"/>
    <hyperlink r:id="rId815" ref="B812"/>
    <hyperlink r:id="rId816" ref="B813"/>
    <hyperlink r:id="rId817" ref="B814"/>
    <hyperlink r:id="rId818" ref="B815"/>
    <hyperlink r:id="rId819" ref="B816"/>
    <hyperlink r:id="rId820" ref="B817"/>
    <hyperlink r:id="rId821" ref="B818"/>
    <hyperlink r:id="rId822" ref="B819"/>
    <hyperlink r:id="rId823" ref="B820"/>
    <hyperlink r:id="rId824" ref="B821"/>
    <hyperlink r:id="rId825" ref="B822"/>
    <hyperlink r:id="rId826" ref="B823"/>
    <hyperlink r:id="rId827" ref="B824"/>
    <hyperlink r:id="rId828" ref="B825"/>
    <hyperlink r:id="rId829" ref="B826"/>
    <hyperlink r:id="rId830" ref="B827"/>
    <hyperlink r:id="rId831" ref="B828"/>
    <hyperlink r:id="rId832" ref="B829"/>
    <hyperlink r:id="rId833" ref="B830"/>
    <hyperlink r:id="rId834" ref="B831"/>
    <hyperlink r:id="rId835" ref="B832"/>
    <hyperlink r:id="rId836" ref="B833"/>
    <hyperlink r:id="rId837" ref="B834"/>
    <hyperlink r:id="rId838" ref="B835"/>
    <hyperlink r:id="rId839" ref="B836"/>
    <hyperlink r:id="rId840" ref="B837"/>
    <hyperlink r:id="rId841" ref="B838"/>
    <hyperlink r:id="rId842" ref="B839"/>
    <hyperlink r:id="rId843" ref="B840"/>
    <hyperlink r:id="rId844" ref="B841"/>
    <hyperlink r:id="rId845" ref="B842"/>
    <hyperlink r:id="rId846" ref="B843"/>
    <hyperlink r:id="rId847" ref="B844"/>
    <hyperlink r:id="rId848" ref="B845"/>
    <hyperlink r:id="rId849" ref="B846"/>
    <hyperlink r:id="rId850" ref="B847"/>
    <hyperlink r:id="rId851" ref="B848"/>
    <hyperlink r:id="rId852" ref="B849"/>
    <hyperlink r:id="rId853" ref="B850"/>
    <hyperlink r:id="rId854" ref="B851"/>
    <hyperlink r:id="rId855" ref="B852"/>
    <hyperlink r:id="rId856" ref="B853"/>
    <hyperlink r:id="rId857" ref="B854"/>
    <hyperlink r:id="rId858" ref="B855"/>
    <hyperlink r:id="rId859" ref="B856"/>
    <hyperlink r:id="rId860" ref="B857"/>
    <hyperlink r:id="rId861" ref="B858"/>
    <hyperlink r:id="rId862" ref="B859"/>
    <hyperlink r:id="rId863" ref="B860"/>
    <hyperlink r:id="rId864" ref="B861"/>
    <hyperlink r:id="rId865" ref="B862"/>
    <hyperlink r:id="rId866" ref="B863"/>
    <hyperlink r:id="rId867" ref="B864"/>
    <hyperlink r:id="rId868" ref="B865"/>
    <hyperlink r:id="rId869" ref="B866"/>
    <hyperlink r:id="rId870" ref="B867"/>
    <hyperlink r:id="rId871" ref="B868"/>
    <hyperlink r:id="rId872" ref="B869"/>
    <hyperlink r:id="rId873" ref="B870"/>
    <hyperlink r:id="rId874" ref="B871"/>
    <hyperlink r:id="rId875" ref="B872"/>
    <hyperlink r:id="rId876" ref="B873"/>
    <hyperlink r:id="rId877" ref="B874"/>
    <hyperlink r:id="rId878" ref="B875"/>
    <hyperlink r:id="rId879" ref="B876"/>
    <hyperlink r:id="rId880" ref="B877"/>
    <hyperlink r:id="rId881" ref="B878"/>
    <hyperlink r:id="rId882" ref="B879"/>
    <hyperlink r:id="rId883" ref="B880"/>
    <hyperlink r:id="rId884" ref="B881"/>
    <hyperlink r:id="rId885" ref="B882"/>
    <hyperlink r:id="rId886" ref="B883"/>
    <hyperlink r:id="rId887" ref="B884"/>
    <hyperlink r:id="rId888" ref="B885"/>
    <hyperlink r:id="rId889" ref="B886"/>
    <hyperlink r:id="rId890" ref="B887"/>
    <hyperlink r:id="rId891" ref="B888"/>
    <hyperlink r:id="rId892" ref="B889"/>
    <hyperlink r:id="rId893" ref="B890"/>
    <hyperlink r:id="rId894" ref="B891"/>
    <hyperlink r:id="rId895" ref="B892"/>
    <hyperlink r:id="rId896" ref="B893"/>
    <hyperlink r:id="rId897" ref="B894"/>
    <hyperlink r:id="rId898" ref="B895"/>
    <hyperlink r:id="rId899" ref="B896"/>
    <hyperlink r:id="rId900" ref="B897"/>
    <hyperlink r:id="rId901" ref="B898"/>
    <hyperlink r:id="rId902" ref="B899"/>
    <hyperlink r:id="rId903" ref="B900"/>
    <hyperlink r:id="rId904" ref="B901"/>
    <hyperlink r:id="rId905" ref="B902"/>
    <hyperlink r:id="rId906" ref="B903"/>
    <hyperlink r:id="rId907" ref="B904"/>
    <hyperlink r:id="rId908" ref="B905"/>
    <hyperlink r:id="rId909" ref="B906"/>
    <hyperlink r:id="rId910" ref="B907"/>
    <hyperlink r:id="rId911" ref="B908"/>
    <hyperlink r:id="rId912" ref="B909"/>
    <hyperlink r:id="rId913" ref="B910"/>
    <hyperlink r:id="rId914" ref="B911"/>
    <hyperlink r:id="rId915" ref="B912"/>
    <hyperlink r:id="rId916" ref="B913"/>
    <hyperlink r:id="rId917" ref="B914"/>
    <hyperlink r:id="rId918" ref="B915"/>
    <hyperlink r:id="rId919" ref="B916"/>
    <hyperlink r:id="rId920" ref="B917"/>
    <hyperlink r:id="rId921" ref="B918"/>
    <hyperlink r:id="rId922" ref="B919"/>
    <hyperlink r:id="rId923" ref="B920"/>
    <hyperlink r:id="rId924" ref="B921"/>
    <hyperlink r:id="rId925" ref="B922"/>
    <hyperlink r:id="rId926" ref="B923"/>
    <hyperlink r:id="rId927" ref="B924"/>
    <hyperlink r:id="rId928" ref="B925"/>
    <hyperlink r:id="rId929" ref="B926"/>
    <hyperlink r:id="rId930" ref="B927"/>
    <hyperlink r:id="rId931" ref="B928"/>
    <hyperlink r:id="rId932" ref="B929"/>
    <hyperlink r:id="rId933" ref="B930"/>
    <hyperlink r:id="rId934" ref="B931"/>
    <hyperlink r:id="rId935" ref="B932"/>
    <hyperlink r:id="rId936" ref="B933"/>
    <hyperlink r:id="rId937" ref="B934"/>
    <hyperlink r:id="rId938" ref="B935"/>
    <hyperlink r:id="rId939" ref="B936"/>
    <hyperlink r:id="rId940" ref="B937"/>
    <hyperlink r:id="rId941" ref="B938"/>
    <hyperlink r:id="rId942" ref="B939"/>
    <hyperlink r:id="rId943" ref="B940"/>
    <hyperlink r:id="rId944" ref="B941"/>
    <hyperlink r:id="rId945" ref="B942"/>
    <hyperlink r:id="rId946" ref="B943"/>
    <hyperlink r:id="rId947" ref="B944"/>
    <hyperlink r:id="rId948" ref="B945"/>
    <hyperlink r:id="rId949" ref="B946"/>
    <hyperlink r:id="rId950" ref="B947"/>
    <hyperlink r:id="rId951" ref="B948"/>
    <hyperlink r:id="rId952" ref="B949"/>
    <hyperlink r:id="rId953" ref="B950"/>
    <hyperlink r:id="rId954" ref="B951"/>
    <hyperlink r:id="rId955" ref="B952"/>
    <hyperlink r:id="rId956" ref="B953"/>
    <hyperlink r:id="rId957" ref="B954"/>
    <hyperlink r:id="rId958" ref="B955"/>
    <hyperlink r:id="rId959" ref="B956"/>
    <hyperlink r:id="rId960" ref="B957"/>
    <hyperlink r:id="rId961" ref="B958"/>
    <hyperlink r:id="rId962" ref="B959"/>
    <hyperlink r:id="rId963" ref="B960"/>
    <hyperlink r:id="rId964" ref="B961"/>
    <hyperlink r:id="rId965" ref="B962"/>
    <hyperlink r:id="rId966" ref="B963"/>
    <hyperlink r:id="rId967" ref="B964"/>
    <hyperlink r:id="rId968" ref="B965"/>
    <hyperlink r:id="rId969" ref="B966"/>
    <hyperlink r:id="rId970" ref="B967"/>
    <hyperlink r:id="rId971" ref="B968"/>
    <hyperlink r:id="rId972" ref="B969"/>
    <hyperlink r:id="rId973" ref="B970"/>
    <hyperlink r:id="rId974" ref="B971"/>
    <hyperlink r:id="rId975" ref="B972"/>
    <hyperlink r:id="rId976" ref="B973"/>
    <hyperlink r:id="rId977" ref="B974"/>
    <hyperlink r:id="rId978" ref="B975"/>
    <hyperlink r:id="rId979" ref="B976"/>
    <hyperlink r:id="rId980" ref="B977"/>
    <hyperlink r:id="rId981" ref="B978"/>
    <hyperlink r:id="rId982" ref="B979"/>
    <hyperlink r:id="rId983" ref="B980"/>
    <hyperlink r:id="rId984" ref="B981"/>
    <hyperlink r:id="rId985" ref="B982"/>
    <hyperlink r:id="rId986" ref="B983"/>
    <hyperlink r:id="rId987" ref="B984"/>
    <hyperlink r:id="rId988" ref="B985"/>
    <hyperlink r:id="rId989" ref="B986"/>
    <hyperlink r:id="rId990" ref="B987"/>
    <hyperlink r:id="rId991" ref="B988"/>
    <hyperlink r:id="rId992" ref="B989"/>
    <hyperlink r:id="rId993" ref="B990"/>
    <hyperlink r:id="rId994" ref="B991"/>
    <hyperlink r:id="rId995" ref="B992"/>
    <hyperlink r:id="rId996" ref="B993"/>
    <hyperlink r:id="rId997" ref="B994"/>
    <hyperlink r:id="rId998" ref="B995"/>
    <hyperlink r:id="rId999" ref="B996"/>
    <hyperlink r:id="rId1000" ref="B997"/>
    <hyperlink r:id="rId1001" ref="B998"/>
    <hyperlink r:id="rId1002" ref="B999"/>
    <hyperlink r:id="rId1003" ref="B1000"/>
    <hyperlink r:id="rId1004" ref="B1001"/>
    <hyperlink r:id="rId1005" ref="B1002"/>
    <hyperlink r:id="rId1006" ref="B1003"/>
    <hyperlink r:id="rId1007" ref="B1004"/>
    <hyperlink r:id="rId1008" ref="B1005"/>
    <hyperlink r:id="rId1009" ref="B1006"/>
    <hyperlink r:id="rId1010" ref="B1007"/>
    <hyperlink r:id="rId1011" ref="B1008"/>
    <hyperlink r:id="rId1012" ref="B1009"/>
    <hyperlink r:id="rId1013" ref="B1010"/>
    <hyperlink r:id="rId1014" ref="B1011"/>
    <hyperlink r:id="rId1015" ref="B1012"/>
    <hyperlink r:id="rId1016" ref="B1013"/>
    <hyperlink r:id="rId1017" ref="B1014"/>
    <hyperlink r:id="rId1018" ref="B1015"/>
    <hyperlink r:id="rId1019" ref="B1016"/>
    <hyperlink r:id="rId1020" ref="B1017"/>
    <hyperlink r:id="rId1021" ref="B1018"/>
    <hyperlink r:id="rId1022" ref="B1019"/>
    <hyperlink r:id="rId1023" ref="B1020"/>
    <hyperlink r:id="rId1024" ref="B1021"/>
    <hyperlink r:id="rId1025" ref="B1022"/>
    <hyperlink r:id="rId1026" ref="B1023"/>
    <hyperlink r:id="rId1027" ref="B1024"/>
    <hyperlink r:id="rId1028" ref="B1025"/>
    <hyperlink r:id="rId1029" ref="B1026"/>
    <hyperlink r:id="rId1030" ref="B1027"/>
    <hyperlink r:id="rId1031" ref="B1028"/>
    <hyperlink r:id="rId1032" ref="B1029"/>
    <hyperlink r:id="rId1033" ref="B1030"/>
    <hyperlink r:id="rId1034" ref="B1031"/>
    <hyperlink r:id="rId1035" ref="B1032"/>
    <hyperlink r:id="rId1036" ref="B1033"/>
    <hyperlink r:id="rId1037" ref="B1034"/>
    <hyperlink r:id="rId1038" ref="B1035"/>
    <hyperlink r:id="rId1039" ref="B1036"/>
    <hyperlink r:id="rId1040" ref="B1037"/>
    <hyperlink r:id="rId1041" ref="B1038"/>
    <hyperlink r:id="rId1042" ref="B1039"/>
    <hyperlink r:id="rId1043" ref="B1040"/>
    <hyperlink r:id="rId1044" ref="B1041"/>
    <hyperlink r:id="rId1045" ref="B1042"/>
    <hyperlink r:id="rId1046" ref="B1043"/>
    <hyperlink r:id="rId1047" ref="B1044"/>
    <hyperlink r:id="rId1048" ref="B1045"/>
    <hyperlink r:id="rId1049" ref="B1046"/>
    <hyperlink r:id="rId1050" ref="B1047"/>
    <hyperlink r:id="rId1051" ref="B1048"/>
    <hyperlink r:id="rId1052" ref="B1049"/>
    <hyperlink r:id="rId1053" ref="B1050"/>
    <hyperlink r:id="rId1054" ref="B1051"/>
    <hyperlink r:id="rId1055" ref="B1052"/>
    <hyperlink r:id="rId1056" ref="B1053"/>
    <hyperlink r:id="rId1057" ref="B1054"/>
    <hyperlink r:id="rId1058" ref="B1055"/>
    <hyperlink r:id="rId1059" ref="B1056"/>
    <hyperlink r:id="rId1060" ref="B1057"/>
    <hyperlink r:id="rId1061" ref="B1058"/>
    <hyperlink r:id="rId1062" ref="B1059"/>
    <hyperlink r:id="rId1063" ref="B1060"/>
    <hyperlink r:id="rId1064" ref="B1061"/>
    <hyperlink r:id="rId1065" ref="B1062"/>
    <hyperlink r:id="rId1066" ref="B1063"/>
    <hyperlink r:id="rId1067" ref="B1064"/>
    <hyperlink r:id="rId1068" ref="B1065"/>
    <hyperlink r:id="rId1069" ref="B1066"/>
    <hyperlink r:id="rId1070" ref="B1067"/>
    <hyperlink r:id="rId1071" ref="B1068"/>
    <hyperlink r:id="rId1072" ref="B1069"/>
    <hyperlink r:id="rId1073" ref="B1070"/>
    <hyperlink r:id="rId1074" ref="B1071"/>
    <hyperlink r:id="rId1075" ref="B1072"/>
    <hyperlink r:id="rId1076" ref="B1073"/>
    <hyperlink r:id="rId1077" ref="B1074"/>
    <hyperlink r:id="rId1078" ref="B1075"/>
    <hyperlink r:id="rId1079" ref="B1076"/>
    <hyperlink r:id="rId1080" ref="B1077"/>
    <hyperlink r:id="rId1081" ref="B1078"/>
    <hyperlink r:id="rId1082" ref="B1079"/>
    <hyperlink r:id="rId1083" ref="B1080"/>
    <hyperlink r:id="rId1084" ref="B1081"/>
    <hyperlink r:id="rId1085" ref="B1082"/>
    <hyperlink r:id="rId1086" ref="B1083"/>
    <hyperlink r:id="rId1087" ref="B1084"/>
    <hyperlink r:id="rId1088" ref="B1085"/>
    <hyperlink r:id="rId1089" ref="B1086"/>
    <hyperlink r:id="rId1090" ref="B1087"/>
    <hyperlink r:id="rId1091" ref="B1088"/>
    <hyperlink r:id="rId1092" ref="B1089"/>
    <hyperlink r:id="rId1093" ref="B1090"/>
    <hyperlink r:id="rId1094" ref="B1091"/>
    <hyperlink r:id="rId1095" ref="B1092"/>
    <hyperlink r:id="rId1096" ref="B1093"/>
    <hyperlink r:id="rId1097" ref="B1094"/>
    <hyperlink r:id="rId1098" ref="B1095"/>
    <hyperlink r:id="rId1099" ref="B1096"/>
    <hyperlink r:id="rId1100" ref="B1097"/>
    <hyperlink r:id="rId1101" ref="B1098"/>
    <hyperlink r:id="rId1102" ref="B1099"/>
    <hyperlink r:id="rId1103" ref="B1100"/>
    <hyperlink r:id="rId1104" ref="B1101"/>
    <hyperlink r:id="rId1105" ref="B1102"/>
    <hyperlink r:id="rId1106" ref="B1103"/>
    <hyperlink r:id="rId1107" ref="B1104"/>
    <hyperlink r:id="rId1108" ref="B1105"/>
    <hyperlink r:id="rId1109" ref="B1106"/>
    <hyperlink r:id="rId1110" ref="B1107"/>
    <hyperlink r:id="rId1111" ref="B1108"/>
    <hyperlink r:id="rId1112" ref="B1109"/>
    <hyperlink r:id="rId1113" ref="B1110"/>
    <hyperlink r:id="rId1114" ref="B1111"/>
    <hyperlink r:id="rId1115" ref="B1112"/>
    <hyperlink r:id="rId1116" ref="B1113"/>
    <hyperlink r:id="rId1117" ref="B1114"/>
    <hyperlink r:id="rId1118" ref="B1115"/>
    <hyperlink r:id="rId1119" ref="B1116"/>
    <hyperlink r:id="rId1120" ref="B1117"/>
    <hyperlink r:id="rId1121" ref="B1118"/>
    <hyperlink r:id="rId1122" ref="B1119"/>
    <hyperlink r:id="rId1123" ref="B1120"/>
    <hyperlink r:id="rId1124" ref="B1121"/>
    <hyperlink r:id="rId1125" ref="B1122"/>
    <hyperlink r:id="rId1126" ref="B1123"/>
    <hyperlink r:id="rId1127" ref="B1124"/>
    <hyperlink r:id="rId1128" ref="B1125"/>
    <hyperlink r:id="rId1129" ref="B1126"/>
    <hyperlink r:id="rId1130" ref="B1127"/>
    <hyperlink r:id="rId1131" ref="B1128"/>
    <hyperlink r:id="rId1132" ref="B1129"/>
    <hyperlink r:id="rId1133" ref="B1130"/>
    <hyperlink r:id="rId1134" ref="B1131"/>
    <hyperlink r:id="rId1135" ref="B1132"/>
    <hyperlink r:id="rId1136" ref="B1133"/>
    <hyperlink r:id="rId1137" ref="B1134"/>
    <hyperlink r:id="rId1138" ref="B1135"/>
    <hyperlink r:id="rId1139" ref="B1136"/>
    <hyperlink r:id="rId1140" ref="B1137"/>
    <hyperlink r:id="rId1141" ref="B1138"/>
    <hyperlink r:id="rId1142" ref="B1139"/>
    <hyperlink r:id="rId1143" ref="B1140"/>
    <hyperlink r:id="rId1144" ref="B1141"/>
    <hyperlink r:id="rId1145" ref="B1142"/>
    <hyperlink r:id="rId1146" ref="B1143"/>
    <hyperlink r:id="rId1147" ref="B1144"/>
    <hyperlink r:id="rId1148" ref="B1145"/>
    <hyperlink r:id="rId1149" ref="B1146"/>
    <hyperlink r:id="rId1150" ref="B1147"/>
    <hyperlink r:id="rId1151" ref="B1148"/>
    <hyperlink r:id="rId1152" ref="B1149"/>
    <hyperlink r:id="rId1153" ref="B1150"/>
    <hyperlink r:id="rId1154" ref="B1151"/>
    <hyperlink r:id="rId1155" ref="B1152"/>
    <hyperlink r:id="rId1156" ref="B1153"/>
    <hyperlink r:id="rId1157" ref="B1154"/>
    <hyperlink r:id="rId1158" ref="B1155"/>
    <hyperlink r:id="rId1159" ref="B1156"/>
    <hyperlink r:id="rId1160" ref="B1157"/>
    <hyperlink r:id="rId1161" ref="B1158"/>
    <hyperlink r:id="rId1162" ref="B1159"/>
    <hyperlink r:id="rId1163" ref="B1160"/>
    <hyperlink r:id="rId1164" ref="B1161"/>
    <hyperlink r:id="rId1165" ref="B1162"/>
    <hyperlink r:id="rId1166" ref="B1163"/>
    <hyperlink r:id="rId1167" ref="B1164"/>
    <hyperlink r:id="rId1168" ref="B1165"/>
    <hyperlink r:id="rId1169" ref="B1166"/>
    <hyperlink r:id="rId1170" ref="B1167"/>
    <hyperlink r:id="rId1171" ref="B1168"/>
    <hyperlink r:id="rId1172" ref="B1169"/>
    <hyperlink r:id="rId1173" ref="B1170"/>
    <hyperlink r:id="rId1174" ref="B1171"/>
    <hyperlink r:id="rId1175" ref="B1172"/>
    <hyperlink r:id="rId1176" ref="B1173"/>
    <hyperlink r:id="rId1177" ref="B1174"/>
    <hyperlink r:id="rId1178" ref="B1175"/>
    <hyperlink r:id="rId1179" ref="B1176"/>
    <hyperlink r:id="rId1180" ref="B1177"/>
    <hyperlink r:id="rId1181" ref="B1178"/>
    <hyperlink r:id="rId1182" ref="B1179"/>
    <hyperlink r:id="rId1183" ref="B1180"/>
    <hyperlink r:id="rId1184" ref="B1181"/>
    <hyperlink r:id="rId1185" ref="B1182"/>
    <hyperlink r:id="rId1186" ref="B1183"/>
    <hyperlink r:id="rId1187" ref="B1184"/>
    <hyperlink r:id="rId1188" ref="B1185"/>
    <hyperlink r:id="rId1189" ref="B1186"/>
    <hyperlink r:id="rId1190" ref="B1187"/>
    <hyperlink r:id="rId1191" ref="B1188"/>
    <hyperlink r:id="rId1192" ref="B1189"/>
    <hyperlink r:id="rId1193" ref="B1190"/>
    <hyperlink r:id="rId1194" ref="B1191"/>
    <hyperlink r:id="rId1195" ref="B1192"/>
    <hyperlink r:id="rId1196" ref="B1193"/>
    <hyperlink r:id="rId1197" ref="B1194"/>
    <hyperlink r:id="rId1198" ref="B1195"/>
    <hyperlink r:id="rId1199" ref="B1196"/>
    <hyperlink r:id="rId1200" ref="B1197"/>
    <hyperlink r:id="rId1201" ref="B1198"/>
    <hyperlink r:id="rId1202" ref="B1199"/>
    <hyperlink r:id="rId1203" ref="B1200"/>
    <hyperlink r:id="rId1204" ref="B1201"/>
    <hyperlink r:id="rId1205" ref="B1202"/>
    <hyperlink r:id="rId1206" ref="B1203"/>
    <hyperlink r:id="rId1207" ref="B1204"/>
    <hyperlink r:id="rId1208" ref="B1205"/>
    <hyperlink r:id="rId1209" ref="B1206"/>
    <hyperlink r:id="rId1210" ref="B1207"/>
    <hyperlink r:id="rId1211" ref="B1208"/>
    <hyperlink r:id="rId1212" ref="B1209"/>
    <hyperlink r:id="rId1213" ref="B1210"/>
    <hyperlink r:id="rId1214" ref="B1211"/>
    <hyperlink r:id="rId1215" ref="B1212"/>
    <hyperlink r:id="rId1216" ref="B1213"/>
    <hyperlink r:id="rId1217" ref="B1214"/>
    <hyperlink r:id="rId1218" ref="B1215"/>
    <hyperlink r:id="rId1219" ref="B1216"/>
    <hyperlink r:id="rId1220" ref="B1217"/>
    <hyperlink r:id="rId1221" ref="B1218"/>
    <hyperlink r:id="rId1222" ref="B1219"/>
    <hyperlink r:id="rId1223" ref="B1220"/>
    <hyperlink r:id="rId1224" ref="B1221"/>
    <hyperlink r:id="rId1225" ref="B1222"/>
    <hyperlink r:id="rId1226" ref="B1223"/>
    <hyperlink r:id="rId1227" ref="B1224"/>
    <hyperlink r:id="rId1228" ref="B1225"/>
    <hyperlink r:id="rId1229" ref="B1226"/>
    <hyperlink r:id="rId1230" ref="B1227"/>
    <hyperlink r:id="rId1231" ref="B1228"/>
    <hyperlink r:id="rId1232" ref="B1229"/>
    <hyperlink r:id="rId1233" ref="B1230"/>
    <hyperlink r:id="rId1234" ref="B1231"/>
    <hyperlink r:id="rId1235" ref="B1232"/>
    <hyperlink r:id="rId1236" ref="B1233"/>
    <hyperlink r:id="rId1237" ref="B1234"/>
    <hyperlink r:id="rId1238" ref="B1235"/>
    <hyperlink r:id="rId1239" ref="B1236"/>
    <hyperlink r:id="rId1240" ref="B1237"/>
    <hyperlink r:id="rId1241" ref="B1238"/>
    <hyperlink r:id="rId1242" ref="B1239"/>
    <hyperlink r:id="rId1243" ref="B1240"/>
    <hyperlink r:id="rId1244" ref="B1241"/>
    <hyperlink r:id="rId1245" ref="B1242"/>
    <hyperlink r:id="rId1246" ref="B1243"/>
    <hyperlink r:id="rId1247" ref="B1244"/>
    <hyperlink r:id="rId1248" ref="B1245"/>
    <hyperlink r:id="rId1249" ref="B1246"/>
    <hyperlink r:id="rId1250" ref="B1247"/>
    <hyperlink r:id="rId1251" ref="B1248"/>
    <hyperlink r:id="rId1252" ref="B1249"/>
    <hyperlink r:id="rId1253" ref="B1250"/>
    <hyperlink r:id="rId1254" ref="B1251"/>
    <hyperlink r:id="rId1255" ref="B1252"/>
    <hyperlink r:id="rId1256" ref="B1253"/>
    <hyperlink r:id="rId1257" ref="B1254"/>
    <hyperlink r:id="rId1258" ref="B1255"/>
    <hyperlink r:id="rId1259" ref="B1256"/>
    <hyperlink r:id="rId1260" ref="B1257"/>
    <hyperlink r:id="rId1261" ref="B1258"/>
    <hyperlink r:id="rId1262" ref="B1259"/>
    <hyperlink r:id="rId1263" ref="B1260"/>
    <hyperlink r:id="rId1264" ref="B1261"/>
    <hyperlink r:id="rId1265" ref="B1262"/>
    <hyperlink r:id="rId1266" ref="B1263"/>
    <hyperlink r:id="rId1267" ref="B1264"/>
    <hyperlink r:id="rId1268" ref="B1265"/>
    <hyperlink r:id="rId1269" ref="B1266"/>
    <hyperlink r:id="rId1270" ref="B1267"/>
    <hyperlink r:id="rId1271" ref="B1268"/>
    <hyperlink r:id="rId1272" ref="B1269"/>
    <hyperlink r:id="rId1273" ref="B1270"/>
    <hyperlink r:id="rId1274" ref="B1271"/>
    <hyperlink r:id="rId1275" ref="B1272"/>
    <hyperlink r:id="rId1276" ref="B1273"/>
    <hyperlink r:id="rId1277" ref="B1274"/>
    <hyperlink r:id="rId1278" ref="B1275"/>
    <hyperlink r:id="rId1279" ref="B1276"/>
    <hyperlink r:id="rId1280" ref="B1277"/>
    <hyperlink r:id="rId1281" ref="B1278"/>
    <hyperlink r:id="rId1282" ref="B1279"/>
    <hyperlink r:id="rId1283" ref="B1280"/>
    <hyperlink r:id="rId1284" ref="B1281"/>
    <hyperlink r:id="rId1285" ref="B1282"/>
    <hyperlink r:id="rId1286" ref="B1283"/>
    <hyperlink r:id="rId1287" ref="B1284"/>
    <hyperlink r:id="rId1288" ref="B1285"/>
    <hyperlink r:id="rId1289" ref="B1286"/>
    <hyperlink r:id="rId1290" ref="B1287"/>
    <hyperlink r:id="rId1291" ref="B1288"/>
    <hyperlink r:id="rId1292" ref="B1289"/>
    <hyperlink r:id="rId1293" ref="B1290"/>
    <hyperlink r:id="rId1294" ref="B1291"/>
    <hyperlink r:id="rId1295" ref="B1292"/>
    <hyperlink r:id="rId1296" ref="B1293"/>
    <hyperlink r:id="rId1297" ref="B1294"/>
    <hyperlink r:id="rId1298" ref="B1295"/>
    <hyperlink r:id="rId1299" ref="B1296"/>
    <hyperlink r:id="rId1300" ref="B1297"/>
    <hyperlink r:id="rId1301" ref="B1298"/>
    <hyperlink r:id="rId1302" ref="B1299"/>
    <hyperlink r:id="rId1303" ref="B1300"/>
    <hyperlink r:id="rId1304" ref="B1301"/>
    <hyperlink r:id="rId1305" ref="B1302"/>
    <hyperlink r:id="rId1306" ref="B1303"/>
    <hyperlink r:id="rId1307" ref="B1304"/>
    <hyperlink r:id="rId1308" ref="B1305"/>
    <hyperlink r:id="rId1309" ref="B1306"/>
    <hyperlink r:id="rId1310" ref="B1307"/>
    <hyperlink r:id="rId1311" ref="B1308"/>
    <hyperlink r:id="rId1312" ref="B1309"/>
    <hyperlink r:id="rId1313" ref="B1310"/>
    <hyperlink r:id="rId1314" ref="B1311"/>
    <hyperlink r:id="rId1315" ref="B1312"/>
    <hyperlink r:id="rId1316" ref="B1313"/>
    <hyperlink r:id="rId1317" ref="B1314"/>
    <hyperlink r:id="rId1318" ref="B1315"/>
    <hyperlink r:id="rId1319" ref="B1316"/>
    <hyperlink r:id="rId1320" ref="B1317"/>
    <hyperlink r:id="rId1321" ref="B1318"/>
    <hyperlink r:id="rId1322" ref="B1319"/>
    <hyperlink r:id="rId1323" ref="B1320"/>
    <hyperlink r:id="rId1324" ref="B1321"/>
    <hyperlink r:id="rId1325" ref="B1322"/>
    <hyperlink r:id="rId1326" ref="B1323"/>
    <hyperlink r:id="rId1327" ref="B1324"/>
    <hyperlink r:id="rId1328" ref="B1325"/>
    <hyperlink r:id="rId1329" ref="B1326"/>
    <hyperlink r:id="rId1330" ref="B1327"/>
    <hyperlink r:id="rId1331" ref="B1328"/>
    <hyperlink r:id="rId1332" ref="B1329"/>
    <hyperlink r:id="rId1333" ref="B1330"/>
    <hyperlink r:id="rId1334" ref="B1331"/>
    <hyperlink r:id="rId1335" ref="B1332"/>
    <hyperlink r:id="rId1336" ref="B1333"/>
    <hyperlink r:id="rId1337" ref="B1334"/>
    <hyperlink r:id="rId1338" ref="B1335"/>
    <hyperlink r:id="rId1339" ref="B1336"/>
    <hyperlink r:id="rId1340" ref="B1337"/>
    <hyperlink r:id="rId1341" ref="B1338"/>
    <hyperlink r:id="rId1342" ref="B1339"/>
    <hyperlink r:id="rId1343" ref="B1340"/>
    <hyperlink r:id="rId1344" ref="B1341"/>
    <hyperlink r:id="rId1345" ref="B1342"/>
    <hyperlink r:id="rId1346" ref="B1343"/>
    <hyperlink r:id="rId1347" ref="B1344"/>
    <hyperlink r:id="rId1348" ref="B1345"/>
    <hyperlink r:id="rId1349" ref="B1346"/>
    <hyperlink r:id="rId1350" ref="B1347"/>
    <hyperlink r:id="rId1351" ref="B1348"/>
    <hyperlink r:id="rId1352" ref="B1349"/>
    <hyperlink r:id="rId1353" ref="B1350"/>
    <hyperlink r:id="rId1354" ref="B1351"/>
    <hyperlink r:id="rId1355" ref="B1352"/>
    <hyperlink r:id="rId1356" ref="B1353"/>
    <hyperlink r:id="rId1357" ref="B1354"/>
    <hyperlink r:id="rId1358" ref="B1355"/>
    <hyperlink r:id="rId1359" ref="B1356"/>
    <hyperlink r:id="rId1360" ref="B1357"/>
    <hyperlink r:id="rId1361" ref="B1358"/>
    <hyperlink r:id="rId1362" ref="B1359"/>
    <hyperlink r:id="rId1363" ref="B1360"/>
    <hyperlink r:id="rId1364" ref="B1361"/>
    <hyperlink r:id="rId1365" ref="B1362"/>
    <hyperlink r:id="rId1366" ref="B1363"/>
    <hyperlink r:id="rId1367" ref="B1364"/>
    <hyperlink r:id="rId1368" ref="B1365"/>
    <hyperlink r:id="rId1369" ref="B1366"/>
    <hyperlink r:id="rId1370" ref="B1367"/>
    <hyperlink r:id="rId1371" ref="B1368"/>
    <hyperlink r:id="rId1372" ref="B1369"/>
    <hyperlink r:id="rId1373" ref="B1370"/>
    <hyperlink r:id="rId1374" ref="B1371"/>
    <hyperlink r:id="rId1375" ref="B1372"/>
    <hyperlink r:id="rId1376" ref="B1373"/>
    <hyperlink r:id="rId1377" ref="B1374"/>
    <hyperlink r:id="rId1378" ref="B1375"/>
    <hyperlink r:id="rId1379" ref="B1376"/>
    <hyperlink r:id="rId1380" ref="B1377"/>
    <hyperlink r:id="rId1381" ref="B1378"/>
    <hyperlink r:id="rId1382" ref="B1379"/>
    <hyperlink r:id="rId1383" ref="B1380"/>
    <hyperlink r:id="rId1384" ref="B1381"/>
    <hyperlink r:id="rId1385" ref="B1382"/>
    <hyperlink r:id="rId1386" ref="B1383"/>
    <hyperlink r:id="rId1387" ref="B1384"/>
    <hyperlink r:id="rId1388" ref="B1385"/>
    <hyperlink r:id="rId1389" ref="B1386"/>
    <hyperlink r:id="rId1390" ref="B1387"/>
    <hyperlink r:id="rId1391" ref="B1388"/>
    <hyperlink r:id="rId1392" ref="B1389"/>
    <hyperlink r:id="rId1393" ref="B1390"/>
    <hyperlink r:id="rId1394" ref="B1391"/>
    <hyperlink r:id="rId1395" ref="B1392"/>
    <hyperlink r:id="rId1396" ref="B1393"/>
    <hyperlink r:id="rId1397" ref="B1394"/>
    <hyperlink r:id="rId1398" ref="B1395"/>
    <hyperlink r:id="rId1399" ref="B1396"/>
    <hyperlink r:id="rId1400" ref="B1397"/>
    <hyperlink r:id="rId1401" ref="B1398"/>
    <hyperlink r:id="rId1402" ref="B1399"/>
    <hyperlink r:id="rId1403" ref="B1400"/>
    <hyperlink r:id="rId1404" ref="B1401"/>
    <hyperlink r:id="rId1405" ref="B1402"/>
    <hyperlink r:id="rId1406" ref="B1403"/>
    <hyperlink r:id="rId1407" ref="B1404"/>
    <hyperlink r:id="rId1408" ref="B1405"/>
    <hyperlink r:id="rId1409" ref="B1406"/>
    <hyperlink r:id="rId1410" ref="B1407"/>
    <hyperlink r:id="rId1411" ref="B1408"/>
    <hyperlink r:id="rId1412" ref="B1409"/>
    <hyperlink r:id="rId1413" ref="B1410"/>
    <hyperlink r:id="rId1414" ref="B1411"/>
    <hyperlink r:id="rId1415" ref="B1412"/>
    <hyperlink r:id="rId1416" ref="B1413"/>
    <hyperlink r:id="rId1417" ref="B1414"/>
    <hyperlink r:id="rId1418" ref="B1415"/>
    <hyperlink r:id="rId1419" ref="B1416"/>
    <hyperlink r:id="rId1420" ref="B1417"/>
    <hyperlink r:id="rId1421" ref="B1418"/>
    <hyperlink r:id="rId1422" ref="B1419"/>
    <hyperlink r:id="rId1423" ref="B1420"/>
    <hyperlink r:id="rId1424" ref="B1421"/>
    <hyperlink r:id="rId1425" ref="B1422"/>
    <hyperlink r:id="rId1426" ref="B1423"/>
    <hyperlink r:id="rId1427" ref="B1424"/>
    <hyperlink r:id="rId1428" ref="B1425"/>
    <hyperlink r:id="rId1429" ref="B1426"/>
    <hyperlink r:id="rId1430" ref="B1427"/>
    <hyperlink r:id="rId1431" ref="B1428"/>
    <hyperlink r:id="rId1432" ref="B1429"/>
    <hyperlink r:id="rId1433" ref="B1430"/>
    <hyperlink r:id="rId1434" ref="B1431"/>
    <hyperlink r:id="rId1435" ref="B1432"/>
    <hyperlink r:id="rId1436" ref="B1433"/>
    <hyperlink r:id="rId1437" ref="B1434"/>
    <hyperlink r:id="rId1438" ref="B1435"/>
    <hyperlink r:id="rId1439" ref="B1436"/>
    <hyperlink r:id="rId1440" ref="B1437"/>
    <hyperlink r:id="rId1441" ref="B1438"/>
    <hyperlink r:id="rId1442" ref="B1439"/>
    <hyperlink r:id="rId1443" ref="B1440"/>
    <hyperlink r:id="rId1444" ref="B1441"/>
    <hyperlink r:id="rId1445" ref="B1442"/>
    <hyperlink r:id="rId1446" ref="B1443"/>
    <hyperlink r:id="rId1447" ref="B1444"/>
    <hyperlink r:id="rId1448" ref="B1445"/>
    <hyperlink r:id="rId1449" ref="B1446"/>
    <hyperlink r:id="rId1450" ref="B1447"/>
    <hyperlink r:id="rId1451" ref="B1448"/>
    <hyperlink r:id="rId1452" ref="B1449"/>
    <hyperlink r:id="rId1453" ref="B1450"/>
    <hyperlink r:id="rId1454" ref="B1451"/>
    <hyperlink r:id="rId1455" ref="B1452"/>
    <hyperlink r:id="rId1456" ref="B1453"/>
    <hyperlink r:id="rId1457" ref="B1454"/>
    <hyperlink r:id="rId1458" ref="B1455"/>
    <hyperlink r:id="rId1459" ref="B1456"/>
    <hyperlink r:id="rId1460" ref="B1457"/>
    <hyperlink r:id="rId1461" ref="B1458"/>
    <hyperlink r:id="rId1462" ref="B1459"/>
    <hyperlink r:id="rId1463" ref="B1460"/>
    <hyperlink r:id="rId1464" ref="B1461"/>
    <hyperlink r:id="rId1465" ref="B1462"/>
    <hyperlink r:id="rId1466" ref="B1463"/>
    <hyperlink r:id="rId1467" ref="B1464"/>
    <hyperlink r:id="rId1468" ref="B1465"/>
    <hyperlink r:id="rId1469" ref="B1466"/>
    <hyperlink r:id="rId1470" ref="B1467"/>
    <hyperlink r:id="rId1471" ref="B1468"/>
    <hyperlink r:id="rId1472" ref="B1469"/>
    <hyperlink r:id="rId1473" ref="B1470"/>
    <hyperlink r:id="rId1474" ref="B1471"/>
    <hyperlink r:id="rId1475" ref="B1472"/>
    <hyperlink r:id="rId1476" ref="B1473"/>
    <hyperlink r:id="rId1477" ref="B1474"/>
    <hyperlink r:id="rId1478" ref="B1475"/>
    <hyperlink r:id="rId1479" ref="B1476"/>
    <hyperlink r:id="rId1480" ref="B1477"/>
    <hyperlink r:id="rId1481" ref="B1478"/>
    <hyperlink r:id="rId1482" ref="B1479"/>
    <hyperlink r:id="rId1483" ref="B1480"/>
    <hyperlink r:id="rId1484" ref="B1481"/>
    <hyperlink r:id="rId1485" ref="B1482"/>
    <hyperlink r:id="rId1486" ref="B1483"/>
    <hyperlink r:id="rId1487" ref="B1484"/>
    <hyperlink r:id="rId1488" ref="B1485"/>
    <hyperlink r:id="rId1489" ref="B1486"/>
    <hyperlink r:id="rId1490" ref="B1487"/>
    <hyperlink r:id="rId1491" ref="B1488"/>
    <hyperlink r:id="rId1492" ref="B1489"/>
    <hyperlink r:id="rId1493" ref="B1490"/>
    <hyperlink r:id="rId1494" ref="B1491"/>
    <hyperlink r:id="rId1495" ref="B1492"/>
    <hyperlink r:id="rId1496" ref="B1493"/>
    <hyperlink r:id="rId1497" ref="B1494"/>
    <hyperlink r:id="rId1498" ref="B1495"/>
    <hyperlink r:id="rId1499" ref="B1496"/>
    <hyperlink r:id="rId1500" ref="B1497"/>
    <hyperlink r:id="rId1501" ref="B1498"/>
    <hyperlink r:id="rId1502" ref="B1499"/>
    <hyperlink r:id="rId1503" ref="B1500"/>
    <hyperlink r:id="rId1504" ref="B1501"/>
    <hyperlink r:id="rId1505" ref="B1502"/>
    <hyperlink r:id="rId1506" ref="B1503"/>
    <hyperlink r:id="rId1507" ref="B1504"/>
    <hyperlink r:id="rId1508" ref="B1505"/>
    <hyperlink r:id="rId1509" ref="B1506"/>
    <hyperlink r:id="rId1510" ref="B1507"/>
    <hyperlink r:id="rId1511" ref="B1508"/>
    <hyperlink r:id="rId1512" ref="B1509"/>
    <hyperlink r:id="rId1513" ref="B1510"/>
    <hyperlink r:id="rId1514" ref="B1511"/>
    <hyperlink r:id="rId1515" ref="B1512"/>
    <hyperlink r:id="rId1516" ref="B1513"/>
    <hyperlink r:id="rId1517" ref="B1514"/>
    <hyperlink r:id="rId1518" ref="B1515"/>
    <hyperlink r:id="rId1519" ref="B1516"/>
    <hyperlink r:id="rId1520" ref="B1517"/>
    <hyperlink r:id="rId1521" ref="B1518"/>
    <hyperlink r:id="rId1522" ref="B1519"/>
    <hyperlink r:id="rId1523" ref="B1520"/>
    <hyperlink r:id="rId1524" ref="B1521"/>
    <hyperlink r:id="rId1525" ref="B1522"/>
    <hyperlink r:id="rId1526" ref="B1523"/>
    <hyperlink r:id="rId1527" ref="B1524"/>
    <hyperlink r:id="rId1528" ref="B1525"/>
    <hyperlink r:id="rId1529" ref="B1526"/>
    <hyperlink r:id="rId1530" ref="B1527"/>
    <hyperlink r:id="rId1531" ref="B1528"/>
    <hyperlink r:id="rId1532" ref="B1529"/>
    <hyperlink r:id="rId1533" ref="B1530"/>
    <hyperlink r:id="rId1534" ref="B1531"/>
    <hyperlink r:id="rId1535" ref="B1532"/>
    <hyperlink r:id="rId1536" ref="B1533"/>
    <hyperlink r:id="rId1537" ref="B1534"/>
    <hyperlink r:id="rId1538" ref="B1535"/>
    <hyperlink r:id="rId1539" ref="B1536"/>
    <hyperlink r:id="rId1540" ref="B1537"/>
    <hyperlink r:id="rId1541" ref="B1538"/>
    <hyperlink r:id="rId1542" ref="B1539"/>
    <hyperlink r:id="rId1543" ref="B1540"/>
    <hyperlink r:id="rId1544" ref="B1541"/>
    <hyperlink r:id="rId1545" ref="B1542"/>
    <hyperlink r:id="rId1546" ref="B1543"/>
    <hyperlink r:id="rId1547" ref="B1544"/>
    <hyperlink r:id="rId1548" ref="B1545"/>
    <hyperlink r:id="rId1549" ref="B1546"/>
    <hyperlink r:id="rId1550" ref="B1547"/>
    <hyperlink r:id="rId1551" ref="B1548"/>
    <hyperlink r:id="rId1552" ref="B1549"/>
    <hyperlink r:id="rId1553" ref="B1550"/>
    <hyperlink r:id="rId1554" ref="B1551"/>
    <hyperlink r:id="rId1555" ref="B1552"/>
    <hyperlink r:id="rId1556" ref="B1553"/>
    <hyperlink r:id="rId1557" ref="B1554"/>
    <hyperlink r:id="rId1558" ref="B1555"/>
    <hyperlink r:id="rId1559" ref="B1556"/>
    <hyperlink r:id="rId1560" ref="B1557"/>
    <hyperlink r:id="rId1561" ref="B1558"/>
    <hyperlink r:id="rId1562" ref="B1559"/>
    <hyperlink r:id="rId1563" ref="B1560"/>
    <hyperlink r:id="rId1564" ref="B1561"/>
    <hyperlink r:id="rId1565" ref="B1562"/>
    <hyperlink r:id="rId1566" ref="B1563"/>
    <hyperlink r:id="rId1567" ref="B1564"/>
    <hyperlink r:id="rId1568" ref="B1565"/>
    <hyperlink r:id="rId1569" ref="B1566"/>
    <hyperlink r:id="rId1570" ref="B1567"/>
    <hyperlink r:id="rId1571" ref="B1568"/>
    <hyperlink r:id="rId1572" ref="B1569"/>
    <hyperlink r:id="rId1573" ref="B1570"/>
    <hyperlink r:id="rId1574" ref="B1571"/>
    <hyperlink r:id="rId1575" ref="B1572"/>
    <hyperlink r:id="rId1576" ref="B1573"/>
    <hyperlink r:id="rId1577" ref="B1574"/>
    <hyperlink r:id="rId1578" ref="B1575"/>
    <hyperlink r:id="rId1579" ref="B1576"/>
    <hyperlink r:id="rId1580" ref="B1577"/>
    <hyperlink r:id="rId1581" ref="B1578"/>
    <hyperlink r:id="rId1582" ref="B1579"/>
    <hyperlink r:id="rId1583" ref="B1580"/>
    <hyperlink r:id="rId1584" ref="B1581"/>
    <hyperlink r:id="rId1585" ref="B1582"/>
    <hyperlink r:id="rId1586" ref="B1583"/>
    <hyperlink r:id="rId1587" ref="B1584"/>
    <hyperlink r:id="rId1588" ref="B1585"/>
    <hyperlink r:id="rId1589" ref="B1586"/>
    <hyperlink r:id="rId1590" ref="B1587"/>
    <hyperlink r:id="rId1591" ref="B1588"/>
    <hyperlink r:id="rId1592" ref="B1589"/>
    <hyperlink r:id="rId1593" ref="B1590"/>
    <hyperlink r:id="rId1594" ref="B1591"/>
    <hyperlink r:id="rId1595" ref="B1592"/>
    <hyperlink r:id="rId1596" ref="B1593"/>
    <hyperlink r:id="rId1597" ref="B1594"/>
    <hyperlink r:id="rId1598" ref="B1595"/>
    <hyperlink r:id="rId1599" ref="B1596"/>
    <hyperlink r:id="rId1600" ref="B1597"/>
    <hyperlink r:id="rId1601" ref="B1598"/>
    <hyperlink r:id="rId1602" ref="B1599"/>
    <hyperlink r:id="rId1603" ref="B1600"/>
    <hyperlink r:id="rId1604" ref="B1601"/>
    <hyperlink r:id="rId1605" ref="B1602"/>
    <hyperlink r:id="rId1606" ref="B1603"/>
    <hyperlink r:id="rId1607" ref="B1604"/>
    <hyperlink r:id="rId1608" ref="B1605"/>
    <hyperlink r:id="rId1609" ref="B1606"/>
    <hyperlink r:id="rId1610" ref="B1607"/>
    <hyperlink r:id="rId1611" ref="B1608"/>
    <hyperlink r:id="rId1612" ref="B1609"/>
    <hyperlink r:id="rId1613" ref="B1610"/>
    <hyperlink r:id="rId1614" ref="B1611"/>
    <hyperlink r:id="rId1615" ref="B1612"/>
    <hyperlink r:id="rId1616" ref="B1613"/>
    <hyperlink r:id="rId1617" ref="B1614"/>
    <hyperlink r:id="rId1618" ref="B1615"/>
    <hyperlink r:id="rId1619" ref="B1616"/>
    <hyperlink r:id="rId1620" ref="B1617"/>
    <hyperlink r:id="rId1621" ref="B1618"/>
    <hyperlink r:id="rId1622" ref="B1619"/>
    <hyperlink r:id="rId1623" ref="B1620"/>
    <hyperlink r:id="rId1624" ref="B1621"/>
    <hyperlink r:id="rId1625" ref="B1622"/>
    <hyperlink r:id="rId1626" ref="B1623"/>
    <hyperlink r:id="rId1627" ref="B1624"/>
    <hyperlink r:id="rId1628" ref="B1625"/>
    <hyperlink r:id="rId1629" ref="B1626"/>
    <hyperlink r:id="rId1630" ref="B1627"/>
    <hyperlink r:id="rId1631" ref="B1628"/>
    <hyperlink r:id="rId1632" ref="B1629"/>
    <hyperlink r:id="rId1633" ref="B1630"/>
    <hyperlink r:id="rId1634" ref="B1631"/>
    <hyperlink r:id="rId1635" ref="B1632"/>
    <hyperlink r:id="rId1636" ref="B1633"/>
    <hyperlink r:id="rId1637" ref="B1634"/>
    <hyperlink r:id="rId1638" ref="B1635"/>
    <hyperlink r:id="rId1639" ref="B1636"/>
    <hyperlink r:id="rId1640" ref="B1637"/>
    <hyperlink r:id="rId1641" ref="B1638"/>
    <hyperlink r:id="rId1642" ref="B1639"/>
    <hyperlink r:id="rId1643" ref="B1640"/>
    <hyperlink r:id="rId1644" ref="B1641"/>
    <hyperlink r:id="rId1645" ref="B1642"/>
    <hyperlink r:id="rId1646" ref="B1643"/>
    <hyperlink r:id="rId1647" ref="B1644"/>
    <hyperlink r:id="rId1648" ref="B1645"/>
    <hyperlink r:id="rId1649" ref="B1646"/>
    <hyperlink r:id="rId1650" ref="B1647"/>
    <hyperlink r:id="rId1651" ref="B1648"/>
    <hyperlink r:id="rId1652" ref="B1649"/>
    <hyperlink r:id="rId1653" ref="B1650"/>
    <hyperlink r:id="rId1654" ref="B1651"/>
    <hyperlink r:id="rId1655" ref="B1652"/>
    <hyperlink r:id="rId1656" ref="B1653"/>
    <hyperlink r:id="rId1657" ref="B1654"/>
    <hyperlink r:id="rId1658" ref="B1655"/>
    <hyperlink r:id="rId1659" ref="B1656"/>
    <hyperlink r:id="rId1660" ref="B1657"/>
    <hyperlink r:id="rId1661" ref="B1658"/>
    <hyperlink r:id="rId1662" ref="B1659"/>
    <hyperlink r:id="rId1663" ref="B1660"/>
    <hyperlink r:id="rId1664" ref="B1661"/>
    <hyperlink r:id="rId1665" ref="B1662"/>
    <hyperlink r:id="rId1666" ref="B1663"/>
    <hyperlink r:id="rId1667" ref="B1664"/>
    <hyperlink r:id="rId1668" ref="B1665"/>
    <hyperlink r:id="rId1669" ref="B1666"/>
    <hyperlink r:id="rId1670" ref="B1667"/>
    <hyperlink r:id="rId1671" ref="B1668"/>
    <hyperlink r:id="rId1672" ref="B1669"/>
    <hyperlink r:id="rId1673" ref="B1670"/>
    <hyperlink r:id="rId1674" ref="B1671"/>
    <hyperlink r:id="rId1675" ref="B1672"/>
    <hyperlink r:id="rId1676" ref="B1673"/>
    <hyperlink r:id="rId1677" ref="B1674"/>
    <hyperlink r:id="rId1678" ref="B1675"/>
    <hyperlink r:id="rId1679" ref="B1676"/>
    <hyperlink r:id="rId1680" ref="B1677"/>
    <hyperlink r:id="rId1681" ref="B1678"/>
    <hyperlink r:id="rId1682" ref="B1679"/>
    <hyperlink r:id="rId1683" ref="B1680"/>
    <hyperlink r:id="rId1684" ref="B1681"/>
    <hyperlink r:id="rId1685" ref="B1682"/>
    <hyperlink r:id="rId1686" ref="B1683"/>
    <hyperlink r:id="rId1687" ref="B1684"/>
    <hyperlink r:id="rId1688" ref="B1685"/>
    <hyperlink r:id="rId1689" ref="B1686"/>
    <hyperlink r:id="rId1690" ref="B1687"/>
    <hyperlink r:id="rId1691" ref="B1688"/>
    <hyperlink r:id="rId1692" ref="B1689"/>
    <hyperlink r:id="rId1693" ref="B1690"/>
    <hyperlink r:id="rId1694" ref="B1691"/>
    <hyperlink r:id="rId1695" ref="B1692"/>
    <hyperlink r:id="rId1696" ref="B1693"/>
    <hyperlink r:id="rId1697" ref="B1694"/>
    <hyperlink r:id="rId1698" ref="B1695"/>
    <hyperlink r:id="rId1699" ref="B1696"/>
    <hyperlink r:id="rId1700" ref="B1697"/>
    <hyperlink r:id="rId1701" ref="B1698"/>
    <hyperlink r:id="rId1702" ref="B1699"/>
    <hyperlink r:id="rId1703" ref="B1700"/>
    <hyperlink r:id="rId1704" ref="B1701"/>
    <hyperlink r:id="rId1705" ref="B1702"/>
    <hyperlink r:id="rId1706" ref="B1703"/>
    <hyperlink r:id="rId1707" ref="B1704"/>
    <hyperlink r:id="rId1708" ref="B1705"/>
    <hyperlink r:id="rId1709" ref="B1706"/>
    <hyperlink r:id="rId1710" ref="B1707"/>
    <hyperlink r:id="rId1711" ref="B1708"/>
    <hyperlink r:id="rId1712" ref="B1709"/>
    <hyperlink r:id="rId1713" ref="B1710"/>
    <hyperlink r:id="rId1714" ref="B1711"/>
    <hyperlink r:id="rId1715" ref="B1712"/>
    <hyperlink r:id="rId1716" ref="B1713"/>
    <hyperlink r:id="rId1717" ref="B1714"/>
    <hyperlink r:id="rId1718" ref="B1715"/>
    <hyperlink r:id="rId1719" ref="B1716"/>
    <hyperlink r:id="rId1720" ref="B1717"/>
    <hyperlink r:id="rId1721" ref="B1718"/>
    <hyperlink r:id="rId1722" ref="B1719"/>
    <hyperlink r:id="rId1723" ref="B1720"/>
    <hyperlink r:id="rId1724" ref="B1721"/>
    <hyperlink r:id="rId1725" ref="B1722"/>
    <hyperlink r:id="rId1726" ref="B1723"/>
    <hyperlink r:id="rId1727" ref="B1724"/>
    <hyperlink r:id="rId1728" ref="B1725"/>
    <hyperlink r:id="rId1729" ref="B1726"/>
    <hyperlink r:id="rId1730" ref="B1727"/>
    <hyperlink r:id="rId1731" ref="B1728"/>
    <hyperlink r:id="rId1732" ref="B1729"/>
    <hyperlink r:id="rId1733" ref="B1730"/>
    <hyperlink r:id="rId1734" ref="B1731"/>
    <hyperlink r:id="rId1735" ref="B1732"/>
    <hyperlink r:id="rId1736" ref="B1733"/>
    <hyperlink r:id="rId1737" ref="B1734"/>
    <hyperlink r:id="rId1738" ref="B1735"/>
    <hyperlink r:id="rId1739" ref="B1736"/>
    <hyperlink r:id="rId1740" ref="B1737"/>
    <hyperlink r:id="rId1741" ref="B1738"/>
    <hyperlink r:id="rId1742" ref="B1739"/>
    <hyperlink r:id="rId1743" ref="B1740"/>
    <hyperlink r:id="rId1744" ref="B1741"/>
    <hyperlink r:id="rId1745" ref="B1742"/>
    <hyperlink r:id="rId1746" ref="B1743"/>
    <hyperlink r:id="rId1747" ref="B1744"/>
    <hyperlink r:id="rId1748" ref="B1745"/>
    <hyperlink r:id="rId1749" ref="B1746"/>
    <hyperlink r:id="rId1750" ref="B1747"/>
    <hyperlink r:id="rId1751" ref="B1748"/>
    <hyperlink r:id="rId1752" ref="B1749"/>
    <hyperlink r:id="rId1753" ref="B1750"/>
    <hyperlink r:id="rId1754" ref="B1751"/>
    <hyperlink r:id="rId1755" ref="B1752"/>
    <hyperlink r:id="rId1756" ref="B1753"/>
    <hyperlink r:id="rId1757" ref="B1754"/>
    <hyperlink r:id="rId1758" ref="B1755"/>
    <hyperlink r:id="rId1759" ref="B1756"/>
    <hyperlink r:id="rId1760" ref="B1757"/>
    <hyperlink r:id="rId1761" ref="B1758"/>
    <hyperlink r:id="rId1762" ref="B1759"/>
    <hyperlink r:id="rId1763" ref="B1760"/>
    <hyperlink r:id="rId1764" ref="B1761"/>
    <hyperlink r:id="rId1765" ref="B1762"/>
    <hyperlink r:id="rId1766" ref="B1763"/>
    <hyperlink r:id="rId1767" ref="B1764"/>
    <hyperlink r:id="rId1768" ref="B1765"/>
    <hyperlink r:id="rId1769" ref="B1766"/>
    <hyperlink r:id="rId1770" ref="B1767"/>
    <hyperlink r:id="rId1771" ref="B1768"/>
    <hyperlink r:id="rId1772" ref="B1769"/>
    <hyperlink r:id="rId1773" ref="B1770"/>
    <hyperlink r:id="rId1774" ref="B1771"/>
    <hyperlink r:id="rId1775" ref="B1772"/>
    <hyperlink r:id="rId1776" ref="B1773"/>
    <hyperlink r:id="rId1777" ref="B1774"/>
    <hyperlink r:id="rId1778" ref="B1775"/>
    <hyperlink r:id="rId1779" ref="B1776"/>
    <hyperlink r:id="rId1780" ref="B1777"/>
    <hyperlink r:id="rId1781" ref="B1778"/>
    <hyperlink r:id="rId1782" ref="B1779"/>
    <hyperlink r:id="rId1783" ref="B1780"/>
    <hyperlink r:id="rId1784" ref="B1781"/>
    <hyperlink r:id="rId1785" ref="B1782"/>
    <hyperlink r:id="rId1786" ref="B1783"/>
    <hyperlink r:id="rId1787" ref="B1784"/>
    <hyperlink r:id="rId1788" ref="B1785"/>
    <hyperlink r:id="rId1789" ref="B1786"/>
  </hyperlinks>
  <drawing r:id="rId179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5.5"/>
    <col customWidth="1" min="3" max="4" width="20.25"/>
    <col customWidth="1" min="5" max="5" width="51.63"/>
  </cols>
  <sheetData>
    <row r="1">
      <c r="A1" s="83" t="s">
        <v>11</v>
      </c>
      <c r="B1" s="46" t="s">
        <v>43</v>
      </c>
      <c r="C1" s="47" t="s">
        <v>13</v>
      </c>
      <c r="D1" s="47" t="s">
        <v>4972</v>
      </c>
      <c r="E1" s="84" t="s">
        <v>15</v>
      </c>
      <c r="F1" s="47" t="s">
        <v>21</v>
      </c>
      <c r="G1" s="47" t="s">
        <v>22</v>
      </c>
      <c r="H1" s="47" t="s">
        <v>23</v>
      </c>
      <c r="I1" s="47" t="s">
        <v>16</v>
      </c>
      <c r="J1" s="47" t="s">
        <v>17</v>
      </c>
      <c r="K1" s="47" t="s">
        <v>4973</v>
      </c>
      <c r="L1" s="6" t="str">
        <f>'Coder-1'!B1</f>
        <v>请至Coder-1中填写姓名</v>
      </c>
      <c r="M1" s="47" t="str">
        <f>'Coder-2'!B1</f>
        <v>请至Coder-2中填写姓名</v>
      </c>
      <c r="N1" s="85" t="str">
        <f>'Coder-3'!B1</f>
        <v>请至Coder-3中填写姓名</v>
      </c>
      <c r="O1" s="6" t="str">
        <f>'Coder-4'!B1</f>
        <v>请至Coder-4中填写姓名</v>
      </c>
      <c r="P1" s="15" t="s">
        <v>4974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</row>
    <row r="2">
      <c r="A2" s="83">
        <v>27.0</v>
      </c>
      <c r="B2" s="86" t="str">
        <f>IFERROR(__xludf.DUMMYFUNCTION("IF(ISBLANK(A2),,FILTER('Leetcode List'!B:C,'Leetcode List'!A:A = A2))"),"Remove Element")</f>
        <v>Remove Element</v>
      </c>
      <c r="C2" s="85" t="str">
        <f>IFERROR(__xludf.DUMMYFUNCTION("""COMPUTED_VALUE"""),"Easy")</f>
        <v>Easy</v>
      </c>
      <c r="D2" s="47" t="s">
        <v>93</v>
      </c>
      <c r="E2" s="87" t="str">
        <f>IFERROR(__xludf.DUMMYFUNCTION("IF(ISBLANK(A2),,FILTER('Leetcode List'!E:J,'Leetcode List'!A:A = A2))"),"Oracle,Apple,Adobe,Bloomberg,Amazon,Microsoft,Google")</f>
        <v>Oracle,Apple,Adobe,Bloomberg,Amazon,Microsoft,Google</v>
      </c>
      <c r="F2" s="47" t="str">
        <f>IFERROR(__xludf.DUMMYFUNCTION("""COMPUTED_VALUE"""),"Amazon,Adobe,Oracle")</f>
        <v>Amazon,Adobe,Oracle</v>
      </c>
      <c r="G2" s="47" t="str">
        <f>IFERROR(__xludf.DUMMYFUNCTION("""COMPUTED_VALUE"""),"Bloomberg,Amazon,Adobe,Oracle")</f>
        <v>Bloomberg,Amazon,Adobe,Oracle</v>
      </c>
      <c r="H2" s="47" t="str">
        <f>IFERROR(__xludf.DUMMYFUNCTION("""COMPUTED_VALUE"""),"Microsoft,Apple,Bloomberg,Amazon,Adobe,Oracle")</f>
        <v>Microsoft,Apple,Bloomberg,Amazon,Adobe,Oracle</v>
      </c>
      <c r="I2" s="47">
        <f>IFERROR(__xludf.DUMMYFUNCTION("""COMPUTED_VALUE"""),49.36)</f>
        <v>49.36</v>
      </c>
      <c r="J2" s="47" t="str">
        <f>IFERROR(__xludf.DUMMYFUNCTION("""COMPUTED_VALUE"""),"算法")</f>
        <v>算法</v>
      </c>
      <c r="K2" s="47">
        <v>1.0</v>
      </c>
      <c r="L2" s="6">
        <f>COUNTIF('Coder-1'!B:B,A2)</f>
        <v>0</v>
      </c>
      <c r="M2" s="6">
        <f>COUNTIF('Coder-2'!B:B,A2)</f>
        <v>0</v>
      </c>
      <c r="N2" s="6">
        <f>COUNTIF('Coder-3'!B:B,A2)</f>
        <v>0</v>
      </c>
      <c r="O2" s="6">
        <f>COUNTIF('Coder-4'!B:B,A2)</f>
        <v>0</v>
      </c>
    </row>
    <row r="3">
      <c r="A3" s="83">
        <v>26.0</v>
      </c>
      <c r="B3" s="86" t="str">
        <f>IFERROR(__xludf.DUMMYFUNCTION("IF(ISBLANK(A3),,FILTER('Leetcode List'!B:C,'Leetcode List'!A:A = A3))"),"Remove Duplicates from Sorted Array")</f>
        <v>Remove Duplicates from Sorted Array</v>
      </c>
      <c r="C3" s="47" t="str">
        <f>IFERROR(__xludf.DUMMYFUNCTION("""COMPUTED_VALUE"""),"Easy")</f>
        <v>Easy</v>
      </c>
      <c r="D3" s="47" t="s">
        <v>93</v>
      </c>
      <c r="E3" s="87" t="str">
        <f>IFERROR(__xludf.DUMMYFUNCTION("IF(ISBLANK(A3),,FILTER('Leetcode List'!E:J,'Leetcode List'!A:A = A3))"),"Qualcomm,Hulu,Cohesity,VMware,ServiceNow,Oracle,Cisco,Apple,Uber,Bloomberg,Adobe,Facebook,Amazon,Microsoft,Google")</f>
        <v>Qualcomm,Hulu,Cohesity,VMware,ServiceNow,Oracle,Cisco,Apple,Uber,Bloomberg,Adobe,Facebook,Amazon,Microsoft,Google</v>
      </c>
      <c r="F3" s="47" t="str">
        <f>IFERROR(__xludf.DUMMYFUNCTION("""COMPUTED_VALUE"""),"Google,Amazon,Facebook,Microsoft")</f>
        <v>Google,Amazon,Facebook,Microsoft</v>
      </c>
      <c r="G3" s="47" t="str">
        <f>IFERROR(__xludf.DUMMYFUNCTION("""COMPUTED_VALUE"""),"Apple,ServiceNow,Bloomberg,Google,Amazon,Facebook,Microsoft")</f>
        <v>Apple,ServiceNow,Bloomberg,Google,Amazon,Facebook,Microsoft</v>
      </c>
      <c r="H3" s="47" t="str">
        <f>IFERROR(__xludf.DUMMYFUNCTION("""COMPUTED_VALUE"""),"Oracle,Uber,Adobe,VMware,Qualcomm,Apple,ServiceNow,Bloomberg,Google,Amazon,Facebook,Microsoft")</f>
        <v>Oracle,Uber,Adobe,VMware,Qualcomm,Apple,ServiceNow,Bloomberg,Google,Amazon,Facebook,Microsoft</v>
      </c>
      <c r="I3" s="47">
        <f>IFERROR(__xludf.DUMMYFUNCTION("""COMPUTED_VALUE"""),46.67)</f>
        <v>46.67</v>
      </c>
      <c r="J3" s="47" t="str">
        <f>IFERROR(__xludf.DUMMYFUNCTION("""COMPUTED_VALUE"""),"算法")</f>
        <v>算法</v>
      </c>
      <c r="K3" s="47">
        <v>2.0</v>
      </c>
      <c r="L3" s="6">
        <f>COUNTIF('Coder-1'!B:B,A3)</f>
        <v>0</v>
      </c>
      <c r="M3" s="6">
        <f>COUNTIF('Coder-2'!B:B,A3)</f>
        <v>0</v>
      </c>
      <c r="N3" s="6">
        <f>COUNTIF('Coder-3'!B:B,A3)</f>
        <v>0</v>
      </c>
      <c r="O3" s="6">
        <f>COUNTIF('Coder-4'!B:B,A3)</f>
        <v>0</v>
      </c>
    </row>
    <row r="4">
      <c r="A4" s="83">
        <v>80.0</v>
      </c>
      <c r="B4" s="86" t="str">
        <f>IFERROR(__xludf.DUMMYFUNCTION("IF(ISBLANK(A4),,FILTER('Leetcode List'!B:C,'Leetcode List'!A:A = A4))"),"Remove Duplicates from Sorted Array II")</f>
        <v>Remove Duplicates from Sorted Array II</v>
      </c>
      <c r="C4" s="47" t="str">
        <f>IFERROR(__xludf.DUMMYFUNCTION("""COMPUTED_VALUE"""),"Medium")</f>
        <v>Medium</v>
      </c>
      <c r="D4" s="47" t="s">
        <v>93</v>
      </c>
      <c r="E4" s="87" t="str">
        <f>IFERROR(__xludf.DUMMYFUNCTION("IF(ISBLANK(A4),,FILTER('Leetcode List'!E:J,'Leetcode List'!A:A = A4))"),"Amazon,Microsoft,VMware,Baidu,Facebook,Google")</f>
        <v>Amazon,Microsoft,VMware,Baidu,Facebook,Google</v>
      </c>
      <c r="F4" s="47" t="str">
        <f>IFERROR(__xludf.DUMMYFUNCTION("""COMPUTED_VALUE"""),"Microsoft")</f>
        <v>Microsoft</v>
      </c>
      <c r="G4" s="47" t="str">
        <f>IFERROR(__xludf.DUMMYFUNCTION("""COMPUTED_VALUE"""),"Google,Microsoft")</f>
        <v>Google,Microsoft</v>
      </c>
      <c r="H4" s="47" t="str">
        <f>IFERROR(__xludf.DUMMYFUNCTION("""COMPUTED_VALUE"""),"Amazon,VMware,Facebook,Google,Microsoft")</f>
        <v>Amazon,VMware,Facebook,Google,Microsoft</v>
      </c>
      <c r="I4" s="47">
        <f>IFERROR(__xludf.DUMMYFUNCTION("""COMPUTED_VALUE"""),46.23)</f>
        <v>46.23</v>
      </c>
      <c r="J4" s="47" t="str">
        <f>IFERROR(__xludf.DUMMYFUNCTION("""COMPUTED_VALUE"""),"算法")</f>
        <v>算法</v>
      </c>
      <c r="K4" s="47">
        <v>3.0</v>
      </c>
      <c r="L4" s="6">
        <f>COUNTIF('Coder-1'!B:B,A4)</f>
        <v>0</v>
      </c>
      <c r="M4" s="6">
        <f>COUNTIF('Coder-2'!B:B,A4)</f>
        <v>0</v>
      </c>
      <c r="N4" s="6">
        <f>COUNTIF('Coder-3'!B:B,A4)</f>
        <v>0</v>
      </c>
      <c r="O4" s="6">
        <f>COUNTIF('Coder-4'!B:B,A4)</f>
        <v>0</v>
      </c>
    </row>
    <row r="5">
      <c r="A5" s="83">
        <v>277.0</v>
      </c>
      <c r="B5" s="86" t="str">
        <f>IFERROR(__xludf.DUMMYFUNCTION("IF(ISBLANK(A5),,FILTER('Leetcode List'!B:C,'Leetcode List'!A:A = A5))"),"Find the Celebrity")</f>
        <v>Find the Celebrity</v>
      </c>
      <c r="C5" s="47" t="str">
        <f>IFERROR(__xludf.DUMMYFUNCTION("""COMPUTED_VALUE"""),"Medium")</f>
        <v>Medium</v>
      </c>
      <c r="D5" s="47" t="s">
        <v>93</v>
      </c>
      <c r="E5" s="87" t="str">
        <f>IFERROR(__xludf.DUMMYFUNCTION("IF(ISBLANK(A5),,FILTER('Leetcode List'!E:J,'Leetcode List'!A:A = A5))"),"Snapchat,Nvidia,Square,Pinterest,Palantir Technologies,VMware,Apple,Uber,Facebook,Amazon,LinkedIn,Microsoft,Google")</f>
        <v>Snapchat,Nvidia,Square,Pinterest,Palantir Technologies,VMware,Apple,Uber,Facebook,Amazon,LinkedIn,Microsoft,Google</v>
      </c>
      <c r="F5" s="47" t="str">
        <f>IFERROR(__xludf.DUMMYFUNCTION("""COMPUTED_VALUE"""),"Microsoft,Amazon,Facebook,Apple,LinkedIn,Snapchat")</f>
        <v>Microsoft,Amazon,Facebook,Apple,LinkedIn,Snapchat</v>
      </c>
      <c r="G5" s="47" t="str">
        <f>IFERROR(__xludf.DUMMYFUNCTION("""COMPUTED_VALUE"""),"VMware,Nvidia,Microsoft,Amazon,Facebook,Apple,LinkedIn,Snapchat")</f>
        <v>VMware,Nvidia,Microsoft,Amazon,Facebook,Apple,LinkedIn,Snapchat</v>
      </c>
      <c r="H5" s="47" t="str">
        <f>IFERROR(__xludf.DUMMYFUNCTION("""COMPUTED_VALUE"""),"Pinterest,Palantir Technologies,Google,Uber,VMware,Nvidia,Microsoft,Amazon,Facebook,Apple,LinkedIn,Snapchat")</f>
        <v>Pinterest,Palantir Technologies,Google,Uber,VMware,Nvidia,Microsoft,Amazon,Facebook,Apple,LinkedIn,Snapchat</v>
      </c>
      <c r="I5" s="47">
        <f>IFERROR(__xludf.DUMMYFUNCTION("""COMPUTED_VALUE"""),43.85)</f>
        <v>43.85</v>
      </c>
      <c r="J5" s="47" t="str">
        <f>IFERROR(__xludf.DUMMYFUNCTION("""COMPUTED_VALUE"""),"算法")</f>
        <v>算法</v>
      </c>
      <c r="K5" s="47">
        <v>4.0</v>
      </c>
      <c r="L5" s="6">
        <f>COUNTIF('Coder-1'!B:B,A5)</f>
        <v>0</v>
      </c>
      <c r="M5" s="6">
        <f>COUNTIF('Coder-2'!B:B,A5)</f>
        <v>0</v>
      </c>
      <c r="N5" s="6">
        <f>COUNTIF('Coder-3'!B:B,A5)</f>
        <v>0</v>
      </c>
      <c r="O5" s="6">
        <f>COUNTIF('Coder-4'!B:B,A5)</f>
        <v>0</v>
      </c>
    </row>
    <row r="6">
      <c r="A6" s="83">
        <v>189.0</v>
      </c>
      <c r="B6" s="86" t="str">
        <f>IFERROR(__xludf.DUMMYFUNCTION("IF(ISBLANK(A6),,FILTER('Leetcode List'!B:C,'Leetcode List'!A:A = A6))"),"Rotate Array")</f>
        <v>Rotate Array</v>
      </c>
      <c r="C6" s="47" t="str">
        <f>IFERROR(__xludf.DUMMYFUNCTION("""COMPUTED_VALUE"""),"Medium")</f>
        <v>Medium</v>
      </c>
      <c r="D6" s="47" t="s">
        <v>93</v>
      </c>
      <c r="E6" s="87" t="str">
        <f>IFERROR(__xludf.DUMMYFUNCTION("IF(ISBLANK(A6),,FILTER('Leetcode List'!E:J,'Leetcode List'!A:A = A6))"),"Visa,Apple,Google,Snapchat,Paypal,Oracle,Cisco,EBay,Uber,Bloomberg,Adobe,Facebook,Amazon,Microsoft,Goldman Sachs")</f>
        <v>Visa,Apple,Google,Snapchat,Paypal,Oracle,Cisco,EBay,Uber,Bloomberg,Adobe,Facebook,Amazon,Microsoft,Goldman Sachs</v>
      </c>
      <c r="F6" s="47" t="str">
        <f>IFERROR(__xludf.DUMMYFUNCTION("""COMPUTED_VALUE"""),"Microsoft,Oracle,Amazon,Apple")</f>
        <v>Microsoft,Oracle,Amazon,Apple</v>
      </c>
      <c r="G6" s="47" t="str">
        <f>IFERROR(__xludf.DUMMYFUNCTION("""COMPUTED_VALUE"""),"Facebook,Google,eBay,Bloomberg,Microsoft,Oracle,Amazon,Apple")</f>
        <v>Facebook,Google,eBay,Bloomberg,Microsoft,Oracle,Amazon,Apple</v>
      </c>
      <c r="H6" s="47" t="str">
        <f>IFERROR(__xludf.DUMMYFUNCTION("""COMPUTED_VALUE"""),"Goldman Sachs,Cisco,Paypal,Visa,Snapchat,Facebook,Google,eBay,Bloomberg,Microsoft,Oracle,Amazon,Apple")</f>
        <v>Goldman Sachs,Cisco,Paypal,Visa,Snapchat,Facebook,Google,eBay,Bloomberg,Microsoft,Oracle,Amazon,Apple</v>
      </c>
      <c r="I6" s="47">
        <f>IFERROR(__xludf.DUMMYFUNCTION("""COMPUTED_VALUE"""),36.7)</f>
        <v>36.7</v>
      </c>
      <c r="J6" s="47" t="str">
        <f>IFERROR(__xludf.DUMMYFUNCTION("""COMPUTED_VALUE"""),"算法")</f>
        <v>算法</v>
      </c>
      <c r="K6" s="47">
        <v>5.0</v>
      </c>
      <c r="L6" s="6">
        <f>COUNTIF('Coder-1'!B:B,A6)</f>
        <v>0</v>
      </c>
      <c r="M6" s="6">
        <f>COUNTIF('Coder-2'!B:B,A6)</f>
        <v>0</v>
      </c>
      <c r="N6" s="6">
        <f>COUNTIF('Coder-3'!B:B,A6)</f>
        <v>0</v>
      </c>
      <c r="O6" s="6">
        <f>COUNTIF('Coder-4'!B:B,A6)</f>
        <v>0</v>
      </c>
    </row>
    <row r="7">
      <c r="A7" s="83">
        <v>41.0</v>
      </c>
      <c r="B7" s="86" t="str">
        <f>IFERROR(__xludf.DUMMYFUNCTION("IF(ISBLANK(A7),,FILTER('Leetcode List'!B:C,'Leetcode List'!A:A = A7))"),"First Missing Positive")</f>
        <v>First Missing Positive</v>
      </c>
      <c r="C7" s="47" t="str">
        <f>IFERROR(__xludf.DUMMYFUNCTION("""COMPUTED_VALUE"""),"Hard")</f>
        <v>Hard</v>
      </c>
      <c r="D7" s="47" t="s">
        <v>93</v>
      </c>
      <c r="E7" s="87" t="str">
        <f>IFERROR(__xludf.DUMMYFUNCTION("IF(ISBLANK(A7),,FILTER('Leetcode List'!E:J,'Leetcode List'!A:A = A7))"),"Booking.com,Tesla,JPMorgan,Tencent,Goldman Sachs,Databricks,Pocket Gems,Wayfair,Twitch,Grab,ByteDance,Salesforce,Walmart Labs,Wish,Oracle,EBay,Apple,Airbnb,Uber,SAP,Morgan Stanley,Bloomberg,Adobe,Facebook,Amazon,Microsoft,Google")</f>
        <v>Booking.com,Tesla,JPMorgan,Tencent,Goldman Sachs,Databricks,Pocket Gems,Wayfair,Twitch,Grab,ByteDance,Salesforce,Walmart Labs,Wish,Oracle,EBay,Apple,Airbnb,Uber,SAP,Morgan Stanley,Bloomberg,Adobe,Facebook,Amazon,Microsoft,Google</v>
      </c>
      <c r="F7" s="47" t="str">
        <f>IFERROR(__xludf.DUMMYFUNCTION("""COMPUTED_VALUE"""),"Microsoft,Amazon,Google,Bloomberg,Facebook,Oracle,Adobe,Uber,Databricks,Walmart Labs,Tesla,Salesforce,Wish,Tencent,JPMorgan")</f>
        <v>Microsoft,Amazon,Google,Bloomberg,Facebook,Oracle,Adobe,Uber,Databricks,Walmart Labs,Tesla,Salesforce,Wish,Tencent,JPMorgan</v>
      </c>
      <c r="G7" s="47" t="str">
        <f>IFERROR(__xludf.DUMMYFUNCTION("""COMPUTED_VALUE"""),"Apple,ByteDance,eBay,Goldman Sachs,Microsoft,Amazon,Google,Bloomberg,Facebook,Oracle,Adobe,Uber,Databricks,Walmart Labs,Tesla,Salesforce,Wish,Tencent,JPMorgan")</f>
        <v>Apple,ByteDance,eBay,Goldman Sachs,Microsoft,Amazon,Google,Bloomberg,Facebook,Oracle,Adobe,Uber,Databricks,Walmart Labs,Tesla,Salesforce,Wish,Tencent,JPMorgan</v>
      </c>
      <c r="H7" s="47" t="str">
        <f>IFERROR(__xludf.DUMMYFUNCTION("""COMPUTED_VALUE"""),"Twitch,Booking.com,Morgan Stanley,Apple,ByteDance,eBay,Goldman Sachs,Microsoft,Amazon,Google,Bloomberg,Facebook,Oracle,Adobe,Uber,Databricks,Walmart Labs,Tesla,Salesforce,Wish,Tencent,JPMorgan")</f>
        <v>Twitch,Booking.com,Morgan Stanley,Apple,ByteDance,eBay,Goldman Sachs,Microsoft,Amazon,Google,Bloomberg,Facebook,Oracle,Adobe,Uber,Databricks,Walmart Labs,Tesla,Salesforce,Wish,Tencent,JPMorgan</v>
      </c>
      <c r="I7" s="47">
        <f>IFERROR(__xludf.DUMMYFUNCTION("""COMPUTED_VALUE"""),33.83)</f>
        <v>33.83</v>
      </c>
      <c r="J7" s="47" t="str">
        <f>IFERROR(__xludf.DUMMYFUNCTION("""COMPUTED_VALUE"""),"算法")</f>
        <v>算法</v>
      </c>
      <c r="K7" s="47">
        <v>6.0</v>
      </c>
      <c r="L7" s="6">
        <f>COUNTIF('Coder-1'!B:B,A7)</f>
        <v>0</v>
      </c>
      <c r="M7" s="6">
        <f>COUNTIF('Coder-2'!B:B,A7)</f>
        <v>0</v>
      </c>
      <c r="N7" s="6">
        <f>COUNTIF('Coder-3'!B:B,A7)</f>
        <v>0</v>
      </c>
      <c r="O7" s="6">
        <f>COUNTIF('Coder-4'!B:B,A7)</f>
        <v>0</v>
      </c>
    </row>
    <row r="8">
      <c r="A8" s="83">
        <v>299.0</v>
      </c>
      <c r="B8" s="86" t="str">
        <f>IFERROR(__xludf.DUMMYFUNCTION("IF(ISBLANK(A8),,FILTER('Leetcode List'!B:C,'Leetcode List'!A:A = A8))"),"Bulls and Cows")</f>
        <v>Bulls and Cows</v>
      </c>
      <c r="C8" s="47" t="str">
        <f>IFERROR(__xludf.DUMMYFUNCTION("""COMPUTED_VALUE"""),"Medium")</f>
        <v>Medium</v>
      </c>
      <c r="D8" s="47" t="s">
        <v>93</v>
      </c>
      <c r="E8" s="87" t="str">
        <f>IFERROR(__xludf.DUMMYFUNCTION("IF(ISBLANK(A8),,FILTER('Leetcode List'!E:J,'Leetcode List'!A:A = A8))"),"ByteDance,EBay,Zillow,Airbnb,Uber,Amazon,Microsoft,Google")</f>
        <v>ByteDance,EBay,Zillow,Airbnb,Uber,Amazon,Microsoft,Google</v>
      </c>
      <c r="F8" s="47" t="str">
        <f>IFERROR(__xludf.DUMMYFUNCTION("""COMPUTED_VALUE"""),"Google,ByteDance")</f>
        <v>Google,ByteDance</v>
      </c>
      <c r="G8" s="47" t="str">
        <f>IFERROR(__xludf.DUMMYFUNCTION("""COMPUTED_VALUE"""),"Amazon,Microsoft,Google,ByteDance")</f>
        <v>Amazon,Microsoft,Google,ByteDance</v>
      </c>
      <c r="H8" s="47" t="str">
        <f>IFERROR(__xludf.DUMMYFUNCTION("""COMPUTED_VALUE"""),"Airbnb,eBay,Amazon,Microsoft,Google,ByteDance")</f>
        <v>Airbnb,eBay,Amazon,Microsoft,Google,ByteDance</v>
      </c>
      <c r="I8" s="47">
        <f>IFERROR(__xludf.DUMMYFUNCTION("""COMPUTED_VALUE"""),44.59)</f>
        <v>44.59</v>
      </c>
      <c r="J8" s="47" t="str">
        <f>IFERROR(__xludf.DUMMYFUNCTION("""COMPUTED_VALUE"""),"算法")</f>
        <v>算法</v>
      </c>
      <c r="K8" s="47">
        <v>7.0</v>
      </c>
      <c r="L8" s="6">
        <f>COUNTIF('Coder-1'!B:B,A8)</f>
        <v>0</v>
      </c>
      <c r="M8" s="6">
        <f>COUNTIF('Coder-2'!B:B,A8)</f>
        <v>0</v>
      </c>
      <c r="N8" s="6">
        <f>COUNTIF('Coder-3'!B:B,A8)</f>
        <v>0</v>
      </c>
      <c r="O8" s="6">
        <f>COUNTIF('Coder-4'!B:B,A8)</f>
        <v>0</v>
      </c>
    </row>
    <row r="9">
      <c r="A9" s="83">
        <v>134.0</v>
      </c>
      <c r="B9" s="86" t="str">
        <f>IFERROR(__xludf.DUMMYFUNCTION("IF(ISBLANK(A9),,FILTER('Leetcode List'!B:C,'Leetcode List'!A:A = A9))"),"Gas Station")</f>
        <v>Gas Station</v>
      </c>
      <c r="C9" s="47" t="str">
        <f>IFERROR(__xludf.DUMMYFUNCTION("""COMPUTED_VALUE"""),"Medium")</f>
        <v>Medium</v>
      </c>
      <c r="D9" s="47" t="s">
        <v>93</v>
      </c>
      <c r="E9" s="87" t="str">
        <f>IFERROR(__xludf.DUMMYFUNCTION("IF(ISBLANK(A9),,FILTER('Leetcode List'!E:J,'Leetcode List'!A:A = A9))"),"Hotstar,Citrix,Uber,Bloomberg,Facebook,Paypal,Expedia,IBM,Apple,Amazon,Microsoft,Google")</f>
        <v>Hotstar,Citrix,Uber,Bloomberg,Facebook,Paypal,Expedia,IBM,Apple,Amazon,Microsoft,Google</v>
      </c>
      <c r="F9" s="47" t="str">
        <f>IFERROR(__xludf.DUMMYFUNCTION("""COMPUTED_VALUE"""),"Amazon,Google,Microsoft,Bloomberg,Facebook,Apple,Citrix,Hotstar")</f>
        <v>Amazon,Google,Microsoft,Bloomberg,Facebook,Apple,Citrix,Hotstar</v>
      </c>
      <c r="G9" s="47" t="str">
        <f>IFERROR(__xludf.DUMMYFUNCTION("""COMPUTED_VALUE"""),"Uber,IBM,Amazon,Google,Microsoft,Bloomberg,Facebook,Apple,Citrix,Hotstar")</f>
        <v>Uber,IBM,Amazon,Google,Microsoft,Bloomberg,Facebook,Apple,Citrix,Hotstar</v>
      </c>
      <c r="H9" s="47" t="str">
        <f>IFERROR(__xludf.DUMMYFUNCTION("""COMPUTED_VALUE"""),"Expedia,Uber,IBM,Amazon,Google,Microsoft,Bloomberg,Facebook,Apple,Citrix,Hotstar")</f>
        <v>Expedia,Uber,IBM,Amazon,Google,Microsoft,Bloomberg,Facebook,Apple,Citrix,Hotstar</v>
      </c>
      <c r="I9" s="47">
        <f>IFERROR(__xludf.DUMMYFUNCTION("""COMPUTED_VALUE"""),41.4)</f>
        <v>41.4</v>
      </c>
      <c r="J9" s="47" t="str">
        <f>IFERROR(__xludf.DUMMYFUNCTION("""COMPUTED_VALUE"""),"算法")</f>
        <v>算法</v>
      </c>
      <c r="K9" s="47">
        <v>8.0</v>
      </c>
      <c r="L9" s="6">
        <f>COUNTIF('Coder-1'!B:B,A9)</f>
        <v>0</v>
      </c>
      <c r="M9" s="6">
        <f>COUNTIF('Coder-2'!B:B,A9)</f>
        <v>0</v>
      </c>
      <c r="N9" s="6">
        <f>COUNTIF('Coder-3'!B:B,A9)</f>
        <v>0</v>
      </c>
      <c r="O9" s="6">
        <f>COUNTIF('Coder-4'!B:B,A9)</f>
        <v>0</v>
      </c>
    </row>
    <row r="10">
      <c r="A10" s="83">
        <v>118.0</v>
      </c>
      <c r="B10" s="86" t="str">
        <f>IFERROR(__xludf.DUMMYFUNCTION("IF(ISBLANK(A10),,FILTER('Leetcode List'!B:C,'Leetcode List'!A:A = A10))"),"Pascal's Triangle")</f>
        <v>Pascal's Triangle</v>
      </c>
      <c r="C10" s="47" t="str">
        <f>IFERROR(__xludf.DUMMYFUNCTION("""COMPUTED_VALUE"""),"Easy")</f>
        <v>Easy</v>
      </c>
      <c r="D10" s="47" t="s">
        <v>93</v>
      </c>
      <c r="E10" s="87" t="str">
        <f>IFERROR(__xludf.DUMMYFUNCTION("IF(ISBLANK(A10),,FILTER('Leetcode List'!E:J,'Leetcode List'!A:A = A10))"),"Samsung,Twitter,Oracle,Apple,Uber,Bloomberg,Adobe,Facebook,Amazon,Microsoft,Goldman Sachs,Google")</f>
        <v>Samsung,Twitter,Oracle,Apple,Uber,Bloomberg,Adobe,Facebook,Amazon,Microsoft,Goldman Sachs,Google</v>
      </c>
      <c r="F10" s="47" t="str">
        <f>IFERROR(__xludf.DUMMYFUNCTION("""COMPUTED_VALUE"""),"Google,Adobe,Apple,Samsung")</f>
        <v>Google,Adobe,Apple,Samsung</v>
      </c>
      <c r="G10" s="47" t="str">
        <f>IFERROR(__xludf.DUMMYFUNCTION("""COMPUTED_VALUE"""),"Amazon,Bloomberg,Google,Adobe,Apple,Samsung")</f>
        <v>Amazon,Bloomberg,Google,Adobe,Apple,Samsung</v>
      </c>
      <c r="H10" s="47" t="str">
        <f>IFERROR(__xludf.DUMMYFUNCTION("""COMPUTED_VALUE"""),"Microsoft,Goldman Sachs,Uber,Facebook,Twitter,Amazon,Bloomberg,Google,Adobe,Apple,Samsung")</f>
        <v>Microsoft,Goldman Sachs,Uber,Facebook,Twitter,Amazon,Bloomberg,Google,Adobe,Apple,Samsung</v>
      </c>
      <c r="I10" s="47">
        <f>IFERROR(__xludf.DUMMYFUNCTION("""COMPUTED_VALUE"""),55.16)</f>
        <v>55.16</v>
      </c>
      <c r="J10" s="47" t="str">
        <f>IFERROR(__xludf.DUMMYFUNCTION("""COMPUTED_VALUE"""),"算法")</f>
        <v>算法</v>
      </c>
      <c r="K10" s="47">
        <v>9.0</v>
      </c>
      <c r="L10" s="6">
        <f>COUNTIF('Coder-1'!B:B,A10)</f>
        <v>0</v>
      </c>
      <c r="M10" s="6">
        <f>COUNTIF('Coder-2'!B:B,A10)</f>
        <v>0</v>
      </c>
      <c r="N10" s="6">
        <f>COUNTIF('Coder-3'!B:B,A10)</f>
        <v>0</v>
      </c>
      <c r="O10" s="6">
        <f>COUNTIF('Coder-4'!B:B,A10)</f>
        <v>0</v>
      </c>
    </row>
    <row r="11">
      <c r="A11" s="83">
        <v>119.0</v>
      </c>
      <c r="B11" s="86" t="str">
        <f>IFERROR(__xludf.DUMMYFUNCTION("IF(ISBLANK(A11),,FILTER('Leetcode List'!B:C,'Leetcode List'!A:A = A11))"),"Pascal's Triangle II")</f>
        <v>Pascal's Triangle II</v>
      </c>
      <c r="C11" s="47" t="str">
        <f>IFERROR(__xludf.DUMMYFUNCTION("""COMPUTED_VALUE"""),"Easy")</f>
        <v>Easy</v>
      </c>
      <c r="D11" s="47" t="s">
        <v>93</v>
      </c>
      <c r="E11" s="87" t="str">
        <f>IFERROR(__xludf.DUMMYFUNCTION("IF(ISBLANK(A11),,FILTER('Leetcode List'!E:J,'Leetcode List'!A:A = A11))"),"Microsoft,Qualtrics,Oracle,Amazon,Goldman Sachs,Google")</f>
        <v>Microsoft,Qualtrics,Oracle,Amazon,Goldman Sachs,Google</v>
      </c>
      <c r="F11" s="47"/>
      <c r="G11" s="47" t="str">
        <f>IFERROR(__xludf.DUMMYFUNCTION("""COMPUTED_VALUE"""),"Microsoft,Google,Amazon")</f>
        <v>Microsoft,Google,Amazon</v>
      </c>
      <c r="H11" s="47" t="str">
        <f>IFERROR(__xludf.DUMMYFUNCTION("""COMPUTED_VALUE"""),"Goldman Sachs,Qualtrics,Microsoft,Google,Amazon")</f>
        <v>Goldman Sachs,Qualtrics,Microsoft,Google,Amazon</v>
      </c>
      <c r="I11" s="47">
        <f>IFERROR(__xludf.DUMMYFUNCTION("""COMPUTED_VALUE"""),52.37)</f>
        <v>52.37</v>
      </c>
      <c r="J11" s="47" t="str">
        <f>IFERROR(__xludf.DUMMYFUNCTION("""COMPUTED_VALUE"""),"算法")</f>
        <v>算法</v>
      </c>
      <c r="K11" s="47">
        <v>10.0</v>
      </c>
      <c r="L11" s="6">
        <f>COUNTIF('Coder-1'!B:B,A11)</f>
        <v>0</v>
      </c>
      <c r="M11" s="6">
        <f>COUNTIF('Coder-2'!B:B,A11)</f>
        <v>0</v>
      </c>
      <c r="N11" s="6">
        <f>COUNTIF('Coder-3'!B:B,A11)</f>
        <v>0</v>
      </c>
      <c r="O11" s="6">
        <f>COUNTIF('Coder-4'!B:B,A11)</f>
        <v>0</v>
      </c>
    </row>
    <row r="12">
      <c r="A12" s="83">
        <v>169.0</v>
      </c>
      <c r="B12" s="86" t="str">
        <f>IFERROR(__xludf.DUMMYFUNCTION("IF(ISBLANK(A12),,FILTER('Leetcode List'!B:C,'Leetcode List'!A:A = A12))"),"Majority Element")</f>
        <v>Majority Element</v>
      </c>
      <c r="C12" s="47" t="str">
        <f>IFERROR(__xludf.DUMMYFUNCTION("""COMPUTED_VALUE"""),"Easy")</f>
        <v>Easy</v>
      </c>
      <c r="D12" s="47" t="s">
        <v>93</v>
      </c>
      <c r="E12" s="87" t="str">
        <f>IFERROR(__xludf.DUMMYFUNCTION("IF(ISBLANK(A12),,FILTER('Leetcode List'!E:J,'Leetcode List'!A:A = A12))"),"Rubrik,Atlassian,Splunk,ByteDance,GoDaddy,Bloomberg,Facebook,Zenefits,Snapchat,Twitter,Oracle,Apple,Yahoo,Tencent,Adobe,Amazon,Microsoft,Google")</f>
        <v>Rubrik,Atlassian,Splunk,ByteDance,GoDaddy,Bloomberg,Facebook,Zenefits,Snapchat,Twitter,Oracle,Apple,Yahoo,Tencent,Adobe,Amazon,Microsoft,Google</v>
      </c>
      <c r="F12" s="47" t="str">
        <f>IFERROR(__xludf.DUMMYFUNCTION("""COMPUTED_VALUE"""),"Amazon,Microsoft,Bloomberg,ByteDance,GoDaddy,Rubrik,Splunk")</f>
        <v>Amazon,Microsoft,Bloomberg,ByteDance,GoDaddy,Rubrik,Splunk</v>
      </c>
      <c r="G12" s="47" t="str">
        <f>IFERROR(__xludf.DUMMYFUNCTION("""COMPUTED_VALUE"""),"Google,Apple,Yahoo,Adobe,Atlassian,Amazon,Microsoft,Bloomberg,ByteDance,GoDaddy,Rubrik,Splunk")</f>
        <v>Google,Apple,Yahoo,Adobe,Atlassian,Amazon,Microsoft,Bloomberg,ByteDance,GoDaddy,Rubrik,Splunk</v>
      </c>
      <c r="H12" s="47" t="str">
        <f>IFERROR(__xludf.DUMMYFUNCTION("""COMPUTED_VALUE"""),"Oracle,Snapchat,Facebook,Zenefits,Google,Apple,Yahoo,Adobe,Atlassian,Amazon,Microsoft,Bloomberg,ByteDance,GoDaddy,Rubrik,Splunk")</f>
        <v>Oracle,Snapchat,Facebook,Zenefits,Google,Apple,Yahoo,Adobe,Atlassian,Amazon,Microsoft,Bloomberg,ByteDance,GoDaddy,Rubrik,Splunk</v>
      </c>
      <c r="I12" s="47">
        <f>IFERROR(__xludf.DUMMYFUNCTION("""COMPUTED_VALUE"""),60.14)</f>
        <v>60.14</v>
      </c>
      <c r="J12" s="47" t="str">
        <f>IFERROR(__xludf.DUMMYFUNCTION("""COMPUTED_VALUE"""),"算法")</f>
        <v>算法</v>
      </c>
      <c r="K12" s="47">
        <v>11.0</v>
      </c>
      <c r="L12" s="6">
        <f>COUNTIF('Coder-1'!B:B,A12)</f>
        <v>0</v>
      </c>
      <c r="M12" s="6">
        <f>COUNTIF('Coder-2'!B:B,A12)</f>
        <v>0</v>
      </c>
      <c r="N12" s="6">
        <f>COUNTIF('Coder-3'!B:B,A12)</f>
        <v>0</v>
      </c>
      <c r="O12" s="6">
        <f>COUNTIF('Coder-4'!B:B,A12)</f>
        <v>0</v>
      </c>
    </row>
    <row r="13">
      <c r="A13" s="83">
        <v>229.0</v>
      </c>
      <c r="B13" s="86" t="str">
        <f>IFERROR(__xludf.DUMMYFUNCTION("IF(ISBLANK(A13),,FILTER('Leetcode List'!B:C,'Leetcode List'!A:A = A13))"),"Majority Element II")</f>
        <v>Majority Element II</v>
      </c>
      <c r="C13" s="47" t="str">
        <f>IFERROR(__xludf.DUMMYFUNCTION("""COMPUTED_VALUE"""),"Medium")</f>
        <v>Medium</v>
      </c>
      <c r="D13" s="47" t="s">
        <v>93</v>
      </c>
      <c r="E13" s="87" t="str">
        <f>IFERROR(__xludf.DUMMYFUNCTION("IF(ISBLANK(A13),,FILTER('Leetcode List'!E:J,'Leetcode List'!A:A = A13))"),"Zenefits,Apple,Uber,Bloomberg,Adobe,Facebook,Amazon,Microsoft,Google")</f>
        <v>Zenefits,Apple,Uber,Bloomberg,Adobe,Facebook,Amazon,Microsoft,Google</v>
      </c>
      <c r="F13" s="47" t="str">
        <f>IFERROR(__xludf.DUMMYFUNCTION("""COMPUTED_VALUE"""),"Google,Amazon")</f>
        <v>Google,Amazon</v>
      </c>
      <c r="G13" s="47" t="str">
        <f>IFERROR(__xludf.DUMMYFUNCTION("""COMPUTED_VALUE"""),"Adobe,Google,Amazon")</f>
        <v>Adobe,Google,Amazon</v>
      </c>
      <c r="H13" s="47" t="str">
        <f>IFERROR(__xludf.DUMMYFUNCTION("""COMPUTED_VALUE"""),"Bloomberg,Apple,Microsoft,Facebook,Zenefits,Adobe,Google,Amazon")</f>
        <v>Bloomberg,Apple,Microsoft,Facebook,Zenefits,Adobe,Google,Amazon</v>
      </c>
      <c r="I13" s="47">
        <f>IFERROR(__xludf.DUMMYFUNCTION("""COMPUTED_VALUE"""),38.89)</f>
        <v>38.89</v>
      </c>
      <c r="J13" s="47" t="str">
        <f>IFERROR(__xludf.DUMMYFUNCTION("""COMPUTED_VALUE"""),"算法")</f>
        <v>算法</v>
      </c>
      <c r="K13" s="47">
        <v>12.0</v>
      </c>
      <c r="L13" s="6">
        <f>COUNTIF('Coder-1'!B:B,A13)</f>
        <v>0</v>
      </c>
      <c r="M13" s="6">
        <f>COUNTIF('Coder-2'!B:B,A13)</f>
        <v>0</v>
      </c>
      <c r="N13" s="6">
        <f>COUNTIF('Coder-3'!B:B,A13)</f>
        <v>0</v>
      </c>
      <c r="O13" s="6">
        <f>COUNTIF('Coder-4'!B:B,A13)</f>
        <v>0</v>
      </c>
    </row>
    <row r="14">
      <c r="A14" s="83">
        <v>274.0</v>
      </c>
      <c r="B14" s="86" t="str">
        <f>IFERROR(__xludf.DUMMYFUNCTION("IF(ISBLANK(A14),,FILTER('Leetcode List'!B:C,'Leetcode List'!A:A = A14))"),"H-Index")</f>
        <v>H-Index</v>
      </c>
      <c r="C14" s="47" t="str">
        <f>IFERROR(__xludf.DUMMYFUNCTION("""COMPUTED_VALUE"""),"Medium")</f>
        <v>Medium</v>
      </c>
      <c r="D14" s="47" t="s">
        <v>93</v>
      </c>
      <c r="E14" s="87" t="str">
        <f>IFERROR(__xludf.DUMMYFUNCTION("IF(ISBLANK(A14),,FILTER('Leetcode List'!E:J,'Leetcode List'!A:A = A14))"),"Walmart Labs,Nvidia,Amazon,Goldman Sachs,TripAdvisor,Yahoo,Bloomberg,Adobe,Facebook,Google")</f>
        <v>Walmart Labs,Nvidia,Amazon,Goldman Sachs,TripAdvisor,Yahoo,Bloomberg,Adobe,Facebook,Google</v>
      </c>
      <c r="F14" s="47" t="str">
        <f>IFERROR(__xludf.DUMMYFUNCTION("""COMPUTED_VALUE"""),"Nvidia,Goldman Sachs")</f>
        <v>Nvidia,Goldman Sachs</v>
      </c>
      <c r="G14" s="47" t="str">
        <f>IFERROR(__xludf.DUMMYFUNCTION("""COMPUTED_VALUE"""),"Google,Nvidia,Goldman Sachs")</f>
        <v>Google,Nvidia,Goldman Sachs</v>
      </c>
      <c r="H14" s="47" t="str">
        <f>IFERROR(__xludf.DUMMYFUNCTION("""COMPUTED_VALUE"""),"Adobe,TripAdvisor,Amazon,Facebook,Bloomberg,Walmart Labs,Google,Nvidia,Goldman Sachs")</f>
        <v>Adobe,TripAdvisor,Amazon,Facebook,Bloomberg,Walmart Labs,Google,Nvidia,Goldman Sachs</v>
      </c>
      <c r="I14" s="47">
        <f>IFERROR(__xludf.DUMMYFUNCTION("""COMPUTED_VALUE"""),36.37)</f>
        <v>36.37</v>
      </c>
      <c r="J14" s="47" t="str">
        <f>IFERROR(__xludf.DUMMYFUNCTION("""COMPUTED_VALUE"""),"算法")</f>
        <v>算法</v>
      </c>
      <c r="K14" s="47">
        <v>13.0</v>
      </c>
      <c r="L14" s="6">
        <f>COUNTIF('Coder-1'!B:B,A14)</f>
        <v>0</v>
      </c>
      <c r="M14" s="6">
        <f>COUNTIF('Coder-2'!B:B,A14)</f>
        <v>0</v>
      </c>
      <c r="N14" s="6">
        <f>COUNTIF('Coder-3'!B:B,A14)</f>
        <v>0</v>
      </c>
      <c r="O14" s="6">
        <f>COUNTIF('Coder-4'!B:B,A14)</f>
        <v>0</v>
      </c>
    </row>
    <row r="15">
      <c r="A15" s="83">
        <v>275.0</v>
      </c>
      <c r="B15" s="86" t="str">
        <f>IFERROR(__xludf.DUMMYFUNCTION("IF(ISBLANK(A15),,FILTER('Leetcode List'!B:C,'Leetcode List'!A:A = A15))"),"H-Index II")</f>
        <v>H-Index II</v>
      </c>
      <c r="C15" s="47" t="str">
        <f>IFERROR(__xludf.DUMMYFUNCTION("""COMPUTED_VALUE"""),"Medium")</f>
        <v>Medium</v>
      </c>
      <c r="D15" s="47" t="s">
        <v>93</v>
      </c>
      <c r="E15" s="87" t="str">
        <f>IFERROR(__xludf.DUMMYFUNCTION("IF(ISBLANK(A15),,FILTER('Leetcode List'!E:J,'Leetcode List'!A:A = A15))"),"Goldman Sachs,Facebook")</f>
        <v>Goldman Sachs,Facebook</v>
      </c>
      <c r="F15" s="47" t="str">
        <f>IFERROR(__xludf.DUMMYFUNCTION("""COMPUTED_VALUE"""),"Goldman Sachs")</f>
        <v>Goldman Sachs</v>
      </c>
      <c r="G15" s="47" t="str">
        <f>IFERROR(__xludf.DUMMYFUNCTION("""COMPUTED_VALUE"""),"Goldman Sachs")</f>
        <v>Goldman Sachs</v>
      </c>
      <c r="H15" s="47" t="str">
        <f>IFERROR(__xludf.DUMMYFUNCTION("""COMPUTED_VALUE"""),"Facebook,Goldman Sachs")</f>
        <v>Facebook,Goldman Sachs</v>
      </c>
      <c r="I15" s="47">
        <f>IFERROR(__xludf.DUMMYFUNCTION("""COMPUTED_VALUE"""),36.32)</f>
        <v>36.32</v>
      </c>
      <c r="J15" s="47" t="str">
        <f>IFERROR(__xludf.DUMMYFUNCTION("""COMPUTED_VALUE"""),"算法")</f>
        <v>算法</v>
      </c>
      <c r="K15" s="47">
        <v>14.0</v>
      </c>
      <c r="L15" s="6">
        <f>COUNTIF('Coder-1'!B:B,A15)</f>
        <v>0</v>
      </c>
      <c r="M15" s="6">
        <f>COUNTIF('Coder-2'!B:B,A15)</f>
        <v>0</v>
      </c>
      <c r="N15" s="6">
        <f>COUNTIF('Coder-3'!B:B,A15)</f>
        <v>0</v>
      </c>
      <c r="O15" s="6">
        <f>COUNTIF('Coder-4'!B:B,A15)</f>
        <v>0</v>
      </c>
    </row>
    <row r="16">
      <c r="A16" s="83">
        <v>243.0</v>
      </c>
      <c r="B16" s="86" t="str">
        <f>IFERROR(__xludf.DUMMYFUNCTION("IF(ISBLANK(A16),,FILTER('Leetcode List'!B:C,'Leetcode List'!A:A = A16))"),"Shortest Word Distance")</f>
        <v>Shortest Word Distance</v>
      </c>
      <c r="C16" s="47" t="str">
        <f>IFERROR(__xludf.DUMMYFUNCTION("""COMPUTED_VALUE"""),"Easy")</f>
        <v>Easy</v>
      </c>
      <c r="D16" s="47" t="s">
        <v>93</v>
      </c>
      <c r="E16" s="87" t="str">
        <f>IFERROR(__xludf.DUMMYFUNCTION("IF(ISBLANK(A16),,FILTER('Leetcode List'!E:J,'Leetcode List'!A:A = A16))"),"Goldman Sachs,VMware,Paypal,Oracle,Uber,Amazon,LinkedIn,Microsoft,Google")</f>
        <v>Goldman Sachs,VMware,Paypal,Oracle,Uber,Amazon,LinkedIn,Microsoft,Google</v>
      </c>
      <c r="F16" s="47" t="str">
        <f>IFERROR(__xludf.DUMMYFUNCTION("""COMPUTED_VALUE"""),"LinkedIn,Microsoft,Goldman Sachs")</f>
        <v>LinkedIn,Microsoft,Goldman Sachs</v>
      </c>
      <c r="G16" s="47" t="str">
        <f>IFERROR(__xludf.DUMMYFUNCTION("""COMPUTED_VALUE"""),"Amazon,Google,LinkedIn,Microsoft,Goldman Sachs")</f>
        <v>Amazon,Google,LinkedIn,Microsoft,Goldman Sachs</v>
      </c>
      <c r="H16" s="47" t="str">
        <f>IFERROR(__xludf.DUMMYFUNCTION("""COMPUTED_VALUE"""),"Paypal,Uber,Oracle,Amazon,Google,LinkedIn,Microsoft,Goldman Sachs")</f>
        <v>Paypal,Uber,Oracle,Amazon,Google,LinkedIn,Microsoft,Goldman Sachs</v>
      </c>
      <c r="I16" s="47">
        <f>IFERROR(__xludf.DUMMYFUNCTION("""COMPUTED_VALUE"""),62.03)</f>
        <v>62.03</v>
      </c>
      <c r="J16" s="47" t="str">
        <f>IFERROR(__xludf.DUMMYFUNCTION("""COMPUTED_VALUE"""),"算法")</f>
        <v>算法</v>
      </c>
      <c r="K16" s="47">
        <v>15.0</v>
      </c>
      <c r="L16" s="6">
        <f>COUNTIF('Coder-1'!B:B,A16)</f>
        <v>0</v>
      </c>
      <c r="M16" s="6">
        <f>COUNTIF('Coder-2'!B:B,A16)</f>
        <v>0</v>
      </c>
      <c r="N16" s="6">
        <f>COUNTIF('Coder-3'!B:B,A16)</f>
        <v>0</v>
      </c>
      <c r="O16" s="6">
        <f>COUNTIF('Coder-4'!B:B,A16)</f>
        <v>0</v>
      </c>
    </row>
    <row r="17">
      <c r="A17" s="83">
        <v>244.0</v>
      </c>
      <c r="B17" s="86" t="str">
        <f>IFERROR(__xludf.DUMMYFUNCTION("IF(ISBLANK(A17),,FILTER('Leetcode List'!B:C,'Leetcode List'!A:A = A17))"),"Shortest Word Distance II")</f>
        <v>Shortest Word Distance II</v>
      </c>
      <c r="C17" s="47" t="str">
        <f>IFERROR(__xludf.DUMMYFUNCTION("""COMPUTED_VALUE"""),"Medium")</f>
        <v>Medium</v>
      </c>
      <c r="D17" s="47" t="s">
        <v>93</v>
      </c>
      <c r="E17" s="87" t="str">
        <f>IFERROR(__xludf.DUMMYFUNCTION("IF(ISBLANK(A17),,FILTER('Leetcode List'!E:J,'Leetcode List'!A:A = A17))"),"Audible,EBay,Uber,Amazon,LinkedIn")</f>
        <v>Audible,EBay,Uber,Amazon,LinkedIn</v>
      </c>
      <c r="F17" s="47" t="str">
        <f>IFERROR(__xludf.DUMMYFUNCTION("""COMPUTED_VALUE"""),"LinkedIn,Amazon")</f>
        <v>LinkedIn,Amazon</v>
      </c>
      <c r="G17" s="47" t="str">
        <f>IFERROR(__xludf.DUMMYFUNCTION("""COMPUTED_VALUE"""),"Audible,LinkedIn,Amazon")</f>
        <v>Audible,LinkedIn,Amazon</v>
      </c>
      <c r="H17" s="47" t="str">
        <f>IFERROR(__xludf.DUMMYFUNCTION("""COMPUTED_VALUE"""),"Uber,eBay,Audible,LinkedIn,Amazon")</f>
        <v>Uber,eBay,Audible,LinkedIn,Amazon</v>
      </c>
      <c r="I17" s="47">
        <f>IFERROR(__xludf.DUMMYFUNCTION("""COMPUTED_VALUE"""),54.26)</f>
        <v>54.26</v>
      </c>
      <c r="J17" s="47" t="str">
        <f>IFERROR(__xludf.DUMMYFUNCTION("""COMPUTED_VALUE"""),"算法")</f>
        <v>算法</v>
      </c>
      <c r="K17" s="47">
        <v>16.0</v>
      </c>
      <c r="L17" s="6">
        <f>COUNTIF('Coder-1'!B:B,A17)</f>
        <v>0</v>
      </c>
      <c r="M17" s="6">
        <f>COUNTIF('Coder-2'!B:B,A17)</f>
        <v>0</v>
      </c>
      <c r="N17" s="6">
        <f>COUNTIF('Coder-3'!B:B,A17)</f>
        <v>0</v>
      </c>
      <c r="O17" s="6">
        <f>COUNTIF('Coder-4'!B:B,A17)</f>
        <v>0</v>
      </c>
    </row>
    <row r="18">
      <c r="A18" s="83">
        <v>245.0</v>
      </c>
      <c r="B18" s="86" t="str">
        <f>IFERROR(__xludf.DUMMYFUNCTION("IF(ISBLANK(A18),,FILTER('Leetcode List'!B:C,'Leetcode List'!A:A = A18))"),"Shortest Word Distance III")</f>
        <v>Shortest Word Distance III</v>
      </c>
      <c r="C18" s="47" t="str">
        <f>IFERROR(__xludf.DUMMYFUNCTION("""COMPUTED_VALUE"""),"Medium")</f>
        <v>Medium</v>
      </c>
      <c r="D18" s="47" t="s">
        <v>93</v>
      </c>
      <c r="E18" s="87" t="str">
        <f>IFERROR(__xludf.DUMMYFUNCTION("IF(ISBLANK(A18),,FILTER('Leetcode List'!E:J,'Leetcode List'!A:A = A18))"),"LinkedIn")</f>
        <v>LinkedIn</v>
      </c>
      <c r="F18" s="47"/>
      <c r="G18" s="47"/>
      <c r="H18" s="47" t="str">
        <f>IFERROR(__xludf.DUMMYFUNCTION("""COMPUTED_VALUE"""),"LinkedIn")</f>
        <v>LinkedIn</v>
      </c>
      <c r="I18" s="47">
        <f>IFERROR(__xludf.DUMMYFUNCTION("""COMPUTED_VALUE"""),56.04)</f>
        <v>56.04</v>
      </c>
      <c r="J18" s="47" t="str">
        <f>IFERROR(__xludf.DUMMYFUNCTION("""COMPUTED_VALUE"""),"算法")</f>
        <v>算法</v>
      </c>
      <c r="K18" s="47">
        <v>17.0</v>
      </c>
      <c r="L18" s="6">
        <f>COUNTIF('Coder-1'!B:B,A18)</f>
        <v>0</v>
      </c>
      <c r="M18" s="6">
        <f>COUNTIF('Coder-2'!B:B,A18)</f>
        <v>0</v>
      </c>
      <c r="N18" s="6">
        <f>COUNTIF('Coder-3'!B:B,A18)</f>
        <v>0</v>
      </c>
      <c r="O18" s="6">
        <f>COUNTIF('Coder-4'!B:B,A18)</f>
        <v>0</v>
      </c>
    </row>
    <row r="19">
      <c r="A19" s="83">
        <v>217.0</v>
      </c>
      <c r="B19" s="86" t="str">
        <f>IFERROR(__xludf.DUMMYFUNCTION("IF(ISBLANK(A19),,FILTER('Leetcode List'!B:C,'Leetcode List'!A:A = A19))"),"Contains Duplicate")</f>
        <v>Contains Duplicate</v>
      </c>
      <c r="C19" s="47" t="str">
        <f>IFERROR(__xludf.DUMMYFUNCTION("""COMPUTED_VALUE"""),"Easy")</f>
        <v>Easy</v>
      </c>
      <c r="D19" s="47" t="s">
        <v>93</v>
      </c>
      <c r="E19" s="87" t="str">
        <f>IFERROR(__xludf.DUMMYFUNCTION("IF(ISBLANK(A19),,FILTER('Leetcode List'!E:J,'Leetcode List'!A:A = A19))"),"Google,Palantir Technologies,Oracle,Apple,Airbnb,Yahoo,Bloomberg,Adobe,Facebook,Amazon,Microsoft")</f>
        <v>Google,Palantir Technologies,Oracle,Apple,Airbnb,Yahoo,Bloomberg,Adobe,Facebook,Amazon,Microsoft</v>
      </c>
      <c r="F19" s="47" t="str">
        <f>IFERROR(__xludf.DUMMYFUNCTION("""COMPUTED_VALUE"""),"Apple,Microsoft")</f>
        <v>Apple,Microsoft</v>
      </c>
      <c r="G19" s="47" t="str">
        <f>IFERROR(__xludf.DUMMYFUNCTION("""COMPUTED_VALUE"""),"Adobe,Apple,Microsoft")</f>
        <v>Adobe,Apple,Microsoft</v>
      </c>
      <c r="H19" s="47" t="str">
        <f>IFERROR(__xludf.DUMMYFUNCTION("""COMPUTED_VALUE"""),"Amazon,Google,Facebook,Oracle,Yahoo,Airbnb,Palantir Technologies,Adobe,Apple,Microsoft")</f>
        <v>Amazon,Google,Facebook,Oracle,Yahoo,Airbnb,Palantir Technologies,Adobe,Apple,Microsoft</v>
      </c>
      <c r="I19" s="47">
        <f>IFERROR(__xludf.DUMMYFUNCTION("""COMPUTED_VALUE"""),56.73)</f>
        <v>56.73</v>
      </c>
      <c r="J19" s="47" t="str">
        <f>IFERROR(__xludf.DUMMYFUNCTION("""COMPUTED_VALUE"""),"算法")</f>
        <v>算法</v>
      </c>
      <c r="K19" s="47">
        <v>18.0</v>
      </c>
      <c r="L19" s="6">
        <f>COUNTIF('Coder-1'!B:B,A19)</f>
        <v>0</v>
      </c>
      <c r="M19" s="6">
        <f>COUNTIF('Coder-2'!B:B,A19)</f>
        <v>0</v>
      </c>
      <c r="N19" s="6">
        <f>COUNTIF('Coder-3'!B:B,A19)</f>
        <v>0</v>
      </c>
      <c r="O19" s="6">
        <f>COUNTIF('Coder-4'!B:B,A19)</f>
        <v>0</v>
      </c>
    </row>
    <row r="20">
      <c r="A20" s="83">
        <v>219.0</v>
      </c>
      <c r="B20" s="86" t="str">
        <f>IFERROR(__xludf.DUMMYFUNCTION("IF(ISBLANK(A20),,FILTER('Leetcode List'!B:C,'Leetcode List'!A:A = A20))"),"Contains Duplicate II")</f>
        <v>Contains Duplicate II</v>
      </c>
      <c r="C20" s="47" t="str">
        <f>IFERROR(__xludf.DUMMYFUNCTION("""COMPUTED_VALUE"""),"Easy")</f>
        <v>Easy</v>
      </c>
      <c r="D20" s="47" t="s">
        <v>93</v>
      </c>
      <c r="E20" s="87" t="str">
        <f>IFERROR(__xludf.DUMMYFUNCTION("IF(ISBLANK(A20),,FILTER('Leetcode List'!E:J,'Leetcode List'!A:A = A20))"),"Facebook,Palantir Technologies,Apple,Airbnb,Bloomberg,Adobe,Amazon,Microsoft,Google")</f>
        <v>Facebook,Palantir Technologies,Apple,Airbnb,Bloomberg,Adobe,Amazon,Microsoft,Google</v>
      </c>
      <c r="F20" s="47" t="str">
        <f>IFERROR(__xludf.DUMMYFUNCTION("""COMPUTED_VALUE"""),"Amazon,Facebook,Google")</f>
        <v>Amazon,Facebook,Google</v>
      </c>
      <c r="G20" s="47" t="str">
        <f>IFERROR(__xludf.DUMMYFUNCTION("""COMPUTED_VALUE"""),"Adobe,Bloomberg,Amazon,Facebook,Google")</f>
        <v>Adobe,Bloomberg,Amazon,Facebook,Google</v>
      </c>
      <c r="H20" s="47" t="str">
        <f>IFERROR(__xludf.DUMMYFUNCTION("""COMPUTED_VALUE"""),"Microsoft,Apple,Airbnb,Palantir Technologies,Adobe,Bloomberg,Amazon,Facebook,Google")</f>
        <v>Microsoft,Apple,Airbnb,Palantir Technologies,Adobe,Bloomberg,Amazon,Facebook,Google</v>
      </c>
      <c r="I20" s="47">
        <f>IFERROR(__xludf.DUMMYFUNCTION("""COMPUTED_VALUE"""),38.71)</f>
        <v>38.71</v>
      </c>
      <c r="J20" s="47" t="str">
        <f>IFERROR(__xludf.DUMMYFUNCTION("""COMPUTED_VALUE"""),"算法")</f>
        <v>算法</v>
      </c>
      <c r="K20" s="47">
        <v>19.0</v>
      </c>
      <c r="L20" s="6">
        <f>COUNTIF('Coder-1'!B:B,A20)</f>
        <v>0</v>
      </c>
      <c r="M20" s="6">
        <f>COUNTIF('Coder-2'!B:B,A20)</f>
        <v>0</v>
      </c>
      <c r="N20" s="6">
        <f>COUNTIF('Coder-3'!B:B,A20)</f>
        <v>0</v>
      </c>
      <c r="O20" s="6">
        <f>COUNTIF('Coder-4'!B:B,A20)</f>
        <v>0</v>
      </c>
    </row>
    <row r="21">
      <c r="A21" s="83">
        <v>220.0</v>
      </c>
      <c r="B21" s="86" t="str">
        <f>IFERROR(__xludf.DUMMYFUNCTION("IF(ISBLANK(A21),,FILTER('Leetcode List'!B:C,'Leetcode List'!A:A = A21))"),"Contains Duplicate III")</f>
        <v>Contains Duplicate III</v>
      </c>
      <c r="C21" s="47" t="str">
        <f>IFERROR(__xludf.DUMMYFUNCTION("""COMPUTED_VALUE"""),"Medium")</f>
        <v>Medium</v>
      </c>
      <c r="D21" s="47" t="s">
        <v>93</v>
      </c>
      <c r="E21" s="87" t="str">
        <f>IFERROR(__xludf.DUMMYFUNCTION("IF(ISBLANK(A21),,FILTER('Leetcode List'!E:J,'Leetcode List'!A:A = A21))"),"Facebook,Palantir Technologies,Apple,Airbnb,Adobe,Microsoft,Google")</f>
        <v>Facebook,Palantir Technologies,Apple,Airbnb,Adobe,Microsoft,Google</v>
      </c>
      <c r="F21" s="47" t="str">
        <f>IFERROR(__xludf.DUMMYFUNCTION("""COMPUTED_VALUE"""),"Facebook")</f>
        <v>Facebook</v>
      </c>
      <c r="G21" s="47" t="str">
        <f>IFERROR(__xludf.DUMMYFUNCTION("""COMPUTED_VALUE"""),"Facebook")</f>
        <v>Facebook</v>
      </c>
      <c r="H21" s="47" t="str">
        <f>IFERROR(__xludf.DUMMYFUNCTION("""COMPUTED_VALUE"""),"Adobe,Apple,Google,Microsoft,Airbnb,Palantir Technologies,Facebook")</f>
        <v>Adobe,Apple,Google,Microsoft,Airbnb,Palantir Technologies,Facebook</v>
      </c>
      <c r="I21" s="47">
        <f>IFERROR(__xludf.DUMMYFUNCTION("""COMPUTED_VALUE"""),21.35)</f>
        <v>21.35</v>
      </c>
      <c r="J21" s="47" t="str">
        <f>IFERROR(__xludf.DUMMYFUNCTION("""COMPUTED_VALUE"""),"算法")</f>
        <v>算法</v>
      </c>
      <c r="K21" s="47">
        <v>20.0</v>
      </c>
      <c r="L21" s="6">
        <f>COUNTIF('Coder-1'!B:B,A21)</f>
        <v>0</v>
      </c>
      <c r="M21" s="6">
        <f>COUNTIF('Coder-2'!B:B,A21)</f>
        <v>0</v>
      </c>
      <c r="N21" s="6">
        <f>COUNTIF('Coder-3'!B:B,A21)</f>
        <v>0</v>
      </c>
      <c r="O21" s="6">
        <f>COUNTIF('Coder-4'!B:B,A21)</f>
        <v>0</v>
      </c>
    </row>
    <row r="22">
      <c r="A22" s="83">
        <v>55.0</v>
      </c>
      <c r="B22" s="86" t="str">
        <f>IFERROR(__xludf.DUMMYFUNCTION("IF(ISBLANK(A22),,FILTER('Leetcode List'!B:C,'Leetcode List'!A:A = A22))"),"Jump Game")</f>
        <v>Jump Game</v>
      </c>
      <c r="C22" s="47" t="str">
        <f>IFERROR(__xludf.DUMMYFUNCTION("""COMPUTED_VALUE"""),"Medium")</f>
        <v>Medium</v>
      </c>
      <c r="D22" s="47" t="s">
        <v>93</v>
      </c>
      <c r="E22" s="87" t="str">
        <f>IFERROR(__xludf.DUMMYFUNCTION("IF(ISBLANK(A22),,FILTER('Leetcode List'!E:J,'Leetcode List'!A:A = A22))"),"Nutanix,Postmates,ByteDance,Oracle,Apple,Uber,Bloomberg,Adobe,Facebook,Amazon,Microsoft,Google")</f>
        <v>Nutanix,Postmates,ByteDance,Oracle,Apple,Uber,Bloomberg,Adobe,Facebook,Amazon,Microsoft,Google</v>
      </c>
      <c r="F22" s="47" t="str">
        <f>IFERROR(__xludf.DUMMYFUNCTION("""COMPUTED_VALUE"""),"Amazon,Microsoft,Facebook,Bloomberg")</f>
        <v>Amazon,Microsoft,Facebook,Bloomberg</v>
      </c>
      <c r="G22" s="47" t="str">
        <f>IFERROR(__xludf.DUMMYFUNCTION("""COMPUTED_VALUE"""),"Adobe,Apple,Nutanix,ByteDance,Amazon,Microsoft,Facebook,Bloomberg")</f>
        <v>Adobe,Apple,Nutanix,ByteDance,Amazon,Microsoft,Facebook,Bloomberg</v>
      </c>
      <c r="H22" s="47" t="str">
        <f>IFERROR(__xludf.DUMMYFUNCTION("""COMPUTED_VALUE"""),"Google,Uber,Oracle,Adobe,Apple,Nutanix,ByteDance,Amazon,Microsoft,Facebook,Bloomberg")</f>
        <v>Google,Uber,Oracle,Adobe,Apple,Nutanix,ByteDance,Amazon,Microsoft,Facebook,Bloomberg</v>
      </c>
      <c r="I22" s="47">
        <f>IFERROR(__xludf.DUMMYFUNCTION("""COMPUTED_VALUE"""),35.19)</f>
        <v>35.19</v>
      </c>
      <c r="J22" s="47" t="str">
        <f>IFERROR(__xludf.DUMMYFUNCTION("""COMPUTED_VALUE"""),"算法")</f>
        <v>算法</v>
      </c>
      <c r="K22" s="47">
        <v>21.0</v>
      </c>
      <c r="L22" s="6">
        <f>COUNTIF('Coder-1'!B:B,A22)</f>
        <v>0</v>
      </c>
      <c r="M22" s="6">
        <f>COUNTIF('Coder-2'!B:B,A22)</f>
        <v>0</v>
      </c>
      <c r="N22" s="6">
        <f>COUNTIF('Coder-3'!B:B,A22)</f>
        <v>0</v>
      </c>
      <c r="O22" s="6">
        <f>COUNTIF('Coder-4'!B:B,A22)</f>
        <v>0</v>
      </c>
    </row>
    <row r="23">
      <c r="A23" s="83">
        <v>45.0</v>
      </c>
      <c r="B23" s="86" t="str">
        <f>IFERROR(__xludf.DUMMYFUNCTION("IF(ISBLANK(A23),,FILTER('Leetcode List'!B:C,'Leetcode List'!A:A = A23))"),"Jump Game II")</f>
        <v>Jump Game II</v>
      </c>
      <c r="C23" s="47" t="str">
        <f>IFERROR(__xludf.DUMMYFUNCTION("""COMPUTED_VALUE"""),"Medium")</f>
        <v>Medium</v>
      </c>
      <c r="D23" s="47" t="s">
        <v>93</v>
      </c>
      <c r="E23" s="87" t="str">
        <f>IFERROR(__xludf.DUMMYFUNCTION("IF(ISBLANK(A23),,FILTER('Leetcode List'!E:J,'Leetcode List'!A:A = A23))"),"Flipkart,Salesforce,Nutanix,Oracle,Huawei,Apple,Uber,Adobe,Facebook,Amazon,Microsoft,Goldman Sachs,Google")</f>
        <v>Flipkart,Salesforce,Nutanix,Oracle,Huawei,Apple,Uber,Adobe,Facebook,Amazon,Microsoft,Goldman Sachs,Google</v>
      </c>
      <c r="F23" s="47" t="str">
        <f>IFERROR(__xludf.DUMMYFUNCTION("""COMPUTED_VALUE"""),"Amazon,Apple")</f>
        <v>Amazon,Apple</v>
      </c>
      <c r="G23" s="47" t="str">
        <f>IFERROR(__xludf.DUMMYFUNCTION("""COMPUTED_VALUE"""),"Microsoft,Google,Adobe,Amazon,Apple")</f>
        <v>Microsoft,Google,Adobe,Amazon,Apple</v>
      </c>
      <c r="H23" s="47" t="str">
        <f>IFERROR(__xludf.DUMMYFUNCTION("""COMPUTED_VALUE"""),"Nutanix,Facebook,Oracle,Huawei,Uber,Flipkart,Salesforce,Microsoft,Google,Adobe,Amazon,Apple")</f>
        <v>Nutanix,Facebook,Oracle,Huawei,Uber,Flipkart,Salesforce,Microsoft,Google,Adobe,Amazon,Apple</v>
      </c>
      <c r="I23" s="47">
        <f>IFERROR(__xludf.DUMMYFUNCTION("""COMPUTED_VALUE"""),31.52)</f>
        <v>31.52</v>
      </c>
      <c r="J23" s="47" t="str">
        <f>IFERROR(__xludf.DUMMYFUNCTION("""COMPUTED_VALUE"""),"算法")</f>
        <v>算法</v>
      </c>
      <c r="K23" s="47">
        <v>22.0</v>
      </c>
      <c r="L23" s="6">
        <f>COUNTIF('Coder-1'!B:B,A23)</f>
        <v>0</v>
      </c>
      <c r="M23" s="6">
        <f>COUNTIF('Coder-2'!B:B,A23)</f>
        <v>0</v>
      </c>
      <c r="N23" s="6">
        <f>COUNTIF('Coder-3'!B:B,A23)</f>
        <v>0</v>
      </c>
      <c r="O23" s="6">
        <f>COUNTIF('Coder-4'!B:B,A23)</f>
        <v>0</v>
      </c>
    </row>
    <row r="24">
      <c r="A24" s="83">
        <v>121.0</v>
      </c>
      <c r="B24" s="86" t="str">
        <f>IFERROR(__xludf.DUMMYFUNCTION("IF(ISBLANK(A24),,FILTER('Leetcode List'!B:C,'Leetcode List'!A:A = A24))"),"Best Time to Buy and Sell Stock")</f>
        <v>Best Time to Buy and Sell Stock</v>
      </c>
      <c r="C24" s="47" t="str">
        <f>IFERROR(__xludf.DUMMYFUNCTION("""COMPUTED_VALUE"""),"Easy")</f>
        <v>Easy</v>
      </c>
      <c r="D24" s="47" t="s">
        <v>93</v>
      </c>
      <c r="E24" s="87" t="str">
        <f>IFERROR(__xludf.DUMMYFUNCTION("IF(ISBLANK(A24),,FILTER('Leetcode List'!E:J,'Leetcode List'!A:A = A24))"),"MAQ Software,DE Shaw,Houzz,Qualtrics,Alation,Docusign,Tcs,Qualcomm,Salesforce,VMware,ServiceNow,Citrix,EBay,Samsung,DoorDash,Akuna Capital,Atlassian,Redfin,Grab,Audible,ByteDance,Deutsche Bank,Tableau,Groupon,Intel,Visa,Citadel,Walmart Labs,Snapchat,JPMor"&amp;"gan,Zillow,Paypal,Expedia,Oracle,Lyft,Cisco,BlackRock,Apple,Uber,Yahoo,Tencent,SAP,Morgan Stanley,Bloomberg,Adobe,Facebook,Amazon,LinkedIn,Microsoft,Alibaba,Goldman Sachs,Google")</f>
        <v>MAQ Software,DE Shaw,Houzz,Qualtrics,Alation,Docusign,Tcs,Qualcomm,Salesforce,VMware,ServiceNow,Citrix,EBay,Samsung,DoorDash,Akuna Capital,Atlassian,Redfin,Grab,Audible,ByteDance,Deutsche Bank,Tableau,Groupon,Intel,Visa,Citadel,Walmart Labs,Snapchat,JPMorgan,Zillow,Paypal,Expedia,Oracle,Lyft,Cisco,BlackRock,Apple,Uber,Yahoo,Tencent,SAP,Morgan Stanley,Bloomberg,Adobe,Facebook,Amazon,LinkedIn,Microsoft,Alibaba,Goldman Sachs,Google</v>
      </c>
      <c r="F24" s="47" t="str">
        <f>IFERROR(__xludf.DUMMYFUNCTION("""COMPUTED_VALUE"""),"Amazon,Microsoft,Facebook,Google,Apple,Adobe,tcs,Bloomberg,Goldman Sachs,Uber,eBay,Qualtrics,ByteDance,VMware,Yahoo,Morgan Stanley,Oracle,ServiceNow,Samsung,Paypal,Expedia,Houzz,Salesforce,Visa,Qualcomm")</f>
        <v>Amazon,Microsoft,Facebook,Google,Apple,Adobe,tcs,Bloomberg,Goldman Sachs,Uber,eBay,Qualtrics,ByteDance,VMware,Yahoo,Morgan Stanley,Oracle,ServiceNow,Samsung,Paypal,Expedia,Houzz,Salesforce,Visa,Qualcomm</v>
      </c>
      <c r="G24" s="47" t="str">
        <f>IFERROR(__xludf.DUMMYFUNCTION("""COMPUTED_VALUE"""),"JPMorgan,DE Shaw,Citadel,Cisco,Audible,MAQ Software,Amazon,Microsoft,Facebook,Google,Apple,Adobe,tcs,Bloomberg,Goldman Sachs,Uber,eBay,Qualtrics,ByteDance,VMware,Yahoo,Morgan Stanley,Oracle,ServiceNow,Samsung,Paypal,Expedia,Houzz,Salesforce,Visa,Qualcomm")</f>
        <v>JPMorgan,DE Shaw,Citadel,Cisco,Audible,MAQ Software,Amazon,Microsoft,Facebook,Google,Apple,Adobe,tcs,Bloomberg,Goldman Sachs,Uber,eBay,Qualtrics,ByteDance,VMware,Yahoo,Morgan Stanley,Oracle,ServiceNow,Samsung,Paypal,Expedia,Houzz,Salesforce,Visa,Qualcomm</v>
      </c>
      <c r="H24" s="47" t="str">
        <f>IFERROR(__xludf.DUMMYFUNCTION("""COMPUTED_VALUE"""),"DoorDash,Walmart Labs,SAP,Intel,Citrix,BlackRock,LinkedIn,Alibaba,Tencent,Groupon,Zillow,Atlassian,Docusign,Alation,JPMorgan,DE Shaw,Citadel,Cisco,Audible,MAQ Software,Amazon,Microsoft,Facebook,Google,Apple,Adobe,tcs,Bloomberg,Goldman Sachs,Uber,eBay,Qual"&amp;"trics,ByteDance,VMware,Yahoo,Morgan Stanley,Oracle,ServiceNow,Samsung,Paypal,Expedia,Houzz,Salesforce,Visa,Qualcomm")</f>
        <v>DoorDash,Walmart Labs,SAP,Intel,Citrix,BlackRock,LinkedIn,Alibaba,Tencent,Groupon,Zillow,Atlassian,Docusign,Alation,JPMorgan,DE Shaw,Citadel,Cisco,Audible,MAQ Software,Amazon,Microsoft,Facebook,Google,Apple,Adobe,tcs,Bloomberg,Goldman Sachs,Uber,eBay,Qualtrics,ByteDance,VMware,Yahoo,Morgan Stanley,Oracle,ServiceNow,Samsung,Paypal,Expedia,Houzz,Salesforce,Visa,Qualcomm</v>
      </c>
      <c r="I24" s="47">
        <f>IFERROR(__xludf.DUMMYFUNCTION("""COMPUTED_VALUE"""),51.73)</f>
        <v>51.73</v>
      </c>
      <c r="J24" s="47" t="str">
        <f>IFERROR(__xludf.DUMMYFUNCTION("""COMPUTED_VALUE"""),"算法")</f>
        <v>算法</v>
      </c>
      <c r="K24" s="47">
        <v>23.0</v>
      </c>
      <c r="L24" s="6">
        <f>COUNTIF('Coder-1'!B:B,A24)</f>
        <v>0</v>
      </c>
      <c r="M24" s="6">
        <f>COUNTIF('Coder-2'!B:B,A24)</f>
        <v>0</v>
      </c>
      <c r="N24" s="6">
        <f>COUNTIF('Coder-3'!B:B,A24)</f>
        <v>0</v>
      </c>
      <c r="O24" s="6">
        <f>COUNTIF('Coder-4'!B:B,A24)</f>
        <v>0</v>
      </c>
    </row>
    <row r="25">
      <c r="A25" s="83">
        <v>122.0</v>
      </c>
      <c r="B25" s="86" t="str">
        <f>IFERROR(__xludf.DUMMYFUNCTION("IF(ISBLANK(A25),,FILTER('Leetcode List'!B:C,'Leetcode List'!A:A = A25))"),"Best Time to Buy and Sell Stock II")</f>
        <v>Best Time to Buy and Sell Stock II</v>
      </c>
      <c r="C25" s="47" t="str">
        <f>IFERROR(__xludf.DUMMYFUNCTION("""COMPUTED_VALUE"""),"Easy")</f>
        <v>Easy</v>
      </c>
      <c r="D25" s="47" t="s">
        <v>93</v>
      </c>
      <c r="E25" s="87" t="str">
        <f>IFERROR(__xludf.DUMMYFUNCTION("IF(ISBLANK(A25),,FILTER('Leetcode List'!E:J,'Leetcode List'!A:A = A25))"),"DE Shaw,Square,Qualtrics,Atlassian,Tcs,Salesforce,Paypal,Intuit,Morgan Stanley,Citadel,Walmart Labs,Oracle,Apple,Uber,Yahoo,Bloomberg,Adobe,Facebook,Amazon,Microsoft,Goldman Sachs,Google")</f>
        <v>DE Shaw,Square,Qualtrics,Atlassian,Tcs,Salesforce,Paypal,Intuit,Morgan Stanley,Citadel,Walmart Labs,Oracle,Apple,Uber,Yahoo,Bloomberg,Adobe,Facebook,Amazon,Microsoft,Goldman Sachs,Google</v>
      </c>
      <c r="F25" s="47" t="str">
        <f>IFERROR(__xludf.DUMMYFUNCTION("""COMPUTED_VALUE"""),"Amazon,Apple,Morgan Stanley,tcs,Microsoft,Facebook,Uber")</f>
        <v>Amazon,Apple,Morgan Stanley,tcs,Microsoft,Facebook,Uber</v>
      </c>
      <c r="G25" s="47" t="str">
        <f>IFERROR(__xludf.DUMMYFUNCTION("""COMPUTED_VALUE"""),"Bloomberg,Paypal,Square,Qualtrics,DE Shaw,Amazon,Apple,Morgan Stanley,tcs,Microsoft,Facebook,Uber")</f>
        <v>Bloomberg,Paypal,Square,Qualtrics,DE Shaw,Amazon,Apple,Morgan Stanley,tcs,Microsoft,Facebook,Uber</v>
      </c>
      <c r="H25" s="47" t="str">
        <f>IFERROR(__xludf.DUMMYFUNCTION("""COMPUTED_VALUE"""),"Google,Goldman Sachs,Oracle,Adobe,Intuit,Atlassian,Salesforce,Bloomberg,Paypal,Square,Qualtrics,DE Shaw,Amazon,Apple,Morgan Stanley,tcs,Microsoft,Facebook,Uber")</f>
        <v>Google,Goldman Sachs,Oracle,Adobe,Intuit,Atlassian,Salesforce,Bloomberg,Paypal,Square,Qualtrics,DE Shaw,Amazon,Apple,Morgan Stanley,tcs,Microsoft,Facebook,Uber</v>
      </c>
      <c r="I25" s="47">
        <f>IFERROR(__xludf.DUMMYFUNCTION("""COMPUTED_VALUE"""),58.68)</f>
        <v>58.68</v>
      </c>
      <c r="J25" s="47" t="str">
        <f>IFERROR(__xludf.DUMMYFUNCTION("""COMPUTED_VALUE"""),"算法")</f>
        <v>算法</v>
      </c>
      <c r="K25" s="47">
        <v>24.0</v>
      </c>
      <c r="L25" s="6">
        <f>COUNTIF('Coder-1'!B:B,A25)</f>
        <v>0</v>
      </c>
      <c r="M25" s="6">
        <f>COUNTIF('Coder-2'!B:B,A25)</f>
        <v>0</v>
      </c>
      <c r="N25" s="6">
        <f>COUNTIF('Coder-3'!B:B,A25)</f>
        <v>0</v>
      </c>
      <c r="O25" s="6">
        <f>COUNTIF('Coder-4'!B:B,A25)</f>
        <v>0</v>
      </c>
    </row>
    <row r="26">
      <c r="A26" s="83">
        <v>123.0</v>
      </c>
      <c r="B26" s="86" t="str">
        <f>IFERROR(__xludf.DUMMYFUNCTION("IF(ISBLANK(A26),,FILTER('Leetcode List'!B:C,'Leetcode List'!A:A = A26))"),"Best Time to Buy and Sell Stock III")</f>
        <v>Best Time to Buy and Sell Stock III</v>
      </c>
      <c r="C26" s="47" t="str">
        <f>IFERROR(__xludf.DUMMYFUNCTION("""COMPUTED_VALUE"""),"Hard")</f>
        <v>Hard</v>
      </c>
      <c r="D26" s="47" t="s">
        <v>93</v>
      </c>
      <c r="E26" s="87" t="str">
        <f>IFERROR(__xludf.DUMMYFUNCTION("IF(ISBLANK(A26),,FILTER('Leetcode List'!E:J,'Leetcode List'!A:A = A26))"),"Adobe,Rubrik,Two Sigma,Atlassian,Flipkart,Citadel,Apple,Bloomberg,Facebook,Amazon,Microsoft,Google")</f>
        <v>Adobe,Rubrik,Two Sigma,Atlassian,Flipkart,Citadel,Apple,Bloomberg,Facebook,Amazon,Microsoft,Google</v>
      </c>
      <c r="F26" s="47" t="str">
        <f>IFERROR(__xludf.DUMMYFUNCTION("""COMPUTED_VALUE"""),"Amazon,Adobe")</f>
        <v>Amazon,Adobe</v>
      </c>
      <c r="G26" s="47" t="str">
        <f>IFERROR(__xludf.DUMMYFUNCTION("""COMPUTED_VALUE"""),"Microsoft,Apple,Amazon,Adobe")</f>
        <v>Microsoft,Apple,Amazon,Adobe</v>
      </c>
      <c r="H26" s="47" t="str">
        <f>IFERROR(__xludf.DUMMYFUNCTION("""COMPUTED_VALUE"""),"Two Sigma,Bloomberg,Facebook,Google,Rubrik,Atlassian,Microsoft,Apple,Amazon,Adobe")</f>
        <v>Two Sigma,Bloomberg,Facebook,Google,Rubrik,Atlassian,Microsoft,Apple,Amazon,Adobe</v>
      </c>
      <c r="I26" s="47">
        <f>IFERROR(__xludf.DUMMYFUNCTION("""COMPUTED_VALUE"""),40.05)</f>
        <v>40.05</v>
      </c>
      <c r="J26" s="47" t="str">
        <f>IFERROR(__xludf.DUMMYFUNCTION("""COMPUTED_VALUE"""),"算法")</f>
        <v>算法</v>
      </c>
      <c r="K26" s="47">
        <v>25.0</v>
      </c>
      <c r="L26" s="6">
        <f>COUNTIF('Coder-1'!B:B,A26)</f>
        <v>0</v>
      </c>
      <c r="M26" s="6">
        <f>COUNTIF('Coder-2'!B:B,A26)</f>
        <v>0</v>
      </c>
      <c r="N26" s="6">
        <f>COUNTIF('Coder-3'!B:B,A26)</f>
        <v>0</v>
      </c>
      <c r="O26" s="6">
        <f>COUNTIF('Coder-4'!B:B,A26)</f>
        <v>0</v>
      </c>
    </row>
    <row r="27">
      <c r="A27" s="83">
        <v>188.0</v>
      </c>
      <c r="B27" s="86" t="str">
        <f>IFERROR(__xludf.DUMMYFUNCTION("IF(ISBLANK(A27),,FILTER('Leetcode List'!B:C,'Leetcode List'!A:A = A27))"),"Best Time to Buy and Sell Stock IV")</f>
        <v>Best Time to Buy and Sell Stock IV</v>
      </c>
      <c r="C27" s="47" t="str">
        <f>IFERROR(__xludf.DUMMYFUNCTION("""COMPUTED_VALUE"""),"Hard")</f>
        <v>Hard</v>
      </c>
      <c r="D27" s="47" t="s">
        <v>93</v>
      </c>
      <c r="E27" s="87" t="str">
        <f>IFERROR(__xludf.DUMMYFUNCTION("IF(ISBLANK(A27),,FILTER('Leetcode List'!E:J,'Leetcode List'!A:A = A27))"),"Citadel,Adobe,Goldman Sachs,JPMorgan,Apple,Bloomberg,Facebook,Amazon,Google")</f>
        <v>Citadel,Adobe,Goldman Sachs,JPMorgan,Apple,Bloomberg,Facebook,Amazon,Google</v>
      </c>
      <c r="F27" s="47" t="str">
        <f>IFERROR(__xludf.DUMMYFUNCTION("""COMPUTED_VALUE"""),"Amazon,Google")</f>
        <v>Amazon,Google</v>
      </c>
      <c r="G27" s="47" t="str">
        <f>IFERROR(__xludf.DUMMYFUNCTION("""COMPUTED_VALUE"""),"Bloomberg,Facebook,Citadel,Goldman Sachs,Amazon,Google")</f>
        <v>Bloomberg,Facebook,Citadel,Goldman Sachs,Amazon,Google</v>
      </c>
      <c r="H27" s="47" t="str">
        <f>IFERROR(__xludf.DUMMYFUNCTION("""COMPUTED_VALUE"""),"Apple,Adobe,Bloomberg,Facebook,Citadel,Goldman Sachs,Amazon,Google")</f>
        <v>Apple,Adobe,Bloomberg,Facebook,Citadel,Goldman Sachs,Amazon,Google</v>
      </c>
      <c r="I27" s="47">
        <f>IFERROR(__xludf.DUMMYFUNCTION("""COMPUTED_VALUE"""),29.87)</f>
        <v>29.87</v>
      </c>
      <c r="J27" s="47" t="str">
        <f>IFERROR(__xludf.DUMMYFUNCTION("""COMPUTED_VALUE"""),"算法")</f>
        <v>算法</v>
      </c>
      <c r="K27" s="47">
        <v>26.0</v>
      </c>
      <c r="L27" s="6">
        <f>COUNTIF('Coder-1'!B:B,A27)</f>
        <v>0</v>
      </c>
      <c r="M27" s="6">
        <f>COUNTIF('Coder-2'!B:B,A27)</f>
        <v>0</v>
      </c>
      <c r="N27" s="6">
        <f>COUNTIF('Coder-3'!B:B,A27)</f>
        <v>0</v>
      </c>
      <c r="O27" s="6">
        <f>COUNTIF('Coder-4'!B:B,A27)</f>
        <v>0</v>
      </c>
    </row>
    <row r="28">
      <c r="A28" s="83">
        <v>309.0</v>
      </c>
      <c r="B28" s="86" t="str">
        <f>IFERROR(__xludf.DUMMYFUNCTION("IF(ISBLANK(A28),,FILTER('Leetcode List'!B:C,'Leetcode List'!A:A = A28))"),"Best Time to Buy and Sell Stock with Cooldown")</f>
        <v>Best Time to Buy and Sell Stock with Cooldown</v>
      </c>
      <c r="C28" s="47" t="str">
        <f>IFERROR(__xludf.DUMMYFUNCTION("""COMPUTED_VALUE"""),"Medium")</f>
        <v>Medium</v>
      </c>
      <c r="D28" s="47" t="s">
        <v>93</v>
      </c>
      <c r="E28" s="87" t="str">
        <f>IFERROR(__xludf.DUMMYFUNCTION("IF(ISBLANK(A28),,FILTER('Leetcode List'!E:J,'Leetcode List'!A:A = A28))"),"Yahoo,Adobe,Facebook,Goldman Sachs,Apple,Amazon,Google")</f>
        <v>Yahoo,Adobe,Facebook,Goldman Sachs,Apple,Amazon,Google</v>
      </c>
      <c r="F28" s="47" t="str">
        <f>IFERROR(__xludf.DUMMYFUNCTION("""COMPUTED_VALUE"""),"Amazon,Yahoo")</f>
        <v>Amazon,Yahoo</v>
      </c>
      <c r="G28" s="47" t="str">
        <f>IFERROR(__xludf.DUMMYFUNCTION("""COMPUTED_VALUE"""),"Facebook,Adobe,Goldman Sachs,Amazon,Yahoo")</f>
        <v>Facebook,Adobe,Goldman Sachs,Amazon,Yahoo</v>
      </c>
      <c r="H28" s="47" t="str">
        <f>IFERROR(__xludf.DUMMYFUNCTION("""COMPUTED_VALUE"""),"Google,Apple,Facebook,Adobe,Goldman Sachs,Amazon,Yahoo")</f>
        <v>Google,Apple,Facebook,Adobe,Goldman Sachs,Amazon,Yahoo</v>
      </c>
      <c r="I28" s="47">
        <f>IFERROR(__xludf.DUMMYFUNCTION("""COMPUTED_VALUE"""),48.24)</f>
        <v>48.24</v>
      </c>
      <c r="J28" s="47" t="str">
        <f>IFERROR(__xludf.DUMMYFUNCTION("""COMPUTED_VALUE"""),"算法")</f>
        <v>算法</v>
      </c>
      <c r="K28" s="47">
        <v>27.0</v>
      </c>
      <c r="L28" s="6">
        <f>COUNTIF('Coder-1'!B:B,A28)</f>
        <v>0</v>
      </c>
      <c r="M28" s="6">
        <f>COUNTIF('Coder-2'!B:B,A28)</f>
        <v>0</v>
      </c>
      <c r="N28" s="6">
        <f>COUNTIF('Coder-3'!B:B,A28)</f>
        <v>0</v>
      </c>
      <c r="O28" s="6">
        <f>COUNTIF('Coder-4'!B:B,A28)</f>
        <v>0</v>
      </c>
    </row>
    <row r="29">
      <c r="A29" s="83">
        <v>11.0</v>
      </c>
      <c r="B29" s="86" t="str">
        <f>IFERROR(__xludf.DUMMYFUNCTION("IF(ISBLANK(A29),,FILTER('Leetcode List'!B:C,'Leetcode List'!A:A = A29))"),"Container With Most Water")</f>
        <v>Container With Most Water</v>
      </c>
      <c r="C29" s="47" t="str">
        <f>IFERROR(__xludf.DUMMYFUNCTION("""COMPUTED_VALUE"""),"Medium")</f>
        <v>Medium</v>
      </c>
      <c r="D29" s="47" t="s">
        <v>93</v>
      </c>
      <c r="E29" s="87" t="str">
        <f>IFERROR(__xludf.DUMMYFUNCTION("IF(ISBLANK(A29),,FILTER('Leetcode List'!E:J,'Leetcode List'!A:A = A29))"),"Flipkart,Tcs,Salesforce,Walmart Labs,ByteDance,VMware,Oracle,Lyft,Apple,Airbnb,Uber,Yahoo,Bloomberg,Adobe,Facebook,Amazon,Microsoft,Goldman Sachs,Google")</f>
        <v>Flipkart,Tcs,Salesforce,Walmart Labs,ByteDance,VMware,Oracle,Lyft,Apple,Airbnb,Uber,Yahoo,Bloomberg,Adobe,Facebook,Amazon,Microsoft,Goldman Sachs,Google</v>
      </c>
      <c r="F29" s="47" t="str">
        <f>IFERROR(__xludf.DUMMYFUNCTION("""COMPUTED_VALUE"""),"Amazon,Facebook,Microsoft,Goldman Sachs,Adobe,Google,Apple,Yahoo,Salesforce,tcs")</f>
        <v>Amazon,Facebook,Microsoft,Goldman Sachs,Adobe,Google,Apple,Yahoo,Salesforce,tcs</v>
      </c>
      <c r="G29" s="47" t="str">
        <f>IFERROR(__xludf.DUMMYFUNCTION("""COMPUTED_VALUE"""),"Walmart Labs,ByteDance,Flipkart,Bloomberg,Amazon,Facebook,Microsoft,Goldman Sachs,Adobe,Google,Apple,Yahoo,Salesforce,tcs")</f>
        <v>Walmart Labs,ByteDance,Flipkart,Bloomberg,Amazon,Facebook,Microsoft,Goldman Sachs,Adobe,Google,Apple,Yahoo,Salesforce,tcs</v>
      </c>
      <c r="H29" s="47" t="str">
        <f>IFERROR(__xludf.DUMMYFUNCTION("""COMPUTED_VALUE"""),"VMware,Walmart Labs,ByteDance,Flipkart,Bloomberg,Amazon,Facebook,Microsoft,Goldman Sachs,Adobe,Google,Apple,Yahoo,Salesforce,tcs")</f>
        <v>VMware,Walmart Labs,ByteDance,Flipkart,Bloomberg,Amazon,Facebook,Microsoft,Goldman Sachs,Adobe,Google,Apple,Yahoo,Salesforce,tcs</v>
      </c>
      <c r="I29" s="47">
        <f>IFERROR(__xludf.DUMMYFUNCTION("""COMPUTED_VALUE"""),52.84)</f>
        <v>52.84</v>
      </c>
      <c r="J29" s="47" t="str">
        <f>IFERROR(__xludf.DUMMYFUNCTION("""COMPUTED_VALUE"""),"算法")</f>
        <v>算法</v>
      </c>
      <c r="K29" s="47">
        <v>28.0</v>
      </c>
      <c r="L29" s="6">
        <f>COUNTIF('Coder-1'!B:B,A29)</f>
        <v>0</v>
      </c>
      <c r="M29" s="6">
        <f>COUNTIF('Coder-2'!B:B,A29)</f>
        <v>0</v>
      </c>
      <c r="N29" s="6">
        <f>COUNTIF('Coder-3'!B:B,A29)</f>
        <v>0</v>
      </c>
      <c r="O29" s="6">
        <f>COUNTIF('Coder-4'!B:B,A29)</f>
        <v>0</v>
      </c>
    </row>
    <row r="30">
      <c r="A30" s="83">
        <v>42.0</v>
      </c>
      <c r="B30" s="86" t="str">
        <f>IFERROR(__xludf.DUMMYFUNCTION("IF(ISBLANK(A30),,FILTER('Leetcode List'!B:C,'Leetcode List'!A:A = A30))"),"Trapping Rain Water")</f>
        <v>Trapping Rain Water</v>
      </c>
      <c r="C30" s="47" t="str">
        <f>IFERROR(__xludf.DUMMYFUNCTION("""COMPUTED_VALUE"""),"Hard")</f>
        <v>Hard</v>
      </c>
      <c r="D30" s="47" t="s">
        <v>93</v>
      </c>
      <c r="E30" s="87" t="str">
        <f>IFERROR(__xludf.DUMMYFUNCTION("IF(ISBLANK(A30),,FILTER('Leetcode List'!E:J,'Leetcode List'!A:A = A30))"),"Twitch,Robinhood,Accolite,Audible,VMware,Paypal,ServiceNow,Expedia,Cisco,Electronic Arts,Dataminr,Qualtrics,Databricks,Palantir Technologies,Zenefits,Atlassian,Flipkart,Grab,ByteDance,Tableau,Salesforce,Visa,Citadel,Affirm,Walmart Labs,Snapchat,Twitter,Wi"&amp;"sh,Nvidia,Oracle,Lyft,Yandex,Huawei,EBay,Apple,Airbnb,Uber,Yahoo,Bloomberg,Adobe,Facebook,Amazon,Microsoft,Goldman Sachs,Google")</f>
        <v>Twitch,Robinhood,Accolite,Audible,VMware,Paypal,ServiceNow,Expedia,Cisco,Electronic Arts,Dataminr,Qualtrics,Databricks,Palantir Technologies,Zenefits,Atlassian,Flipkart,Grab,ByteDance,Tableau,Salesforce,Visa,Citadel,Affirm,Walmart Labs,Snapchat,Twitter,Wish,Nvidia,Oracle,Lyft,Yandex,Huawei,EBay,Apple,Airbnb,Uber,Yahoo,Bloomberg,Adobe,Facebook,Amazon,Microsoft,Goldman Sachs,Google</v>
      </c>
      <c r="F30" s="47" t="str">
        <f>IFERROR(__xludf.DUMMYFUNCTION("""COMPUTED_VALUE"""),"Goldman Sachs,Facebook,Amazon,Microsoft,Bloomberg,Apple,Databricks,Google,Oracle,Adobe,Flipkart,Qualtrics,Yahoo")</f>
        <v>Goldman Sachs,Facebook,Amazon,Microsoft,Bloomberg,Apple,Databricks,Google,Oracle,Adobe,Flipkart,Qualtrics,Yahoo</v>
      </c>
      <c r="G30" s="47" t="str">
        <f>IFERROR(__xludf.DUMMYFUNCTION("""COMPUTED_VALUE"""),"ByteDance,Walmart Labs,Citadel,ServiceNow,Uber,Grab,Cisco,Expedia,Twitch,Accolite,Goldman Sachs,Facebook,Amazon,Microsoft,Bloomberg,Apple,Databricks,Google,Oracle,Adobe,Flipkart,Qualtrics,Yahoo")</f>
        <v>ByteDance,Walmart Labs,Citadel,ServiceNow,Uber,Grab,Cisco,Expedia,Twitch,Accolite,Goldman Sachs,Facebook,Amazon,Microsoft,Bloomberg,Apple,Databricks,Google,Oracle,Adobe,Flipkart,Qualtrics,Yahoo</v>
      </c>
      <c r="H30" s="47" t="str">
        <f>IFERROR(__xludf.DUMMYFUNCTION("""COMPUTED_VALUE"""),"Visa,Wish,Snapchat,Airbnb,Lyft,Yandex,VMware,Twitter,eBay,Palantir Technologies,Affirm,Huawei,Salesforce,Paypal,Electronic Arts,Tableau,Audible,Robinhood,Zenefits,ByteDance,Walmart Labs,Citadel,ServiceNow,Uber,Grab,Cisco,Expedia,Twitch,Accolite,Goldman Sa"&amp;"chs,Facebook,Amazon,Microsoft,Bloomberg,Apple,Databricks,Google,Oracle,Adobe,Flipkart,Qualtrics,Yahoo")</f>
        <v>Visa,Wish,Snapchat,Airbnb,Lyft,Yandex,VMware,Twitter,eBay,Palantir Technologies,Affirm,Huawei,Salesforce,Paypal,Electronic Arts,Tableau,Audible,Robinhood,Zenefits,ByteDance,Walmart Labs,Citadel,ServiceNow,Uber,Grab,Cisco,Expedia,Twitch,Accolite,Goldman Sachs,Facebook,Amazon,Microsoft,Bloomberg,Apple,Databricks,Google,Oracle,Adobe,Flipkart,Qualtrics,Yahoo</v>
      </c>
      <c r="I30" s="47">
        <f>IFERROR(__xludf.DUMMYFUNCTION("""COMPUTED_VALUE"""),51.4)</f>
        <v>51.4</v>
      </c>
      <c r="J30" s="47" t="str">
        <f>IFERROR(__xludf.DUMMYFUNCTION("""COMPUTED_VALUE"""),"算法")</f>
        <v>算法</v>
      </c>
      <c r="K30" s="47">
        <v>29.0</v>
      </c>
      <c r="L30" s="6">
        <f>COUNTIF('Coder-1'!B:B,A30)</f>
        <v>0</v>
      </c>
      <c r="M30" s="6">
        <f>COUNTIF('Coder-2'!B:B,A30)</f>
        <v>0</v>
      </c>
      <c r="N30" s="6">
        <f>COUNTIF('Coder-3'!B:B,A30)</f>
        <v>0</v>
      </c>
      <c r="O30" s="6">
        <f>COUNTIF('Coder-4'!B:B,A30)</f>
        <v>0</v>
      </c>
    </row>
    <row r="31">
      <c r="A31" s="83">
        <v>334.0</v>
      </c>
      <c r="B31" s="86" t="str">
        <f>IFERROR(__xludf.DUMMYFUNCTION("IF(ISBLANK(A31),,FILTER('Leetcode List'!B:C,'Leetcode List'!A:A = A31))"),"Increasing Triplet Subsequence")</f>
        <v>Increasing Triplet Subsequence</v>
      </c>
      <c r="C31" s="47" t="str">
        <f>IFERROR(__xludf.DUMMYFUNCTION("""COMPUTED_VALUE"""),"Medium")</f>
        <v>Medium</v>
      </c>
      <c r="D31" s="47" t="s">
        <v>93</v>
      </c>
      <c r="E31" s="87" t="str">
        <f>IFERROR(__xludf.DUMMYFUNCTION("IF(ISBLANK(A31),,FILTER('Leetcode List'!E:J,'Leetcode List'!A:A = A31))"),"Oracle,Uber,Yahoo,Bloomberg,Facebook,Amazon,Google")</f>
        <v>Oracle,Uber,Yahoo,Bloomberg,Facebook,Amazon,Google</v>
      </c>
      <c r="F31" s="47" t="str">
        <f>IFERROR(__xludf.DUMMYFUNCTION("""COMPUTED_VALUE"""),"Google")</f>
        <v>Google</v>
      </c>
      <c r="G31" s="47" t="str">
        <f>IFERROR(__xludf.DUMMYFUNCTION("""COMPUTED_VALUE"""),"Facebook,Amazon,Google")</f>
        <v>Facebook,Amazon,Google</v>
      </c>
      <c r="H31" s="47" t="str">
        <f>IFERROR(__xludf.DUMMYFUNCTION("""COMPUTED_VALUE"""),"Oracle,Yahoo,Bloomberg,Uber,Facebook,Amazon,Google")</f>
        <v>Oracle,Yahoo,Bloomberg,Uber,Facebook,Amazon,Google</v>
      </c>
      <c r="I31" s="47">
        <f>IFERROR(__xludf.DUMMYFUNCTION("""COMPUTED_VALUE"""),40.81)</f>
        <v>40.81</v>
      </c>
      <c r="J31" s="47" t="str">
        <f>IFERROR(__xludf.DUMMYFUNCTION("""COMPUTED_VALUE"""),"算法")</f>
        <v>算法</v>
      </c>
      <c r="K31" s="47">
        <v>30.0</v>
      </c>
      <c r="L31" s="6">
        <f>COUNTIF('Coder-1'!B:B,A31)</f>
        <v>0</v>
      </c>
      <c r="M31" s="6">
        <f>COUNTIF('Coder-2'!B:B,A31)</f>
        <v>0</v>
      </c>
      <c r="N31" s="6">
        <f>COUNTIF('Coder-3'!B:B,A31)</f>
        <v>0</v>
      </c>
      <c r="O31" s="6">
        <f>COUNTIF('Coder-4'!B:B,A31)</f>
        <v>0</v>
      </c>
    </row>
    <row r="32">
      <c r="A32" s="83">
        <v>128.0</v>
      </c>
      <c r="B32" s="86" t="str">
        <f>IFERROR(__xludf.DUMMYFUNCTION("IF(ISBLANK(A32),,FILTER('Leetcode List'!B:C,'Leetcode List'!A:A = A32))"),"Longest Consecutive Sequence")</f>
        <v>Longest Consecutive Sequence</v>
      </c>
      <c r="C32" s="47" t="str">
        <f>IFERROR(__xludf.DUMMYFUNCTION("""COMPUTED_VALUE"""),"Hard")</f>
        <v>Hard</v>
      </c>
      <c r="D32" s="47" t="s">
        <v>93</v>
      </c>
      <c r="E32" s="87" t="str">
        <f>IFERROR(__xludf.DUMMYFUNCTION("IF(ISBLANK(A32),,FILTER('Leetcode List'!E:J,'Leetcode List'!A:A = A32))"),"Qualtrics,Twitter,Adobe,Goldman Sachs,Nutanix,Paypal,Wish,Oracle,Spotify,Apple,Uber,Bloomberg,Facebook,Amazon,Microsoft,Google")</f>
        <v>Qualtrics,Twitter,Adobe,Goldman Sachs,Nutanix,Paypal,Wish,Oracle,Spotify,Apple,Uber,Bloomberg,Facebook,Amazon,Microsoft,Google</v>
      </c>
      <c r="F32" s="47" t="str">
        <f>IFERROR(__xludf.DUMMYFUNCTION("""COMPUTED_VALUE"""),"Amazon,Microsoft,Bloomberg,Google,Facebook,Oracle,Goldman Sachs")</f>
        <v>Amazon,Microsoft,Bloomberg,Google,Facebook,Oracle,Goldman Sachs</v>
      </c>
      <c r="G32" s="47" t="str">
        <f>IFERROR(__xludf.DUMMYFUNCTION("""COMPUTED_VALUE"""),"Uber,Adobe,Apple,Paypal,Spotify,Amazon,Microsoft,Bloomberg,Google,Facebook,Oracle,Goldman Sachs")</f>
        <v>Uber,Adobe,Apple,Paypal,Spotify,Amazon,Microsoft,Bloomberg,Google,Facebook,Oracle,Goldman Sachs</v>
      </c>
      <c r="H32" s="47" t="str">
        <f>IFERROR(__xludf.DUMMYFUNCTION("""COMPUTED_VALUE"""),"Wish,Twitter,Nutanix,Qualtrics,Uber,Adobe,Apple,Paypal,Spotify,Amazon,Microsoft,Bloomberg,Google,Facebook,Oracle,Goldman Sachs")</f>
        <v>Wish,Twitter,Nutanix,Qualtrics,Uber,Adobe,Apple,Paypal,Spotify,Amazon,Microsoft,Bloomberg,Google,Facebook,Oracle,Goldman Sachs</v>
      </c>
      <c r="I32" s="47">
        <f>IFERROR(__xludf.DUMMYFUNCTION("""COMPUTED_VALUE"""),46.36)</f>
        <v>46.36</v>
      </c>
      <c r="J32" s="47" t="str">
        <f>IFERROR(__xludf.DUMMYFUNCTION("""COMPUTED_VALUE"""),"算法")</f>
        <v>算法</v>
      </c>
      <c r="K32" s="47">
        <v>31.0</v>
      </c>
      <c r="L32" s="6">
        <f>COUNTIF('Coder-1'!B:B,A32)</f>
        <v>0</v>
      </c>
      <c r="M32" s="6">
        <f>COUNTIF('Coder-2'!B:B,A32)</f>
        <v>0</v>
      </c>
      <c r="N32" s="6">
        <f>COUNTIF('Coder-3'!B:B,A32)</f>
        <v>0</v>
      </c>
      <c r="O32" s="6">
        <f>COUNTIF('Coder-4'!B:B,A32)</f>
        <v>0</v>
      </c>
    </row>
    <row r="33">
      <c r="A33" s="83">
        <v>164.0</v>
      </c>
      <c r="B33" s="86" t="str">
        <f>IFERROR(__xludf.DUMMYFUNCTION("IF(ISBLANK(A33),,FILTER('Leetcode List'!B:C,'Leetcode List'!A:A = A33))"),"Maximum Gap")</f>
        <v>Maximum Gap</v>
      </c>
      <c r="C33" s="47" t="str">
        <f>IFERROR(__xludf.DUMMYFUNCTION("""COMPUTED_VALUE"""),"Hard")</f>
        <v>Hard</v>
      </c>
      <c r="D33" s="47" t="s">
        <v>93</v>
      </c>
      <c r="E33" s="87" t="str">
        <f>IFERROR(__xludf.DUMMYFUNCTION("IF(ISBLANK(A33),,FILTER('Leetcode List'!E:J,'Leetcode List'!A:A = A33))"),"Amazon")</f>
        <v>Amazon</v>
      </c>
      <c r="F33" s="47"/>
      <c r="G33" s="47"/>
      <c r="H33" s="47" t="str">
        <f>IFERROR(__xludf.DUMMYFUNCTION("""COMPUTED_VALUE"""),"Amazon")</f>
        <v>Amazon</v>
      </c>
      <c r="I33" s="47">
        <f>IFERROR(__xludf.DUMMYFUNCTION("""COMPUTED_VALUE"""),36.98)</f>
        <v>36.98</v>
      </c>
      <c r="J33" s="47" t="str">
        <f>IFERROR(__xludf.DUMMYFUNCTION("""COMPUTED_VALUE"""),"算法")</f>
        <v>算法</v>
      </c>
      <c r="K33" s="47">
        <v>32.0</v>
      </c>
      <c r="L33" s="6">
        <f>COUNTIF('Coder-1'!B:B,A33)</f>
        <v>0</v>
      </c>
      <c r="M33" s="6">
        <f>COUNTIF('Coder-2'!B:B,A33)</f>
        <v>0</v>
      </c>
      <c r="N33" s="6">
        <f>COUNTIF('Coder-3'!B:B,A33)</f>
        <v>0</v>
      </c>
      <c r="O33" s="6">
        <f>COUNTIF('Coder-4'!B:B,A33)</f>
        <v>0</v>
      </c>
    </row>
    <row r="34">
      <c r="A34" s="83">
        <v>287.0</v>
      </c>
      <c r="B34" s="86" t="str">
        <f>IFERROR(__xludf.DUMMYFUNCTION("IF(ISBLANK(A34),,FILTER('Leetcode List'!B:C,'Leetcode List'!A:A = A34))"),"Find the Duplicate Number")</f>
        <v>Find the Duplicate Number</v>
      </c>
      <c r="C34" s="47" t="str">
        <f>IFERROR(__xludf.DUMMYFUNCTION("""COMPUTED_VALUE"""),"Medium")</f>
        <v>Medium</v>
      </c>
      <c r="D34" s="47" t="s">
        <v>93</v>
      </c>
      <c r="E34" s="87" t="str">
        <f>IFERROR(__xludf.DUMMYFUNCTION("IF(ISBLANK(A34),,FILTER('Leetcode List'!E:J,'Leetcode List'!A:A = A34))"),"Zynga,Nutanix,Wish,Citadel,Paypal,Yahoo,Goldman Sachs,Salesforce,VMware,Oracle,Intuit,EBay,Apple,Tencent,Morgan Stanley,Bloomberg,Adobe,Facebook,Amazon,Microsoft,Google")</f>
        <v>Zynga,Nutanix,Wish,Citadel,Paypal,Yahoo,Goldman Sachs,Salesforce,VMware,Oracle,Intuit,EBay,Apple,Tencent,Morgan Stanley,Bloomberg,Adobe,Facebook,Amazon,Microsoft,Google</v>
      </c>
      <c r="F34" s="47" t="str">
        <f>IFERROR(__xludf.DUMMYFUNCTION("""COMPUTED_VALUE"""),"Microsoft,Amazon,Apple,Google,Bloomberg,Paypal,Goldman Sachs")</f>
        <v>Microsoft,Amazon,Apple,Google,Bloomberg,Paypal,Goldman Sachs</v>
      </c>
      <c r="G34" s="47" t="str">
        <f>IFERROR(__xludf.DUMMYFUNCTION("""COMPUTED_VALUE"""),"Adobe,eBay,Zynga,Microsoft,Amazon,Apple,Google,Bloomberg,Paypal,Goldman Sachs")</f>
        <v>Adobe,eBay,Zynga,Microsoft,Amazon,Apple,Google,Bloomberg,Paypal,Goldman Sachs</v>
      </c>
      <c r="H34" s="47" t="str">
        <f>IFERROR(__xludf.DUMMYFUNCTION("""COMPUTED_VALUE"""),"Facebook,Yahoo,Salesforce,VMware,Citadel,Intuit,Wish,Nutanix,Adobe,eBay,Zynga,Microsoft,Amazon,Apple,Google,Bloomberg,Paypal,Goldman Sachs")</f>
        <v>Facebook,Yahoo,Salesforce,VMware,Citadel,Intuit,Wish,Nutanix,Adobe,eBay,Zynga,Microsoft,Amazon,Apple,Google,Bloomberg,Paypal,Goldman Sachs</v>
      </c>
      <c r="I34" s="47">
        <f>IFERROR(__xludf.DUMMYFUNCTION("""COMPUTED_VALUE"""),57.72)</f>
        <v>57.72</v>
      </c>
      <c r="J34" s="47" t="str">
        <f>IFERROR(__xludf.DUMMYFUNCTION("""COMPUTED_VALUE"""),"算法")</f>
        <v>算法</v>
      </c>
      <c r="K34" s="47">
        <v>33.0</v>
      </c>
      <c r="L34" s="6">
        <f>COUNTIF('Coder-1'!B:B,A34)</f>
        <v>0</v>
      </c>
      <c r="M34" s="6">
        <f>COUNTIF('Coder-2'!B:B,A34)</f>
        <v>0</v>
      </c>
      <c r="N34" s="6">
        <f>COUNTIF('Coder-3'!B:B,A34)</f>
        <v>0</v>
      </c>
      <c r="O34" s="6">
        <f>COUNTIF('Coder-4'!B:B,A34)</f>
        <v>0</v>
      </c>
    </row>
    <row r="35">
      <c r="A35" s="83">
        <v>135.0</v>
      </c>
      <c r="B35" s="86" t="str">
        <f>IFERROR(__xludf.DUMMYFUNCTION("IF(ISBLANK(A35),,FILTER('Leetcode List'!B:C,'Leetcode List'!A:A = A35))"),"Candy")</f>
        <v>Candy</v>
      </c>
      <c r="C35" s="47" t="str">
        <f>IFERROR(__xludf.DUMMYFUNCTION("""COMPUTED_VALUE"""),"Hard")</f>
        <v>Hard</v>
      </c>
      <c r="D35" s="47" t="s">
        <v>93</v>
      </c>
      <c r="E35" s="87" t="str">
        <f>IFERROR(__xludf.DUMMYFUNCTION("IF(ISBLANK(A35),,FILTER('Leetcode List'!E:J,'Leetcode List'!A:A = A35))"),"Flipkart,Apple,Goldman Sachs,Salesforce,Uber,Amazon,Microsoft,Google")</f>
        <v>Flipkart,Apple,Goldman Sachs,Salesforce,Uber,Amazon,Microsoft,Google</v>
      </c>
      <c r="F35" s="47" t="str">
        <f>IFERROR(__xludf.DUMMYFUNCTION("""COMPUTED_VALUE"""),"Amazon")</f>
        <v>Amazon</v>
      </c>
      <c r="G35" s="47" t="str">
        <f>IFERROR(__xludf.DUMMYFUNCTION("""COMPUTED_VALUE"""),"Apple,Goldman Sachs,Amazon")</f>
        <v>Apple,Goldman Sachs,Amazon</v>
      </c>
      <c r="H35" s="47" t="str">
        <f>IFERROR(__xludf.DUMMYFUNCTION("""COMPUTED_VALUE"""),"Microsoft,Flipkart,Google,Salesforce,Apple,Goldman Sachs,Amazon")</f>
        <v>Microsoft,Flipkart,Google,Salesforce,Apple,Goldman Sachs,Amazon</v>
      </c>
      <c r="I35" s="47">
        <f>IFERROR(__xludf.DUMMYFUNCTION("""COMPUTED_VALUE"""),33.19)</f>
        <v>33.19</v>
      </c>
      <c r="J35" s="47" t="str">
        <f>IFERROR(__xludf.DUMMYFUNCTION("""COMPUTED_VALUE"""),"算法")</f>
        <v>算法</v>
      </c>
      <c r="K35" s="47">
        <v>34.0</v>
      </c>
      <c r="L35" s="6">
        <f>COUNTIF('Coder-1'!B:B,A35)</f>
        <v>0</v>
      </c>
      <c r="M35" s="6">
        <f>COUNTIF('Coder-2'!B:B,A35)</f>
        <v>0</v>
      </c>
      <c r="N35" s="6">
        <f>COUNTIF('Coder-3'!B:B,A35)</f>
        <v>0</v>
      </c>
      <c r="O35" s="6">
        <f>COUNTIF('Coder-4'!B:B,A35)</f>
        <v>0</v>
      </c>
    </row>
    <row r="36">
      <c r="A36" s="83">
        <v>330.0</v>
      </c>
      <c r="B36" s="86" t="str">
        <f>IFERROR(__xludf.DUMMYFUNCTION("IF(ISBLANK(A36),,FILTER('Leetcode List'!B:C,'Leetcode List'!A:A = A36))"),"Patching Array")</f>
        <v>Patching Array</v>
      </c>
      <c r="C36" s="47" t="str">
        <f>IFERROR(__xludf.DUMMYFUNCTION("""COMPUTED_VALUE"""),"Hard")</f>
        <v>Hard</v>
      </c>
      <c r="D36" s="47" t="s">
        <v>93</v>
      </c>
      <c r="E36" s="87" t="str">
        <f>IFERROR(__xludf.DUMMYFUNCTION("IF(ISBLANK(A36),,FILTER('Leetcode List'!E:J,'Leetcode List'!A:A = A36))"),"Google")</f>
        <v>Google</v>
      </c>
      <c r="F36" s="47"/>
      <c r="G36" s="47"/>
      <c r="H36" s="47" t="str">
        <f>IFERROR(__xludf.DUMMYFUNCTION("""COMPUTED_VALUE"""),"Google")</f>
        <v>Google</v>
      </c>
      <c r="I36" s="47">
        <f>IFERROR(__xludf.DUMMYFUNCTION("""COMPUTED_VALUE"""),35.0)</f>
        <v>35</v>
      </c>
      <c r="J36" s="47" t="str">
        <f>IFERROR(__xludf.DUMMYFUNCTION("""COMPUTED_VALUE"""),"算法")</f>
        <v>算法</v>
      </c>
      <c r="K36" s="47">
        <v>35.0</v>
      </c>
      <c r="L36" s="6">
        <f>COUNTIF('Coder-1'!B:B,A36)</f>
        <v>0</v>
      </c>
      <c r="M36" s="6">
        <f>COUNTIF('Coder-2'!B:B,A36)</f>
        <v>0</v>
      </c>
      <c r="N36" s="6">
        <f>COUNTIF('Coder-3'!B:B,A36)</f>
        <v>0</v>
      </c>
      <c r="O36" s="6">
        <f>COUNTIF('Coder-4'!B:B,A36)</f>
        <v>0</v>
      </c>
    </row>
    <row r="37">
      <c r="A37" s="83">
        <v>4.0</v>
      </c>
      <c r="B37" s="86" t="str">
        <f>IFERROR(__xludf.DUMMYFUNCTION("IF(ISBLANK(A37),,FILTER('Leetcode List'!B:C,'Leetcode List'!A:A = A37))"),"Median of Two Sorted Arrays")</f>
        <v>Median of Two Sorted Arrays</v>
      </c>
      <c r="C37" s="47" t="str">
        <f>IFERROR(__xludf.DUMMYFUNCTION("""COMPUTED_VALUE"""),"Hard")</f>
        <v>Hard</v>
      </c>
      <c r="D37" s="47" t="s">
        <v>93</v>
      </c>
      <c r="E37" s="87" t="str">
        <f>IFERROR(__xludf.DUMMYFUNCTION("IF(ISBLANK(A37),,FILTER('Leetcode List'!E:J,'Leetcode List'!A:A = A37))"),"Wish,Reddit,Flipkart,Paypal,Intuit,Zulily,Garena,Rubrik,Houzz,Two Sigma,Zenefits,ByteDance,Visa,VMware,Walmart Labs,Dropbox,GoDaddy,JPMorgan,Zillow,Oracle,DiDi,Yandex,Huawei,EBay,Baidu,Apple,Airbnb,Uber,Yahoo,Tencent,Bloomberg,Adobe,Facebook,Amazon,Micros"&amp;"oft,Alibaba,Goldman Sachs,Google")</f>
        <v>Wish,Reddit,Flipkart,Paypal,Intuit,Zulily,Garena,Rubrik,Houzz,Two Sigma,Zenefits,ByteDance,Visa,VMware,Walmart Labs,Dropbox,GoDaddy,JPMorgan,Zillow,Oracle,DiDi,Yandex,Huawei,EBay,Baidu,Apple,Airbnb,Uber,Yahoo,Tencent,Bloomberg,Adobe,Facebook,Amazon,Microsoft,Alibaba,Goldman Sachs,Google</v>
      </c>
      <c r="F37" s="47" t="str">
        <f>IFERROR(__xludf.DUMMYFUNCTION("""COMPUTED_VALUE"""),"Amazon,Goldman Sachs,Apple,Adobe,Microsoft,Facebook,Bloomberg,Uber,Zillow,Flipkart,Wish")</f>
        <v>Amazon,Goldman Sachs,Apple,Adobe,Microsoft,Facebook,Bloomberg,Uber,Zillow,Flipkart,Wish</v>
      </c>
      <c r="G37" s="47" t="str">
        <f>IFERROR(__xludf.DUMMYFUNCTION("""COMPUTED_VALUE"""),"Google,ByteDance,Paypal,Amazon,Goldman Sachs,Apple,Adobe,Microsoft,Facebook,Bloomberg,Uber,Zillow,Flipkart,Wish")</f>
        <v>Google,ByteDance,Paypal,Amazon,Goldman Sachs,Apple,Adobe,Microsoft,Facebook,Bloomberg,Uber,Zillow,Flipkart,Wish</v>
      </c>
      <c r="H37" s="47" t="str">
        <f>IFERROR(__xludf.DUMMYFUNCTION("""COMPUTED_VALUE"""),"Oracle,Yahoo,eBay,Visa,VMware,Yandex,GoDaddy,Zulily,Reddit,Intuit,Zenefits,Dropbox,Google,ByteDance,Paypal,Amazon,Goldman Sachs,Apple,Adobe,Microsoft,Facebook,Bloomberg,Uber,Zillow,Flipkart,Wish")</f>
        <v>Oracle,Yahoo,eBay,Visa,VMware,Yandex,GoDaddy,Zulily,Reddit,Intuit,Zenefits,Dropbox,Google,ByteDance,Paypal,Amazon,Goldman Sachs,Apple,Adobe,Microsoft,Facebook,Bloomberg,Uber,Zillow,Flipkart,Wish</v>
      </c>
      <c r="I37" s="47">
        <f>IFERROR(__xludf.DUMMYFUNCTION("""COMPUTED_VALUE"""),31.21)</f>
        <v>31.21</v>
      </c>
      <c r="J37" s="47" t="str">
        <f>IFERROR(__xludf.DUMMYFUNCTION("""COMPUTED_VALUE"""),"算法")</f>
        <v>算法</v>
      </c>
      <c r="K37" s="47">
        <v>36.0</v>
      </c>
      <c r="L37" s="6">
        <f>COUNTIF('Coder-1'!B:B,A37)</f>
        <v>0</v>
      </c>
      <c r="M37" s="6">
        <f>COUNTIF('Coder-2'!B:B,A37)</f>
        <v>0</v>
      </c>
      <c r="N37" s="6">
        <f>COUNTIF('Coder-3'!B:B,A37)</f>
        <v>0</v>
      </c>
      <c r="O37" s="6">
        <f>COUNTIF('Coder-4'!B:B,A37)</f>
        <v>0</v>
      </c>
    </row>
    <row r="38">
      <c r="A38" s="83">
        <v>321.0</v>
      </c>
      <c r="B38" s="86" t="str">
        <f>IFERROR(__xludf.DUMMYFUNCTION("IF(ISBLANK(A38),,FILTER('Leetcode List'!B:C,'Leetcode List'!A:A = A38))"),"Create Maximum Number")</f>
        <v>Create Maximum Number</v>
      </c>
      <c r="C38" s="47" t="str">
        <f>IFERROR(__xludf.DUMMYFUNCTION("""COMPUTED_VALUE"""),"Hard")</f>
        <v>Hard</v>
      </c>
      <c r="D38" s="47" t="s">
        <v>93</v>
      </c>
      <c r="E38" s="87" t="str">
        <f>IFERROR(__xludf.DUMMYFUNCTION("IF(ISBLANK(A38),,FILTER('Leetcode List'!E:J,'Leetcode List'!A:A = A38))"),"Apple,Amazon,Google")</f>
        <v>Apple,Amazon,Google</v>
      </c>
      <c r="F38" s="47"/>
      <c r="G38" s="47" t="str">
        <f>IFERROR(__xludf.DUMMYFUNCTION("""COMPUTED_VALUE"""),"Apple")</f>
        <v>Apple</v>
      </c>
      <c r="H38" s="47" t="str">
        <f>IFERROR(__xludf.DUMMYFUNCTION("""COMPUTED_VALUE"""),"Amazon,Google,Apple")</f>
        <v>Amazon,Google,Apple</v>
      </c>
      <c r="I38" s="47">
        <f>IFERROR(__xludf.DUMMYFUNCTION("""COMPUTED_VALUE"""),27.57)</f>
        <v>27.57</v>
      </c>
      <c r="J38" s="47" t="str">
        <f>IFERROR(__xludf.DUMMYFUNCTION("""COMPUTED_VALUE"""),"算法")</f>
        <v>算法</v>
      </c>
      <c r="K38" s="47">
        <v>37.0</v>
      </c>
      <c r="L38" s="6">
        <f>COUNTIF('Coder-1'!B:B,A38)</f>
        <v>0</v>
      </c>
      <c r="M38" s="6">
        <f>COUNTIF('Coder-2'!B:B,A38)</f>
        <v>0</v>
      </c>
      <c r="N38" s="6">
        <f>COUNTIF('Coder-3'!B:B,A38)</f>
        <v>0</v>
      </c>
      <c r="O38" s="6">
        <f>COUNTIF('Coder-4'!B:B,A38)</f>
        <v>0</v>
      </c>
    </row>
    <row r="39">
      <c r="A39" s="83">
        <v>327.0</v>
      </c>
      <c r="B39" s="86" t="str">
        <f>IFERROR(__xludf.DUMMYFUNCTION("IF(ISBLANK(A39),,FILTER('Leetcode List'!B:C,'Leetcode List'!A:A = A39))"),"Count of Range Sum")</f>
        <v>Count of Range Sum</v>
      </c>
      <c r="C39" s="47" t="str">
        <f>IFERROR(__xludf.DUMMYFUNCTION("""COMPUTED_VALUE"""),"Hard")</f>
        <v>Hard</v>
      </c>
      <c r="D39" s="47" t="s">
        <v>93</v>
      </c>
      <c r="E39" s="87" t="str">
        <f>IFERROR(__xludf.DUMMYFUNCTION("IF(ISBLANK(A39),,FILTER('Leetcode List'!E:J,'Leetcode List'!A:A = A39))"),"Amazon,Google")</f>
        <v>Amazon,Google</v>
      </c>
      <c r="F39" s="47"/>
      <c r="G39" s="47" t="str">
        <f>IFERROR(__xludf.DUMMYFUNCTION("""COMPUTED_VALUE"""),"Amazon")</f>
        <v>Amazon</v>
      </c>
      <c r="H39" s="47" t="str">
        <f>IFERROR(__xludf.DUMMYFUNCTION("""COMPUTED_VALUE"""),"Google,Amazon")</f>
        <v>Google,Amazon</v>
      </c>
      <c r="I39" s="47">
        <f>IFERROR(__xludf.DUMMYFUNCTION("""COMPUTED_VALUE"""),36.09)</f>
        <v>36.09</v>
      </c>
      <c r="J39" s="47" t="str">
        <f>IFERROR(__xludf.DUMMYFUNCTION("""COMPUTED_VALUE"""),"算法")</f>
        <v>算法</v>
      </c>
      <c r="K39" s="47">
        <v>38.0</v>
      </c>
      <c r="L39" s="6">
        <f>COUNTIF('Coder-1'!B:B,A39)</f>
        <v>0</v>
      </c>
      <c r="M39" s="6">
        <f>COUNTIF('Coder-2'!B:B,A39)</f>
        <v>0</v>
      </c>
      <c r="N39" s="6">
        <f>COUNTIF('Coder-3'!B:B,A39)</f>
        <v>0</v>
      </c>
      <c r="O39" s="6">
        <f>COUNTIF('Coder-4'!B:B,A39)</f>
        <v>0</v>
      </c>
    </row>
    <row r="40">
      <c r="A40" s="83">
        <v>289.0</v>
      </c>
      <c r="B40" s="86" t="str">
        <f>IFERROR(__xludf.DUMMYFUNCTION("IF(ISBLANK(A40),,FILTER('Leetcode List'!B:C,'Leetcode List'!A:A = A40))"),"Game of Life")</f>
        <v>Game of Life</v>
      </c>
      <c r="C40" s="47" t="str">
        <f>IFERROR(__xludf.DUMMYFUNCTION("""COMPUTED_VALUE"""),"Medium")</f>
        <v>Medium</v>
      </c>
      <c r="D40" s="47" t="s">
        <v>93</v>
      </c>
      <c r="E40" s="87" t="str">
        <f>IFERROR(__xludf.DUMMYFUNCTION("IF(ISBLANK(A40),,FILTER('Leetcode List'!E:J,'Leetcode List'!A:A = A40))"),"Square,Adobe,Reddit,Evernote,Opendoor,Two Sigma,Booking.com,Dropbox,Snapchat,Zillow,Oracle,Uber,Bloomberg,Facebook,Amazon,Microsoft,Goldman Sachs,Google")</f>
        <v>Square,Adobe,Reddit,Evernote,Opendoor,Two Sigma,Booking.com,Dropbox,Snapchat,Zillow,Oracle,Uber,Bloomberg,Facebook,Amazon,Microsoft,Goldman Sachs,Google</v>
      </c>
      <c r="F40" s="47" t="str">
        <f>IFERROR(__xludf.DUMMYFUNCTION("""COMPUTED_VALUE"""),"Dropbox,Amazon,Reddit,Opendoor,Microsoft")</f>
        <v>Dropbox,Amazon,Reddit,Opendoor,Microsoft</v>
      </c>
      <c r="G40" s="47" t="str">
        <f>IFERROR(__xludf.DUMMYFUNCTION("""COMPUTED_VALUE"""),"Oracle,Square,Adobe,Goldman Sachs,Facebook,Dropbox,Amazon,Reddit,Opendoor,Microsoft")</f>
        <v>Oracle,Square,Adobe,Goldman Sachs,Facebook,Dropbox,Amazon,Reddit,Opendoor,Microsoft</v>
      </c>
      <c r="H40" s="47" t="str">
        <f>IFERROR(__xludf.DUMMYFUNCTION("""COMPUTED_VALUE"""),"Google,Uber,Bloomberg,Booking.com,Snapchat,Two Sigma,Oracle,Square,Adobe,Goldman Sachs,Facebook,Dropbox,Amazon,Reddit,Opendoor,Microsoft")</f>
        <v>Google,Uber,Bloomberg,Booking.com,Snapchat,Two Sigma,Oracle,Square,Adobe,Goldman Sachs,Facebook,Dropbox,Amazon,Reddit,Opendoor,Microsoft</v>
      </c>
      <c r="I40" s="47">
        <f>IFERROR(__xludf.DUMMYFUNCTION("""COMPUTED_VALUE"""),58.53)</f>
        <v>58.53</v>
      </c>
      <c r="J40" s="47" t="str">
        <f>IFERROR(__xludf.DUMMYFUNCTION("""COMPUTED_VALUE"""),"算法")</f>
        <v>算法</v>
      </c>
      <c r="K40" s="47">
        <v>39.0</v>
      </c>
      <c r="L40" s="6">
        <f>COUNTIF('Coder-1'!B:B,A40)</f>
        <v>0</v>
      </c>
      <c r="M40" s="6">
        <f>COUNTIF('Coder-2'!B:B,A40)</f>
        <v>0</v>
      </c>
      <c r="N40" s="6">
        <f>COUNTIF('Coder-3'!B:B,A40)</f>
        <v>0</v>
      </c>
      <c r="O40" s="6">
        <f>COUNTIF('Coder-4'!B:B,A40)</f>
        <v>0</v>
      </c>
    </row>
    <row r="41">
      <c r="A41" s="83">
        <v>57.0</v>
      </c>
      <c r="B41" s="86" t="str">
        <f>IFERROR(__xludf.DUMMYFUNCTION("IF(ISBLANK(A41),,FILTER('Leetcode List'!B:C,'Leetcode List'!A:A = A41))"),"Insert Interval")</f>
        <v>Insert Interval</v>
      </c>
      <c r="C41" s="47" t="str">
        <f>IFERROR(__xludf.DUMMYFUNCTION("""COMPUTED_VALUE"""),"Medium")</f>
        <v>Medium</v>
      </c>
      <c r="D41" s="47" t="s">
        <v>93</v>
      </c>
      <c r="E41" s="87" t="str">
        <f>IFERROR(__xludf.DUMMYFUNCTION("IF(ISBLANK(A41),,FILTER('Leetcode List'!E:J,'Leetcode List'!A:A = A41))"),"ServiceNow,Bloomberg,Dataminr,Tableau,Twitter,Oracle,Apple,Uber,Adobe,Facebook,Amazon,LinkedIn,Microsoft,Google")</f>
        <v>ServiceNow,Bloomberg,Dataminr,Tableau,Twitter,Oracle,Apple,Uber,Adobe,Facebook,Amazon,LinkedIn,Microsoft,Google</v>
      </c>
      <c r="F41" s="47" t="str">
        <f>IFERROR(__xludf.DUMMYFUNCTION("""COMPUTED_VALUE"""),"Google,Twitter,Facebook,Microsoft,Amazon,ServiceNow")</f>
        <v>Google,Twitter,Facebook,Microsoft,Amazon,ServiceNow</v>
      </c>
      <c r="G41" s="47" t="str">
        <f>IFERROR(__xludf.DUMMYFUNCTION("""COMPUTED_VALUE"""),"Google,Twitter,Facebook,Microsoft,Amazon,ServiceNow")</f>
        <v>Google,Twitter,Facebook,Microsoft,Amazon,ServiceNow</v>
      </c>
      <c r="H41" s="47" t="str">
        <f>IFERROR(__xludf.DUMMYFUNCTION("""COMPUTED_VALUE"""),"LinkedIn,Uber,Oracle,Dataminr,Apple,Bloomberg,Google,Twitter,Facebook,Microsoft,Amazon,ServiceNow")</f>
        <v>LinkedIn,Uber,Oracle,Dataminr,Apple,Bloomberg,Google,Twitter,Facebook,Microsoft,Amazon,ServiceNow</v>
      </c>
      <c r="I41" s="47">
        <f>IFERROR(__xludf.DUMMYFUNCTION("""COMPUTED_VALUE"""),35.2)</f>
        <v>35.2</v>
      </c>
      <c r="J41" s="47" t="str">
        <f>IFERROR(__xludf.DUMMYFUNCTION("""COMPUTED_VALUE"""),"算法")</f>
        <v>算法</v>
      </c>
      <c r="K41" s="47">
        <v>40.0</v>
      </c>
      <c r="L41" s="6">
        <f>COUNTIF('Coder-1'!B:B,A41)</f>
        <v>0</v>
      </c>
      <c r="M41" s="6">
        <f>COUNTIF('Coder-2'!B:B,A41)</f>
        <v>0</v>
      </c>
      <c r="N41" s="6">
        <f>COUNTIF('Coder-3'!B:B,A41)</f>
        <v>0</v>
      </c>
      <c r="O41" s="6">
        <f>COUNTIF('Coder-4'!B:B,A41)</f>
        <v>0</v>
      </c>
    </row>
    <row r="42">
      <c r="A42" s="83">
        <v>56.0</v>
      </c>
      <c r="B42" s="86" t="str">
        <f>IFERROR(__xludf.DUMMYFUNCTION("IF(ISBLANK(A42),,FILTER('Leetcode List'!B:C,'Leetcode List'!A:A = A42))"),"Merge Intervals")</f>
        <v>Merge Intervals</v>
      </c>
      <c r="C42" s="47" t="str">
        <f>IFERROR(__xludf.DUMMYFUNCTION("""COMPUTED_VALUE"""),"Medium")</f>
        <v>Medium</v>
      </c>
      <c r="D42" s="47" t="s">
        <v>93</v>
      </c>
      <c r="E42" s="87" t="str">
        <f>IFERROR(__xludf.DUMMYFUNCTION("IF(ISBLANK(A42),,FILTER('Leetcode List'!E:J,'Leetcode List'!A:A = A42))"),"Netflix,Square,IXL,Qualtrics,Nutanix,Grab,Splunk,JPMorgan,Morgan Stanley,Dataminr,Sumologic,Cohesity,DoorDash,Postmates,Pinterest,Palantir Technologies,Cruise Automation,Wayfair,Zulily,Two Sigma,Zenefits,Coupang,Atlassian,Twitch,ByteDance,Salesforce,Visa,"&amp;"VMware,Walmart Labs,GoDaddy,Snapchat,Paypal,Twitter,ServiceNow,Wish,Yelp,Oracle,Intuit,Cisco,Yandex,EBay,Apple,Uber,Yahoo,Tencent,SAP,Bloomberg,Adobe,Facebook,Amazon,LinkedIn,Microsoft,Alibaba,Goldman Sachs,Google")</f>
        <v>Netflix,Square,IXL,Qualtrics,Nutanix,Grab,Splunk,JPMorgan,Morgan Stanley,Dataminr,Sumologic,Cohesity,DoorDash,Postmates,Pinterest,Palantir Technologies,Cruise Automation,Wayfair,Zulily,Two Sigma,Zenefits,Coupang,Atlassian,Twitch,ByteDance,Salesforce,Visa,VMware,Walmart Labs,GoDaddy,Snapchat,Paypal,Twitter,ServiceNow,Wish,Yelp,Oracle,Intuit,Cisco,Yandex,EBay,Apple,Uber,Yahoo,Tencent,SAP,Bloomberg,Adobe,Facebook,Amazon,LinkedIn,Microsoft,Alibaba,Goldman Sachs,Google</v>
      </c>
      <c r="F42" s="47" t="str">
        <f>IFERROR(__xludf.DUMMYFUNCTION("""COMPUTED_VALUE"""),"Facebook,Bloomberg,JPMorgan,Amazon,Apple,Microsoft,Google,Adobe,Uber,Twitter,Oracle,eBay,Yandex,Paypal,Cisco,Palantir Technologies,Walmart Labs,Salesforce,Goldman Sachs,Yahoo,VMware,Splunk,Qualtrics")</f>
        <v>Facebook,Bloomberg,JPMorgan,Amazon,Apple,Microsoft,Google,Adobe,Uber,Twitter,Oracle,eBay,Yandex,Paypal,Cisco,Palantir Technologies,Walmart Labs,Salesforce,Goldman Sachs,Yahoo,VMware,Splunk,Qualtrics</v>
      </c>
      <c r="G42" s="47" t="str">
        <f>IFERROR(__xludf.DUMMYFUNCTION("""COMPUTED_VALUE"""),"ByteDance,Square,IXL,LinkedIn,Netflix,DoorDash,ServiceNow,Morgan Stanley,Facebook,Bloomberg,JPMorgan,Amazon,Apple,Microsoft,Google,Adobe,Uber,Twitter,Oracle,eBay,Yandex,Paypal,Cisco,Palantir Technologies,Walmart Labs,Salesforce,Goldman Sachs,Yahoo,VMware,"&amp;"Splunk,Qualtrics")</f>
        <v>ByteDance,Square,IXL,LinkedIn,Netflix,DoorDash,ServiceNow,Morgan Stanley,Facebook,Bloomberg,JPMorgan,Amazon,Apple,Microsoft,Google,Adobe,Uber,Twitter,Oracle,eBay,Yandex,Paypal,Cisco,Palantir Technologies,Walmart Labs,Salesforce,Goldman Sachs,Yahoo,VMware,Splunk,Qualtrics</v>
      </c>
      <c r="H42" s="47" t="str">
        <f>IFERROR(__xludf.DUMMYFUNCTION("""COMPUTED_VALUE"""),"Zulily,Wish,Postmates,Snapchat,Wayfair,SAP,Sumologic,Coupang,Twitch,Two Sigma,Intuit,Nutanix,Yelp,Grab,Alibaba,Visa,Cohesity,Cruise Automation,Atlassian,ByteDance,Square,IXL,LinkedIn,Netflix,DoorDash,ServiceNow,Morgan Stanley,Facebook,Bloomberg,JPMorgan,A"&amp;"mazon,Apple,Microsoft,Google,Adobe,Uber,Twitter,Oracle,eBay,Yandex,Paypal,Cisco,Palantir Technologies,Walmart Labs,Salesforce,Goldman Sachs,Yahoo,VMware,Splunk,Qualtrics")</f>
        <v>Zulily,Wish,Postmates,Snapchat,Wayfair,SAP,Sumologic,Coupang,Twitch,Two Sigma,Intuit,Nutanix,Yelp,Grab,Alibaba,Visa,Cohesity,Cruise Automation,Atlassian,ByteDance,Square,IXL,LinkedIn,Netflix,DoorDash,ServiceNow,Morgan Stanley,Facebook,Bloomberg,JPMorgan,Amazon,Apple,Microsoft,Google,Adobe,Uber,Twitter,Oracle,eBay,Yandex,Paypal,Cisco,Palantir Technologies,Walmart Labs,Salesforce,Goldman Sachs,Yahoo,VMware,Splunk,Qualtrics</v>
      </c>
      <c r="I42" s="47">
        <f>IFERROR(__xludf.DUMMYFUNCTION("""COMPUTED_VALUE"""),41.21)</f>
        <v>41.21</v>
      </c>
      <c r="J42" s="47" t="str">
        <f>IFERROR(__xludf.DUMMYFUNCTION("""COMPUTED_VALUE"""),"算法")</f>
        <v>算法</v>
      </c>
      <c r="K42" s="47">
        <v>41.0</v>
      </c>
      <c r="L42" s="6">
        <f>COUNTIF('Coder-1'!B:B,A42)</f>
        <v>0</v>
      </c>
      <c r="M42" s="6">
        <f>COUNTIF('Coder-2'!B:B,A42)</f>
        <v>0</v>
      </c>
      <c r="N42" s="6">
        <f>COUNTIF('Coder-3'!B:B,A42)</f>
        <v>0</v>
      </c>
      <c r="O42" s="6">
        <f>COUNTIF('Coder-4'!B:B,A42)</f>
        <v>0</v>
      </c>
    </row>
    <row r="43">
      <c r="A43" s="83">
        <v>252.0</v>
      </c>
      <c r="B43" s="86" t="str">
        <f>IFERROR(__xludf.DUMMYFUNCTION("IF(ISBLANK(A43),,FILTER('Leetcode List'!B:C,'Leetcode List'!A:A = A43))"),"Meeting Rooms")</f>
        <v>Meeting Rooms</v>
      </c>
      <c r="C43" s="47" t="str">
        <f>IFERROR(__xludf.DUMMYFUNCTION("""COMPUTED_VALUE"""),"Easy")</f>
        <v>Easy</v>
      </c>
      <c r="D43" s="47" t="s">
        <v>93</v>
      </c>
      <c r="E43" s="87" t="str">
        <f>IFERROR(__xludf.DUMMYFUNCTION("IF(ISBLANK(A43),,FILTER('Leetcode List'!E:J,'Leetcode List'!A:A = A43))"),"Karat,VMware,Intuit,EBay,Adobe,Bloomberg,Facebook,Amazon,Microsoft,Google")</f>
        <v>Karat,VMware,Intuit,EBay,Adobe,Bloomberg,Facebook,Amazon,Microsoft,Google</v>
      </c>
      <c r="F43" s="47" t="str">
        <f>IFERROR(__xludf.DUMMYFUNCTION("""COMPUTED_VALUE"""),"Microsoft,Facebook,Amazon,Adobe,Karat")</f>
        <v>Microsoft,Facebook,Amazon,Adobe,Karat</v>
      </c>
      <c r="G43" s="47" t="str">
        <f>IFERROR(__xludf.DUMMYFUNCTION("""COMPUTED_VALUE"""),"Google,Bloomberg,eBay,VMware,Microsoft,Facebook,Amazon,Adobe,Karat")</f>
        <v>Google,Bloomberg,eBay,VMware,Microsoft,Facebook,Amazon,Adobe,Karat</v>
      </c>
      <c r="H43" s="47" t="str">
        <f>IFERROR(__xludf.DUMMYFUNCTION("""COMPUTED_VALUE"""),"Intuit,Google,Bloomberg,eBay,VMware,Microsoft,Facebook,Amazon,Adobe,Karat")</f>
        <v>Intuit,Google,Bloomberg,eBay,VMware,Microsoft,Facebook,Amazon,Adobe,Karat</v>
      </c>
      <c r="I43" s="47">
        <f>IFERROR(__xludf.DUMMYFUNCTION("""COMPUTED_VALUE"""),55.47)</f>
        <v>55.47</v>
      </c>
      <c r="J43" s="47" t="str">
        <f>IFERROR(__xludf.DUMMYFUNCTION("""COMPUTED_VALUE"""),"算法")</f>
        <v>算法</v>
      </c>
      <c r="K43" s="47">
        <v>42.0</v>
      </c>
      <c r="L43" s="6">
        <f>COUNTIF('Coder-1'!B:B,A43)</f>
        <v>0</v>
      </c>
      <c r="M43" s="6">
        <f>COUNTIF('Coder-2'!B:B,A43)</f>
        <v>0</v>
      </c>
      <c r="N43" s="6">
        <f>COUNTIF('Coder-3'!B:B,A43)</f>
        <v>0</v>
      </c>
      <c r="O43" s="6">
        <f>COUNTIF('Coder-4'!B:B,A43)</f>
        <v>0</v>
      </c>
    </row>
    <row r="44">
      <c r="A44" s="83">
        <v>253.0</v>
      </c>
      <c r="B44" s="86" t="str">
        <f>IFERROR(__xludf.DUMMYFUNCTION("IF(ISBLANK(A44),,FILTER('Leetcode List'!B:C,'Leetcode List'!A:A = A44))"),"Meeting Rooms II")</f>
        <v>Meeting Rooms II</v>
      </c>
      <c r="C44" s="47" t="str">
        <f>IFERROR(__xludf.DUMMYFUNCTION("""COMPUTED_VALUE"""),"Medium")</f>
        <v>Medium</v>
      </c>
      <c r="D44" s="47" t="s">
        <v>93</v>
      </c>
      <c r="E44" s="87" t="str">
        <f>IFERROR(__xludf.DUMMYFUNCTION("IF(ISBLANK(A44),,FILTER('Leetcode List'!E:J,'Leetcode List'!A:A = A44))"),"Wish,Roblox,ByteDance,VMware,Citadel,Twitter,Yandex,Adobe,Nutanix,Postmates,Citrix,Atlassian,Booking.com,Drawbridge,Visa,Quora,Walmart Labs,GoDaddy,Snapchat,Paypal,Expedia,Yelp,Oracle,Lyft,Cisco,EBay,Baidu,Apple,Uber,Bloomberg,Facebook,Amazon,Microsoft,Go"&amp;"ldman Sachs,Google")</f>
        <v>Wish,Roblox,ByteDance,VMware,Citadel,Twitter,Yandex,Adobe,Nutanix,Postmates,Citrix,Atlassian,Booking.com,Drawbridge,Visa,Quora,Walmart Labs,GoDaddy,Snapchat,Paypal,Expedia,Yelp,Oracle,Lyft,Cisco,EBay,Baidu,Apple,Uber,Bloomberg,Facebook,Amazon,Microsoft,Goldman Sachs,Google</v>
      </c>
      <c r="F44" s="47" t="str">
        <f>IFERROR(__xludf.DUMMYFUNCTION("""COMPUTED_VALUE"""),"Amazon,Bloomberg,Facebook,Google,Oracle,Yandex,Microsoft,Uber,ByteDance,Twitter,eBay,Apple,Adobe,Walmart Labs,Expedia,Quora,Roblox")</f>
        <v>Amazon,Bloomberg,Facebook,Google,Oracle,Yandex,Microsoft,Uber,ByteDance,Twitter,eBay,Apple,Adobe,Walmart Labs,Expedia,Quora,Roblox</v>
      </c>
      <c r="G44" s="47" t="str">
        <f>IFERROR(__xludf.DUMMYFUNCTION("""COMPUTED_VALUE"""),"Snapchat,Paypal,Citadel,Amazon,Bloomberg,Facebook,Google,Oracle,Yandex,Microsoft,Uber,ByteDance,Twitter,eBay,Apple,Adobe,Walmart Labs,Expedia,Quora,Roblox")</f>
        <v>Snapchat,Paypal,Citadel,Amazon,Bloomberg,Facebook,Google,Oracle,Yandex,Microsoft,Uber,ByteDance,Twitter,eBay,Apple,Adobe,Walmart Labs,Expedia,Quora,Roblox</v>
      </c>
      <c r="H44" s="47" t="str">
        <f>IFERROR(__xludf.DUMMYFUNCTION("""COMPUTED_VALUE"""),"Lyft,Visa,GoDaddy,Citrix,Nutanix,Yelp,Booking.com,VMware,Drawbridge,Postmates,Goldman Sachs,Wish,Snapchat,Paypal,Citadel,Amazon,Bloomberg,Facebook,Google,Oracle,Yandex,Microsoft,Uber,ByteDance,Twitter,eBay,Apple,Adobe,Walmart Labs,Expedia,Quora,Roblox")</f>
        <v>Lyft,Visa,GoDaddy,Citrix,Nutanix,Yelp,Booking.com,VMware,Drawbridge,Postmates,Goldman Sachs,Wish,Snapchat,Paypal,Citadel,Amazon,Bloomberg,Facebook,Google,Oracle,Yandex,Microsoft,Uber,ByteDance,Twitter,eBay,Apple,Adobe,Walmart Labs,Expedia,Quora,Roblox</v>
      </c>
      <c r="I44" s="47">
        <f>IFERROR(__xludf.DUMMYFUNCTION("""COMPUTED_VALUE"""),46.98)</f>
        <v>46.98</v>
      </c>
      <c r="J44" s="47" t="str">
        <f>IFERROR(__xludf.DUMMYFUNCTION("""COMPUTED_VALUE"""),"算法")</f>
        <v>算法</v>
      </c>
      <c r="K44" s="47">
        <v>43.0</v>
      </c>
      <c r="L44" s="6">
        <f>COUNTIF('Coder-1'!B:B,A44)</f>
        <v>0</v>
      </c>
      <c r="M44" s="6">
        <f>COUNTIF('Coder-2'!B:B,A44)</f>
        <v>0</v>
      </c>
      <c r="N44" s="6">
        <f>COUNTIF('Coder-3'!B:B,A44)</f>
        <v>0</v>
      </c>
      <c r="O44" s="6">
        <f>COUNTIF('Coder-4'!B:B,A44)</f>
        <v>0</v>
      </c>
    </row>
    <row r="45">
      <c r="A45" s="83">
        <v>352.0</v>
      </c>
      <c r="B45" s="86" t="str">
        <f>IFERROR(__xludf.DUMMYFUNCTION("IF(ISBLANK(A45),,FILTER('Leetcode List'!B:C,'Leetcode List'!A:A = A45))"),"Data Stream as Disjoint Intervals")</f>
        <v>Data Stream as Disjoint Intervals</v>
      </c>
      <c r="C45" s="47" t="str">
        <f>IFERROR(__xludf.DUMMYFUNCTION("""COMPUTED_VALUE"""),"Hard")</f>
        <v>Hard</v>
      </c>
      <c r="D45" s="47" t="s">
        <v>93</v>
      </c>
      <c r="E45" s="87" t="str">
        <f>IFERROR(__xludf.DUMMYFUNCTION("IF(ISBLANK(A45),,FILTER('Leetcode List'!E:J,'Leetcode List'!A:A = A45))"),"Uber,Oracle,Facebook,Amazon,Google")</f>
        <v>Uber,Oracle,Facebook,Amazon,Google</v>
      </c>
      <c r="F45" s="47" t="str">
        <f>IFERROR(__xludf.DUMMYFUNCTION("""COMPUTED_VALUE"""),"Oracle")</f>
        <v>Oracle</v>
      </c>
      <c r="G45" s="47" t="str">
        <f>IFERROR(__xludf.DUMMYFUNCTION("""COMPUTED_VALUE"""),"Amazon,Oracle")</f>
        <v>Amazon,Oracle</v>
      </c>
      <c r="H45" s="47" t="str">
        <f>IFERROR(__xludf.DUMMYFUNCTION("""COMPUTED_VALUE"""),"Facebook,Google,Uber,Amazon,Oracle")</f>
        <v>Facebook,Google,Uber,Amazon,Oracle</v>
      </c>
      <c r="I45" s="47">
        <f>IFERROR(__xludf.DUMMYFUNCTION("""COMPUTED_VALUE"""),48.72)</f>
        <v>48.72</v>
      </c>
      <c r="J45" s="47" t="str">
        <f>IFERROR(__xludf.DUMMYFUNCTION("""COMPUTED_VALUE"""),"算法")</f>
        <v>算法</v>
      </c>
      <c r="K45" s="47">
        <v>44.0</v>
      </c>
      <c r="L45" s="6">
        <f>COUNTIF('Coder-1'!B:B,A45)</f>
        <v>0</v>
      </c>
      <c r="M45" s="6">
        <f>COUNTIF('Coder-2'!B:B,A45)</f>
        <v>0</v>
      </c>
      <c r="N45" s="6">
        <f>COUNTIF('Coder-3'!B:B,A45)</f>
        <v>0</v>
      </c>
      <c r="O45" s="6">
        <f>COUNTIF('Coder-4'!B:B,A45)</f>
        <v>0</v>
      </c>
    </row>
    <row r="46">
      <c r="A46" s="83">
        <v>239.0</v>
      </c>
      <c r="B46" s="86" t="str">
        <f>IFERROR(__xludf.DUMMYFUNCTION("IF(ISBLANK(A46),,FILTER('Leetcode List'!B:C,'Leetcode List'!A:A = A46))"),"Sliding Window Maximum")</f>
        <v>Sliding Window Maximum</v>
      </c>
      <c r="C46" s="47" t="str">
        <f>IFERROR(__xludf.DUMMYFUNCTION("""COMPUTED_VALUE"""),"Hard")</f>
        <v>Hard</v>
      </c>
      <c r="D46" s="47" t="s">
        <v>93</v>
      </c>
      <c r="E46" s="87" t="str">
        <f>IFERROR(__xludf.DUMMYFUNCTION("IF(ISBLANK(A46),,FILTER('Leetcode List'!E:J,'Leetcode List'!A:A = A46))"),"AppDynamics,Akuna Capital,Snapchat,Twilio,Dropbox,Expedia,IBM,Nutanix,Pinterest,Databricks,Coursera,Zenefits,Roblox,ByteDance,VMware,Citadel,Twitter,Wish,Yelp,Oracle,Lyft,Apple,Uber,Bloomberg,Adobe,Facebook,Amazon,Microsoft,Alibaba,Google")</f>
        <v>AppDynamics,Akuna Capital,Snapchat,Twilio,Dropbox,Expedia,IBM,Nutanix,Pinterest,Databricks,Coursera,Zenefits,Roblox,ByteDance,VMware,Citadel,Twitter,Wish,Yelp,Oracle,Lyft,Apple,Uber,Bloomberg,Adobe,Facebook,Amazon,Microsoft,Alibaba,Google</v>
      </c>
      <c r="F46" s="47" t="str">
        <f>IFERROR(__xludf.DUMMYFUNCTION("""COMPUTED_VALUE"""),"Amazon,Dropbox,Facebook,ByteDance,Citadel,Google,Bloomberg,Microsoft,Akuna Capital,IBM,Twitter,Twilio")</f>
        <v>Amazon,Dropbox,Facebook,ByteDance,Citadel,Google,Bloomberg,Microsoft,Akuna Capital,IBM,Twitter,Twilio</v>
      </c>
      <c r="G46" s="47" t="str">
        <f>IFERROR(__xludf.DUMMYFUNCTION("""COMPUTED_VALUE"""),"Databricks,Uber,Roblox,Apple,Adobe,Oracle,Expedia,Amazon,Dropbox,Facebook,ByteDance,Citadel,Google,Bloomberg,Microsoft,Akuna Capital,IBM,Twitter,Twilio")</f>
        <v>Databricks,Uber,Roblox,Apple,Adobe,Oracle,Expedia,Amazon,Dropbox,Facebook,ByteDance,Citadel,Google,Bloomberg,Microsoft,Akuna Capital,IBM,Twitter,Twilio</v>
      </c>
      <c r="H46" s="47" t="str">
        <f>IFERROR(__xludf.DUMMYFUNCTION("""COMPUTED_VALUE"""),"Wish,Snapchat,VMware,AppDynamics,Zenefits,Databricks,Uber,Roblox,Apple,Adobe,Oracle,Expedia,Amazon,Dropbox,Facebook,ByteDance,Citadel,Google,Bloomberg,Microsoft,Akuna Capital,IBM,Twitter,Twilio")</f>
        <v>Wish,Snapchat,VMware,AppDynamics,Zenefits,Databricks,Uber,Roblox,Apple,Adobe,Oracle,Expedia,Amazon,Dropbox,Facebook,ByteDance,Citadel,Google,Bloomberg,Microsoft,Akuna Capital,IBM,Twitter,Twilio</v>
      </c>
      <c r="I46" s="47">
        <f>IFERROR(__xludf.DUMMYFUNCTION("""COMPUTED_VALUE"""),44.68)</f>
        <v>44.68</v>
      </c>
      <c r="J46" s="47" t="str">
        <f>IFERROR(__xludf.DUMMYFUNCTION("""COMPUTED_VALUE"""),"算法")</f>
        <v>算法</v>
      </c>
      <c r="K46" s="47">
        <v>45.0</v>
      </c>
      <c r="L46" s="6">
        <f>COUNTIF('Coder-1'!B:B,A46)</f>
        <v>0</v>
      </c>
      <c r="M46" s="6">
        <f>COUNTIF('Coder-2'!B:B,A46)</f>
        <v>0</v>
      </c>
      <c r="N46" s="6">
        <f>COUNTIF('Coder-3'!B:B,A46)</f>
        <v>0</v>
      </c>
      <c r="O46" s="6">
        <f>COUNTIF('Coder-4'!B:B,A46)</f>
        <v>0</v>
      </c>
    </row>
    <row r="47">
      <c r="A47" s="83">
        <v>295.0</v>
      </c>
      <c r="B47" s="86" t="str">
        <f>IFERROR(__xludf.DUMMYFUNCTION("IF(ISBLANK(A47),,FILTER('Leetcode List'!B:C,'Leetcode List'!A:A = A47))"),"Find Median from Data Stream")</f>
        <v>Find Median from Data Stream</v>
      </c>
      <c r="C47" s="47" t="str">
        <f>IFERROR(__xludf.DUMMYFUNCTION("""COMPUTED_VALUE"""),"Hard")</f>
        <v>Hard</v>
      </c>
      <c r="D47" s="47" t="s">
        <v>93</v>
      </c>
      <c r="E47" s="87" t="str">
        <f>IFERROR(__xludf.DUMMYFUNCTION("IF(ISBLANK(A47),,FILTER('Leetcode List'!E:J,'Leetcode List'!A:A = A47))"),"Indeed,Twilio,Wish,Citadel,Walmart Labs,Zillow,Nvidia,Netflix,Pinterest,Qualtrics,Atlassian,ByteDance,Salesforce,VMware,Snapchat,Twitter,Expedia,Oracle,EBay,Apple,Uber,Yahoo,Bloomberg,Adobe,Facebook,Amazon,Microsoft,Goldman Sachs,Google")</f>
        <v>Indeed,Twilio,Wish,Citadel,Walmart Labs,Zillow,Nvidia,Netflix,Pinterest,Qualtrics,Atlassian,ByteDance,Salesforce,VMware,Snapchat,Twitter,Expedia,Oracle,EBay,Apple,Uber,Yahoo,Bloomberg,Adobe,Facebook,Amazon,Microsoft,Goldman Sachs,Google</v>
      </c>
      <c r="F47" s="47" t="str">
        <f>IFERROR(__xludf.DUMMYFUNCTION("""COMPUTED_VALUE"""),"Amazon,Facebook,Google,ByteDance,Microsoft,Apple,eBay,Bloomberg,Salesforce,Goldman Sachs,Oracle,VMware,Uber,Walmart Labs,Nvidia,Twilio")</f>
        <v>Amazon,Facebook,Google,ByteDance,Microsoft,Apple,eBay,Bloomberg,Salesforce,Goldman Sachs,Oracle,VMware,Uber,Walmart Labs,Nvidia,Twilio</v>
      </c>
      <c r="G47" s="47" t="str">
        <f>IFERROR(__xludf.DUMMYFUNCTION("""COMPUTED_VALUE"""),"Twitter,Zillow,Amazon,Facebook,Google,ByteDance,Microsoft,Apple,eBay,Bloomberg,Salesforce,Goldman Sachs,Oracle,VMware,Uber,Walmart Labs,Nvidia,Twilio")</f>
        <v>Twitter,Zillow,Amazon,Facebook,Google,ByteDance,Microsoft,Apple,eBay,Bloomberg,Salesforce,Goldman Sachs,Oracle,VMware,Uber,Walmart Labs,Nvidia,Twilio</v>
      </c>
      <c r="H47" s="47" t="str">
        <f>IFERROR(__xludf.DUMMYFUNCTION("""COMPUTED_VALUE"""),"Snapchat,Netflix,Qualtrics,Yahoo,Wish,Atlassian,Indeed,Adobe,Citadel,Twitter,Zillow,Amazon,Facebook,Google,ByteDance,Microsoft,Apple,eBay,Bloomberg,Salesforce,Goldman Sachs,Oracle,VMware,Uber,Walmart Labs,Nvidia,Twilio")</f>
        <v>Snapchat,Netflix,Qualtrics,Yahoo,Wish,Atlassian,Indeed,Adobe,Citadel,Twitter,Zillow,Amazon,Facebook,Google,ByteDance,Microsoft,Apple,eBay,Bloomberg,Salesforce,Goldman Sachs,Oracle,VMware,Uber,Walmart Labs,Nvidia,Twilio</v>
      </c>
      <c r="I47" s="47">
        <f>IFERROR(__xludf.DUMMYFUNCTION("""COMPUTED_VALUE"""),47.17)</f>
        <v>47.17</v>
      </c>
      <c r="J47" s="47" t="str">
        <f>IFERROR(__xludf.DUMMYFUNCTION("""COMPUTED_VALUE"""),"算法")</f>
        <v>算法</v>
      </c>
      <c r="K47" s="47">
        <v>46.0</v>
      </c>
      <c r="L47" s="6">
        <f>COUNTIF('Coder-1'!B:B,A47)</f>
        <v>0</v>
      </c>
      <c r="M47" s="6">
        <f>COUNTIF('Coder-2'!B:B,A47)</f>
        <v>0</v>
      </c>
      <c r="N47" s="6">
        <f>COUNTIF('Coder-3'!B:B,A47)</f>
        <v>0</v>
      </c>
      <c r="O47" s="6">
        <f>COUNTIF('Coder-4'!B:B,A47)</f>
        <v>0</v>
      </c>
    </row>
    <row r="48">
      <c r="A48" s="83">
        <v>53.0</v>
      </c>
      <c r="B48" s="86" t="str">
        <f>IFERROR(__xludf.DUMMYFUNCTION("IF(ISBLANK(A48),,FILTER('Leetcode List'!B:C,'Leetcode List'!A:A = A48))"),"Maximum Subarray")</f>
        <v>Maximum Subarray</v>
      </c>
      <c r="C48" s="47" t="str">
        <f>IFERROR(__xludf.DUMMYFUNCTION("""COMPUTED_VALUE"""),"Easy")</f>
        <v>Easy</v>
      </c>
      <c r="D48" s="47" t="s">
        <v>93</v>
      </c>
      <c r="E48" s="87" t="str">
        <f>IFERROR(__xludf.DUMMYFUNCTION("IF(ISBLANK(A48),,FILTER('Leetcode List'!E:J,'Leetcode List'!A:A = A48))"),"Square,Grab,Tcs,Poshmark,PayTM,Infosys,Splunk,Qualcomm,VMware,Asana,Tesla,Palantir Technologies,Wayfair,Two Sigma,Atlassian,ByteDance,Capital One,Salesforce,Intel,Visa,Citadel,Walmart Labs,JPMorgan,Zillow,Paypal,Expedia,Nvidia,Oracle,IBM,Cisco,EBay,Apple,"&amp;"Uber,Yahoo,SAP,Morgan Stanley,Bloomberg,Adobe,Facebook,Amazon,LinkedIn,Microsoft,Alibaba,Goldman Sachs,Google")</f>
        <v>Square,Grab,Tcs,Poshmark,PayTM,Infosys,Splunk,Qualcomm,VMware,Asana,Tesla,Palantir Technologies,Wayfair,Two Sigma,Atlassian,ByteDance,Capital One,Salesforce,Intel,Visa,Citadel,Walmart Labs,JPMorgan,Zillow,Paypal,Expedia,Nvidia,Oracle,IBM,Cisco,EBay,Apple,Uber,Yahoo,SAP,Morgan Stanley,Bloomberg,Adobe,Facebook,Amazon,LinkedIn,Microsoft,Alibaba,Goldman Sachs,Google</v>
      </c>
      <c r="F48" s="47" t="str">
        <f>IFERROR(__xludf.DUMMYFUNCTION("""COMPUTED_VALUE"""),"Microsoft,Amazon,Apple,LinkedIn,ByteDance,Google,Bloomberg,Adobe,Oracle,JPMorgan,Cisco,Splunk,Facebook,Uber,Goldman Sachs,Paypal,PayTM")</f>
        <v>Microsoft,Amazon,Apple,LinkedIn,ByteDance,Google,Bloomberg,Adobe,Oracle,JPMorgan,Cisco,Splunk,Facebook,Uber,Goldman Sachs,Paypal,PayTM</v>
      </c>
      <c r="G48" s="47" t="str">
        <f>IFERROR(__xludf.DUMMYFUNCTION("""COMPUTED_VALUE"""),"VMware,Morgan Stanley,IBM,Grab,tcs,Microsoft,Amazon,Apple,LinkedIn,ByteDance,Google,Bloomberg,Adobe,Oracle,JPMorgan,Cisco,Splunk,Facebook,Uber,Goldman Sachs,Paypal,PayTM")</f>
        <v>VMware,Morgan Stanley,IBM,Grab,tcs,Microsoft,Amazon,Apple,LinkedIn,ByteDance,Google,Bloomberg,Adobe,Oracle,JPMorgan,Cisco,Splunk,Facebook,Uber,Goldman Sachs,Paypal,PayTM</v>
      </c>
      <c r="H48" s="47" t="str">
        <f>IFERROR(__xludf.DUMMYFUNCTION("""COMPUTED_VALUE"""),"eBay,Zillow,Expedia,Yahoo,Citadel,Capital One,Asana,Atlassian,Walmart Labs,Infosys,Alibaba,Intel,Salesforce,Square,Tesla,Qualcomm,Poshmark,VMware,Morgan Stanley,IBM,Grab,tcs,Microsoft,Amazon,Apple,LinkedIn,ByteDance,Google,Bloomberg,Adobe,Oracle,JPMorgan,"&amp;"Cisco,Splunk,Facebook,Uber,Goldman Sachs,Paypal,PayTM")</f>
        <v>eBay,Zillow,Expedia,Yahoo,Citadel,Capital One,Asana,Atlassian,Walmart Labs,Infosys,Alibaba,Intel,Salesforce,Square,Tesla,Qualcomm,Poshmark,VMware,Morgan Stanley,IBM,Grab,tcs,Microsoft,Amazon,Apple,LinkedIn,ByteDance,Google,Bloomberg,Adobe,Oracle,JPMorgan,Cisco,Splunk,Facebook,Uber,Goldman Sachs,Paypal,PayTM</v>
      </c>
      <c r="I48" s="47">
        <f>IFERROR(__xludf.DUMMYFUNCTION("""COMPUTED_VALUE"""),47.81)</f>
        <v>47.81</v>
      </c>
      <c r="J48" s="47" t="str">
        <f>IFERROR(__xludf.DUMMYFUNCTION("""COMPUTED_VALUE"""),"算法")</f>
        <v>算法</v>
      </c>
      <c r="K48" s="47">
        <v>47.0</v>
      </c>
      <c r="L48" s="6">
        <f>COUNTIF('Coder-1'!B:B,A48)</f>
        <v>0</v>
      </c>
      <c r="M48" s="6">
        <f>COUNTIF('Coder-2'!B:B,A48)</f>
        <v>0</v>
      </c>
      <c r="N48" s="6">
        <f>COUNTIF('Coder-3'!B:B,A48)</f>
        <v>0</v>
      </c>
      <c r="O48" s="6">
        <f>COUNTIF('Coder-4'!B:B,A48)</f>
        <v>0</v>
      </c>
    </row>
    <row r="49">
      <c r="A49" s="83">
        <v>325.0</v>
      </c>
      <c r="B49" s="86" t="str">
        <f>IFERROR(__xludf.DUMMYFUNCTION("IF(ISBLANK(A49),,FILTER('Leetcode List'!B:C,'Leetcode List'!A:A = A49))"),"Maximum Size Subarray Sum Equals k")</f>
        <v>Maximum Size Subarray Sum Equals k</v>
      </c>
      <c r="C49" s="47" t="str">
        <f>IFERROR(__xludf.DUMMYFUNCTION("""COMPUTED_VALUE"""),"Medium")</f>
        <v>Medium</v>
      </c>
      <c r="D49" s="47" t="s">
        <v>93</v>
      </c>
      <c r="E49" s="87" t="str">
        <f>IFERROR(__xludf.DUMMYFUNCTION("IF(ISBLANK(A49),,FILTER('Leetcode List'!E:J,'Leetcode List'!A:A = A49))"),"Palantir Technologies,Facebook,Amazon,Microsoft,Google")</f>
        <v>Palantir Technologies,Facebook,Amazon,Microsoft,Google</v>
      </c>
      <c r="F49" s="47" t="str">
        <f>IFERROR(__xludf.DUMMYFUNCTION("""COMPUTED_VALUE"""),"Facebook,Microsoft")</f>
        <v>Facebook,Microsoft</v>
      </c>
      <c r="G49" s="47" t="str">
        <f>IFERROR(__xludf.DUMMYFUNCTION("""COMPUTED_VALUE"""),"Google,Amazon,Facebook,Microsoft")</f>
        <v>Google,Amazon,Facebook,Microsoft</v>
      </c>
      <c r="H49" s="47" t="str">
        <f>IFERROR(__xludf.DUMMYFUNCTION("""COMPUTED_VALUE"""),"Palantir Technologies,Google,Amazon,Facebook,Microsoft")</f>
        <v>Palantir Technologies,Google,Amazon,Facebook,Microsoft</v>
      </c>
      <c r="I49" s="47">
        <f>IFERROR(__xludf.DUMMYFUNCTION("""COMPUTED_VALUE"""),47.47)</f>
        <v>47.47</v>
      </c>
      <c r="J49" s="47" t="str">
        <f>IFERROR(__xludf.DUMMYFUNCTION("""COMPUTED_VALUE"""),"算法")</f>
        <v>算法</v>
      </c>
      <c r="K49" s="47">
        <v>48.0</v>
      </c>
      <c r="L49" s="6">
        <f>COUNTIF('Coder-1'!B:B,A49)</f>
        <v>0</v>
      </c>
      <c r="M49" s="6">
        <f>COUNTIF('Coder-2'!B:B,A49)</f>
        <v>0</v>
      </c>
      <c r="N49" s="6">
        <f>COUNTIF('Coder-3'!B:B,A49)</f>
        <v>0</v>
      </c>
      <c r="O49" s="6">
        <f>COUNTIF('Coder-4'!B:B,A49)</f>
        <v>0</v>
      </c>
    </row>
    <row r="50">
      <c r="A50" s="46">
        <v>209.0</v>
      </c>
      <c r="B50" s="86" t="str">
        <f>IFERROR(__xludf.DUMMYFUNCTION("IF(ISBLANK(A50),,FILTER('Leetcode List'!B:C,'Leetcode List'!A:A = A50))"),"Minimum Size Subarray Sum")</f>
        <v>Minimum Size Subarray Sum</v>
      </c>
      <c r="C50" s="47" t="str">
        <f>IFERROR(__xludf.DUMMYFUNCTION("""COMPUTED_VALUE"""),"Medium")</f>
        <v>Medium</v>
      </c>
      <c r="D50" s="47" t="s">
        <v>93</v>
      </c>
      <c r="E50" s="87" t="str">
        <f>IFERROR(__xludf.DUMMYFUNCTION("IF(ISBLANK(A50),,FILTER('Leetcode List'!E:J,'Leetcode List'!A:A = A50))"),"Wish,ByteDance,Oracle,Apple,SAP,Bloomberg,Facebook,Amazon,Microsoft,Goldman Sachs,Google")</f>
        <v>Wish,ByteDance,Oracle,Apple,SAP,Bloomberg,Facebook,Amazon,Microsoft,Goldman Sachs,Google</v>
      </c>
      <c r="F50" s="47" t="str">
        <f>IFERROR(__xludf.DUMMYFUNCTION("""COMPUTED_VALUE"""),"Goldman Sachs,Amazon,Facebook,Bloomberg,Microsoft,ByteDance")</f>
        <v>Goldman Sachs,Amazon,Facebook,Bloomberg,Microsoft,ByteDance</v>
      </c>
      <c r="G50" s="47" t="str">
        <f>IFERROR(__xludf.DUMMYFUNCTION("""COMPUTED_VALUE"""),"Google,Goldman Sachs,Amazon,Facebook,Bloomberg,Microsoft,ByteDance")</f>
        <v>Google,Goldman Sachs,Amazon,Facebook,Bloomberg,Microsoft,ByteDance</v>
      </c>
      <c r="H50" s="47" t="str">
        <f>IFERROR(__xludf.DUMMYFUNCTION("""COMPUTED_VALUE"""),"Oracle,Apple,Wish,SAP,Google,Goldman Sachs,Amazon,Facebook,Bloomberg,Microsoft,ByteDance")</f>
        <v>Oracle,Apple,Wish,SAP,Google,Goldman Sachs,Amazon,Facebook,Bloomberg,Microsoft,ByteDance</v>
      </c>
      <c r="I50" s="47">
        <f>IFERROR(__xludf.DUMMYFUNCTION("""COMPUTED_VALUE"""),39.63)</f>
        <v>39.63</v>
      </c>
      <c r="J50" s="47" t="str">
        <f>IFERROR(__xludf.DUMMYFUNCTION("""COMPUTED_VALUE"""),"算法")</f>
        <v>算法</v>
      </c>
      <c r="K50" s="47">
        <v>49.0</v>
      </c>
      <c r="L50" s="6">
        <f>COUNTIF('Coder-1'!B:B,A50)</f>
        <v>0</v>
      </c>
      <c r="M50" s="6">
        <f>COUNTIF('Coder-2'!B:B,A50)</f>
        <v>0</v>
      </c>
      <c r="N50" s="6">
        <f>COUNTIF('Coder-3'!B:B,A50)</f>
        <v>0</v>
      </c>
      <c r="O50" s="6">
        <f>COUNTIF('Coder-4'!B:B,A50)</f>
        <v>0</v>
      </c>
    </row>
    <row r="51">
      <c r="A51" s="83">
        <v>238.0</v>
      </c>
      <c r="B51" s="86" t="str">
        <f>IFERROR(__xludf.DUMMYFUNCTION("IF(ISBLANK(A51),,FILTER('Leetcode List'!B:C,'Leetcode List'!A:A = A51))"),"Product of Array Except Self")</f>
        <v>Product of Array Except Self</v>
      </c>
      <c r="C51" s="47" t="str">
        <f>IFERROR(__xludf.DUMMYFUNCTION("""COMPUTED_VALUE"""),"Medium")</f>
        <v>Medium</v>
      </c>
      <c r="D51" s="47" t="s">
        <v>93</v>
      </c>
      <c r="E51" s="87" t="str">
        <f>IFERROR(__xludf.DUMMYFUNCTION("IF(ISBLANK(A51),,FILTER('Leetcode List'!E:J,'Leetcode List'!A:A = A51))"),"Houzz,PayTM,Citadel,ServiceNow,Expedia,Yandex,Asana,Nutanix,Qualtrics,Evernote,Zenefits,Grab,Splunk,ByteDance,Tableau,Salesforce,Groupon,Intel,Visa,VMware,Walmart Labs,Snapchat,Paypal,Yelp,Oracle,Lyft,EBay,BlackRock,Apple,Uber,Yahoo,SAP,Bloomberg,Adobe,Fa"&amp;"cebook,Amazon,LinkedIn,Microsoft,Goldman Sachs,Google")</f>
        <v>Houzz,PayTM,Citadel,ServiceNow,Expedia,Yandex,Asana,Nutanix,Qualtrics,Evernote,Zenefits,Grab,Splunk,ByteDance,Tableau,Salesforce,Groupon,Intel,Visa,VMware,Walmart Labs,Snapchat,Paypal,Yelp,Oracle,Lyft,EBay,BlackRock,Apple,Uber,Yahoo,SAP,Bloomberg,Adobe,Facebook,Amazon,LinkedIn,Microsoft,Goldman Sachs,Google</v>
      </c>
      <c r="F51" s="47" t="str">
        <f>IFERROR(__xludf.DUMMYFUNCTION("""COMPUTED_VALUE"""),"Facebook,Amazon,Apple,Lyft,Asana,Microsoft,Uber,Adobe,VMware,Bloomberg,Oracle")</f>
        <v>Facebook,Amazon,Apple,Lyft,Asana,Microsoft,Uber,Adobe,VMware,Bloomberg,Oracle</v>
      </c>
      <c r="G51" s="47" t="str">
        <f>IFERROR(__xludf.DUMMYFUNCTION("""COMPUTED_VALUE"""),"Google,Goldman Sachs,Nutanix,eBay,Paypal,ServiceNow,ByteDance,Qualtrics,Citadel,Yandex,PayTM,Facebook,Amazon,Apple,Lyft,Asana,Microsoft,Uber,Adobe,VMware,Bloomberg,Oracle")</f>
        <v>Google,Goldman Sachs,Nutanix,eBay,Paypal,ServiceNow,ByteDance,Qualtrics,Citadel,Yandex,PayTM,Facebook,Amazon,Apple,Lyft,Asana,Microsoft,Uber,Adobe,VMware,Bloomberg,Oracle</v>
      </c>
      <c r="H51" s="47" t="str">
        <f>IFERROR(__xludf.DUMMYFUNCTION("""COMPUTED_VALUE"""),"Tableau,Yahoo,Splunk,BlackRock,Expedia,Snapchat,Groupon,Visa,Walmart Labs,Intel,Evernote,SAP,Salesforce,Houzz,LinkedIn,Google,Goldman Sachs,Nutanix,eBay,Paypal,ServiceNow,ByteDance,Qualtrics,Citadel,Yandex,PayTM,Facebook,Amazon,Apple,Lyft,Asana,Microsoft,"&amp;"Uber,Adobe,VMware,Bloomberg,Oracle")</f>
        <v>Tableau,Yahoo,Splunk,BlackRock,Expedia,Snapchat,Groupon,Visa,Walmart Labs,Intel,Evernote,SAP,Salesforce,Houzz,LinkedIn,Google,Goldman Sachs,Nutanix,eBay,Paypal,ServiceNow,ByteDance,Qualtrics,Citadel,Yandex,PayTM,Facebook,Amazon,Apple,Lyft,Asana,Microsoft,Uber,Adobe,VMware,Bloomberg,Oracle</v>
      </c>
      <c r="I51" s="47">
        <f>IFERROR(__xludf.DUMMYFUNCTION("""COMPUTED_VALUE"""),61.45)</f>
        <v>61.45</v>
      </c>
      <c r="J51" s="47" t="str">
        <f>IFERROR(__xludf.DUMMYFUNCTION("""COMPUTED_VALUE"""),"算法")</f>
        <v>算法</v>
      </c>
      <c r="K51" s="47">
        <v>50.0</v>
      </c>
      <c r="L51" s="6">
        <f>COUNTIF('Coder-1'!B:B,A51)</f>
        <v>0</v>
      </c>
      <c r="M51" s="6">
        <f>COUNTIF('Coder-2'!B:B,A51)</f>
        <v>0</v>
      </c>
      <c r="N51" s="6">
        <f>COUNTIF('Coder-3'!B:B,A51)</f>
        <v>0</v>
      </c>
      <c r="O51" s="6">
        <f>COUNTIF('Coder-4'!B:B,A51)</f>
        <v>0</v>
      </c>
    </row>
    <row r="52">
      <c r="A52" s="83">
        <v>152.0</v>
      </c>
      <c r="B52" s="86" t="str">
        <f>IFERROR(__xludf.DUMMYFUNCTION("IF(ISBLANK(A52),,FILTER('Leetcode List'!B:C,'Leetcode List'!A:A = A52))"),"Maximum Product Subarray")</f>
        <v>Maximum Product Subarray</v>
      </c>
      <c r="C52" s="47" t="str">
        <f>IFERROR(__xludf.DUMMYFUNCTION("""COMPUTED_VALUE"""),"Medium")</f>
        <v>Medium</v>
      </c>
      <c r="D52" s="47" t="s">
        <v>93</v>
      </c>
      <c r="E52" s="87" t="str">
        <f>IFERROR(__xludf.DUMMYFUNCTION("IF(ISBLANK(A52),,FILTER('Leetcode List'!E:J,'Leetcode List'!A:A = A52))"),"Apple,Akuna Capital,ByteDance,Oracle,Uber,Bloomberg,Adobe,Facebook,Amazon,LinkedIn,Microsoft,Alibaba,Google")</f>
        <v>Apple,Akuna Capital,ByteDance,Oracle,Uber,Bloomberg,Adobe,Facebook,Amazon,LinkedIn,Microsoft,Alibaba,Google</v>
      </c>
      <c r="F52" s="47" t="str">
        <f>IFERROR(__xludf.DUMMYFUNCTION("""COMPUTED_VALUE"""),"LinkedIn,Amazon,Google,Apple,Facebook,Bloomberg,Akuna Capital")</f>
        <v>LinkedIn,Amazon,Google,Apple,Facebook,Bloomberg,Akuna Capital</v>
      </c>
      <c r="G52" s="47" t="str">
        <f>IFERROR(__xludf.DUMMYFUNCTION("""COMPUTED_VALUE"""),"Microsoft,Adobe,ByteDance,Uber,LinkedIn,Amazon,Google,Apple,Facebook,Bloomberg,Akuna Capital")</f>
        <v>Microsoft,Adobe,ByteDance,Uber,LinkedIn,Amazon,Google,Apple,Facebook,Bloomberg,Akuna Capital</v>
      </c>
      <c r="H52" s="47" t="str">
        <f>IFERROR(__xludf.DUMMYFUNCTION("""COMPUTED_VALUE"""),"Alibaba,Oracle,Microsoft,Adobe,ByteDance,Uber,LinkedIn,Amazon,Google,Apple,Facebook,Bloomberg,Akuna Capital")</f>
        <v>Alibaba,Oracle,Microsoft,Adobe,ByteDance,Uber,LinkedIn,Amazon,Google,Apple,Facebook,Bloomberg,Akuna Capital</v>
      </c>
      <c r="I52" s="47">
        <f>IFERROR(__xludf.DUMMYFUNCTION("""COMPUTED_VALUE"""),32.82)</f>
        <v>32.82</v>
      </c>
      <c r="J52" s="47" t="str">
        <f>IFERROR(__xludf.DUMMYFUNCTION("""COMPUTED_VALUE"""),"算法")</f>
        <v>算法</v>
      </c>
      <c r="K52" s="47">
        <v>51.0</v>
      </c>
      <c r="L52" s="6">
        <f>COUNTIF('Coder-1'!B:B,A52)</f>
        <v>0</v>
      </c>
      <c r="M52" s="6">
        <f>COUNTIF('Coder-2'!B:B,A52)</f>
        <v>0</v>
      </c>
      <c r="N52" s="6">
        <f>COUNTIF('Coder-3'!B:B,A52)</f>
        <v>0</v>
      </c>
      <c r="O52" s="6">
        <f>COUNTIF('Coder-4'!B:B,A52)</f>
        <v>0</v>
      </c>
    </row>
    <row r="53">
      <c r="A53" s="83">
        <v>228.0</v>
      </c>
      <c r="B53" s="86" t="str">
        <f>IFERROR(__xludf.DUMMYFUNCTION("IF(ISBLANK(A53),,FILTER('Leetcode List'!B:C,'Leetcode List'!A:A = A53))"),"Summary Ranges")</f>
        <v>Summary Ranges</v>
      </c>
      <c r="C53" s="47" t="str">
        <f>IFERROR(__xludf.DUMMYFUNCTION("""COMPUTED_VALUE"""),"Easy")</f>
        <v>Easy</v>
      </c>
      <c r="D53" s="47" t="s">
        <v>93</v>
      </c>
      <c r="E53" s="87" t="str">
        <f>IFERROR(__xludf.DUMMYFUNCTION("IF(ISBLANK(A53),,FILTER('Leetcode List'!E:J,'Leetcode List'!A:A = A53))"),"Qualtrics,Capital One,Indeed,Yandex,Uber,Bloomberg,Facebook,Amazon,Microsoft,Google")</f>
        <v>Qualtrics,Capital One,Indeed,Yandex,Uber,Bloomberg,Facebook,Amazon,Microsoft,Google</v>
      </c>
      <c r="F53" s="47" t="str">
        <f>IFERROR(__xludf.DUMMYFUNCTION("""COMPUTED_VALUE"""),"Yandex,Facebook,Bloomberg,Qualtrics")</f>
        <v>Yandex,Facebook,Bloomberg,Qualtrics</v>
      </c>
      <c r="G53" s="47" t="str">
        <f>IFERROR(__xludf.DUMMYFUNCTION("""COMPUTED_VALUE"""),"Capital One,Yandex,Facebook,Bloomberg,Qualtrics")</f>
        <v>Capital One,Yandex,Facebook,Bloomberg,Qualtrics</v>
      </c>
      <c r="H53" s="47" t="str">
        <f>IFERROR(__xludf.DUMMYFUNCTION("""COMPUTED_VALUE"""),"Amazon,Google,Microsoft,Indeed,Uber,Capital One,Yandex,Facebook,Bloomberg,Qualtrics")</f>
        <v>Amazon,Google,Microsoft,Indeed,Uber,Capital One,Yandex,Facebook,Bloomberg,Qualtrics</v>
      </c>
      <c r="I53" s="47">
        <f>IFERROR(__xludf.DUMMYFUNCTION("""COMPUTED_VALUE"""),42.55)</f>
        <v>42.55</v>
      </c>
      <c r="J53" s="47" t="str">
        <f>IFERROR(__xludf.DUMMYFUNCTION("""COMPUTED_VALUE"""),"算法")</f>
        <v>算法</v>
      </c>
      <c r="K53" s="47">
        <v>52.0</v>
      </c>
      <c r="L53" s="6">
        <f>COUNTIF('Coder-1'!B:B,A53)</f>
        <v>0</v>
      </c>
      <c r="M53" s="6">
        <f>COUNTIF('Coder-2'!B:B,A53)</f>
        <v>0</v>
      </c>
      <c r="N53" s="6">
        <f>COUNTIF('Coder-3'!B:B,A53)</f>
        <v>0</v>
      </c>
      <c r="O53" s="6">
        <f>COUNTIF('Coder-4'!B:B,A53)</f>
        <v>0</v>
      </c>
    </row>
    <row r="54">
      <c r="A54" s="83">
        <v>163.0</v>
      </c>
      <c r="B54" s="86" t="str">
        <f>IFERROR(__xludf.DUMMYFUNCTION("IF(ISBLANK(A54),,FILTER('Leetcode List'!B:C,'Leetcode List'!A:A = A54))"),"Missing Ranges")</f>
        <v>Missing Ranges</v>
      </c>
      <c r="C54" s="47" t="str">
        <f>IFERROR(__xludf.DUMMYFUNCTION("""COMPUTED_VALUE"""),"Easy")</f>
        <v>Easy</v>
      </c>
      <c r="D54" s="47" t="s">
        <v>93</v>
      </c>
      <c r="E54" s="87" t="str">
        <f>IFERROR(__xludf.DUMMYFUNCTION("IF(ISBLANK(A54),,FILTER('Leetcode List'!E:J,'Leetcode List'!A:A = A54))"),"Coupang,Oracle,Facebook,Amazon,Google")</f>
        <v>Coupang,Oracle,Facebook,Amazon,Google</v>
      </c>
      <c r="F54" s="47" t="str">
        <f>IFERROR(__xludf.DUMMYFUNCTION("""COMPUTED_VALUE"""),"Facebook,Google,Amazon,Coupang")</f>
        <v>Facebook,Google,Amazon,Coupang</v>
      </c>
      <c r="G54" s="47" t="str">
        <f>IFERROR(__xludf.DUMMYFUNCTION("""COMPUTED_VALUE"""),"Facebook,Google,Amazon,Coupang")</f>
        <v>Facebook,Google,Amazon,Coupang</v>
      </c>
      <c r="H54" s="47" t="str">
        <f>IFERROR(__xludf.DUMMYFUNCTION("""COMPUTED_VALUE"""),"Facebook,Google,Amazon,Coupang")</f>
        <v>Facebook,Google,Amazon,Coupang</v>
      </c>
      <c r="I54" s="47">
        <f>IFERROR(__xludf.DUMMYFUNCTION("""COMPUTED_VALUE"""),27.13)</f>
        <v>27.13</v>
      </c>
      <c r="J54" s="47" t="str">
        <f>IFERROR(__xludf.DUMMYFUNCTION("""COMPUTED_VALUE"""),"算法")</f>
        <v>算法</v>
      </c>
      <c r="K54" s="47">
        <v>53.0</v>
      </c>
      <c r="L54" s="6">
        <f>COUNTIF('Coder-1'!B:B,A54)</f>
        <v>0</v>
      </c>
      <c r="M54" s="6">
        <f>COUNTIF('Coder-2'!B:B,A54)</f>
        <v>0</v>
      </c>
      <c r="N54" s="6">
        <f>COUNTIF('Coder-3'!B:B,A54)</f>
        <v>0</v>
      </c>
      <c r="O54" s="6">
        <f>COUNTIF('Coder-4'!B:B,A54)</f>
        <v>0</v>
      </c>
    </row>
    <row r="55">
      <c r="A55" s="83">
        <v>88.0</v>
      </c>
      <c r="B55" s="86" t="str">
        <f>IFERROR(__xludf.DUMMYFUNCTION("IF(ISBLANK(A55),,FILTER('Leetcode List'!B:C,'Leetcode List'!A:A = A55))"),"Merge Sorted Array")</f>
        <v>Merge Sorted Array</v>
      </c>
      <c r="C55" s="47" t="str">
        <f>IFERROR(__xludf.DUMMYFUNCTION("""COMPUTED_VALUE"""),"Easy")</f>
        <v>Easy</v>
      </c>
      <c r="D55" s="47" t="s">
        <v>93</v>
      </c>
      <c r="E55" s="87" t="str">
        <f>IFERROR(__xludf.DUMMYFUNCTION("IF(ISBLANK(A55),,FILTER('Leetcode List'!E:J,'Leetcode List'!A:A = A55))"),"Wish,Walmart Labs,Netflix,Quip (Salesforce),ByteDance,Tableau,Intel,VMware,Indeed,Expedia,Oracle,IBM,Lyft,Cisco,Yandex,EBay,Baidu,Apple,Uber,Yahoo,Bloomberg,Adobe,Facebook,Amazon,LinkedIn,Microsoft,Goldman Sachs,Google")</f>
        <v>Wish,Walmart Labs,Netflix,Quip (Salesforce),ByteDance,Tableau,Intel,VMware,Indeed,Expedia,Oracle,IBM,Lyft,Cisco,Yandex,EBay,Baidu,Apple,Uber,Yahoo,Bloomberg,Adobe,Facebook,Amazon,LinkedIn,Microsoft,Goldman Sachs,Google</v>
      </c>
      <c r="F55" s="47" t="str">
        <f>IFERROR(__xludf.DUMMYFUNCTION("""COMPUTED_VALUE"""),"Facebook,Microsoft,Amazon,IBM,Bloomberg,Walmart Labs,Oracle,Apple,LinkedIn,Goldman Sachs,Yandex,Wish")</f>
        <v>Facebook,Microsoft,Amazon,IBM,Bloomberg,Walmart Labs,Oracle,Apple,LinkedIn,Goldman Sachs,Yandex,Wish</v>
      </c>
      <c r="G55" s="47" t="str">
        <f>IFERROR(__xludf.DUMMYFUNCTION("""COMPUTED_VALUE"""),"Adobe,ByteDance,Google,Lyft,Facebook,Microsoft,Amazon,IBM,Bloomberg,Walmart Labs,Oracle,Apple,LinkedIn,Goldman Sachs,Yandex,Wish")</f>
        <v>Adobe,ByteDance,Google,Lyft,Facebook,Microsoft,Amazon,IBM,Bloomberg,Walmart Labs,Oracle,Apple,LinkedIn,Goldman Sachs,Yandex,Wish</v>
      </c>
      <c r="H55" s="47" t="str">
        <f>IFERROR(__xludf.DUMMYFUNCTION("""COMPUTED_VALUE"""),"Cisco,Yahoo,Uber,VMware,eBay,Expedia,Adobe,ByteDance,Google,Lyft,Facebook,Microsoft,Amazon,IBM,Bloomberg,Walmart Labs,Oracle,Apple,LinkedIn,Goldman Sachs,Yandex,Wish")</f>
        <v>Cisco,Yahoo,Uber,VMware,eBay,Expedia,Adobe,ByteDance,Google,Lyft,Facebook,Microsoft,Amazon,IBM,Bloomberg,Walmart Labs,Oracle,Apple,LinkedIn,Goldman Sachs,Yandex,Wish</v>
      </c>
      <c r="I55" s="47">
        <f>IFERROR(__xludf.DUMMYFUNCTION("""COMPUTED_VALUE"""),40.79)</f>
        <v>40.79</v>
      </c>
      <c r="J55" s="47" t="str">
        <f>IFERROR(__xludf.DUMMYFUNCTION("""COMPUTED_VALUE"""),"算法")</f>
        <v>算法</v>
      </c>
      <c r="K55" s="47">
        <v>54.0</v>
      </c>
      <c r="L55" s="6">
        <f>COUNTIF('Coder-1'!B:B,A55)</f>
        <v>0</v>
      </c>
      <c r="M55" s="6">
        <f>COUNTIF('Coder-2'!B:B,A55)</f>
        <v>0</v>
      </c>
      <c r="N55" s="6">
        <f>COUNTIF('Coder-3'!B:B,A55)</f>
        <v>0</v>
      </c>
      <c r="O55" s="6">
        <f>COUNTIF('Coder-4'!B:B,A55)</f>
        <v>0</v>
      </c>
    </row>
    <row r="56">
      <c r="A56" s="83">
        <v>75.0</v>
      </c>
      <c r="B56" s="86" t="str">
        <f>IFERROR(__xludf.DUMMYFUNCTION("IF(ISBLANK(A56),,FILTER('Leetcode List'!B:C,'Leetcode List'!A:A = A56))"),"Sort Colors")</f>
        <v>Sort Colors</v>
      </c>
      <c r="C56" s="47" t="str">
        <f>IFERROR(__xludf.DUMMYFUNCTION("""COMPUTED_VALUE"""),"Medium")</f>
        <v>Medium</v>
      </c>
      <c r="D56" s="47" t="s">
        <v>93</v>
      </c>
      <c r="E56" s="87" t="str">
        <f>IFERROR(__xludf.DUMMYFUNCTION("IF(ISBLANK(A56),,FILTER('Leetcode List'!E:J,'Leetcode List'!A:A = A56))"),"VMware,Expedia,Nvidia,Spotify,Adobe,Goldman Sachs,Pocket Gems,Pure Storage,Walmart Labs,Paypal,Oracle,EBay,Apple,Uber,Yahoo,Bloomberg,Facebook,Amazon,LinkedIn,Microsoft,Google")</f>
        <v>VMware,Expedia,Nvidia,Spotify,Adobe,Goldman Sachs,Pocket Gems,Pure Storage,Walmart Labs,Paypal,Oracle,EBay,Apple,Uber,Yahoo,Bloomberg,Facebook,Amazon,LinkedIn,Microsoft,Google</v>
      </c>
      <c r="F56" s="47" t="str">
        <f>IFERROR(__xludf.DUMMYFUNCTION("""COMPUTED_VALUE"""),"Microsoft,Oracle,Amazon,Facebook,Adobe,eBay,Nvidia,Expedia,Spotify")</f>
        <v>Microsoft,Oracle,Amazon,Facebook,Adobe,eBay,Nvidia,Expedia,Spotify</v>
      </c>
      <c r="G56" s="47" t="str">
        <f>IFERROR(__xludf.DUMMYFUNCTION("""COMPUTED_VALUE"""),"Apple,Pure Storage,Goldman Sachs,Microsoft,Oracle,Amazon,Facebook,Adobe,eBay,Nvidia,Expedia,Spotify")</f>
        <v>Apple,Pure Storage,Goldman Sachs,Microsoft,Oracle,Amazon,Facebook,Adobe,eBay,Nvidia,Expedia,Spotify</v>
      </c>
      <c r="H56" s="47" t="str">
        <f>IFERROR(__xludf.DUMMYFUNCTION("""COMPUTED_VALUE"""),"LinkedIn,Uber,Google,Yahoo,Bloomberg,VMware,Paypal,Pocket Gems,Apple,Pure Storage,Goldman Sachs,Microsoft,Oracle,Amazon,Facebook,Adobe,eBay,Nvidia,Expedia,Spotify")</f>
        <v>LinkedIn,Uber,Google,Yahoo,Bloomberg,VMware,Paypal,Pocket Gems,Apple,Pure Storage,Goldman Sachs,Microsoft,Oracle,Amazon,Facebook,Adobe,eBay,Nvidia,Expedia,Spotify</v>
      </c>
      <c r="I56" s="47">
        <f>IFERROR(__xludf.DUMMYFUNCTION("""COMPUTED_VALUE"""),49.6)</f>
        <v>49.6</v>
      </c>
      <c r="J56" s="47" t="str">
        <f>IFERROR(__xludf.DUMMYFUNCTION("""COMPUTED_VALUE"""),"算法")</f>
        <v>算法</v>
      </c>
      <c r="K56" s="47">
        <v>55.0</v>
      </c>
      <c r="L56" s="6">
        <f>COUNTIF('Coder-1'!B:B,A56)</f>
        <v>0</v>
      </c>
      <c r="M56" s="6">
        <f>COUNTIF('Coder-2'!B:B,A56)</f>
        <v>0</v>
      </c>
      <c r="N56" s="6">
        <f>COUNTIF('Coder-3'!B:B,A56)</f>
        <v>0</v>
      </c>
      <c r="O56" s="6">
        <f>COUNTIF('Coder-4'!B:B,A56)</f>
        <v>0</v>
      </c>
    </row>
    <row r="57">
      <c r="A57" s="83">
        <v>283.0</v>
      </c>
      <c r="B57" s="86" t="str">
        <f>IFERROR(__xludf.DUMMYFUNCTION("IF(ISBLANK(A57),,FILTER('Leetcode List'!B:C,'Leetcode List'!A:A = A57))"),"Move Zeroes")</f>
        <v>Move Zeroes</v>
      </c>
      <c r="C57" s="47" t="str">
        <f>IFERROR(__xludf.DUMMYFUNCTION("""COMPUTED_VALUE"""),"Easy")</f>
        <v>Easy</v>
      </c>
      <c r="D57" s="47" t="s">
        <v>93</v>
      </c>
      <c r="E57" s="87" t="str">
        <f>IFERROR(__xludf.DUMMYFUNCTION("IF(ISBLANK(A57),,FILTER('Leetcode List'!E:J,'Leetcode List'!A:A = A57))"),"Tesla,Capital One,Splunk,ByteDance,ServiceNow,IBM,Cisco,Cohesity,Nutanix,Dell,Qualcomm,Walmart Labs,Zillow,Paypal,Oracle,Lyft,Yandex,EBay,Apple,Uber,Yahoo,SAP,Bloomberg,Adobe,Facebook,Amazon,Microsoft,Goldman Sachs,Google")</f>
        <v>Tesla,Capital One,Splunk,ByteDance,ServiceNow,IBM,Cisco,Cohesity,Nutanix,Dell,Qualcomm,Walmart Labs,Zillow,Paypal,Oracle,Lyft,Yandex,EBay,Apple,Uber,Yahoo,SAP,Bloomberg,Adobe,Facebook,Amazon,Microsoft,Goldman Sachs,Google</v>
      </c>
      <c r="F57" s="47" t="str">
        <f>IFERROR(__xludf.DUMMYFUNCTION("""COMPUTED_VALUE"""),"Facebook,Bloomberg,Capital One,Microsoft,Apple,Adobe,Amazon,eBay,SAP,Uber,Cisco,Oracle,Qualcomm,Yandex")</f>
        <v>Facebook,Bloomberg,Capital One,Microsoft,Apple,Adobe,Amazon,eBay,SAP,Uber,Cisco,Oracle,Qualcomm,Yandex</v>
      </c>
      <c r="G57" s="47" t="str">
        <f>IFERROR(__xludf.DUMMYFUNCTION("""COMPUTED_VALUE"""),"Google,Walmart Labs,ByteDance,IBM,Paypal,Goldman Sachs,Tesla,Facebook,Bloomberg,Capital One,Microsoft,Apple,Adobe,Amazon,eBay,SAP,Uber,Cisco,Oracle,Qualcomm,Yandex")</f>
        <v>Google,Walmart Labs,ByteDance,IBM,Paypal,Goldman Sachs,Tesla,Facebook,Bloomberg,Capital One,Microsoft,Apple,Adobe,Amazon,eBay,SAP,Uber,Cisco,Oracle,Qualcomm,Yandex</v>
      </c>
      <c r="H57" s="47" t="str">
        <f>IFERROR(__xludf.DUMMYFUNCTION("""COMPUTED_VALUE"""),"Yahoo,Zillow,Nutanix,ServiceNow,Dell,Splunk,Google,Walmart Labs,ByteDance,IBM,Paypal,Goldman Sachs,Tesla,Facebook,Bloomberg,Capital One,Microsoft,Apple,Adobe,Amazon,eBay,SAP,Uber,Cisco,Oracle,Qualcomm,Yandex")</f>
        <v>Yahoo,Zillow,Nutanix,ServiceNow,Dell,Splunk,Google,Walmart Labs,ByteDance,IBM,Paypal,Goldman Sachs,Tesla,Facebook,Bloomberg,Capital One,Microsoft,Apple,Adobe,Amazon,eBay,SAP,Uber,Cisco,Oracle,Qualcomm,Yandex</v>
      </c>
      <c r="I57" s="47">
        <f>IFERROR(__xludf.DUMMYFUNCTION("""COMPUTED_VALUE"""),58.62)</f>
        <v>58.62</v>
      </c>
      <c r="J57" s="47" t="str">
        <f>IFERROR(__xludf.DUMMYFUNCTION("""COMPUTED_VALUE"""),"算法")</f>
        <v>算法</v>
      </c>
      <c r="K57" s="47">
        <v>56.0</v>
      </c>
      <c r="L57" s="6">
        <f>COUNTIF('Coder-1'!B:B,A57)</f>
        <v>0</v>
      </c>
      <c r="M57" s="6">
        <f>COUNTIF('Coder-2'!B:B,A57)</f>
        <v>0</v>
      </c>
      <c r="N57" s="6">
        <f>COUNTIF('Coder-3'!B:B,A57)</f>
        <v>0</v>
      </c>
      <c r="O57" s="6">
        <f>COUNTIF('Coder-4'!B:B,A57)</f>
        <v>0</v>
      </c>
    </row>
    <row r="58">
      <c r="A58" s="83">
        <v>376.0</v>
      </c>
      <c r="B58" s="86" t="str">
        <f>IFERROR(__xludf.DUMMYFUNCTION("IF(ISBLANK(A58),,FILTER('Leetcode List'!B:C,'Leetcode List'!A:A = A58))"),"Wiggle Subsequence")</f>
        <v>Wiggle Subsequence</v>
      </c>
      <c r="C58" s="47" t="str">
        <f>IFERROR(__xludf.DUMMYFUNCTION("""COMPUTED_VALUE"""),"Medium")</f>
        <v>Medium</v>
      </c>
      <c r="D58" s="47" t="s">
        <v>93</v>
      </c>
      <c r="E58" s="87" t="str">
        <f>IFERROR(__xludf.DUMMYFUNCTION("IF(ISBLANK(A58),,FILTER('Leetcode List'!E:J,'Leetcode List'!A:A = A58))"),"Facebook,Microsoft,Uber,Amazon")</f>
        <v>Facebook,Microsoft,Uber,Amazon</v>
      </c>
      <c r="F58" s="47"/>
      <c r="G58" s="47" t="str">
        <f>IFERROR(__xludf.DUMMYFUNCTION("""COMPUTED_VALUE"""),"Microsoft")</f>
        <v>Microsoft</v>
      </c>
      <c r="H58" s="47" t="str">
        <f>IFERROR(__xludf.DUMMYFUNCTION("""COMPUTED_VALUE"""),"Amazon,Uber,Facebook,Microsoft")</f>
        <v>Amazon,Uber,Facebook,Microsoft</v>
      </c>
      <c r="I58" s="47">
        <f>IFERROR(__xludf.DUMMYFUNCTION("""COMPUTED_VALUE"""),42.11)</f>
        <v>42.11</v>
      </c>
      <c r="J58" s="47" t="str">
        <f>IFERROR(__xludf.DUMMYFUNCTION("""COMPUTED_VALUE"""),"算法")</f>
        <v>算法</v>
      </c>
      <c r="K58" s="47">
        <v>57.0</v>
      </c>
      <c r="L58" s="6">
        <f>COUNTIF('Coder-1'!B:B,A58)</f>
        <v>0</v>
      </c>
      <c r="M58" s="6">
        <f>COUNTIF('Coder-2'!B:B,A58)</f>
        <v>0</v>
      </c>
      <c r="N58" s="6">
        <f>COUNTIF('Coder-3'!B:B,A58)</f>
        <v>0</v>
      </c>
      <c r="O58" s="6">
        <f>COUNTIF('Coder-4'!B:B,A58)</f>
        <v>0</v>
      </c>
    </row>
    <row r="59">
      <c r="A59" s="83">
        <v>280.0</v>
      </c>
      <c r="B59" s="86" t="str">
        <f>IFERROR(__xludf.DUMMYFUNCTION("IF(ISBLANK(A59),,FILTER('Leetcode List'!B:C,'Leetcode List'!A:A = A59))"),"Wiggle Sort")</f>
        <v>Wiggle Sort</v>
      </c>
      <c r="C59" s="47" t="str">
        <f>IFERROR(__xludf.DUMMYFUNCTION("""COMPUTED_VALUE"""),"Medium")</f>
        <v>Medium</v>
      </c>
      <c r="D59" s="47" t="s">
        <v>93</v>
      </c>
      <c r="E59" s="87" t="str">
        <f>IFERROR(__xludf.DUMMYFUNCTION("IF(ISBLANK(A59),,FILTER('Leetcode List'!E:J,'Leetcode List'!A:A = A59))"),"Airbnb,Facebook,Amazon,Microsoft,Google")</f>
        <v>Airbnb,Facebook,Amazon,Microsoft,Google</v>
      </c>
      <c r="F59" s="47"/>
      <c r="G59" s="47" t="str">
        <f>IFERROR(__xludf.DUMMYFUNCTION("""COMPUTED_VALUE"""),"Google,Facebook")</f>
        <v>Google,Facebook</v>
      </c>
      <c r="H59" s="47" t="str">
        <f>IFERROR(__xludf.DUMMYFUNCTION("""COMPUTED_VALUE"""),"Airbnb,Amazon,Google,Facebook")</f>
        <v>Airbnb,Amazon,Google,Facebook</v>
      </c>
      <c r="I59" s="47">
        <f>IFERROR(__xludf.DUMMYFUNCTION("""COMPUTED_VALUE"""),64.72)</f>
        <v>64.72</v>
      </c>
      <c r="J59" s="47" t="str">
        <f>IFERROR(__xludf.DUMMYFUNCTION("""COMPUTED_VALUE"""),"算法")</f>
        <v>算法</v>
      </c>
      <c r="K59" s="47">
        <v>58.0</v>
      </c>
      <c r="L59" s="6">
        <f>COUNTIF('Coder-1'!B:B,A59)</f>
        <v>0</v>
      </c>
      <c r="M59" s="6">
        <f>COUNTIF('Coder-2'!B:B,A59)</f>
        <v>0</v>
      </c>
      <c r="N59" s="6">
        <f>COUNTIF('Coder-3'!B:B,A59)</f>
        <v>0</v>
      </c>
      <c r="O59" s="6">
        <f>COUNTIF('Coder-4'!B:B,A59)</f>
        <v>0</v>
      </c>
    </row>
    <row r="60">
      <c r="A60" s="83">
        <v>324.0</v>
      </c>
      <c r="B60" s="86" t="str">
        <f>IFERROR(__xludf.DUMMYFUNCTION("IF(ISBLANK(A60),,FILTER('Leetcode List'!B:C,'Leetcode List'!A:A = A60))"),"Wiggle Sort II")</f>
        <v>Wiggle Sort II</v>
      </c>
      <c r="C60" s="47" t="str">
        <f>IFERROR(__xludf.DUMMYFUNCTION("""COMPUTED_VALUE"""),"Medium")</f>
        <v>Medium</v>
      </c>
      <c r="D60" s="47" t="s">
        <v>93</v>
      </c>
      <c r="E60" s="87" t="str">
        <f>IFERROR(__xludf.DUMMYFUNCTION("IF(ISBLANK(A60),,FILTER('Leetcode List'!E:J,'Leetcode List'!A:A = A60))"),"Paypal,Amazon,Akuna Capital,Airbnb,Facebook,Google")</f>
        <v>Paypal,Amazon,Akuna Capital,Airbnb,Facebook,Google</v>
      </c>
      <c r="F60" s="47"/>
      <c r="G60" s="47" t="str">
        <f>IFERROR(__xludf.DUMMYFUNCTION("""COMPUTED_VALUE"""),"Paypal")</f>
        <v>Paypal</v>
      </c>
      <c r="H60" s="47" t="str">
        <f>IFERROR(__xludf.DUMMYFUNCTION("""COMPUTED_VALUE"""),"Airbnb,Facebook,Amazon,Google,Paypal")</f>
        <v>Airbnb,Facebook,Amazon,Google,Paypal</v>
      </c>
      <c r="I60" s="47">
        <f>IFERROR(__xludf.DUMMYFUNCTION("""COMPUTED_VALUE"""),30.75)</f>
        <v>30.75</v>
      </c>
      <c r="J60" s="47" t="str">
        <f>IFERROR(__xludf.DUMMYFUNCTION("""COMPUTED_VALUE"""),"算法")</f>
        <v>算法</v>
      </c>
      <c r="K60" s="47">
        <v>59.0</v>
      </c>
      <c r="L60" s="6">
        <f>COUNTIF('Coder-1'!B:B,A60)</f>
        <v>0</v>
      </c>
      <c r="M60" s="6">
        <f>COUNTIF('Coder-2'!B:B,A60)</f>
        <v>0</v>
      </c>
      <c r="N60" s="6">
        <f>COUNTIF('Coder-3'!B:B,A60)</f>
        <v>0</v>
      </c>
      <c r="O60" s="6">
        <f>COUNTIF('Coder-4'!B:B,A60)</f>
        <v>0</v>
      </c>
    </row>
    <row r="61">
      <c r="A61" s="83">
        <v>278.0</v>
      </c>
      <c r="B61" s="86" t="str">
        <f>IFERROR(__xludf.DUMMYFUNCTION("IF(ISBLANK(A61),,FILTER('Leetcode List'!B:C,'Leetcode List'!A:A = A61))"),"First Bad Version")</f>
        <v>First Bad Version</v>
      </c>
      <c r="C61" s="47" t="str">
        <f>IFERROR(__xludf.DUMMYFUNCTION("""COMPUTED_VALUE"""),"Easy")</f>
        <v>Easy</v>
      </c>
      <c r="D61" s="47" t="s">
        <v>93</v>
      </c>
      <c r="E61" s="87" t="str">
        <f>IFERROR(__xludf.DUMMYFUNCTION("IF(ISBLANK(A61),,FILTER('Leetcode List'!E:J,'Leetcode List'!A:A = A61))"),"Salesforce,Cisco,EBay,Uber,Bloomberg,Adobe,Facebook,Amazon,Microsoft,Google")</f>
        <v>Salesforce,Cisco,EBay,Uber,Bloomberg,Adobe,Facebook,Amazon,Microsoft,Google</v>
      </c>
      <c r="F61" s="47" t="str">
        <f>IFERROR(__xludf.DUMMYFUNCTION("""COMPUTED_VALUE"""),"Facebook")</f>
        <v>Facebook</v>
      </c>
      <c r="G61" s="47" t="str">
        <f>IFERROR(__xludf.DUMMYFUNCTION("""COMPUTED_VALUE"""),"Google,eBay,Amazon,Adobe,Salesforce,Cisco,Facebook")</f>
        <v>Google,eBay,Amazon,Adobe,Salesforce,Cisco,Facebook</v>
      </c>
      <c r="H61" s="47" t="str">
        <f>IFERROR(__xludf.DUMMYFUNCTION("""COMPUTED_VALUE"""),"Microsoft,Google,eBay,Amazon,Adobe,Salesforce,Cisco,Facebook")</f>
        <v>Microsoft,Google,eBay,Amazon,Adobe,Salesforce,Cisco,Facebook</v>
      </c>
      <c r="I61" s="47">
        <f>IFERROR(__xludf.DUMMYFUNCTION("""COMPUTED_VALUE"""),37.61)</f>
        <v>37.61</v>
      </c>
      <c r="J61" s="47" t="str">
        <f>IFERROR(__xludf.DUMMYFUNCTION("""COMPUTED_VALUE"""),"算法")</f>
        <v>算法</v>
      </c>
      <c r="K61" s="47">
        <v>60.0</v>
      </c>
      <c r="L61" s="6">
        <f>COUNTIF('Coder-1'!B:B,A61)</f>
        <v>0</v>
      </c>
      <c r="M61" s="6">
        <f>COUNTIF('Coder-2'!B:B,A61)</f>
        <v>0</v>
      </c>
      <c r="N61" s="6">
        <f>COUNTIF('Coder-3'!B:B,A61)</f>
        <v>0</v>
      </c>
      <c r="O61" s="6">
        <f>COUNTIF('Coder-4'!B:B,A61)</f>
        <v>0</v>
      </c>
    </row>
    <row r="62">
      <c r="A62" s="83">
        <v>35.0</v>
      </c>
      <c r="B62" s="86" t="str">
        <f>IFERROR(__xludf.DUMMYFUNCTION("IF(ISBLANK(A62),,FILTER('Leetcode List'!B:C,'Leetcode List'!A:A = A62))"),"Search Insert Position")</f>
        <v>Search Insert Position</v>
      </c>
      <c r="C62" s="47" t="str">
        <f>IFERROR(__xludf.DUMMYFUNCTION("""COMPUTED_VALUE"""),"Easy")</f>
        <v>Easy</v>
      </c>
      <c r="D62" s="47" t="s">
        <v>93</v>
      </c>
      <c r="E62" s="87" t="str">
        <f>IFERROR(__xludf.DUMMYFUNCTION("IF(ISBLANK(A62),,FILTER('Leetcode List'!E:J,'Leetcode List'!A:A = A62))"),"Facebook,Apple,SAP,Bloomberg,Adobe,Amazon,Microsoft,Google")</f>
        <v>Facebook,Apple,SAP,Bloomberg,Adobe,Amazon,Microsoft,Google</v>
      </c>
      <c r="F62" s="47" t="str">
        <f>IFERROR(__xludf.DUMMYFUNCTION("""COMPUTED_VALUE"""),"Amazon,Apple")</f>
        <v>Amazon,Apple</v>
      </c>
      <c r="G62" s="47" t="str">
        <f>IFERROR(__xludf.DUMMYFUNCTION("""COMPUTED_VALUE"""),"Adobe,Amazon,Apple")</f>
        <v>Adobe,Amazon,Apple</v>
      </c>
      <c r="H62" s="47" t="str">
        <f>IFERROR(__xludf.DUMMYFUNCTION("""COMPUTED_VALUE"""),"Google,Microsoft,Bloomberg,Facebook,Adobe,Amazon,Apple")</f>
        <v>Google,Microsoft,Bloomberg,Facebook,Adobe,Amazon,Apple</v>
      </c>
      <c r="I62" s="47">
        <f>IFERROR(__xludf.DUMMYFUNCTION("""COMPUTED_VALUE"""),42.81)</f>
        <v>42.81</v>
      </c>
      <c r="J62" s="47" t="str">
        <f>IFERROR(__xludf.DUMMYFUNCTION("""COMPUTED_VALUE"""),"算法")</f>
        <v>算法</v>
      </c>
      <c r="K62" s="47">
        <v>61.0</v>
      </c>
      <c r="L62" s="6">
        <f>COUNTIF('Coder-1'!B:B,A62)</f>
        <v>0</v>
      </c>
      <c r="M62" s="6">
        <f>COUNTIF('Coder-2'!B:B,A62)</f>
        <v>0</v>
      </c>
      <c r="N62" s="6">
        <f>COUNTIF('Coder-3'!B:B,A62)</f>
        <v>0</v>
      </c>
      <c r="O62" s="6">
        <f>COUNTIF('Coder-4'!B:B,A62)</f>
        <v>0</v>
      </c>
    </row>
    <row r="63">
      <c r="A63" s="83">
        <v>33.0</v>
      </c>
      <c r="B63" s="86" t="str">
        <f>IFERROR(__xludf.DUMMYFUNCTION("IF(ISBLANK(A63),,FILTER('Leetcode List'!B:C,'Leetcode List'!A:A = A63))"),"Search in Rotated Sorted Array")</f>
        <v>Search in Rotated Sorted Array</v>
      </c>
      <c r="C63" s="47" t="str">
        <f>IFERROR(__xludf.DUMMYFUNCTION("""COMPUTED_VALUE"""),"Medium")</f>
        <v>Medium</v>
      </c>
      <c r="D63" s="47" t="s">
        <v>93</v>
      </c>
      <c r="E63" s="87" t="str">
        <f>IFERROR(__xludf.DUMMYFUNCTION("IF(ISBLANK(A63),,FILTER('Leetcode List'!E:J,'Leetcode List'!A:A = A63))"),"PayTM,Paypal,ServiceNow,TripAdvisor,Tesla,Nutanix,Zulily,Twitch,ByteDance,Salesforce,Visa,VMware,Walmart Labs,Snapchat,JPMorgan,Zillow,Expedia,Nvidia,Oracle,NetEase,Cisco,Yandex,EBay,Baidu,Apple,Uber,Yahoo,Samsung,Tencent,Bloomberg,Adobe,Facebook,Amazon,L"&amp;"inkedIn,Microsoft,Alibaba,Goldman Sachs,Google")</f>
        <v>PayTM,Paypal,ServiceNow,TripAdvisor,Tesla,Nutanix,Zulily,Twitch,ByteDance,Salesforce,Visa,VMware,Walmart Labs,Snapchat,JPMorgan,Zillow,Expedia,Nvidia,Oracle,NetEase,Cisco,Yandex,EBay,Baidu,Apple,Uber,Yahoo,Samsung,Tencent,Bloomberg,Adobe,Facebook,Amazon,LinkedIn,Microsoft,Alibaba,Goldman Sachs,Google</v>
      </c>
      <c r="F63" s="47" t="str">
        <f>IFERROR(__xludf.DUMMYFUNCTION("""COMPUTED_VALUE"""),"Amazon,Facebook,Microsoft,LinkedIn,Bloomberg,Oracle,Apple,ByteDance,Expedia,Google,Nvidia,Zillow,eBay,Adobe,Cisco,ServiceNow")</f>
        <v>Amazon,Facebook,Microsoft,LinkedIn,Bloomberg,Oracle,Apple,ByteDance,Expedia,Google,Nvidia,Zillow,eBay,Adobe,Cisco,ServiceNow</v>
      </c>
      <c r="G63" s="47" t="str">
        <f>IFERROR(__xludf.DUMMYFUNCTION("""COMPUTED_VALUE"""),"VMware,Goldman Sachs,Walmart Labs,Paypal,PayTM,Amazon,Facebook,Microsoft,LinkedIn,Bloomberg,Oracle,Apple,ByteDance,Expedia,Google,Nvidia,Zillow,eBay,Adobe,Cisco,ServiceNow")</f>
        <v>VMware,Goldman Sachs,Walmart Labs,Paypal,PayTM,Amazon,Facebook,Microsoft,LinkedIn,Bloomberg,Oracle,Apple,ByteDance,Expedia,Google,Nvidia,Zillow,eBay,Adobe,Cisco,ServiceNow</v>
      </c>
      <c r="H63" s="47" t="str">
        <f>IFERROR(__xludf.DUMMYFUNCTION("""COMPUTED_VALUE"""),"Yahoo,Nutanix,Yandex,Alibaba,Samsung,Uber,Tencent,Salesforce,Zulily,Twitch,JPMorgan,Tesla,VMware,Goldman Sachs,Walmart Labs,Paypal,PayTM,Amazon,Facebook,Microsoft,LinkedIn,Bloomberg,Oracle,Apple,ByteDance,Expedia,Google,Nvidia,Zillow,eBay,Adobe,Cisco,Serv"&amp;"iceNow")</f>
        <v>Yahoo,Nutanix,Yandex,Alibaba,Samsung,Uber,Tencent,Salesforce,Zulily,Twitch,JPMorgan,Tesla,VMware,Goldman Sachs,Walmart Labs,Paypal,PayTM,Amazon,Facebook,Microsoft,LinkedIn,Bloomberg,Oracle,Apple,ByteDance,Expedia,Google,Nvidia,Zillow,eBay,Adobe,Cisco,ServiceNow</v>
      </c>
      <c r="I63" s="47">
        <f>IFERROR(__xludf.DUMMYFUNCTION("""COMPUTED_VALUE"""),35.99)</f>
        <v>35.99</v>
      </c>
      <c r="J63" s="47" t="str">
        <f>IFERROR(__xludf.DUMMYFUNCTION("""COMPUTED_VALUE"""),"算法")</f>
        <v>算法</v>
      </c>
      <c r="K63" s="47">
        <v>62.0</v>
      </c>
      <c r="L63" s="6">
        <f>COUNTIF('Coder-1'!B:B,A63)</f>
        <v>0</v>
      </c>
      <c r="M63" s="6">
        <f>COUNTIF('Coder-2'!B:B,A63)</f>
        <v>0</v>
      </c>
      <c r="N63" s="6">
        <f>COUNTIF('Coder-3'!B:B,A63)</f>
        <v>0</v>
      </c>
      <c r="O63" s="6">
        <f>COUNTIF('Coder-4'!B:B,A63)</f>
        <v>0</v>
      </c>
    </row>
    <row r="64">
      <c r="A64" s="83">
        <v>81.0</v>
      </c>
      <c r="B64" s="86" t="str">
        <f>IFERROR(__xludf.DUMMYFUNCTION("IF(ISBLANK(A64),,FILTER('Leetcode List'!B:C,'Leetcode List'!A:A = A64))"),"Search in Rotated Sorted Array II")</f>
        <v>Search in Rotated Sorted Array II</v>
      </c>
      <c r="C64" s="47" t="str">
        <f>IFERROR(__xludf.DUMMYFUNCTION("""COMPUTED_VALUE"""),"Medium")</f>
        <v>Medium</v>
      </c>
      <c r="D64" s="47" t="s">
        <v>93</v>
      </c>
      <c r="E64" s="87" t="str">
        <f>IFERROR(__xludf.DUMMYFUNCTION("IF(ISBLANK(A64),,FILTER('Leetcode List'!E:J,'Leetcode List'!A:A = A64))"),"Bloomberg,Adobe,Facebook,Amazon,Microsoft,Google")</f>
        <v>Bloomberg,Adobe,Facebook,Amazon,Microsoft,Google</v>
      </c>
      <c r="F64" s="47" t="str">
        <f>IFERROR(__xludf.DUMMYFUNCTION("""COMPUTED_VALUE"""),"Amazon")</f>
        <v>Amazon</v>
      </c>
      <c r="G64" s="47" t="str">
        <f>IFERROR(__xludf.DUMMYFUNCTION("""COMPUTED_VALUE"""),"Facebook,Adobe,Amazon")</f>
        <v>Facebook,Adobe,Amazon</v>
      </c>
      <c r="H64" s="47" t="str">
        <f>IFERROR(__xludf.DUMMYFUNCTION("""COMPUTED_VALUE"""),"Microsoft,Google,Bloomberg,Facebook,Adobe,Amazon")</f>
        <v>Microsoft,Google,Bloomberg,Facebook,Adobe,Amazon</v>
      </c>
      <c r="I64" s="47">
        <f>IFERROR(__xludf.DUMMYFUNCTION("""COMPUTED_VALUE"""),33.61)</f>
        <v>33.61</v>
      </c>
      <c r="J64" s="47" t="str">
        <f>IFERROR(__xludf.DUMMYFUNCTION("""COMPUTED_VALUE"""),"算法")</f>
        <v>算法</v>
      </c>
      <c r="K64" s="47">
        <v>63.0</v>
      </c>
      <c r="L64" s="6">
        <f>COUNTIF('Coder-1'!B:B,A64)</f>
        <v>0</v>
      </c>
      <c r="M64" s="6">
        <f>COUNTIF('Coder-2'!B:B,A64)</f>
        <v>0</v>
      </c>
      <c r="N64" s="6">
        <f>COUNTIF('Coder-3'!B:B,A64)</f>
        <v>0</v>
      </c>
      <c r="O64" s="6">
        <f>COUNTIF('Coder-4'!B:B,A64)</f>
        <v>0</v>
      </c>
    </row>
    <row r="65">
      <c r="A65" s="83">
        <v>153.0</v>
      </c>
      <c r="B65" s="86" t="str">
        <f>IFERROR(__xludf.DUMMYFUNCTION("IF(ISBLANK(A65),,FILTER('Leetcode List'!B:C,'Leetcode List'!A:A = A65))"),"Find Minimum in Rotated Sorted Array")</f>
        <v>Find Minimum in Rotated Sorted Array</v>
      </c>
      <c r="C65" s="47" t="str">
        <f>IFERROR(__xludf.DUMMYFUNCTION("""COMPUTED_VALUE"""),"Medium")</f>
        <v>Medium</v>
      </c>
      <c r="D65" s="47" t="s">
        <v>93</v>
      </c>
      <c r="E65" s="87" t="str">
        <f>IFERROR(__xludf.DUMMYFUNCTION("IF(ISBLANK(A65),,FILTER('Leetcode List'!E:J,'Leetcode List'!A:A = A65))"),"Snapchat,Wish,Atlassian,ByteDance,Salesforce,VMware,Walmart Labs,Oracle,EBay,Apple,Uber,Bloomberg,Facebook,Amazon,Microsoft,Goldman Sachs,Google")</f>
        <v>Snapchat,Wish,Atlassian,ByteDance,Salesforce,VMware,Walmart Labs,Oracle,EBay,Apple,Uber,Bloomberg,Facebook,Amazon,Microsoft,Goldman Sachs,Google</v>
      </c>
      <c r="F65" s="47" t="str">
        <f>IFERROR(__xludf.DUMMYFUNCTION("""COMPUTED_VALUE"""),"Facebook,Amazon,Oracle,Bloomberg,Goldman Sachs,Microsoft")</f>
        <v>Facebook,Amazon,Oracle,Bloomberg,Goldman Sachs,Microsoft</v>
      </c>
      <c r="G65" s="47" t="str">
        <f>IFERROR(__xludf.DUMMYFUNCTION("""COMPUTED_VALUE"""),"eBay,Apple,Google,Wish,ByteDance,Facebook,Amazon,Oracle,Bloomberg,Goldman Sachs,Microsoft")</f>
        <v>eBay,Apple,Google,Wish,ByteDance,Facebook,Amazon,Oracle,Bloomberg,Goldman Sachs,Microsoft</v>
      </c>
      <c r="H65" s="47" t="str">
        <f>IFERROR(__xludf.DUMMYFUNCTION("""COMPUTED_VALUE"""),"Uber,Snapchat,Walmart Labs,Salesforce,Atlassian,eBay,Apple,Google,Wish,ByteDance,Facebook,Amazon,Oracle,Bloomberg,Goldman Sachs,Microsoft")</f>
        <v>Uber,Snapchat,Walmart Labs,Salesforce,Atlassian,eBay,Apple,Google,Wish,ByteDance,Facebook,Amazon,Oracle,Bloomberg,Goldman Sachs,Microsoft</v>
      </c>
      <c r="I65" s="47">
        <f>IFERROR(__xludf.DUMMYFUNCTION("""COMPUTED_VALUE"""),46.25)</f>
        <v>46.25</v>
      </c>
      <c r="J65" s="47" t="str">
        <f>IFERROR(__xludf.DUMMYFUNCTION("""COMPUTED_VALUE"""),"算法")</f>
        <v>算法</v>
      </c>
      <c r="K65" s="47">
        <v>64.0</v>
      </c>
      <c r="L65" s="6">
        <f>COUNTIF('Coder-1'!B:B,A65)</f>
        <v>0</v>
      </c>
      <c r="M65" s="6">
        <f>COUNTIF('Coder-2'!B:B,A65)</f>
        <v>0</v>
      </c>
      <c r="N65" s="6">
        <f>COUNTIF('Coder-3'!B:B,A65)</f>
        <v>0</v>
      </c>
      <c r="O65" s="6">
        <f>COUNTIF('Coder-4'!B:B,A65)</f>
        <v>0</v>
      </c>
    </row>
    <row r="66">
      <c r="A66" s="83">
        <v>154.0</v>
      </c>
      <c r="B66" s="86" t="str">
        <f>IFERROR(__xludf.DUMMYFUNCTION("IF(ISBLANK(A66),,FILTER('Leetcode List'!B:C,'Leetcode List'!A:A = A66))"),"Find Minimum in Rotated Sorted Array II")</f>
        <v>Find Minimum in Rotated Sorted Array II</v>
      </c>
      <c r="C66" s="47" t="str">
        <f>IFERROR(__xludf.DUMMYFUNCTION("""COMPUTED_VALUE"""),"Hard")</f>
        <v>Hard</v>
      </c>
      <c r="D66" s="47" t="s">
        <v>93</v>
      </c>
      <c r="E66" s="87" t="str">
        <f>IFERROR(__xludf.DUMMYFUNCTION("IF(ISBLANK(A66),,FILTER('Leetcode List'!E:J,'Leetcode List'!A:A = A66))"),"Wish,Oracle,Microsoft,Uber,Adobe,Facebook,Amazon,Google")</f>
        <v>Wish,Oracle,Microsoft,Uber,Adobe,Facebook,Amazon,Google</v>
      </c>
      <c r="F66" s="47" t="str">
        <f>IFERROR(__xludf.DUMMYFUNCTION("""COMPUTED_VALUE"""),"Google,Amazon,Oracle")</f>
        <v>Google,Amazon,Oracle</v>
      </c>
      <c r="G66" s="47" t="str">
        <f>IFERROR(__xludf.DUMMYFUNCTION("""COMPUTED_VALUE"""),"Facebook,Google,Amazon,Oracle")</f>
        <v>Facebook,Google,Amazon,Oracle</v>
      </c>
      <c r="H66" s="47" t="str">
        <f>IFERROR(__xludf.DUMMYFUNCTION("""COMPUTED_VALUE"""),"Uber,Microsoft,Wish,Facebook,Google,Amazon,Oracle")</f>
        <v>Uber,Microsoft,Wish,Facebook,Google,Amazon,Oracle</v>
      </c>
      <c r="I66" s="47">
        <f>IFERROR(__xludf.DUMMYFUNCTION("""COMPUTED_VALUE"""),42.07)</f>
        <v>42.07</v>
      </c>
      <c r="J66" s="47" t="str">
        <f>IFERROR(__xludf.DUMMYFUNCTION("""COMPUTED_VALUE"""),"算法")</f>
        <v>算法</v>
      </c>
      <c r="K66" s="47">
        <v>65.0</v>
      </c>
      <c r="L66" s="6">
        <f>COUNTIF('Coder-1'!B:B,A66)</f>
        <v>0</v>
      </c>
      <c r="M66" s="6">
        <f>COUNTIF('Coder-2'!B:B,A66)</f>
        <v>0</v>
      </c>
      <c r="N66" s="6">
        <f>COUNTIF('Coder-3'!B:B,A66)</f>
        <v>0</v>
      </c>
      <c r="O66" s="6">
        <f>COUNTIF('Coder-4'!B:B,A66)</f>
        <v>0</v>
      </c>
    </row>
    <row r="67">
      <c r="A67" s="83">
        <v>162.0</v>
      </c>
      <c r="B67" s="86" t="str">
        <f>IFERROR(__xludf.DUMMYFUNCTION("IF(ISBLANK(A67),,FILTER('Leetcode List'!B:C,'Leetcode List'!A:A = A67))"),"Find Peak Element")</f>
        <v>Find Peak Element</v>
      </c>
      <c r="C67" s="47" t="str">
        <f>IFERROR(__xludf.DUMMYFUNCTION("""COMPUTED_VALUE"""),"Medium")</f>
        <v>Medium</v>
      </c>
      <c r="D67" s="47" t="s">
        <v>93</v>
      </c>
      <c r="E67" s="87" t="str">
        <f>IFERROR(__xludf.DUMMYFUNCTION("IF(ISBLANK(A67),,FILTER('Leetcode List'!E:J,'Leetcode List'!A:A = A67))"),"DE Shaw,Duolingo,ByteDance,IXL,VMware,Quora,Walmart Labs,Lyft,Apple,Uber,Yahoo,Bloomberg,Facebook,Amazon,Microsoft,Google")</f>
        <v>DE Shaw,Duolingo,ByteDance,IXL,VMware,Quora,Walmart Labs,Lyft,Apple,Uber,Yahoo,Bloomberg,Facebook,Amazon,Microsoft,Google</v>
      </c>
      <c r="F67" s="47" t="str">
        <f>IFERROR(__xludf.DUMMYFUNCTION("""COMPUTED_VALUE"""),"Facebook,Amazon,Quora,Bloomberg,Google")</f>
        <v>Facebook,Amazon,Quora,Bloomberg,Google</v>
      </c>
      <c r="G67" s="47" t="str">
        <f>IFERROR(__xludf.DUMMYFUNCTION("""COMPUTED_VALUE"""),"Apple,Microsoft,Uber,ByteDance,Facebook,Amazon,Quora,Bloomberg,Google")</f>
        <v>Apple,Microsoft,Uber,ByteDance,Facebook,Amazon,Quora,Bloomberg,Google</v>
      </c>
      <c r="H67" s="47" t="str">
        <f>IFERROR(__xludf.DUMMYFUNCTION("""COMPUTED_VALUE"""),"DE Shaw,Walmart Labs,Duolingo,Apple,Microsoft,Uber,ByteDance,Facebook,Amazon,Quora,Bloomberg,Google")</f>
        <v>DE Shaw,Walmart Labs,Duolingo,Apple,Microsoft,Uber,ByteDance,Facebook,Amazon,Quora,Bloomberg,Google</v>
      </c>
      <c r="I67" s="47">
        <f>IFERROR(__xludf.DUMMYFUNCTION("""COMPUTED_VALUE"""),44.02)</f>
        <v>44.02</v>
      </c>
      <c r="J67" s="47" t="str">
        <f>IFERROR(__xludf.DUMMYFUNCTION("""COMPUTED_VALUE"""),"算法")</f>
        <v>算法</v>
      </c>
      <c r="K67" s="47">
        <v>66.0</v>
      </c>
      <c r="L67" s="6">
        <f>COUNTIF('Coder-1'!B:B,A67)</f>
        <v>0</v>
      </c>
      <c r="M67" s="6">
        <f>COUNTIF('Coder-2'!B:B,A67)</f>
        <v>0</v>
      </c>
      <c r="N67" s="6">
        <f>COUNTIF('Coder-3'!B:B,A67)</f>
        <v>0</v>
      </c>
      <c r="O67" s="6">
        <f>COUNTIF('Coder-4'!B:B,A67)</f>
        <v>0</v>
      </c>
    </row>
    <row r="68">
      <c r="A68" s="83">
        <v>374.0</v>
      </c>
      <c r="B68" s="86" t="str">
        <f>IFERROR(__xludf.DUMMYFUNCTION("IF(ISBLANK(A68),,FILTER('Leetcode List'!B:C,'Leetcode List'!A:A = A68))"),"Guess Number Higher or Lower")</f>
        <v>Guess Number Higher or Lower</v>
      </c>
      <c r="C68" s="47" t="str">
        <f>IFERROR(__xludf.DUMMYFUNCTION("""COMPUTED_VALUE"""),"Easy")</f>
        <v>Easy</v>
      </c>
      <c r="D68" s="47" t="s">
        <v>93</v>
      </c>
      <c r="E68" s="87" t="str">
        <f>IFERROR(__xludf.DUMMYFUNCTION("IF(ISBLANK(A68),,FILTER('Leetcode List'!E:J,'Leetcode List'!A:A = A68))"),"Apple,Google")</f>
        <v>Apple,Google</v>
      </c>
      <c r="F68" s="47"/>
      <c r="G68" s="47" t="str">
        <f>IFERROR(__xludf.DUMMYFUNCTION("""COMPUTED_VALUE"""),"Apple")</f>
        <v>Apple</v>
      </c>
      <c r="H68" s="47" t="str">
        <f>IFERROR(__xludf.DUMMYFUNCTION("""COMPUTED_VALUE"""),"Google,Apple")</f>
        <v>Google,Apple</v>
      </c>
      <c r="I68" s="47">
        <f>IFERROR(__xludf.DUMMYFUNCTION("""COMPUTED_VALUE"""),44.78)</f>
        <v>44.78</v>
      </c>
      <c r="J68" s="47" t="str">
        <f>IFERROR(__xludf.DUMMYFUNCTION("""COMPUTED_VALUE"""),"算法")</f>
        <v>算法</v>
      </c>
      <c r="K68" s="47">
        <v>67.0</v>
      </c>
      <c r="L68" s="6">
        <f>COUNTIF('Coder-1'!B:B,A68)</f>
        <v>0</v>
      </c>
      <c r="M68" s="6">
        <f>COUNTIF('Coder-2'!B:B,A68)</f>
        <v>0</v>
      </c>
      <c r="N68" s="6">
        <f>COUNTIF('Coder-3'!B:B,A68)</f>
        <v>0</v>
      </c>
      <c r="O68" s="6">
        <f>COUNTIF('Coder-4'!B:B,A68)</f>
        <v>0</v>
      </c>
    </row>
    <row r="69">
      <c r="A69" s="83">
        <v>34.0</v>
      </c>
      <c r="B69" s="86" t="str">
        <f>IFERROR(__xludf.DUMMYFUNCTION("IF(ISBLANK(A69),,FILTER('Leetcode List'!B:C,'Leetcode List'!A:A = A69))"),"Find First and Last Position of Element in Sorted Array")</f>
        <v>Find First and Last Position of Element in Sorted Array</v>
      </c>
      <c r="C69" s="47" t="str">
        <f>IFERROR(__xludf.DUMMYFUNCTION("""COMPUTED_VALUE"""),"Medium")</f>
        <v>Medium</v>
      </c>
      <c r="D69" s="47" t="s">
        <v>93</v>
      </c>
      <c r="E69" s="87" t="str">
        <f>IFERROR(__xludf.DUMMYFUNCTION("IF(ISBLANK(A69),,FILTER('Leetcode List'!E:J,'Leetcode List'!A:A = A69))"),"Flipkart,Twitter,Netflix,Quip (Salesforce),Qualtrics,ByteDance,Visa,Oracle,Yandex,Apple,Airbnb,Uber,Yahoo,Bloomberg,Facebook,Amazon,LinkedIn,Microsoft,Google")</f>
        <v>Flipkart,Twitter,Netflix,Quip (Salesforce),Qualtrics,ByteDance,Visa,Oracle,Yandex,Apple,Airbnb,Uber,Yahoo,Bloomberg,Facebook,Amazon,LinkedIn,Microsoft,Google</v>
      </c>
      <c r="F69" s="47" t="str">
        <f>IFERROR(__xludf.DUMMYFUNCTION("""COMPUTED_VALUE"""),"Facebook,Amazon,Microsoft,Uber,Google,Bloomberg,Oracle")</f>
        <v>Facebook,Amazon,Microsoft,Uber,Google,Bloomberg,Oracle</v>
      </c>
      <c r="G69" s="47" t="str">
        <f>IFERROR(__xludf.DUMMYFUNCTION("""COMPUTED_VALUE"""),"Apple,ByteDance,LinkedIn,Facebook,Amazon,Microsoft,Uber,Google,Bloomberg,Oracle")</f>
        <v>Apple,ByteDance,LinkedIn,Facebook,Amazon,Microsoft,Uber,Google,Bloomberg,Oracle</v>
      </c>
      <c r="H69" s="47" t="str">
        <f>IFERROR(__xludf.DUMMYFUNCTION("""COMPUTED_VALUE"""),"Yandex,Twitter,Flipkart,Airbnb,Netflix,Quip (Salesforce),Apple,ByteDance,LinkedIn,Facebook,Amazon,Microsoft,Uber,Google,Bloomberg,Oracle")</f>
        <v>Yandex,Twitter,Flipkart,Airbnb,Netflix,Quip (Salesforce),Apple,ByteDance,LinkedIn,Facebook,Amazon,Microsoft,Uber,Google,Bloomberg,Oracle</v>
      </c>
      <c r="I69" s="47">
        <f>IFERROR(__xludf.DUMMYFUNCTION("""COMPUTED_VALUE"""),37.38)</f>
        <v>37.38</v>
      </c>
      <c r="J69" s="47" t="str">
        <f>IFERROR(__xludf.DUMMYFUNCTION("""COMPUTED_VALUE"""),"算法")</f>
        <v>算法</v>
      </c>
      <c r="K69" s="47">
        <v>68.0</v>
      </c>
      <c r="L69" s="6">
        <f>COUNTIF('Coder-1'!B:B,A69)</f>
        <v>0</v>
      </c>
      <c r="M69" s="6">
        <f>COUNTIF('Coder-2'!B:B,A69)</f>
        <v>0</v>
      </c>
      <c r="N69" s="6">
        <f>COUNTIF('Coder-3'!B:B,A69)</f>
        <v>0</v>
      </c>
      <c r="O69" s="6">
        <f>COUNTIF('Coder-4'!B:B,A69)</f>
        <v>0</v>
      </c>
    </row>
    <row r="70">
      <c r="A70" s="83">
        <v>349.0</v>
      </c>
      <c r="B70" s="86" t="str">
        <f>IFERROR(__xludf.DUMMYFUNCTION("IF(ISBLANK(A70),,FILTER('Leetcode List'!B:C,'Leetcode List'!A:A = A70))"),"Intersection of Two Arrays")</f>
        <v>Intersection of Two Arrays</v>
      </c>
      <c r="C70" s="47" t="str">
        <f>IFERROR(__xludf.DUMMYFUNCTION("""COMPUTED_VALUE"""),"Easy")</f>
        <v>Easy</v>
      </c>
      <c r="D70" s="47" t="s">
        <v>93</v>
      </c>
      <c r="E70" s="87" t="str">
        <f>IFERROR(__xludf.DUMMYFUNCTION("IF(ISBLANK(A70),,FILTER('Leetcode List'!E:J,'Leetcode List'!A:A = A70))"),"Yandex,Bloomberg,Two Sigma,ByteDance,Indeed,JPMorgan,Yelp,Oracle,Lyft,Apple,Uber,Facebook,Amazon,LinkedIn,Microsoft,Google")</f>
        <v>Yandex,Bloomberg,Two Sigma,ByteDance,Indeed,JPMorgan,Yelp,Oracle,Lyft,Apple,Uber,Facebook,Amazon,LinkedIn,Microsoft,Google</v>
      </c>
      <c r="F70" s="47" t="str">
        <f>IFERROR(__xludf.DUMMYFUNCTION("""COMPUTED_VALUE"""),"Facebook,ByteDance")</f>
        <v>Facebook,ByteDance</v>
      </c>
      <c r="G70" s="47" t="str">
        <f>IFERROR(__xludf.DUMMYFUNCTION("""COMPUTED_VALUE"""),"Amazon,Microsoft,Facebook,ByteDance")</f>
        <v>Amazon,Microsoft,Facebook,ByteDance</v>
      </c>
      <c r="H70" s="47" t="str">
        <f>IFERROR(__xludf.DUMMYFUNCTION("""COMPUTED_VALUE"""),"Oracle,Lyft,Google,LinkedIn,Apple,Bloomberg,Yandex,Two Sigma,Amazon,Microsoft,Facebook,ByteDance")</f>
        <v>Oracle,Lyft,Google,LinkedIn,Apple,Bloomberg,Yandex,Two Sigma,Amazon,Microsoft,Facebook,ByteDance</v>
      </c>
      <c r="I70" s="47">
        <f>IFERROR(__xludf.DUMMYFUNCTION("""COMPUTED_VALUE"""),65.0)</f>
        <v>65</v>
      </c>
      <c r="J70" s="47" t="str">
        <f>IFERROR(__xludf.DUMMYFUNCTION("""COMPUTED_VALUE"""),"算法")</f>
        <v>算法</v>
      </c>
      <c r="K70" s="47">
        <v>69.0</v>
      </c>
      <c r="L70" s="6">
        <f>COUNTIF('Coder-1'!B:B,A70)</f>
        <v>0</v>
      </c>
      <c r="M70" s="6">
        <f>COUNTIF('Coder-2'!B:B,A70)</f>
        <v>0</v>
      </c>
      <c r="N70" s="6">
        <f>COUNTIF('Coder-3'!B:B,A70)</f>
        <v>0</v>
      </c>
      <c r="O70" s="6">
        <f>COUNTIF('Coder-4'!B:B,A70)</f>
        <v>0</v>
      </c>
    </row>
    <row r="71">
      <c r="A71" s="83">
        <v>350.0</v>
      </c>
      <c r="B71" s="86" t="str">
        <f>IFERROR(__xludf.DUMMYFUNCTION("IF(ISBLANK(A71),,FILTER('Leetcode List'!B:C,'Leetcode List'!A:A = A71))"),"Intersection of Two Arrays II")</f>
        <v>Intersection of Two Arrays II</v>
      </c>
      <c r="C71" s="47" t="str">
        <f>IFERROR(__xludf.DUMMYFUNCTION("""COMPUTED_VALUE"""),"Easy")</f>
        <v>Easy</v>
      </c>
      <c r="D71" s="47" t="s">
        <v>93</v>
      </c>
      <c r="E71" s="87" t="str">
        <f>IFERROR(__xludf.DUMMYFUNCTION("IF(ISBLANK(A71),,FILTER('Leetcode List'!E:J,'Leetcode List'!A:A = A71))"),"Nutanix,Adobe,Databricks,ByteDance,Salesforce,Oracle,Yandex,Apple,Uber,Bloomberg,Facebook,Amazon,LinkedIn,Microsoft,Google")</f>
        <v>Nutanix,Adobe,Databricks,ByteDance,Salesforce,Oracle,Yandex,Apple,Uber,Bloomberg,Facebook,Amazon,LinkedIn,Microsoft,Google</v>
      </c>
      <c r="F71" s="47" t="str">
        <f>IFERROR(__xludf.DUMMYFUNCTION("""COMPUTED_VALUE"""),"Google,Facebook,Amazon,Oracle")</f>
        <v>Google,Facebook,Amazon,Oracle</v>
      </c>
      <c r="G71" s="47" t="str">
        <f>IFERROR(__xludf.DUMMYFUNCTION("""COMPUTED_VALUE"""),"ByteDance,Bloomberg,Microsoft,Google,Facebook,Amazon,Oracle")</f>
        <v>ByteDance,Bloomberg,Microsoft,Google,Facebook,Amazon,Oracle</v>
      </c>
      <c r="H71" s="47" t="str">
        <f>IFERROR(__xludf.DUMMYFUNCTION("""COMPUTED_VALUE"""),"Apple,LinkedIn,Yandex,Adobe,Nutanix,ByteDance,Bloomberg,Microsoft,Google,Facebook,Amazon,Oracle")</f>
        <v>Apple,LinkedIn,Yandex,Adobe,Nutanix,ByteDance,Bloomberg,Microsoft,Google,Facebook,Amazon,Oracle</v>
      </c>
      <c r="I71" s="47">
        <f>IFERROR(__xludf.DUMMYFUNCTION("""COMPUTED_VALUE"""),51.99)</f>
        <v>51.99</v>
      </c>
      <c r="J71" s="47" t="str">
        <f>IFERROR(__xludf.DUMMYFUNCTION("""COMPUTED_VALUE"""),"算法")</f>
        <v>算法</v>
      </c>
      <c r="K71" s="47">
        <v>70.0</v>
      </c>
      <c r="L71" s="6">
        <f>COUNTIF('Coder-1'!B:B,A71)</f>
        <v>0</v>
      </c>
      <c r="M71" s="6">
        <f>COUNTIF('Coder-2'!B:B,A71)</f>
        <v>0</v>
      </c>
      <c r="N71" s="6">
        <f>COUNTIF('Coder-3'!B:B,A71)</f>
        <v>0</v>
      </c>
      <c r="O71" s="6">
        <f>COUNTIF('Coder-4'!B:B,A71)</f>
        <v>0</v>
      </c>
    </row>
    <row r="72">
      <c r="A72" s="83">
        <v>315.0</v>
      </c>
      <c r="B72" s="86" t="str">
        <f>IFERROR(__xludf.DUMMYFUNCTION("IF(ISBLANK(A72),,FILTER('Leetcode List'!B:C,'Leetcode List'!A:A = A72))"),"Count of Smaller Numbers After Self")</f>
        <v>Count of Smaller Numbers After Self</v>
      </c>
      <c r="C72" s="47" t="str">
        <f>IFERROR(__xludf.DUMMYFUNCTION("""COMPUTED_VALUE"""),"Hard")</f>
        <v>Hard</v>
      </c>
      <c r="D72" s="47" t="s">
        <v>93</v>
      </c>
      <c r="E72" s="87" t="str">
        <f>IFERROR(__xludf.DUMMYFUNCTION("IF(ISBLANK(A72),,FILTER('Leetcode List'!E:J,'Leetcode List'!A:A = A72))"),"Adobe,Oracle,Apple,Uber,Bloomberg,Facebook,Amazon,Microsoft,Google")</f>
        <v>Adobe,Oracle,Apple,Uber,Bloomberg,Facebook,Amazon,Microsoft,Google</v>
      </c>
      <c r="F72" s="47" t="str">
        <f>IFERROR(__xludf.DUMMYFUNCTION("""COMPUTED_VALUE"""),"Google,Amazon,Apple,Bloomberg,Uber")</f>
        <v>Google,Amazon,Apple,Bloomberg,Uber</v>
      </c>
      <c r="G72" s="47" t="str">
        <f>IFERROR(__xludf.DUMMYFUNCTION("""COMPUTED_VALUE"""),"Microsoft,Adobe,Google,Amazon,Apple,Bloomberg,Uber")</f>
        <v>Microsoft,Adobe,Google,Amazon,Apple,Bloomberg,Uber</v>
      </c>
      <c r="H72" s="47" t="str">
        <f>IFERROR(__xludf.DUMMYFUNCTION("""COMPUTED_VALUE"""),"Oracle,Microsoft,Adobe,Google,Amazon,Apple,Bloomberg,Uber")</f>
        <v>Oracle,Microsoft,Adobe,Google,Amazon,Apple,Bloomberg,Uber</v>
      </c>
      <c r="I72" s="47">
        <f>IFERROR(__xludf.DUMMYFUNCTION("""COMPUTED_VALUE"""),42.43)</f>
        <v>42.43</v>
      </c>
      <c r="J72" s="47" t="str">
        <f>IFERROR(__xludf.DUMMYFUNCTION("""COMPUTED_VALUE"""),"算法")</f>
        <v>算法</v>
      </c>
      <c r="K72" s="47">
        <v>71.0</v>
      </c>
      <c r="L72" s="6">
        <f>COUNTIF('Coder-1'!B:B,A72)</f>
        <v>0</v>
      </c>
      <c r="M72" s="6">
        <f>COUNTIF('Coder-2'!B:B,A72)</f>
        <v>0</v>
      </c>
      <c r="N72" s="6">
        <f>COUNTIF('Coder-3'!B:B,A72)</f>
        <v>0</v>
      </c>
      <c r="O72" s="6">
        <f>COUNTIF('Coder-4'!B:B,A72)</f>
        <v>0</v>
      </c>
    </row>
    <row r="73">
      <c r="A73" s="83">
        <v>300.0</v>
      </c>
      <c r="B73" s="86" t="str">
        <f>IFERROR(__xludf.DUMMYFUNCTION("IF(ISBLANK(A73),,FILTER('Leetcode List'!B:C,'Leetcode List'!A:A = A73))"),"Longest Increasing Subsequence")</f>
        <v>Longest Increasing Subsequence</v>
      </c>
      <c r="C73" s="47" t="str">
        <f>IFERROR(__xludf.DUMMYFUNCTION("""COMPUTED_VALUE"""),"Medium")</f>
        <v>Medium</v>
      </c>
      <c r="D73" s="47" t="s">
        <v>93</v>
      </c>
      <c r="E73" s="87" t="str">
        <f>IFERROR(__xludf.DUMMYFUNCTION("IF(ISBLANK(A73),,FILTER('Leetcode List'!E:J,'Leetcode List'!A:A = A73))"),"Codenation,Coupang,ByteDance,Citrix,Nagarro,IBM,Yahoo,Bloomberg,Atlassian,Salesforce,VMware,Oracle,EBay,Apple,Uber,Adobe,Facebook,Amazon,Microsoft,Google")</f>
        <v>Codenation,Coupang,ByteDance,Citrix,Nagarro,IBM,Yahoo,Bloomberg,Atlassian,Salesforce,VMware,Oracle,EBay,Apple,Uber,Adobe,Facebook,Amazon,Microsoft,Google</v>
      </c>
      <c r="F73" s="47" t="str">
        <f>IFERROR(__xludf.DUMMYFUNCTION("""COMPUTED_VALUE"""),"Apple,Amazon,Facebook,Google,Citrix,ByteDance,Microsoft,Bloomberg,Nagarro")</f>
        <v>Apple,Amazon,Facebook,Google,Citrix,ByteDance,Microsoft,Bloomberg,Nagarro</v>
      </c>
      <c r="G73" s="47" t="str">
        <f>IFERROR(__xludf.DUMMYFUNCTION("""COMPUTED_VALUE"""),"Adobe,Atlassian,Uber,eBay,Codenation,Apple,Amazon,Facebook,Google,Citrix,ByteDance,Microsoft,Bloomberg,Nagarro")</f>
        <v>Adobe,Atlassian,Uber,eBay,Codenation,Apple,Amazon,Facebook,Google,Citrix,ByteDance,Microsoft,Bloomberg,Nagarro</v>
      </c>
      <c r="H73" s="47" t="str">
        <f>IFERROR(__xludf.DUMMYFUNCTION("""COMPUTED_VALUE"""),"Oracle,Yahoo,IBM,Coupang,Adobe,Atlassian,Uber,eBay,Codenation,Apple,Amazon,Facebook,Google,Citrix,ByteDance,Microsoft,Bloomberg,Nagarro")</f>
        <v>Oracle,Yahoo,IBM,Coupang,Adobe,Atlassian,Uber,eBay,Codenation,Apple,Amazon,Facebook,Google,Citrix,ByteDance,Microsoft,Bloomberg,Nagarro</v>
      </c>
      <c r="I73" s="47">
        <f>IFERROR(__xludf.DUMMYFUNCTION("""COMPUTED_VALUE"""),44.25)</f>
        <v>44.25</v>
      </c>
      <c r="J73" s="47" t="str">
        <f>IFERROR(__xludf.DUMMYFUNCTION("""COMPUTED_VALUE"""),"算法")</f>
        <v>算法</v>
      </c>
      <c r="K73" s="47">
        <v>72.0</v>
      </c>
      <c r="L73" s="6">
        <f>COUNTIF('Coder-1'!B:B,A73)</f>
        <v>0</v>
      </c>
      <c r="M73" s="6">
        <f>COUNTIF('Coder-2'!B:B,A73)</f>
        <v>0</v>
      </c>
      <c r="N73" s="6">
        <f>COUNTIF('Coder-3'!B:B,A73)</f>
        <v>0</v>
      </c>
      <c r="O73" s="6">
        <f>COUNTIF('Coder-4'!B:B,A73)</f>
        <v>0</v>
      </c>
    </row>
    <row r="74">
      <c r="A74" s="83">
        <v>354.0</v>
      </c>
      <c r="B74" s="86" t="str">
        <f>IFERROR(__xludf.DUMMYFUNCTION("IF(ISBLANK(A74),,FILTER('Leetcode List'!B:C,'Leetcode List'!A:A = A74))"),"Russian Doll Envelopes")</f>
        <v>Russian Doll Envelopes</v>
      </c>
      <c r="C74" s="47" t="str">
        <f>IFERROR(__xludf.DUMMYFUNCTION("""COMPUTED_VALUE"""),"Hard")</f>
        <v>Hard</v>
      </c>
      <c r="D74" s="47" t="s">
        <v>93</v>
      </c>
      <c r="E74" s="87" t="str">
        <f>IFERROR(__xludf.DUMMYFUNCTION("IF(ISBLANK(A74),,FILTER('Leetcode List'!E:J,'Leetcode List'!A:A = A74))"),"ByteDance,Uber,Amazon,Microsoft,Google")</f>
        <v>ByteDance,Uber,Amazon,Microsoft,Google</v>
      </c>
      <c r="F74" s="47" t="str">
        <f>IFERROR(__xludf.DUMMYFUNCTION("""COMPUTED_VALUE"""),"Google,Amazon,Uber,ByteDance,Microsoft")</f>
        <v>Google,Amazon,Uber,ByteDance,Microsoft</v>
      </c>
      <c r="G74" s="47" t="str">
        <f>IFERROR(__xludf.DUMMYFUNCTION("""COMPUTED_VALUE"""),"Google,Amazon,Uber,ByteDance,Microsoft")</f>
        <v>Google,Amazon,Uber,ByteDance,Microsoft</v>
      </c>
      <c r="H74" s="47" t="str">
        <f>IFERROR(__xludf.DUMMYFUNCTION("""COMPUTED_VALUE"""),"Google,Amazon,Uber,ByteDance,Microsoft")</f>
        <v>Google,Amazon,Uber,ByteDance,Microsoft</v>
      </c>
      <c r="I74" s="47">
        <f>IFERROR(__xludf.DUMMYFUNCTION("""COMPUTED_VALUE"""),36.44)</f>
        <v>36.44</v>
      </c>
      <c r="J74" s="47" t="str">
        <f>IFERROR(__xludf.DUMMYFUNCTION("""COMPUTED_VALUE"""),"算法")</f>
        <v>算法</v>
      </c>
      <c r="K74" s="47">
        <v>73.0</v>
      </c>
      <c r="L74" s="6">
        <f>COUNTIF('Coder-1'!B:B,A74)</f>
        <v>0</v>
      </c>
      <c r="M74" s="6">
        <f>COUNTIF('Coder-2'!B:B,A74)</f>
        <v>0</v>
      </c>
      <c r="N74" s="6">
        <f>COUNTIF('Coder-3'!B:B,A74)</f>
        <v>0</v>
      </c>
      <c r="O74" s="6">
        <f>COUNTIF('Coder-4'!B:B,A74)</f>
        <v>0</v>
      </c>
    </row>
    <row r="75">
      <c r="A75" s="83">
        <v>28.0</v>
      </c>
      <c r="B75" s="86" t="str">
        <f>IFERROR(__xludf.DUMMYFUNCTION("IF(ISBLANK(A75),,FILTER('Leetcode List'!B:C,'Leetcode List'!A:A = A75))"),"Implement strStr()")</f>
        <v>Implement strStr()</v>
      </c>
      <c r="C75" s="46" t="str">
        <f>IFERROR(__xludf.DUMMYFUNCTION("""COMPUTED_VALUE"""),"Easy")</f>
        <v>Easy</v>
      </c>
      <c r="D75" s="46" t="s">
        <v>70</v>
      </c>
      <c r="E75" s="87" t="str">
        <f>IFERROR(__xludf.DUMMYFUNCTION("IF(ISBLANK(A75),,FILTER('Leetcode List'!E:J,'Leetcode List'!A:A = A75))"),"Adobe,Pocket Gems,VMware,Citadel,Dropbox,Oracle,Yandex,EBay,Apple,Yahoo,Bloomberg,Facebook,Amazon,Microsoft,Google")</f>
        <v>Adobe,Pocket Gems,VMware,Citadel,Dropbox,Oracle,Yandex,EBay,Apple,Yahoo,Bloomberg,Facebook,Amazon,Microsoft,Google</v>
      </c>
      <c r="F75" s="47" t="str">
        <f>IFERROR(__xludf.DUMMYFUNCTION("""COMPUTED_VALUE"""),"Facebook,Amazon")</f>
        <v>Facebook,Amazon</v>
      </c>
      <c r="G75" s="47" t="str">
        <f>IFERROR(__xludf.DUMMYFUNCTION("""COMPUTED_VALUE"""),"Apple,Microsoft,Yahoo,Adobe,Facebook,Amazon")</f>
        <v>Apple,Microsoft,Yahoo,Adobe,Facebook,Amazon</v>
      </c>
      <c r="H75" s="47" t="str">
        <f>IFERROR(__xludf.DUMMYFUNCTION("""COMPUTED_VALUE"""),"Google,Bloomberg,Dropbox,Oracle,eBay,Citadel,VMware,Pocket Gems,Apple,Microsoft,Yahoo,Adobe,Facebook,Amazon")</f>
        <v>Google,Bloomberg,Dropbox,Oracle,eBay,Citadel,VMware,Pocket Gems,Apple,Microsoft,Yahoo,Adobe,Facebook,Amazon</v>
      </c>
      <c r="I75" s="47">
        <f>IFERROR(__xludf.DUMMYFUNCTION("""COMPUTED_VALUE"""),35.29)</f>
        <v>35.29</v>
      </c>
      <c r="J75" s="47" t="str">
        <f>IFERROR(__xludf.DUMMYFUNCTION("""COMPUTED_VALUE"""),"算法")</f>
        <v>算法</v>
      </c>
      <c r="K75" s="47">
        <v>74.0</v>
      </c>
      <c r="L75" s="6">
        <f>COUNTIF('Coder-1'!B:B,A75)</f>
        <v>0</v>
      </c>
      <c r="M75" s="6">
        <f>COUNTIF('Coder-2'!B:B,A75)</f>
        <v>0</v>
      </c>
      <c r="N75" s="6">
        <f>COUNTIF('Coder-3'!B:B,A75)</f>
        <v>0</v>
      </c>
      <c r="O75" s="6">
        <f>COUNTIF('Coder-4'!B:B,A75)</f>
        <v>0</v>
      </c>
    </row>
    <row r="76">
      <c r="A76" s="83">
        <v>14.0</v>
      </c>
      <c r="B76" s="86" t="str">
        <f>IFERROR(__xludf.DUMMYFUNCTION("IF(ISBLANK(A76),,FILTER('Leetcode List'!B:C,'Leetcode List'!A:A = A76))"),"Longest Common Prefix")</f>
        <v>Longest Common Prefix</v>
      </c>
      <c r="C76" s="46" t="str">
        <f>IFERROR(__xludf.DUMMYFUNCTION("""COMPUTED_VALUE"""),"Easy")</f>
        <v>Easy</v>
      </c>
      <c r="D76" s="46" t="s">
        <v>70</v>
      </c>
      <c r="E76" s="87" t="str">
        <f>IFERROR(__xludf.DUMMYFUNCTION("IF(ISBLANK(A76),,FILTER('Leetcode List'!E:J,'Leetcode List'!A:A = A76))"),"Paypal,EBay,Yahoo,Pinterest,IXL,Citrix,Splunk,Twilio,Visa,Quora,Snapchat,Yelp,Oracle,IBM,Cisco,Apple,Bloomberg,Adobe,Facebook,Amazon,Microsoft,Alibaba,Google")</f>
        <v>Paypal,EBay,Yahoo,Pinterest,IXL,Citrix,Splunk,Twilio,Visa,Quora,Snapchat,Yelp,Oracle,IBM,Cisco,Apple,Bloomberg,Adobe,Facebook,Amazon,Microsoft,Alibaba,Google</v>
      </c>
      <c r="F76" s="47" t="str">
        <f>IFERROR(__xludf.DUMMYFUNCTION("""COMPUTED_VALUE"""),"Facebook,Amazon,Apple,Bloomberg,Microsoft,Adobe,Yahoo,Google")</f>
        <v>Facebook,Amazon,Apple,Bloomberg,Microsoft,Adobe,Yahoo,Google</v>
      </c>
      <c r="G76" s="47" t="str">
        <f>IFERROR(__xludf.DUMMYFUNCTION("""COMPUTED_VALUE"""),"eBay,Oracle,Facebook,Amazon,Apple,Bloomberg,Microsoft,Adobe,Yahoo,Google")</f>
        <v>eBay,Oracle,Facebook,Amazon,Apple,Bloomberg,Microsoft,Adobe,Yahoo,Google</v>
      </c>
      <c r="H76" s="47" t="str">
        <f>IFERROR(__xludf.DUMMYFUNCTION("""COMPUTED_VALUE"""),"Quora,IXL,Cisco,Snapchat,IBM,Splunk,Paypal,Twilio,Yelp,eBay,Oracle,Facebook,Amazon,Apple,Bloomberg,Microsoft,Adobe,Yahoo,Google")</f>
        <v>Quora,IXL,Cisco,Snapchat,IBM,Splunk,Paypal,Twilio,Yelp,eBay,Oracle,Facebook,Amazon,Apple,Bloomberg,Microsoft,Adobe,Yahoo,Google</v>
      </c>
      <c r="I76" s="47">
        <f>IFERROR(__xludf.DUMMYFUNCTION("""COMPUTED_VALUE"""),36.16)</f>
        <v>36.16</v>
      </c>
      <c r="J76" s="47" t="str">
        <f>IFERROR(__xludf.DUMMYFUNCTION("""COMPUTED_VALUE"""),"算法")</f>
        <v>算法</v>
      </c>
      <c r="K76" s="47">
        <v>75.0</v>
      </c>
      <c r="L76" s="6">
        <f>COUNTIF('Coder-1'!B:B,A76)</f>
        <v>0</v>
      </c>
      <c r="M76" s="6">
        <f>COUNTIF('Coder-2'!B:B,A76)</f>
        <v>0</v>
      </c>
      <c r="N76" s="6">
        <f>COUNTIF('Coder-3'!B:B,A76)</f>
        <v>0</v>
      </c>
      <c r="O76" s="6">
        <f>COUNTIF('Coder-4'!B:B,A76)</f>
        <v>0</v>
      </c>
    </row>
    <row r="77">
      <c r="A77" s="83">
        <v>58.0</v>
      </c>
      <c r="B77" s="86" t="str">
        <f>IFERROR(__xludf.DUMMYFUNCTION("IF(ISBLANK(A77),,FILTER('Leetcode List'!B:C,'Leetcode List'!A:A = A77))"),"Length of Last Word")</f>
        <v>Length of Last Word</v>
      </c>
      <c r="C77" s="46" t="str">
        <f>IFERROR(__xludf.DUMMYFUNCTION("""COMPUTED_VALUE"""),"Easy")</f>
        <v>Easy</v>
      </c>
      <c r="D77" s="46" t="s">
        <v>70</v>
      </c>
      <c r="E77" s="87" t="str">
        <f>IFERROR(__xludf.DUMMYFUNCTION("IF(ISBLANK(A77),,FILTER('Leetcode List'!E:J,'Leetcode List'!A:A = A77))"),"Bloomberg,Google")</f>
        <v>Bloomberg,Google</v>
      </c>
      <c r="F77" s="47"/>
      <c r="G77" s="47" t="str">
        <f>IFERROR(__xludf.DUMMYFUNCTION("""COMPUTED_VALUE"""),"Bloomberg,Google")</f>
        <v>Bloomberg,Google</v>
      </c>
      <c r="H77" s="47" t="str">
        <f>IFERROR(__xludf.DUMMYFUNCTION("""COMPUTED_VALUE"""),"Bloomberg,Google")</f>
        <v>Bloomberg,Google</v>
      </c>
      <c r="I77" s="47">
        <f>IFERROR(__xludf.DUMMYFUNCTION("""COMPUTED_VALUE"""),33.5)</f>
        <v>33.5</v>
      </c>
      <c r="J77" s="47" t="str">
        <f>IFERROR(__xludf.DUMMYFUNCTION("""COMPUTED_VALUE"""),"算法")</f>
        <v>算法</v>
      </c>
      <c r="K77" s="47">
        <v>76.0</v>
      </c>
      <c r="L77" s="6">
        <f>COUNTIF('Coder-1'!B:B,A77)</f>
        <v>0</v>
      </c>
      <c r="M77" s="6">
        <f>COUNTIF('Coder-2'!B:B,A77)</f>
        <v>0</v>
      </c>
      <c r="N77" s="6">
        <f>COUNTIF('Coder-3'!B:B,A77)</f>
        <v>0</v>
      </c>
      <c r="O77" s="6">
        <f>COUNTIF('Coder-4'!B:B,A77)</f>
        <v>0</v>
      </c>
    </row>
    <row r="78">
      <c r="A78" s="83">
        <v>387.0</v>
      </c>
      <c r="B78" s="86" t="str">
        <f>IFERROR(__xludf.DUMMYFUNCTION("IF(ISBLANK(A78),,FILTER('Leetcode List'!B:C,'Leetcode List'!A:A = A78))"),"First Unique Character in a String")</f>
        <v>First Unique Character in a String</v>
      </c>
      <c r="C78" s="46" t="str">
        <f>IFERROR(__xludf.DUMMYFUNCTION("""COMPUTED_VALUE"""),"Easy")</f>
        <v>Easy</v>
      </c>
      <c r="D78" s="46" t="s">
        <v>70</v>
      </c>
      <c r="E78" s="87" t="str">
        <f>IFERROR(__xludf.DUMMYFUNCTION("IF(ISBLANK(A78),,FILTER('Leetcode List'!E:J,'Leetcode List'!A:A = A78))"),"Tcs,Twitter,Oracle,EBay,Uber,Zulily,Walmart Labs,JPMorgan,Zillow,ServiceNow,Huawei,Apple,Yahoo,Bloomberg,Adobe,Facebook,Amazon,LinkedIn,Microsoft,Goldman Sachs,Google")</f>
        <v>Tcs,Twitter,Oracle,EBay,Uber,Zulily,Walmart Labs,JPMorgan,Zillow,ServiceNow,Huawei,Apple,Yahoo,Bloomberg,Adobe,Facebook,Amazon,LinkedIn,Microsoft,Goldman Sachs,Google</v>
      </c>
      <c r="F78" s="47" t="str">
        <f>IFERROR(__xludf.DUMMYFUNCTION("""COMPUTED_VALUE"""),"Bloomberg,Goldman Sachs,Amazon,Facebook,Microsoft,Google,Zillow,Apple,Adobe,Oracle")</f>
        <v>Bloomberg,Goldman Sachs,Amazon,Facebook,Microsoft,Google,Zillow,Apple,Adobe,Oracle</v>
      </c>
      <c r="G78" s="47" t="str">
        <f>IFERROR(__xludf.DUMMYFUNCTION("""COMPUTED_VALUE"""),"ServiceNow,tcs,Bloomberg,Goldman Sachs,Amazon,Facebook,Microsoft,Google,Zillow,Apple,Adobe,Oracle")</f>
        <v>ServiceNow,tcs,Bloomberg,Goldman Sachs,Amazon,Facebook,Microsoft,Google,Zillow,Apple,Adobe,Oracle</v>
      </c>
      <c r="H78" s="47" t="str">
        <f>IFERROR(__xludf.DUMMYFUNCTION("""COMPUTED_VALUE"""),"Yahoo,eBay,Uber,Walmart Labs,Zulily,LinkedIn,Twitter,ServiceNow,tcs,Bloomberg,Goldman Sachs,Amazon,Facebook,Microsoft,Google,Zillow,Apple,Adobe,Oracle")</f>
        <v>Yahoo,eBay,Uber,Walmart Labs,Zulily,LinkedIn,Twitter,ServiceNow,tcs,Bloomberg,Goldman Sachs,Amazon,Facebook,Microsoft,Google,Zillow,Apple,Adobe,Oracle</v>
      </c>
      <c r="I78" s="47">
        <f>IFERROR(__xludf.DUMMYFUNCTION("""COMPUTED_VALUE"""),53.8)</f>
        <v>53.8</v>
      </c>
      <c r="J78" s="47" t="str">
        <f>IFERROR(__xludf.DUMMYFUNCTION("""COMPUTED_VALUE"""),"算法")</f>
        <v>算法</v>
      </c>
      <c r="K78" s="47">
        <v>77.0</v>
      </c>
      <c r="L78" s="6">
        <f>COUNTIF('Coder-1'!B:B,A78)</f>
        <v>0</v>
      </c>
      <c r="M78" s="6">
        <f>COUNTIF('Coder-2'!B:B,A78)</f>
        <v>0</v>
      </c>
      <c r="N78" s="6">
        <f>COUNTIF('Coder-3'!B:B,A78)</f>
        <v>0</v>
      </c>
      <c r="O78" s="6">
        <f>COUNTIF('Coder-4'!B:B,A78)</f>
        <v>0</v>
      </c>
    </row>
    <row r="79">
      <c r="A79" s="83">
        <v>383.0</v>
      </c>
      <c r="B79" s="86" t="str">
        <f>IFERROR(__xludf.DUMMYFUNCTION("IF(ISBLANK(A79),,FILTER('Leetcode List'!B:C,'Leetcode List'!A:A = A79))"),"Ransom Note")</f>
        <v>Ransom Note</v>
      </c>
      <c r="C79" s="46" t="str">
        <f>IFERROR(__xludf.DUMMYFUNCTION("""COMPUTED_VALUE"""),"Easy")</f>
        <v>Easy</v>
      </c>
      <c r="D79" s="46" t="s">
        <v>70</v>
      </c>
      <c r="E79" s="87" t="str">
        <f>IFERROR(__xludf.DUMMYFUNCTION("IF(ISBLANK(A79),,FILTER('Leetcode List'!E:J,'Leetcode List'!A:A = A79))"),"Visa,Facebook,Spotify,Apple,Amazon,Microsoft")</f>
        <v>Visa,Facebook,Spotify,Apple,Amazon,Microsoft</v>
      </c>
      <c r="F79" s="47" t="str">
        <f>IFERROR(__xludf.DUMMYFUNCTION("""COMPUTED_VALUE"""),"Spotify,Amazon,Microsoft")</f>
        <v>Spotify,Amazon,Microsoft</v>
      </c>
      <c r="G79" s="47" t="str">
        <f>IFERROR(__xludf.DUMMYFUNCTION("""COMPUTED_VALUE"""),"Visa,Facebook,Spotify,Amazon,Microsoft")</f>
        <v>Visa,Facebook,Spotify,Amazon,Microsoft</v>
      </c>
      <c r="H79" s="47" t="str">
        <f>IFERROR(__xludf.DUMMYFUNCTION("""COMPUTED_VALUE"""),"Apple,Visa,Facebook,Spotify,Amazon,Microsoft")</f>
        <v>Apple,Visa,Facebook,Spotify,Amazon,Microsoft</v>
      </c>
      <c r="I79" s="47">
        <f>IFERROR(__xludf.DUMMYFUNCTION("""COMPUTED_VALUE"""),53.35)</f>
        <v>53.35</v>
      </c>
      <c r="J79" s="47" t="str">
        <f>IFERROR(__xludf.DUMMYFUNCTION("""COMPUTED_VALUE"""),"算法")</f>
        <v>算法</v>
      </c>
      <c r="K79" s="47">
        <v>78.0</v>
      </c>
      <c r="L79" s="6">
        <f>COUNTIF('Coder-1'!B:B,A79)</f>
        <v>0</v>
      </c>
      <c r="M79" s="6">
        <f>COUNTIF('Coder-2'!B:B,A79)</f>
        <v>0</v>
      </c>
      <c r="N79" s="6">
        <f>COUNTIF('Coder-3'!B:B,A79)</f>
        <v>0</v>
      </c>
      <c r="O79" s="6">
        <f>COUNTIF('Coder-4'!B:B,A79)</f>
        <v>0</v>
      </c>
    </row>
    <row r="80">
      <c r="A80" s="83">
        <v>344.0</v>
      </c>
      <c r="B80" s="86" t="str">
        <f>IFERROR(__xludf.DUMMYFUNCTION("IF(ISBLANK(A80),,FILTER('Leetcode List'!B:C,'Leetcode List'!A:A = A80))"),"Reverse String")</f>
        <v>Reverse String</v>
      </c>
      <c r="C80" s="46" t="str">
        <f>IFERROR(__xludf.DUMMYFUNCTION("""COMPUTED_VALUE"""),"Easy")</f>
        <v>Easy</v>
      </c>
      <c r="D80" s="46" t="s">
        <v>70</v>
      </c>
      <c r="E80" s="87" t="str">
        <f>IFERROR(__xludf.DUMMYFUNCTION("IF(ISBLANK(A80),,FILTER('Leetcode List'!E:J,'Leetcode List'!A:A = A80))"),"ServiceNow,GoDaddy,Snapchat,Paypal,Oracle,Cisco,EBay,Apple,Uber,Bloomberg,Adobe,Facebook,Amazon,Microsoft,Goldman Sachs,Google")</f>
        <v>ServiceNow,GoDaddy,Snapchat,Paypal,Oracle,Cisco,EBay,Apple,Uber,Bloomberg,Adobe,Facebook,Amazon,Microsoft,Goldman Sachs,Google</v>
      </c>
      <c r="F80" s="47" t="str">
        <f>IFERROR(__xludf.DUMMYFUNCTION("""COMPUTED_VALUE"""),"Apple,Microsoft,Amazon,Goldman Sachs,eBay,Adobe,Bloomberg")</f>
        <v>Apple,Microsoft,Amazon,Goldman Sachs,eBay,Adobe,Bloomberg</v>
      </c>
      <c r="G80" s="47" t="str">
        <f>IFERROR(__xludf.DUMMYFUNCTION("""COMPUTED_VALUE"""),"ServiceNow,Google,Apple,Microsoft,Amazon,Goldman Sachs,eBay,Adobe,Bloomberg")</f>
        <v>ServiceNow,Google,Apple,Microsoft,Amazon,Goldman Sachs,eBay,Adobe,Bloomberg</v>
      </c>
      <c r="H80" s="47" t="str">
        <f>IFERROR(__xludf.DUMMYFUNCTION("""COMPUTED_VALUE"""),"Facebook,Oracle,Uber,Cisco,Snapchat,ServiceNow,Google,Apple,Microsoft,Amazon,Goldman Sachs,eBay,Adobe,Bloomberg")</f>
        <v>Facebook,Oracle,Uber,Cisco,Snapchat,ServiceNow,Google,Apple,Microsoft,Amazon,Goldman Sachs,eBay,Adobe,Bloomberg</v>
      </c>
      <c r="I80" s="47">
        <f>IFERROR(__xludf.DUMMYFUNCTION("""COMPUTED_VALUE"""),70.52)</f>
        <v>70.52</v>
      </c>
      <c r="J80" s="47" t="str">
        <f>IFERROR(__xludf.DUMMYFUNCTION("""COMPUTED_VALUE"""),"算法")</f>
        <v>算法</v>
      </c>
      <c r="K80" s="47">
        <v>79.0</v>
      </c>
      <c r="L80" s="6">
        <f>COUNTIF('Coder-1'!B:B,A80)</f>
        <v>0</v>
      </c>
      <c r="M80" s="6">
        <f>COUNTIF('Coder-2'!B:B,A80)</f>
        <v>0</v>
      </c>
      <c r="N80" s="6">
        <f>COUNTIF('Coder-3'!B:B,A80)</f>
        <v>0</v>
      </c>
      <c r="O80" s="6">
        <f>COUNTIF('Coder-4'!B:B,A80)</f>
        <v>0</v>
      </c>
    </row>
    <row r="81">
      <c r="A81" s="83">
        <v>151.0</v>
      </c>
      <c r="B81" s="86" t="str">
        <f>IFERROR(__xludf.DUMMYFUNCTION("IF(ISBLANK(A81),,FILTER('Leetcode List'!B:C,'Leetcode List'!A:A = A81))"),"Reverse Words in a String")</f>
        <v>Reverse Words in a String</v>
      </c>
      <c r="C81" s="46" t="str">
        <f>IFERROR(__xludf.DUMMYFUNCTION("""COMPUTED_VALUE"""),"Medium")</f>
        <v>Medium</v>
      </c>
      <c r="D81" s="46" t="s">
        <v>70</v>
      </c>
      <c r="E81" s="87" t="str">
        <f>IFERROR(__xludf.DUMMYFUNCTION("IF(ISBLANK(A81),,FILTER('Leetcode List'!E:J,'Leetcode List'!A:A = A81))"),"PayTM,ByteDance,Qualcomm,SAP,LinkedIn,Salesforce,VMware,Citadel,Walmart Labs,Snapchat,Zillow,Yelp,Nvidia,Oracle,Cisco,Huawei,Apple,Bloomberg,Facebook,Amazon,Microsoft,Alibaba,Google")</f>
        <v>PayTM,ByteDance,Qualcomm,SAP,LinkedIn,Salesforce,VMware,Citadel,Walmart Labs,Snapchat,Zillow,Yelp,Nvidia,Oracle,Cisco,Huawei,Apple,Bloomberg,Facebook,Amazon,Microsoft,Alibaba,Google</v>
      </c>
      <c r="F81" s="47" t="str">
        <f>IFERROR(__xludf.DUMMYFUNCTION("""COMPUTED_VALUE"""),"Microsoft,Oracle,LinkedIn,Apple,Salesforce")</f>
        <v>Microsoft,Oracle,LinkedIn,Apple,Salesforce</v>
      </c>
      <c r="G81" s="47" t="str">
        <f>IFERROR(__xludf.DUMMYFUNCTION("""COMPUTED_VALUE"""),"Facebook,Amazon,Qualcomm,VMware,ByteDance,Microsoft,Oracle,LinkedIn,Apple,Salesforce")</f>
        <v>Facebook,Amazon,Qualcomm,VMware,ByteDance,Microsoft,Oracle,LinkedIn,Apple,Salesforce</v>
      </c>
      <c r="H81" s="47" t="str">
        <f>IFERROR(__xludf.DUMMYFUNCTION("""COMPUTED_VALUE"""),"Zillow,Nvidia,SAP,Huawei,Cisco,Citadel,PayTM,Bloomberg,Snapchat,Yelp,Facebook,Amazon,Qualcomm,VMware,ByteDance,Microsoft,Oracle,LinkedIn,Apple,Salesforce")</f>
        <v>Zillow,Nvidia,SAP,Huawei,Cisco,Citadel,PayTM,Bloomberg,Snapchat,Yelp,Facebook,Amazon,Qualcomm,VMware,ByteDance,Microsoft,Oracle,LinkedIn,Apple,Salesforce</v>
      </c>
      <c r="I81" s="47">
        <f>IFERROR(__xludf.DUMMYFUNCTION("""COMPUTED_VALUE"""),23.94)</f>
        <v>23.94</v>
      </c>
      <c r="J81" s="47" t="str">
        <f>IFERROR(__xludf.DUMMYFUNCTION("""COMPUTED_VALUE"""),"算法")</f>
        <v>算法</v>
      </c>
      <c r="K81" s="47">
        <v>80.0</v>
      </c>
      <c r="L81" s="6">
        <f>COUNTIF('Coder-1'!B:B,A81)</f>
        <v>0</v>
      </c>
      <c r="M81" s="6">
        <f>COUNTIF('Coder-2'!B:B,A81)</f>
        <v>0</v>
      </c>
      <c r="N81" s="6">
        <f>COUNTIF('Coder-3'!B:B,A81)</f>
        <v>0</v>
      </c>
      <c r="O81" s="6">
        <f>COUNTIF('Coder-4'!B:B,A81)</f>
        <v>0</v>
      </c>
    </row>
    <row r="82">
      <c r="A82" s="83">
        <v>186.0</v>
      </c>
      <c r="B82" s="86" t="str">
        <f>IFERROR(__xludf.DUMMYFUNCTION("IF(ISBLANK(A82),,FILTER('Leetcode List'!B:C,'Leetcode List'!A:A = A82))"),"Reverse Words in a String II")</f>
        <v>Reverse Words in a String II</v>
      </c>
      <c r="C82" s="46" t="str">
        <f>IFERROR(__xludf.DUMMYFUNCTION("""COMPUTED_VALUE"""),"Medium")</f>
        <v>Medium</v>
      </c>
      <c r="D82" s="46" t="s">
        <v>70</v>
      </c>
      <c r="E82" s="87" t="str">
        <f>IFERROR(__xludf.DUMMYFUNCTION("IF(ISBLANK(A82),,FILTER('Leetcode List'!E:J,'Leetcode List'!A:A = A82))"),"Salesforce,VMware,Uber,Amazon,Microsoft")</f>
        <v>Salesforce,VMware,Uber,Amazon,Microsoft</v>
      </c>
      <c r="F82" s="47"/>
      <c r="G82" s="47" t="str">
        <f>IFERROR(__xludf.DUMMYFUNCTION("""COMPUTED_VALUE"""),"Microsoft,Salesforce")</f>
        <v>Microsoft,Salesforce</v>
      </c>
      <c r="H82" s="47" t="str">
        <f>IFERROR(__xludf.DUMMYFUNCTION("""COMPUTED_VALUE"""),"VMware,Amazon,Uber,Microsoft,Salesforce")</f>
        <v>VMware,Amazon,Uber,Microsoft,Salesforce</v>
      </c>
      <c r="I82" s="47">
        <f>IFERROR(__xludf.DUMMYFUNCTION("""COMPUTED_VALUE"""),45.76)</f>
        <v>45.76</v>
      </c>
      <c r="J82" s="47" t="str">
        <f>IFERROR(__xludf.DUMMYFUNCTION("""COMPUTED_VALUE"""),"算法")</f>
        <v>算法</v>
      </c>
      <c r="K82" s="47">
        <v>81.0</v>
      </c>
      <c r="L82" s="6">
        <f>COUNTIF('Coder-1'!B:B,A82)</f>
        <v>0</v>
      </c>
      <c r="M82" s="6">
        <f>COUNTIF('Coder-2'!B:B,A82)</f>
        <v>0</v>
      </c>
      <c r="N82" s="6">
        <f>COUNTIF('Coder-3'!B:B,A82)</f>
        <v>0</v>
      </c>
      <c r="O82" s="6">
        <f>COUNTIF('Coder-4'!B:B,A82)</f>
        <v>0</v>
      </c>
    </row>
    <row r="83">
      <c r="A83" s="83">
        <v>345.0</v>
      </c>
      <c r="B83" s="86" t="str">
        <f>IFERROR(__xludf.DUMMYFUNCTION("IF(ISBLANK(A83),,FILTER('Leetcode List'!B:C,'Leetcode List'!A:A = A83))"),"Reverse Vowels of a String")</f>
        <v>Reverse Vowels of a String</v>
      </c>
      <c r="C83" s="46" t="str">
        <f>IFERROR(__xludf.DUMMYFUNCTION("""COMPUTED_VALUE"""),"Easy")</f>
        <v>Easy</v>
      </c>
      <c r="D83" s="46" t="s">
        <v>70</v>
      </c>
      <c r="E83" s="87" t="str">
        <f>IFERROR(__xludf.DUMMYFUNCTION("IF(ISBLANK(A83),,FILTER('Leetcode List'!E:J,'Leetcode List'!A:A = A83))"),"Apple,Facebook,Amazon,Google")</f>
        <v>Apple,Facebook,Amazon,Google</v>
      </c>
      <c r="F83" s="47" t="str">
        <f>IFERROR(__xludf.DUMMYFUNCTION("""COMPUTED_VALUE"""),"Facebook,Amazon,Google")</f>
        <v>Facebook,Amazon,Google</v>
      </c>
      <c r="G83" s="47" t="str">
        <f>IFERROR(__xludf.DUMMYFUNCTION("""COMPUTED_VALUE"""),"Apple,Facebook,Amazon,Google")</f>
        <v>Apple,Facebook,Amazon,Google</v>
      </c>
      <c r="H83" s="47" t="str">
        <f>IFERROR(__xludf.DUMMYFUNCTION("""COMPUTED_VALUE"""),"Apple,Facebook,Amazon,Google")</f>
        <v>Apple,Facebook,Amazon,Google</v>
      </c>
      <c r="I83" s="47">
        <f>IFERROR(__xludf.DUMMYFUNCTION("""COMPUTED_VALUE"""),45.14)</f>
        <v>45.14</v>
      </c>
      <c r="J83" s="47" t="str">
        <f>IFERROR(__xludf.DUMMYFUNCTION("""COMPUTED_VALUE"""),"算法")</f>
        <v>算法</v>
      </c>
      <c r="K83" s="47">
        <v>82.0</v>
      </c>
      <c r="L83" s="6">
        <f>COUNTIF('Coder-1'!B:B,A83)</f>
        <v>0</v>
      </c>
      <c r="M83" s="6">
        <f>COUNTIF('Coder-2'!B:B,A83)</f>
        <v>0</v>
      </c>
      <c r="N83" s="6">
        <f>COUNTIF('Coder-3'!B:B,A83)</f>
        <v>0</v>
      </c>
      <c r="O83" s="6">
        <f>COUNTIF('Coder-4'!B:B,A83)</f>
        <v>0</v>
      </c>
    </row>
    <row r="84">
      <c r="A84" s="83">
        <v>205.0</v>
      </c>
      <c r="B84" s="86" t="str">
        <f>IFERROR(__xludf.DUMMYFUNCTION("IF(ISBLANK(A84),,FILTER('Leetcode List'!B:C,'Leetcode List'!A:A = A84))"),"Isomorphic Strings")</f>
        <v>Isomorphic Strings</v>
      </c>
      <c r="C84" s="46" t="str">
        <f>IFERROR(__xludf.DUMMYFUNCTION("""COMPUTED_VALUE"""),"Easy")</f>
        <v>Easy</v>
      </c>
      <c r="D84" s="46" t="s">
        <v>70</v>
      </c>
      <c r="E84" s="87" t="str">
        <f>IFERROR(__xludf.DUMMYFUNCTION("IF(ISBLANK(A84),,FILTER('Leetcode List'!E:J,'Leetcode List'!A:A = A84))"),"Intel,EBay,Apple,Salesforce,Yelp,Oracle,Yahoo,Bloomberg,Adobe,Facebook,Amazon,LinkedIn,Microsoft,Google")</f>
        <v>Intel,EBay,Apple,Salesforce,Yelp,Oracle,Yahoo,Bloomberg,Adobe,Facebook,Amazon,LinkedIn,Microsoft,Google</v>
      </c>
      <c r="F84" s="47" t="str">
        <f>IFERROR(__xludf.DUMMYFUNCTION("""COMPUTED_VALUE"""),"Amazon,Apple,Facebook,Intel,Google")</f>
        <v>Amazon,Apple,Facebook,Intel,Google</v>
      </c>
      <c r="G84" s="47" t="str">
        <f>IFERROR(__xludf.DUMMYFUNCTION("""COMPUTED_VALUE"""),"Microsoft,Bloomberg,Amazon,Apple,Facebook,Intel,Google")</f>
        <v>Microsoft,Bloomberg,Amazon,Apple,Facebook,Intel,Google</v>
      </c>
      <c r="H84" s="47" t="str">
        <f>IFERROR(__xludf.DUMMYFUNCTION("""COMPUTED_VALUE"""),"LinkedIn,Yahoo,Adobe,eBay,Oracle,Microsoft,Bloomberg,Amazon,Apple,Facebook,Intel,Google")</f>
        <v>LinkedIn,Yahoo,Adobe,eBay,Oracle,Microsoft,Bloomberg,Amazon,Apple,Facebook,Intel,Google</v>
      </c>
      <c r="I84" s="47">
        <f>IFERROR(__xludf.DUMMYFUNCTION("""COMPUTED_VALUE"""),40.54)</f>
        <v>40.54</v>
      </c>
      <c r="J84" s="47" t="str">
        <f>IFERROR(__xludf.DUMMYFUNCTION("""COMPUTED_VALUE"""),"算法")</f>
        <v>算法</v>
      </c>
      <c r="K84" s="47">
        <v>83.0</v>
      </c>
      <c r="L84" s="6">
        <f>COUNTIF('Coder-1'!B:B,A84)</f>
        <v>0</v>
      </c>
      <c r="M84" s="6">
        <f>COUNTIF('Coder-2'!B:B,A84)</f>
        <v>0</v>
      </c>
      <c r="N84" s="6">
        <f>COUNTIF('Coder-3'!B:B,A84)</f>
        <v>0</v>
      </c>
      <c r="O84" s="6">
        <f>COUNTIF('Coder-4'!B:B,A84)</f>
        <v>0</v>
      </c>
    </row>
    <row r="85">
      <c r="A85" s="83">
        <v>293.0</v>
      </c>
      <c r="B85" s="86" t="str">
        <f>IFERROR(__xludf.DUMMYFUNCTION("IF(ISBLANK(A85),,FILTER('Leetcode List'!B:C,'Leetcode List'!A:A = A85))"),"Flip Game")</f>
        <v>Flip Game</v>
      </c>
      <c r="C85" s="46" t="str">
        <f>IFERROR(__xludf.DUMMYFUNCTION("""COMPUTED_VALUE"""),"Easy")</f>
        <v>Easy</v>
      </c>
      <c r="D85" s="46" t="s">
        <v>70</v>
      </c>
      <c r="E85" s="87" t="str">
        <f>IFERROR(__xludf.DUMMYFUNCTION("IF(ISBLANK(A85),,FILTER('Leetcode List'!E:J,'Leetcode List'!A:A = A85))"),"Google")</f>
        <v>Google</v>
      </c>
      <c r="F85" s="47"/>
      <c r="G85" s="47"/>
      <c r="H85" s="47" t="str">
        <f>IFERROR(__xludf.DUMMYFUNCTION("""COMPUTED_VALUE"""),"Google")</f>
        <v>Google</v>
      </c>
      <c r="I85" s="47">
        <f>IFERROR(__xludf.DUMMYFUNCTION("""COMPUTED_VALUE"""),61.41)</f>
        <v>61.41</v>
      </c>
      <c r="J85" s="47" t="str">
        <f>IFERROR(__xludf.DUMMYFUNCTION("""COMPUTED_VALUE"""),"算法")</f>
        <v>算法</v>
      </c>
      <c r="K85" s="47">
        <v>84.0</v>
      </c>
      <c r="L85" s="6">
        <f>COUNTIF('Coder-1'!B:B,A85)</f>
        <v>0</v>
      </c>
      <c r="M85" s="6">
        <f>COUNTIF('Coder-2'!B:B,A85)</f>
        <v>0</v>
      </c>
      <c r="N85" s="6">
        <f>COUNTIF('Coder-3'!B:B,A85)</f>
        <v>0</v>
      </c>
      <c r="O85" s="6">
        <f>COUNTIF('Coder-4'!B:B,A85)</f>
        <v>0</v>
      </c>
    </row>
    <row r="86">
      <c r="A86" s="83">
        <v>294.0</v>
      </c>
      <c r="B86" s="86" t="str">
        <f>IFERROR(__xludf.DUMMYFUNCTION("IF(ISBLANK(A86),,FILTER('Leetcode List'!B:C,'Leetcode List'!A:A = A86))"),"Flip Game II")</f>
        <v>Flip Game II</v>
      </c>
      <c r="C86" s="46" t="str">
        <f>IFERROR(__xludf.DUMMYFUNCTION("""COMPUTED_VALUE"""),"Medium")</f>
        <v>Medium</v>
      </c>
      <c r="D86" s="46" t="s">
        <v>70</v>
      </c>
      <c r="E86" s="87" t="str">
        <f>IFERROR(__xludf.DUMMYFUNCTION("IF(ISBLANK(A86),,FILTER('Leetcode List'!E:J,'Leetcode List'!A:A = A86))"),"Google")</f>
        <v>Google</v>
      </c>
      <c r="F86" s="47"/>
      <c r="G86" s="47"/>
      <c r="H86" s="47" t="str">
        <f>IFERROR(__xludf.DUMMYFUNCTION("""COMPUTED_VALUE"""),"Google")</f>
        <v>Google</v>
      </c>
      <c r="I86" s="47">
        <f>IFERROR(__xludf.DUMMYFUNCTION("""COMPUTED_VALUE"""),50.7)</f>
        <v>50.7</v>
      </c>
      <c r="J86" s="47" t="str">
        <f>IFERROR(__xludf.DUMMYFUNCTION("""COMPUTED_VALUE"""),"算法")</f>
        <v>算法</v>
      </c>
      <c r="K86" s="47">
        <v>85.0</v>
      </c>
      <c r="L86" s="6">
        <f>COUNTIF('Coder-1'!B:B,A86)</f>
        <v>0</v>
      </c>
      <c r="M86" s="6">
        <f>COUNTIF('Coder-2'!B:B,A86)</f>
        <v>0</v>
      </c>
      <c r="N86" s="6">
        <f>COUNTIF('Coder-3'!B:B,A86)</f>
        <v>0</v>
      </c>
      <c r="O86" s="6">
        <f>COUNTIF('Coder-4'!B:B,A86)</f>
        <v>0</v>
      </c>
    </row>
    <row r="87">
      <c r="A87" s="83">
        <v>290.0</v>
      </c>
      <c r="B87" s="86" t="str">
        <f>IFERROR(__xludf.DUMMYFUNCTION("IF(ISBLANK(A87),,FILTER('Leetcode List'!B:C,'Leetcode List'!A:A = A87))"),"Word Pattern")</f>
        <v>Word Pattern</v>
      </c>
      <c r="C87" s="46" t="str">
        <f>IFERROR(__xludf.DUMMYFUNCTION("""COMPUTED_VALUE"""),"Easy")</f>
        <v>Easy</v>
      </c>
      <c r="D87" s="46" t="s">
        <v>70</v>
      </c>
      <c r="E87" s="87" t="str">
        <f>IFERROR(__xludf.DUMMYFUNCTION("IF(ISBLANK(A87),,FILTER('Leetcode List'!E:J,'Leetcode List'!A:A = A87))"),"GoDaddy,Apple,Capital One,Dropbox,Uber,Facebook,Amazon,Microsoft,Google")</f>
        <v>GoDaddy,Apple,Capital One,Dropbox,Uber,Facebook,Amazon,Microsoft,Google</v>
      </c>
      <c r="F87" s="47" t="str">
        <f>IFERROR(__xludf.DUMMYFUNCTION("""COMPUTED_VALUE"""),"Apple")</f>
        <v>Apple</v>
      </c>
      <c r="G87" s="47" t="str">
        <f>IFERROR(__xludf.DUMMYFUNCTION("""COMPUTED_VALUE"""),"Amazon,Capital One,Apple")</f>
        <v>Amazon,Capital One,Apple</v>
      </c>
      <c r="H87" s="47" t="str">
        <f>IFERROR(__xludf.DUMMYFUNCTION("""COMPUTED_VALUE"""),"Google,Microsoft,Facebook,GoDaddy,Dropbox,Uber,Amazon,Capital One,Apple")</f>
        <v>Google,Microsoft,Facebook,GoDaddy,Dropbox,Uber,Amazon,Capital One,Apple</v>
      </c>
      <c r="I87" s="47">
        <f>IFERROR(__xludf.DUMMYFUNCTION("""COMPUTED_VALUE"""),38.4)</f>
        <v>38.4</v>
      </c>
      <c r="J87" s="47" t="str">
        <f>IFERROR(__xludf.DUMMYFUNCTION("""COMPUTED_VALUE"""),"算法")</f>
        <v>算法</v>
      </c>
      <c r="K87" s="47">
        <v>86.0</v>
      </c>
      <c r="L87" s="6">
        <f>COUNTIF('Coder-1'!B:B,A87)</f>
        <v>0</v>
      </c>
      <c r="M87" s="6">
        <f>COUNTIF('Coder-2'!B:B,A87)</f>
        <v>0</v>
      </c>
      <c r="N87" s="6">
        <f>COUNTIF('Coder-3'!B:B,A87)</f>
        <v>0</v>
      </c>
      <c r="O87" s="6">
        <f>COUNTIF('Coder-4'!B:B,A87)</f>
        <v>0</v>
      </c>
    </row>
    <row r="88">
      <c r="A88" s="83">
        <v>242.0</v>
      </c>
      <c r="B88" s="86" t="str">
        <f>IFERROR(__xludf.DUMMYFUNCTION("IF(ISBLANK(A88),,FILTER('Leetcode List'!B:C,'Leetcode List'!A:A = A88))"),"Valid Anagram")</f>
        <v>Valid Anagram</v>
      </c>
      <c r="C88" s="46" t="str">
        <f>IFERROR(__xludf.DUMMYFUNCTION("""COMPUTED_VALUE"""),"Easy")</f>
        <v>Easy</v>
      </c>
      <c r="D88" s="46" t="s">
        <v>70</v>
      </c>
      <c r="E88" s="87" t="str">
        <f>IFERROR(__xludf.DUMMYFUNCTION("IF(ISBLANK(A88),,FILTER('Leetcode List'!E:J,'Leetcode List'!A:A = A88))"),"Qualcomm,VMware,Adobe,Docusign,Zulily,Snapchat,Paypal,ServiceNow,Expedia,Yelp,Oracle,Cisco,Apple,Uber,Yahoo,Morgan Stanley,Bloomberg,Facebook,Amazon,Microsoft,Goldman Sachs,Google")</f>
        <v>Qualcomm,VMware,Adobe,Docusign,Zulily,Snapchat,Paypal,ServiceNow,Expedia,Yelp,Oracle,Cisco,Apple,Uber,Yahoo,Morgan Stanley,Bloomberg,Facebook,Amazon,Microsoft,Goldman Sachs,Google</v>
      </c>
      <c r="F88" s="47" t="str">
        <f>IFERROR(__xludf.DUMMYFUNCTION("""COMPUTED_VALUE"""),"Bloomberg,Microsoft,Facebook,Amazon,Goldman Sachs,Apple,Oracle,Google,Paypal,Adobe,Cisco,Qualcomm")</f>
        <v>Bloomberg,Microsoft,Facebook,Amazon,Goldman Sachs,Apple,Oracle,Google,Paypal,Adobe,Cisco,Qualcomm</v>
      </c>
      <c r="G88" s="47" t="str">
        <f>IFERROR(__xludf.DUMMYFUNCTION("""COMPUTED_VALUE"""),"VMware,Docusign,Bloomberg,Microsoft,Facebook,Amazon,Goldman Sachs,Apple,Oracle,Google,Paypal,Adobe,Cisco,Qualcomm")</f>
        <v>VMware,Docusign,Bloomberg,Microsoft,Facebook,Amazon,Goldman Sachs,Apple,Oracle,Google,Paypal,Adobe,Cisco,Qualcomm</v>
      </c>
      <c r="H88" s="47" t="str">
        <f>IFERROR(__xludf.DUMMYFUNCTION("""COMPUTED_VALUE"""),"Uber,Zulily,ServiceNow,Yelp,VMware,Docusign,Bloomberg,Microsoft,Facebook,Amazon,Goldman Sachs,Apple,Oracle,Google,Paypal,Adobe,Cisco,Qualcomm")</f>
        <v>Uber,Zulily,ServiceNow,Yelp,VMware,Docusign,Bloomberg,Microsoft,Facebook,Amazon,Goldman Sachs,Apple,Oracle,Google,Paypal,Adobe,Cisco,Qualcomm</v>
      </c>
      <c r="I88" s="47">
        <f>IFERROR(__xludf.DUMMYFUNCTION("""COMPUTED_VALUE"""),58.71)</f>
        <v>58.71</v>
      </c>
      <c r="J88" s="47" t="str">
        <f>IFERROR(__xludf.DUMMYFUNCTION("""COMPUTED_VALUE"""),"算法")</f>
        <v>算法</v>
      </c>
      <c r="K88" s="47">
        <v>87.0</v>
      </c>
      <c r="L88" s="6">
        <f>COUNTIF('Coder-1'!B:B,A88)</f>
        <v>0</v>
      </c>
      <c r="M88" s="6">
        <f>COUNTIF('Coder-2'!B:B,A88)</f>
        <v>0</v>
      </c>
      <c r="N88" s="6">
        <f>COUNTIF('Coder-3'!B:B,A88)</f>
        <v>0</v>
      </c>
      <c r="O88" s="6">
        <f>COUNTIF('Coder-4'!B:B,A88)</f>
        <v>0</v>
      </c>
    </row>
    <row r="89">
      <c r="A89" s="83">
        <v>49.0</v>
      </c>
      <c r="B89" s="86" t="str">
        <f>IFERROR(__xludf.DUMMYFUNCTION("IF(ISBLANK(A89),,FILTER('Leetcode List'!B:C,'Leetcode List'!A:A = A89))"),"Group Anagrams")</f>
        <v>Group Anagrams</v>
      </c>
      <c r="C89" s="46" t="str">
        <f>IFERROR(__xludf.DUMMYFUNCTION("""COMPUTED_VALUE"""),"Medium")</f>
        <v>Medium</v>
      </c>
      <c r="D89" s="46" t="s">
        <v>70</v>
      </c>
      <c r="E89" s="87" t="str">
        <f>IFERROR(__xludf.DUMMYFUNCTION("IF(ISBLANK(A89),,FILTER('Leetcode List'!E:J,'Leetcode List'!A:A = A89))"),"Splunk,ByteDance,Intel,Citadel,Paypal,Expedia,Docusign,Electronic Arts,Hulu,Tesla,Nutanix,Qualtrics,Zulily,Twilio,Salesforce,Booking.com,Visa,VMware,Affirm,Walmart Labs,Snapchat,ServiceNow,Wish,Yelp,Oracle,Intuit,Cisco,Mathworks,Yandex,EBay,Apple,Uber,Yah"&amp;"oo,Bloomberg,Adobe,Facebook,Amazon,Microsoft,Goldman Sachs,Google")</f>
        <v>Splunk,ByteDance,Intel,Citadel,Paypal,Expedia,Docusign,Electronic Arts,Hulu,Tesla,Nutanix,Qualtrics,Zulily,Twilio,Salesforce,Booking.com,Visa,VMware,Affirm,Walmart Labs,Snapchat,ServiceNow,Wish,Yelp,Oracle,Intuit,Cisco,Mathworks,Yandex,EBay,Apple,Uber,Yahoo,Bloomberg,Adobe,Facebook,Amazon,Microsoft,Goldman Sachs,Google</v>
      </c>
      <c r="F89" s="47" t="str">
        <f>IFERROR(__xludf.DUMMYFUNCTION("""COMPUTED_VALUE"""),"Amazon,Goldman Sachs,Microsoft,Apple,Uber,VMware,eBay,Twilio,Oracle,Yandex,Expedia,Affirm,ByteDance,Bloomberg,Citadel,Cisco,Intel")</f>
        <v>Amazon,Goldman Sachs,Microsoft,Apple,Uber,VMware,eBay,Twilio,Oracle,Yandex,Expedia,Affirm,ByteDance,Bloomberg,Citadel,Cisco,Intel</v>
      </c>
      <c r="G89" s="47" t="str">
        <f>IFERROR(__xludf.DUMMYFUNCTION("""COMPUTED_VALUE"""),"Facebook,Google,Docusign,Mathworks,Adobe,Walmart Labs,Paypal,ServiceNow,Amazon,Goldman Sachs,Microsoft,Apple,Uber,VMware,eBay,Twilio,Oracle,Yandex,Expedia,Affirm,ByteDance,Bloomberg,Citadel,Cisco,Intel")</f>
        <v>Facebook,Google,Docusign,Mathworks,Adobe,Walmart Labs,Paypal,ServiceNow,Amazon,Goldman Sachs,Microsoft,Apple,Uber,VMware,eBay,Twilio,Oracle,Yandex,Expedia,Affirm,ByteDance,Bloomberg,Citadel,Cisco,Intel</v>
      </c>
      <c r="H89" s="47" t="str">
        <f>IFERROR(__xludf.DUMMYFUNCTION("""COMPUTED_VALUE"""),"Wish,Yahoo,Salesforce,Snapchat,Booking.com,Intuit,Tesla,Hulu,Visa,Splunk,Nutanix,Yelp,Facebook,Google,Docusign,Mathworks,Adobe,Walmart Labs,Paypal,ServiceNow,Amazon,Goldman Sachs,Microsoft,Apple,Uber,VMware,eBay,Twilio,Oracle,Yandex,Expedia,Affirm,ByteDan"&amp;"ce,Bloomberg,Citadel,Cisco,Intel")</f>
        <v>Wish,Yahoo,Salesforce,Snapchat,Booking.com,Intuit,Tesla,Hulu,Visa,Splunk,Nutanix,Yelp,Facebook,Google,Docusign,Mathworks,Adobe,Walmart Labs,Paypal,ServiceNow,Amazon,Goldman Sachs,Microsoft,Apple,Uber,VMware,eBay,Twilio,Oracle,Yandex,Expedia,Affirm,ByteDance,Bloomberg,Citadel,Cisco,Intel</v>
      </c>
      <c r="I89" s="47">
        <f>IFERROR(__xludf.DUMMYFUNCTION("""COMPUTED_VALUE"""),59.5)</f>
        <v>59.5</v>
      </c>
      <c r="J89" s="47" t="str">
        <f>IFERROR(__xludf.DUMMYFUNCTION("""COMPUTED_VALUE"""),"算法")</f>
        <v>算法</v>
      </c>
      <c r="K89" s="47">
        <v>88.0</v>
      </c>
      <c r="L89" s="6">
        <f>COUNTIF('Coder-1'!B:B,A89)</f>
        <v>0</v>
      </c>
      <c r="M89" s="6">
        <f>COUNTIF('Coder-2'!B:B,A89)</f>
        <v>0</v>
      </c>
      <c r="N89" s="6">
        <f>COUNTIF('Coder-3'!B:B,A89)</f>
        <v>0</v>
      </c>
      <c r="O89" s="6">
        <f>COUNTIF('Coder-4'!B:B,A89)</f>
        <v>0</v>
      </c>
    </row>
    <row r="90">
      <c r="A90" s="83">
        <v>249.0</v>
      </c>
      <c r="B90" s="86" t="str">
        <f>IFERROR(__xludf.DUMMYFUNCTION("IF(ISBLANK(A90),,FILTER('Leetcode List'!B:C,'Leetcode List'!A:A = A90))"),"Group Shifted Strings")</f>
        <v>Group Shifted Strings</v>
      </c>
      <c r="C90" s="46" t="str">
        <f>IFERROR(__xludf.DUMMYFUNCTION("""COMPUTED_VALUE"""),"Medium")</f>
        <v>Medium</v>
      </c>
      <c r="D90" s="46" t="s">
        <v>70</v>
      </c>
      <c r="E90" s="87" t="str">
        <f>IFERROR(__xludf.DUMMYFUNCTION("IF(ISBLANK(A90),,FILTER('Leetcode List'!E:J,'Leetcode List'!A:A = A90))"),"Uber,Facebook,Amazon,Google")</f>
        <v>Uber,Facebook,Amazon,Google</v>
      </c>
      <c r="F90" s="47" t="str">
        <f>IFERROR(__xludf.DUMMYFUNCTION("""COMPUTED_VALUE"""),"Facebook,Google")</f>
        <v>Facebook,Google</v>
      </c>
      <c r="G90" s="47" t="str">
        <f>IFERROR(__xludf.DUMMYFUNCTION("""COMPUTED_VALUE"""),"Amazon,Facebook,Google")</f>
        <v>Amazon,Facebook,Google</v>
      </c>
      <c r="H90" s="47" t="str">
        <f>IFERROR(__xludf.DUMMYFUNCTION("""COMPUTED_VALUE"""),"Uber,Amazon,Facebook,Google")</f>
        <v>Uber,Amazon,Facebook,Google</v>
      </c>
      <c r="I90" s="47">
        <f>IFERROR(__xludf.DUMMYFUNCTION("""COMPUTED_VALUE"""),58.31)</f>
        <v>58.31</v>
      </c>
      <c r="J90" s="47" t="str">
        <f>IFERROR(__xludf.DUMMYFUNCTION("""COMPUTED_VALUE"""),"算法")</f>
        <v>算法</v>
      </c>
      <c r="K90" s="47">
        <v>89.0</v>
      </c>
      <c r="L90" s="6">
        <f>COUNTIF('Coder-1'!B:B,A90)</f>
        <v>0</v>
      </c>
      <c r="M90" s="6">
        <f>COUNTIF('Coder-2'!B:B,A90)</f>
        <v>0</v>
      </c>
      <c r="N90" s="6">
        <f>COUNTIF('Coder-3'!B:B,A90)</f>
        <v>0</v>
      </c>
      <c r="O90" s="6">
        <f>COUNTIF('Coder-4'!B:B,A90)</f>
        <v>0</v>
      </c>
    </row>
    <row r="91">
      <c r="A91" s="83">
        <v>87.0</v>
      </c>
      <c r="B91" s="86" t="str">
        <f>IFERROR(__xludf.DUMMYFUNCTION("IF(ISBLANK(A91),,FILTER('Leetcode List'!B:C,'Leetcode List'!A:A = A91))"),"Scramble String")</f>
        <v>Scramble String</v>
      </c>
      <c r="C91" s="46" t="str">
        <f>IFERROR(__xludf.DUMMYFUNCTION("""COMPUTED_VALUE"""),"Hard")</f>
        <v>Hard</v>
      </c>
      <c r="D91" s="46" t="s">
        <v>70</v>
      </c>
      <c r="E91" s="87" t="str">
        <f>IFERROR(__xludf.DUMMYFUNCTION("IF(ISBLANK(A91),,FILTER('Leetcode List'!E:J,'Leetcode List'!A:A = A91))"),"Amazon,Apple,Facebook,Google")</f>
        <v>Amazon,Apple,Facebook,Google</v>
      </c>
      <c r="F91" s="47"/>
      <c r="G91" s="47" t="str">
        <f>IFERROR(__xludf.DUMMYFUNCTION("""COMPUTED_VALUE"""),"Apple")</f>
        <v>Apple</v>
      </c>
      <c r="H91" s="47" t="str">
        <f>IFERROR(__xludf.DUMMYFUNCTION("""COMPUTED_VALUE"""),"Amazon,Apple")</f>
        <v>Amazon,Apple</v>
      </c>
      <c r="I91" s="47">
        <f>IFERROR(__xludf.DUMMYFUNCTION("""COMPUTED_VALUE"""),34.77)</f>
        <v>34.77</v>
      </c>
      <c r="J91" s="47" t="str">
        <f>IFERROR(__xludf.DUMMYFUNCTION("""COMPUTED_VALUE"""),"算法")</f>
        <v>算法</v>
      </c>
      <c r="K91" s="47">
        <v>90.0</v>
      </c>
      <c r="L91" s="6">
        <f>COUNTIF('Coder-1'!B:B,A91)</f>
        <v>0</v>
      </c>
      <c r="M91" s="6">
        <f>COUNTIF('Coder-2'!B:B,A91)</f>
        <v>0</v>
      </c>
      <c r="N91" s="6">
        <f>COUNTIF('Coder-3'!B:B,A91)</f>
        <v>0</v>
      </c>
      <c r="O91" s="6">
        <f>COUNTIF('Coder-4'!B:B,A91)</f>
        <v>0</v>
      </c>
    </row>
    <row r="92">
      <c r="A92" s="83">
        <v>179.0</v>
      </c>
      <c r="B92" s="86" t="str">
        <f>IFERROR(__xludf.DUMMYFUNCTION("IF(ISBLANK(A92),,FILTER('Leetcode List'!B:C,'Leetcode List'!A:A = A92))"),"Largest Number")</f>
        <v>Largest Number</v>
      </c>
      <c r="C92" s="46" t="str">
        <f>IFERROR(__xludf.DUMMYFUNCTION("""COMPUTED_VALUE"""),"Medium")</f>
        <v>Medium</v>
      </c>
      <c r="D92" s="46" t="s">
        <v>70</v>
      </c>
      <c r="E92" s="87" t="str">
        <f>IFERROR(__xludf.DUMMYFUNCTION("IF(ISBLANK(A92),,FILTER('Leetcode List'!E:J,'Leetcode List'!A:A = A92))"),"ByteDance,VMware,Nvidia,Adobe,Google,Salesforce,Walmart Labs,Works Applications,Oracle,Apple,Facebook,Amazon,Microsoft")</f>
        <v>ByteDance,VMware,Nvidia,Adobe,Google,Salesforce,Walmart Labs,Works Applications,Oracle,Apple,Facebook,Amazon,Microsoft</v>
      </c>
      <c r="F92" s="47" t="str">
        <f>IFERROR(__xludf.DUMMYFUNCTION("""COMPUTED_VALUE"""),"Amazon,Microsoft,VMware")</f>
        <v>Amazon,Microsoft,VMware</v>
      </c>
      <c r="G92" s="47" t="str">
        <f>IFERROR(__xludf.DUMMYFUNCTION("""COMPUTED_VALUE"""),"Apple,ByteDance,Facebook,Adobe,Google,Oracle,Amazon,Microsoft,VMware")</f>
        <v>Apple,ByteDance,Facebook,Adobe,Google,Oracle,Amazon,Microsoft,VMware</v>
      </c>
      <c r="H92" s="47" t="str">
        <f>IFERROR(__xludf.DUMMYFUNCTION("""COMPUTED_VALUE"""),"Nvidia,Works Applications,Apple,ByteDance,Facebook,Adobe,Google,Oracle,Amazon,Microsoft,VMware")</f>
        <v>Nvidia,Works Applications,Apple,ByteDance,Facebook,Adobe,Google,Oracle,Amazon,Microsoft,VMware</v>
      </c>
      <c r="I92" s="47">
        <f>IFERROR(__xludf.DUMMYFUNCTION("""COMPUTED_VALUE"""),30.75)</f>
        <v>30.75</v>
      </c>
      <c r="J92" s="47" t="str">
        <f>IFERROR(__xludf.DUMMYFUNCTION("""COMPUTED_VALUE"""),"算法")</f>
        <v>算法</v>
      </c>
      <c r="K92" s="47">
        <v>91.0</v>
      </c>
      <c r="L92" s="6">
        <f>COUNTIF('Coder-1'!B:B,A92)</f>
        <v>0</v>
      </c>
      <c r="M92" s="6">
        <f>COUNTIF('Coder-2'!B:B,A92)</f>
        <v>0</v>
      </c>
      <c r="N92" s="6">
        <f>COUNTIF('Coder-3'!B:B,A92)</f>
        <v>0</v>
      </c>
      <c r="O92" s="6">
        <f>COUNTIF('Coder-4'!B:B,A92)</f>
        <v>0</v>
      </c>
    </row>
    <row r="93">
      <c r="A93" s="83">
        <v>6.0</v>
      </c>
      <c r="B93" s="86" t="str">
        <f>IFERROR(__xludf.DUMMYFUNCTION("IF(ISBLANK(A93),,FILTER('Leetcode List'!B:C,'Leetcode List'!A:A = A93))"),"ZigZag Conversion")</f>
        <v>ZigZag Conversion</v>
      </c>
      <c r="C93" s="46" t="str">
        <f>IFERROR(__xludf.DUMMYFUNCTION("""COMPUTED_VALUE"""),"Medium")</f>
        <v>Medium</v>
      </c>
      <c r="D93" s="46" t="s">
        <v>70</v>
      </c>
      <c r="E93" s="87" t="str">
        <f>IFERROR(__xludf.DUMMYFUNCTION("IF(ISBLANK(A93),,FILTER('Leetcode List'!E:J,'Leetcode List'!A:A = A93))"),"EBay,Uber,Paypal,Wish,Apple,Bloomberg,Adobe,Facebook,Amazon,Microsoft,Google")</f>
        <v>EBay,Uber,Paypal,Wish,Apple,Bloomberg,Adobe,Facebook,Amazon,Microsoft,Google</v>
      </c>
      <c r="F93" s="47" t="str">
        <f>IFERROR(__xludf.DUMMYFUNCTION("""COMPUTED_VALUE"""),"Adobe,Bloomberg")</f>
        <v>Adobe,Bloomberg</v>
      </c>
      <c r="G93" s="47" t="str">
        <f>IFERROR(__xludf.DUMMYFUNCTION("""COMPUTED_VALUE"""),"Amazon,Paypal,Facebook,eBay,Microsoft,Adobe,Bloomberg")</f>
        <v>Amazon,Paypal,Facebook,eBay,Microsoft,Adobe,Bloomberg</v>
      </c>
      <c r="H93" s="47" t="str">
        <f>IFERROR(__xludf.DUMMYFUNCTION("""COMPUTED_VALUE"""),"Apple,Google,Uber,Wish,Amazon,Paypal,Facebook,eBay,Microsoft,Adobe,Bloomberg")</f>
        <v>Apple,Google,Uber,Wish,Amazon,Paypal,Facebook,eBay,Microsoft,Adobe,Bloomberg</v>
      </c>
      <c r="I93" s="47">
        <f>IFERROR(__xludf.DUMMYFUNCTION("""COMPUTED_VALUE"""),38.1)</f>
        <v>38.1</v>
      </c>
      <c r="J93" s="47" t="str">
        <f>IFERROR(__xludf.DUMMYFUNCTION("""COMPUTED_VALUE"""),"算法")</f>
        <v>算法</v>
      </c>
      <c r="K93" s="47">
        <v>92.0</v>
      </c>
      <c r="L93" s="6">
        <f>COUNTIF('Coder-1'!B:B,A93)</f>
        <v>0</v>
      </c>
      <c r="M93" s="6">
        <f>COUNTIF('Coder-2'!B:B,A93)</f>
        <v>0</v>
      </c>
      <c r="N93" s="6">
        <f>COUNTIF('Coder-3'!B:B,A93)</f>
        <v>0</v>
      </c>
      <c r="O93" s="6">
        <f>COUNTIF('Coder-4'!B:B,A93)</f>
        <v>0</v>
      </c>
    </row>
    <row r="94">
      <c r="A94" s="83">
        <v>161.0</v>
      </c>
      <c r="B94" s="86" t="str">
        <f>IFERROR(__xludf.DUMMYFUNCTION("IF(ISBLANK(A94),,FILTER('Leetcode List'!B:C,'Leetcode List'!A:A = A94))"),"One Edit Distance")</f>
        <v>One Edit Distance</v>
      </c>
      <c r="C94" s="46" t="str">
        <f>IFERROR(__xludf.DUMMYFUNCTION("""COMPUTED_VALUE"""),"Medium")</f>
        <v>Medium</v>
      </c>
      <c r="D94" s="46" t="s">
        <v>70</v>
      </c>
      <c r="E94" s="87" t="str">
        <f>IFERROR(__xludf.DUMMYFUNCTION("IF(ISBLANK(A94),,FILTER('Leetcode List'!E:J,'Leetcode List'!A:A = A94))"),"Yandex,Apple,Snapchat,Twitter,Uber,Facebook,Amazon,Microsoft,Google")</f>
        <v>Yandex,Apple,Snapchat,Twitter,Uber,Facebook,Amazon,Microsoft,Google</v>
      </c>
      <c r="F94" s="47" t="str">
        <f>IFERROR(__xludf.DUMMYFUNCTION("""COMPUTED_VALUE"""),"Apple,Facebook,Amazon,Yandex")</f>
        <v>Apple,Facebook,Amazon,Yandex</v>
      </c>
      <c r="G94" s="47" t="str">
        <f>IFERROR(__xludf.DUMMYFUNCTION("""COMPUTED_VALUE"""),"Apple,Facebook,Amazon,Yandex")</f>
        <v>Apple,Facebook,Amazon,Yandex</v>
      </c>
      <c r="H94" s="47" t="str">
        <f>IFERROR(__xludf.DUMMYFUNCTION("""COMPUTED_VALUE"""),"Microsoft,Twitter,Snapchat,Uber,Apple,Facebook,Amazon,Yandex")</f>
        <v>Microsoft,Twitter,Snapchat,Uber,Apple,Facebook,Amazon,Yandex</v>
      </c>
      <c r="I94" s="47">
        <f>IFERROR(__xludf.DUMMYFUNCTION("""COMPUTED_VALUE"""),33.1)</f>
        <v>33.1</v>
      </c>
      <c r="J94" s="47" t="str">
        <f>IFERROR(__xludf.DUMMYFUNCTION("""COMPUTED_VALUE"""),"算法")</f>
        <v>算法</v>
      </c>
      <c r="K94" s="47">
        <v>93.0</v>
      </c>
      <c r="L94" s="6">
        <f>COUNTIF('Coder-1'!B:B,A94)</f>
        <v>0</v>
      </c>
      <c r="M94" s="6">
        <f>COUNTIF('Coder-2'!B:B,A94)</f>
        <v>0</v>
      </c>
      <c r="N94" s="6">
        <f>COUNTIF('Coder-3'!B:B,A94)</f>
        <v>0</v>
      </c>
      <c r="O94" s="6">
        <f>COUNTIF('Coder-4'!B:B,A94)</f>
        <v>0</v>
      </c>
    </row>
    <row r="95">
      <c r="A95" s="83">
        <v>38.0</v>
      </c>
      <c r="B95" s="86" t="str">
        <f>IFERROR(__xludf.DUMMYFUNCTION("IF(ISBLANK(A95),,FILTER('Leetcode List'!B:C,'Leetcode List'!A:A = A95))"),"Count and Say")</f>
        <v>Count and Say</v>
      </c>
      <c r="C95" s="46" t="str">
        <f>IFERROR(__xludf.DUMMYFUNCTION("""COMPUTED_VALUE"""),"Medium")</f>
        <v>Medium</v>
      </c>
      <c r="D95" s="46" t="s">
        <v>70</v>
      </c>
      <c r="E95" s="87" t="str">
        <f>IFERROR(__xludf.DUMMYFUNCTION("IF(ISBLANK(A95),,FILTER('Leetcode List'!E:J,'Leetcode List'!A:A = A95))"),"Tesla,Infosys,VMware,Epic Systems,Oracle,Apple,Bloomberg,Adobe,Facebook,Amazon,Microsoft,Google")</f>
        <v>Tesla,Infosys,VMware,Epic Systems,Oracle,Apple,Bloomberg,Adobe,Facebook,Amazon,Microsoft,Google</v>
      </c>
      <c r="F95" s="47" t="str">
        <f>IFERROR(__xludf.DUMMYFUNCTION("""COMPUTED_VALUE"""),"Bloomberg,Facebook,Amazon,Microsoft,Apple,Epic Systems,Tesla")</f>
        <v>Bloomberg,Facebook,Amazon,Microsoft,Apple,Epic Systems,Tesla</v>
      </c>
      <c r="G95" s="47" t="str">
        <f>IFERROR(__xludf.DUMMYFUNCTION("""COMPUTED_VALUE"""),"Google,VMware,Bloomberg,Facebook,Amazon,Microsoft,Apple,Epic Systems,Tesla")</f>
        <v>Google,VMware,Bloomberg,Facebook,Amazon,Microsoft,Apple,Epic Systems,Tesla</v>
      </c>
      <c r="H95" s="47" t="str">
        <f>IFERROR(__xludf.DUMMYFUNCTION("""COMPUTED_VALUE"""),"Oracle,Infosys,Google,VMware,Bloomberg,Facebook,Amazon,Microsoft,Apple,Epic Systems,Tesla")</f>
        <v>Oracle,Infosys,Google,VMware,Bloomberg,Facebook,Amazon,Microsoft,Apple,Epic Systems,Tesla</v>
      </c>
      <c r="I95" s="47">
        <f>IFERROR(__xludf.DUMMYFUNCTION("""COMPUTED_VALUE"""),46.16)</f>
        <v>46.16</v>
      </c>
      <c r="J95" s="47" t="str">
        <f>IFERROR(__xludf.DUMMYFUNCTION("""COMPUTED_VALUE"""),"算法")</f>
        <v>算法</v>
      </c>
      <c r="K95" s="47">
        <v>94.0</v>
      </c>
      <c r="L95" s="6">
        <f>COUNTIF('Coder-1'!B:B,A95)</f>
        <v>0</v>
      </c>
      <c r="M95" s="6">
        <f>COUNTIF('Coder-2'!B:B,A95)</f>
        <v>0</v>
      </c>
      <c r="N95" s="6">
        <f>COUNTIF('Coder-3'!B:B,A95)</f>
        <v>0</v>
      </c>
      <c r="O95" s="6">
        <f>COUNTIF('Coder-4'!B:B,A95)</f>
        <v>0</v>
      </c>
    </row>
    <row r="96">
      <c r="A96" s="83">
        <v>358.0</v>
      </c>
      <c r="B96" s="86" t="str">
        <f>IFERROR(__xludf.DUMMYFUNCTION("IF(ISBLANK(A96),,FILTER('Leetcode List'!B:C,'Leetcode List'!A:A = A96))"),"Rearrange String k Distance Apart")</f>
        <v>Rearrange String k Distance Apart</v>
      </c>
      <c r="C96" s="46" t="str">
        <f>IFERROR(__xludf.DUMMYFUNCTION("""COMPUTED_VALUE"""),"Hard")</f>
        <v>Hard</v>
      </c>
      <c r="D96" s="46" t="s">
        <v>70</v>
      </c>
      <c r="E96" s="87" t="str">
        <f>IFERROR(__xludf.DUMMYFUNCTION("IF(ISBLANK(A96),,FILTER('Leetcode List'!E:J,'Leetcode List'!A:A = A96))"),"EBay,Facebook,Amazon,Microsoft,Google")</f>
        <v>EBay,Facebook,Amazon,Microsoft,Google</v>
      </c>
      <c r="F96" s="47"/>
      <c r="G96" s="47" t="str">
        <f>IFERROR(__xludf.DUMMYFUNCTION("""COMPUTED_VALUE"""),"Microsoft,Facebook")</f>
        <v>Microsoft,Facebook</v>
      </c>
      <c r="H96" s="47" t="str">
        <f>IFERROR(__xludf.DUMMYFUNCTION("""COMPUTED_VALUE"""),"Google,Amazon,Microsoft,Facebook")</f>
        <v>Google,Amazon,Microsoft,Facebook</v>
      </c>
      <c r="I96" s="47">
        <f>IFERROR(__xludf.DUMMYFUNCTION("""COMPUTED_VALUE"""),35.7)</f>
        <v>35.7</v>
      </c>
      <c r="J96" s="47" t="str">
        <f>IFERROR(__xludf.DUMMYFUNCTION("""COMPUTED_VALUE"""),"算法")</f>
        <v>算法</v>
      </c>
      <c r="K96" s="47">
        <v>95.0</v>
      </c>
      <c r="L96" s="6">
        <f>COUNTIF('Coder-1'!B:B,A96)</f>
        <v>0</v>
      </c>
      <c r="M96" s="6">
        <f>COUNTIF('Coder-2'!B:B,A96)</f>
        <v>0</v>
      </c>
      <c r="N96" s="6">
        <f>COUNTIF('Coder-3'!B:B,A96)</f>
        <v>0</v>
      </c>
      <c r="O96" s="6">
        <f>COUNTIF('Coder-4'!B:B,A96)</f>
        <v>0</v>
      </c>
    </row>
    <row r="97">
      <c r="A97" s="83">
        <v>316.0</v>
      </c>
      <c r="B97" s="86" t="str">
        <f>IFERROR(__xludf.DUMMYFUNCTION("IF(ISBLANK(A97),,FILTER('Leetcode List'!B:C,'Leetcode List'!A:A = A97))"),"Remove Duplicate Letters")</f>
        <v>Remove Duplicate Letters</v>
      </c>
      <c r="C97" s="46" t="str">
        <f>IFERROR(__xludf.DUMMYFUNCTION("""COMPUTED_VALUE"""),"Medium")</f>
        <v>Medium</v>
      </c>
      <c r="D97" s="46" t="s">
        <v>70</v>
      </c>
      <c r="E97" s="87" t="str">
        <f>IFERROR(__xludf.DUMMYFUNCTION("IF(ISBLANK(A97),,FILTER('Leetcode List'!E:J,'Leetcode List'!A:A = A97))"),"FactSet,Bloomberg,Nutanix,ByteDance,Apple,Yahoo,Adobe,Facebook,Amazon,Microsoft,Google")</f>
        <v>FactSet,Bloomberg,Nutanix,ByteDance,Apple,Yahoo,Adobe,Facebook,Amazon,Microsoft,Google</v>
      </c>
      <c r="F97" s="47" t="str">
        <f>IFERROR(__xludf.DUMMYFUNCTION("""COMPUTED_VALUE"""),"Amazon,Bloomberg,Google")</f>
        <v>Amazon,Bloomberg,Google</v>
      </c>
      <c r="G97" s="47" t="str">
        <f>IFERROR(__xludf.DUMMYFUNCTION("""COMPUTED_VALUE"""),"ByteDance,Adobe,Amazon,Bloomberg,Google")</f>
        <v>ByteDance,Adobe,Amazon,Bloomberg,Google</v>
      </c>
      <c r="H97" s="47" t="str">
        <f>IFERROR(__xludf.DUMMYFUNCTION("""COMPUTED_VALUE"""),"Facebook,Apple,Microsoft,FactSet,ByteDance,Adobe,Amazon,Bloomberg,Google")</f>
        <v>Facebook,Apple,Microsoft,FactSet,ByteDance,Adobe,Amazon,Bloomberg,Google</v>
      </c>
      <c r="I97" s="47">
        <f>IFERROR(__xludf.DUMMYFUNCTION("""COMPUTED_VALUE"""),39.2)</f>
        <v>39.2</v>
      </c>
      <c r="J97" s="47" t="str">
        <f>IFERROR(__xludf.DUMMYFUNCTION("""COMPUTED_VALUE"""),"算法")</f>
        <v>算法</v>
      </c>
      <c r="K97" s="47">
        <v>96.0</v>
      </c>
      <c r="L97" s="6">
        <f>COUNTIF('Coder-1'!B:B,A97)</f>
        <v>0</v>
      </c>
      <c r="M97" s="6">
        <f>COUNTIF('Coder-2'!B:B,A97)</f>
        <v>0</v>
      </c>
      <c r="N97" s="6">
        <f>COUNTIF('Coder-3'!B:B,A97)</f>
        <v>0</v>
      </c>
      <c r="O97" s="6">
        <f>COUNTIF('Coder-4'!B:B,A97)</f>
        <v>0</v>
      </c>
    </row>
    <row r="98">
      <c r="A98" s="83">
        <v>271.0</v>
      </c>
      <c r="B98" s="86" t="str">
        <f>IFERROR(__xludf.DUMMYFUNCTION("IF(ISBLANK(A98),,FILTER('Leetcode List'!B:C,'Leetcode List'!A:A = A98))"),"Encode and Decode Strings")</f>
        <v>Encode and Decode Strings</v>
      </c>
      <c r="C98" s="46" t="str">
        <f>IFERROR(__xludf.DUMMYFUNCTION("""COMPUTED_VALUE"""),"Medium")</f>
        <v>Medium</v>
      </c>
      <c r="D98" s="46" t="s">
        <v>70</v>
      </c>
      <c r="E98" s="87" t="str">
        <f>IFERROR(__xludf.DUMMYFUNCTION("IF(ISBLANK(A98),,FILTER('Leetcode List'!E:J,'Leetcode List'!A:A = A98))"),"Atlassian,Square,Twitter,Bloomberg,Microsoft,Google")</f>
        <v>Atlassian,Square,Twitter,Bloomberg,Microsoft,Google</v>
      </c>
      <c r="F98" s="47"/>
      <c r="G98" s="47" t="str">
        <f>IFERROR(__xludf.DUMMYFUNCTION("""COMPUTED_VALUE"""),"Google,Microsoft")</f>
        <v>Google,Microsoft</v>
      </c>
      <c r="H98" s="47" t="str">
        <f>IFERROR(__xludf.DUMMYFUNCTION("""COMPUTED_VALUE"""),"Square,Atlassian,Google,Microsoft")</f>
        <v>Square,Atlassian,Google,Microsoft</v>
      </c>
      <c r="I98" s="47">
        <f>IFERROR(__xludf.DUMMYFUNCTION("""COMPUTED_VALUE"""),32.87)</f>
        <v>32.87</v>
      </c>
      <c r="J98" s="47" t="str">
        <f>IFERROR(__xludf.DUMMYFUNCTION("""COMPUTED_VALUE"""),"算法")</f>
        <v>算法</v>
      </c>
      <c r="K98" s="47">
        <v>97.0</v>
      </c>
      <c r="L98" s="6">
        <f>COUNTIF('Coder-1'!B:B,A98)</f>
        <v>0</v>
      </c>
      <c r="M98" s="6">
        <f>COUNTIF('Coder-2'!B:B,A98)</f>
        <v>0</v>
      </c>
      <c r="N98" s="6">
        <f>COUNTIF('Coder-3'!B:B,A98)</f>
        <v>0</v>
      </c>
      <c r="O98" s="6">
        <f>COUNTIF('Coder-4'!B:B,A98)</f>
        <v>0</v>
      </c>
    </row>
    <row r="99">
      <c r="A99" s="83">
        <v>168.0</v>
      </c>
      <c r="B99" s="86" t="str">
        <f>IFERROR(__xludf.DUMMYFUNCTION("IF(ISBLANK(A99),,FILTER('Leetcode List'!B:C,'Leetcode List'!A:A = A99))"),"Excel Sheet Column Title")</f>
        <v>Excel Sheet Column Title</v>
      </c>
      <c r="C99" s="46" t="str">
        <f>IFERROR(__xludf.DUMMYFUNCTION("""COMPUTED_VALUE"""),"Easy")</f>
        <v>Easy</v>
      </c>
      <c r="D99" s="46" t="s">
        <v>70</v>
      </c>
      <c r="E99" s="87" t="str">
        <f>IFERROR(__xludf.DUMMYFUNCTION("IF(ISBLANK(A99),,FILTER('Leetcode List'!E:J,'Leetcode List'!A:A = A99))"),"VMware,Paypal,Zenefits,Alation,FactSet,Apple,Yahoo,Adobe,Facebook,Microsoft,Google")</f>
        <v>VMware,Paypal,Zenefits,Alation,FactSet,Apple,Yahoo,Adobe,Facebook,Microsoft,Google</v>
      </c>
      <c r="F99" s="47" t="str">
        <f>IFERROR(__xludf.DUMMYFUNCTION("""COMPUTED_VALUE"""),"Microsoft,Facebook")</f>
        <v>Microsoft,Facebook</v>
      </c>
      <c r="G99" s="47" t="str">
        <f>IFERROR(__xludf.DUMMYFUNCTION("""COMPUTED_VALUE"""),"Google,Apple,Adobe,VMware,Microsoft,Facebook")</f>
        <v>Google,Apple,Adobe,VMware,Microsoft,Facebook</v>
      </c>
      <c r="H99" s="47" t="str">
        <f>IFERROR(__xludf.DUMMYFUNCTION("""COMPUTED_VALUE"""),"FactSet,Paypal,Zenefits,Google,Apple,Adobe,VMware,Microsoft,Facebook")</f>
        <v>FactSet,Paypal,Zenefits,Google,Apple,Adobe,VMware,Microsoft,Facebook</v>
      </c>
      <c r="I99" s="47">
        <f>IFERROR(__xludf.DUMMYFUNCTION("""COMPUTED_VALUE"""),31.82)</f>
        <v>31.82</v>
      </c>
      <c r="J99" s="47" t="str">
        <f>IFERROR(__xludf.DUMMYFUNCTION("""COMPUTED_VALUE"""),"算法")</f>
        <v>算法</v>
      </c>
      <c r="K99" s="47">
        <v>98.0</v>
      </c>
      <c r="L99" s="6">
        <f>COUNTIF('Coder-1'!B:B,A99)</f>
        <v>0</v>
      </c>
      <c r="M99" s="6">
        <f>COUNTIF('Coder-2'!B:B,A99)</f>
        <v>0</v>
      </c>
      <c r="N99" s="6">
        <f>COUNTIF('Coder-3'!B:B,A99)</f>
        <v>0</v>
      </c>
      <c r="O99" s="6">
        <f>COUNTIF('Coder-4'!B:B,A99)</f>
        <v>0</v>
      </c>
    </row>
    <row r="100">
      <c r="A100" s="83">
        <v>171.0</v>
      </c>
      <c r="B100" s="86" t="str">
        <f>IFERROR(__xludf.DUMMYFUNCTION("IF(ISBLANK(A100),,FILTER('Leetcode List'!B:C,'Leetcode List'!A:A = A100))"),"Excel Sheet Column Number")</f>
        <v>Excel Sheet Column Number</v>
      </c>
      <c r="C100" s="46" t="str">
        <f>IFERROR(__xludf.DUMMYFUNCTION("""COMPUTED_VALUE"""),"Easy")</f>
        <v>Easy</v>
      </c>
      <c r="D100" s="46" t="s">
        <v>70</v>
      </c>
      <c r="E100" s="87" t="str">
        <f>IFERROR(__xludf.DUMMYFUNCTION("IF(ISBLANK(A100),,FILTER('Leetcode List'!E:J,'Leetcode List'!A:A = A100))"),"Adobe,Goldman Sachs,Alation,Flipkart,FactSet,Apple,Uber,Bloomberg,Facebook,Amazon,Microsoft,Google")</f>
        <v>Adobe,Goldman Sachs,Alation,Flipkart,FactSet,Apple,Uber,Bloomberg,Facebook,Amazon,Microsoft,Google</v>
      </c>
      <c r="F100" s="47" t="str">
        <f>IFERROR(__xludf.DUMMYFUNCTION("""COMPUTED_VALUE"""),"Goldman Sachs")</f>
        <v>Goldman Sachs</v>
      </c>
      <c r="G100" s="47" t="str">
        <f>IFERROR(__xludf.DUMMYFUNCTION("""COMPUTED_VALUE"""),"Microsoft,Amazon,Apple,Google,Adobe,Goldman Sachs")</f>
        <v>Microsoft,Amazon,Apple,Google,Adobe,Goldman Sachs</v>
      </c>
      <c r="H100" s="47" t="str">
        <f>IFERROR(__xludf.DUMMYFUNCTION("""COMPUTED_VALUE"""),"Facebook,Bloomberg,FactSet,Uber,Microsoft,Amazon,Apple,Google,Adobe,Goldman Sachs")</f>
        <v>Facebook,Bloomberg,FactSet,Uber,Microsoft,Amazon,Apple,Google,Adobe,Goldman Sachs</v>
      </c>
      <c r="I100" s="47">
        <f>IFERROR(__xludf.DUMMYFUNCTION("""COMPUTED_VALUE"""),57.01)</f>
        <v>57.01</v>
      </c>
      <c r="J100" s="47" t="str">
        <f>IFERROR(__xludf.DUMMYFUNCTION("""COMPUTED_VALUE"""),"算法")</f>
        <v>算法</v>
      </c>
      <c r="K100" s="47">
        <v>99.0</v>
      </c>
      <c r="L100" s="6">
        <f>COUNTIF('Coder-1'!B:B,A100)</f>
        <v>0</v>
      </c>
      <c r="M100" s="6">
        <f>COUNTIF('Coder-2'!B:B,A100)</f>
        <v>0</v>
      </c>
      <c r="N100" s="6">
        <f>COUNTIF('Coder-3'!B:B,A100)</f>
        <v>0</v>
      </c>
      <c r="O100" s="6">
        <f>COUNTIF('Coder-4'!B:B,A100)</f>
        <v>0</v>
      </c>
    </row>
    <row r="101">
      <c r="A101" s="83">
        <v>13.0</v>
      </c>
      <c r="B101" s="86" t="str">
        <f>IFERROR(__xludf.DUMMYFUNCTION("IF(ISBLANK(A101),,FILTER('Leetcode List'!B:C,'Leetcode List'!A:A = A101))"),"Roman to Integer")</f>
        <v>Roman to Integer</v>
      </c>
      <c r="C101" s="46" t="str">
        <f>IFERROR(__xludf.DUMMYFUNCTION("""COMPUTED_VALUE"""),"Easy")</f>
        <v>Easy</v>
      </c>
      <c r="D101" s="46" t="s">
        <v>70</v>
      </c>
      <c r="E101" s="87" t="str">
        <f>IFERROR(__xludf.DUMMYFUNCTION("IF(ISBLANK(A101),,FILTER('Leetcode List'!E:J,'Leetcode List'!A:A = A101))"),"Tcs,Roblox,EBay,Qualtrics,Zillow,Oracle,Apple,Uber,Yahoo,Bloomberg,Adobe,Facebook,Amazon,LinkedIn,Microsoft,Goldman Sachs,Google")</f>
        <v>Tcs,Roblox,EBay,Qualtrics,Zillow,Oracle,Apple,Uber,Yahoo,Bloomberg,Adobe,Facebook,Amazon,LinkedIn,Microsoft,Goldman Sachs,Google</v>
      </c>
      <c r="F101" s="47" t="str">
        <f>IFERROR(__xludf.DUMMYFUNCTION("""COMPUTED_VALUE"""),"Roblox,Amazon,Microsoft,Adobe,Apple,Qualtrics,Oracle,Google,Uber,Goldman Sachs,eBay")</f>
        <v>Roblox,Amazon,Microsoft,Adobe,Apple,Qualtrics,Oracle,Google,Uber,Goldman Sachs,eBay</v>
      </c>
      <c r="G101" s="47" t="str">
        <f>IFERROR(__xludf.DUMMYFUNCTION("""COMPUTED_VALUE"""),"Facebook,Yahoo,Bloomberg,Roblox,Amazon,Microsoft,Adobe,Apple,Qualtrics,Oracle,Google,Uber,Goldman Sachs,eBay")</f>
        <v>Facebook,Yahoo,Bloomberg,Roblox,Amazon,Microsoft,Adobe,Apple,Qualtrics,Oracle,Google,Uber,Goldman Sachs,eBay</v>
      </c>
      <c r="H101" s="47" t="str">
        <f>IFERROR(__xludf.DUMMYFUNCTION("""COMPUTED_VALUE"""),"LinkedIn,tcs,Facebook,Yahoo,Bloomberg,Roblox,Amazon,Microsoft,Adobe,Apple,Qualtrics,Oracle,Google,Uber,Goldman Sachs,eBay")</f>
        <v>LinkedIn,tcs,Facebook,Yahoo,Bloomberg,Roblox,Amazon,Microsoft,Adobe,Apple,Qualtrics,Oracle,Google,Uber,Goldman Sachs,eBay</v>
      </c>
      <c r="I101" s="47">
        <f>IFERROR(__xludf.DUMMYFUNCTION("""COMPUTED_VALUE"""),56.94)</f>
        <v>56.94</v>
      </c>
      <c r="J101" s="47" t="str">
        <f>IFERROR(__xludf.DUMMYFUNCTION("""COMPUTED_VALUE"""),"算法")</f>
        <v>算法</v>
      </c>
      <c r="K101" s="47">
        <v>100.0</v>
      </c>
      <c r="L101" s="6">
        <f>COUNTIF('Coder-1'!B:B,A101)</f>
        <v>0</v>
      </c>
      <c r="M101" s="6">
        <f>COUNTIF('Coder-2'!B:B,A101)</f>
        <v>0</v>
      </c>
      <c r="N101" s="6">
        <f>COUNTIF('Coder-3'!B:B,A101)</f>
        <v>0</v>
      </c>
      <c r="O101" s="6">
        <f>COUNTIF('Coder-4'!B:B,A101)</f>
        <v>0</v>
      </c>
    </row>
    <row r="102">
      <c r="A102" s="83">
        <v>12.0</v>
      </c>
      <c r="B102" s="86" t="str">
        <f>IFERROR(__xludf.DUMMYFUNCTION("IF(ISBLANK(A102),,FILTER('Leetcode List'!B:C,'Leetcode List'!A:A = A102))"),"Integer to Roman")</f>
        <v>Integer to Roman</v>
      </c>
      <c r="C102" s="46" t="str">
        <f>IFERROR(__xludf.DUMMYFUNCTION("""COMPUTED_VALUE"""),"Medium")</f>
        <v>Medium</v>
      </c>
      <c r="D102" s="46" t="s">
        <v>70</v>
      </c>
      <c r="E102" s="87" t="str">
        <f>IFERROR(__xludf.DUMMYFUNCTION("IF(ISBLANK(A102),,FILTER('Leetcode List'!E:J,'Leetcode List'!A:A = A102))"),"Evernote,Opendoor,Salesforce,Paypal,Twitter,Oracle,BlackRock,Apple,Yahoo,SAP,Bloomberg,Adobe,Facebook,Amazon,LinkedIn,Microsoft,Google")</f>
        <v>Evernote,Opendoor,Salesforce,Paypal,Twitter,Oracle,BlackRock,Apple,Yahoo,SAP,Bloomberg,Adobe,Facebook,Amazon,LinkedIn,Microsoft,Google</v>
      </c>
      <c r="F102" s="47" t="str">
        <f>IFERROR(__xludf.DUMMYFUNCTION("""COMPUTED_VALUE"""),"Amazon,Microsoft,Bloomberg,Adobe,Google,Apple,Oracle")</f>
        <v>Amazon,Microsoft,Bloomberg,Adobe,Google,Apple,Oracle</v>
      </c>
      <c r="G102" s="47" t="str">
        <f>IFERROR(__xludf.DUMMYFUNCTION("""COMPUTED_VALUE"""),"Yahoo,Amazon,Microsoft,Bloomberg,Adobe,Google,Apple,Oracle")</f>
        <v>Yahoo,Amazon,Microsoft,Bloomberg,Adobe,Google,Apple,Oracle</v>
      </c>
      <c r="H102" s="47" t="str">
        <f>IFERROR(__xludf.DUMMYFUNCTION("""COMPUTED_VALUE"""),"LinkedIn,Evernote,Paypal,Facebook,BlackRock,Twitter,Yahoo,Amazon,Microsoft,Bloomberg,Adobe,Google,Apple,Oracle")</f>
        <v>LinkedIn,Evernote,Paypal,Facebook,BlackRock,Twitter,Yahoo,Amazon,Microsoft,Bloomberg,Adobe,Google,Apple,Oracle</v>
      </c>
      <c r="I102" s="47">
        <f>IFERROR(__xludf.DUMMYFUNCTION("""COMPUTED_VALUE"""),57.0)</f>
        <v>57</v>
      </c>
      <c r="J102" s="47" t="str">
        <f>IFERROR(__xludf.DUMMYFUNCTION("""COMPUTED_VALUE"""),"算法")</f>
        <v>算法</v>
      </c>
      <c r="K102" s="47">
        <v>101.0</v>
      </c>
      <c r="L102" s="6">
        <f>COUNTIF('Coder-1'!B:B,A102)</f>
        <v>0</v>
      </c>
      <c r="M102" s="6">
        <f>COUNTIF('Coder-2'!B:B,A102)</f>
        <v>0</v>
      </c>
      <c r="N102" s="6">
        <f>COUNTIF('Coder-3'!B:B,A102)</f>
        <v>0</v>
      </c>
      <c r="O102" s="6">
        <f>COUNTIF('Coder-4'!B:B,A102)</f>
        <v>0</v>
      </c>
    </row>
    <row r="103">
      <c r="A103" s="83">
        <v>273.0</v>
      </c>
      <c r="B103" s="86" t="str">
        <f>IFERROR(__xludf.DUMMYFUNCTION("IF(ISBLANK(A103),,FILTER('Leetcode List'!B:C,'Leetcode List'!A:A = A103))"),"Integer to English Words")</f>
        <v>Integer to English Words</v>
      </c>
      <c r="C103" s="46" t="str">
        <f>IFERROR(__xludf.DUMMYFUNCTION("""COMPUTED_VALUE"""),"Hard")</f>
        <v>Hard</v>
      </c>
      <c r="D103" s="46" t="s">
        <v>70</v>
      </c>
      <c r="E103" s="87" t="str">
        <f>IFERROR(__xludf.DUMMYFUNCTION("IF(ISBLANK(A103),,FILTER('Leetcode List'!E:J,'Leetcode List'!A:A = A103))"),"Netflix,Adobe,Tesla,Nutanix,Square,Palantir Technologies,Citrix,Barclays,Coupang,Splunk,Capital One,Tableau,Visa,Walmart Labs,JPMorgan,Zillow,Paypal,Yelp,Oracle,Apple,Uber,Yahoo,SAP,Bloomberg,Facebook,Amazon,LinkedIn,Microsoft,Google")</f>
        <v>Netflix,Adobe,Tesla,Nutanix,Square,Palantir Technologies,Citrix,Barclays,Coupang,Splunk,Capital One,Tableau,Visa,Walmart Labs,JPMorgan,Zillow,Paypal,Yelp,Oracle,Apple,Uber,Yahoo,SAP,Bloomberg,Facebook,Amazon,LinkedIn,Microsoft,Google</v>
      </c>
      <c r="F103" s="47" t="str">
        <f>IFERROR(__xludf.DUMMYFUNCTION("""COMPUTED_VALUE"""),"Facebook,Amazon,Microsoft,Palantir Technologies,Apple,Oracle,Square,Netflix")</f>
        <v>Facebook,Amazon,Microsoft,Palantir Technologies,Apple,Oracle,Square,Netflix</v>
      </c>
      <c r="G103" s="47" t="str">
        <f>IFERROR(__xludf.DUMMYFUNCTION("""COMPUTED_VALUE"""),"Uber,Adobe,Bloomberg,Facebook,Amazon,Microsoft,Palantir Technologies,Apple,Oracle,Square,Netflix")</f>
        <v>Uber,Adobe,Bloomberg,Facebook,Amazon,Microsoft,Palantir Technologies,Apple,Oracle,Square,Netflix</v>
      </c>
      <c r="H103" s="47" t="str">
        <f>IFERROR(__xludf.DUMMYFUNCTION("""COMPUTED_VALUE"""),"LinkedIn,Google,Zillow,Nutanix,Splunk,Walmart Labs,Yahoo,Tesla,Uber,Adobe,Bloomberg,Facebook,Amazon,Microsoft,Palantir Technologies,Apple,Oracle,Square,Netflix")</f>
        <v>LinkedIn,Google,Zillow,Nutanix,Splunk,Walmart Labs,Yahoo,Tesla,Uber,Adobe,Bloomberg,Facebook,Amazon,Microsoft,Palantir Technologies,Apple,Oracle,Square,Netflix</v>
      </c>
      <c r="I103" s="47">
        <f>IFERROR(__xludf.DUMMYFUNCTION("""COMPUTED_VALUE"""),28.18)</f>
        <v>28.18</v>
      </c>
      <c r="J103" s="47" t="str">
        <f>IFERROR(__xludf.DUMMYFUNCTION("""COMPUTED_VALUE"""),"算法")</f>
        <v>算法</v>
      </c>
      <c r="K103" s="47">
        <v>102.0</v>
      </c>
      <c r="L103" s="6">
        <f>COUNTIF('Coder-1'!B:B,A103)</f>
        <v>0</v>
      </c>
      <c r="M103" s="6">
        <f>COUNTIF('Coder-2'!B:B,A103)</f>
        <v>0</v>
      </c>
      <c r="N103" s="6">
        <f>COUNTIF('Coder-3'!B:B,A103)</f>
        <v>0</v>
      </c>
      <c r="O103" s="6">
        <f>COUNTIF('Coder-4'!B:B,A103)</f>
        <v>0</v>
      </c>
    </row>
    <row r="104">
      <c r="A104" s="83">
        <v>246.0</v>
      </c>
      <c r="B104" s="86" t="str">
        <f>IFERROR(__xludf.DUMMYFUNCTION("IF(ISBLANK(A104),,FILTER('Leetcode List'!B:C,'Leetcode List'!A:A = A104))"),"Strobogrammatic Number")</f>
        <v>Strobogrammatic Number</v>
      </c>
      <c r="C104" s="46" t="str">
        <f>IFERROR(__xludf.DUMMYFUNCTION("""COMPUTED_VALUE"""),"Easy")</f>
        <v>Easy</v>
      </c>
      <c r="D104" s="46" t="s">
        <v>70</v>
      </c>
      <c r="E104" s="87" t="str">
        <f>IFERROR(__xludf.DUMMYFUNCTION("IF(ISBLANK(A104),,FILTER('Leetcode List'!E:J,'Leetcode List'!A:A = A104))"),"Microsoft,Cisco,Facebook,Google")</f>
        <v>Microsoft,Cisco,Facebook,Google</v>
      </c>
      <c r="F104" s="47" t="str">
        <f>IFERROR(__xludf.DUMMYFUNCTION("""COMPUTED_VALUE"""),"Facebook,Microsoft")</f>
        <v>Facebook,Microsoft</v>
      </c>
      <c r="G104" s="47" t="str">
        <f>IFERROR(__xludf.DUMMYFUNCTION("""COMPUTED_VALUE"""),"Cisco,Google,Facebook,Microsoft")</f>
        <v>Cisco,Google,Facebook,Microsoft</v>
      </c>
      <c r="H104" s="47" t="str">
        <f>IFERROR(__xludf.DUMMYFUNCTION("""COMPUTED_VALUE"""),"Cisco,Google,Facebook,Microsoft")</f>
        <v>Cisco,Google,Facebook,Microsoft</v>
      </c>
      <c r="I104" s="47">
        <f>IFERROR(__xludf.DUMMYFUNCTION("""COMPUTED_VALUE"""),46.39)</f>
        <v>46.39</v>
      </c>
      <c r="J104" s="47" t="str">
        <f>IFERROR(__xludf.DUMMYFUNCTION("""COMPUTED_VALUE"""),"算法")</f>
        <v>算法</v>
      </c>
      <c r="K104" s="47">
        <v>103.0</v>
      </c>
      <c r="L104" s="6">
        <f>COUNTIF('Coder-1'!B:B,A104)</f>
        <v>0</v>
      </c>
      <c r="M104" s="6">
        <f>COUNTIF('Coder-2'!B:B,A104)</f>
        <v>0</v>
      </c>
      <c r="N104" s="6">
        <f>COUNTIF('Coder-3'!B:B,A104)</f>
        <v>0</v>
      </c>
      <c r="O104" s="6">
        <f>COUNTIF('Coder-4'!B:B,A104)</f>
        <v>0</v>
      </c>
    </row>
    <row r="105">
      <c r="A105" s="83">
        <v>247.0</v>
      </c>
      <c r="B105" s="86" t="str">
        <f>IFERROR(__xludf.DUMMYFUNCTION("IF(ISBLANK(A105),,FILTER('Leetcode List'!B:C,'Leetcode List'!A:A = A105))"),"Strobogrammatic Number II")</f>
        <v>Strobogrammatic Number II</v>
      </c>
      <c r="C105" s="46" t="str">
        <f>IFERROR(__xludf.DUMMYFUNCTION("""COMPUTED_VALUE"""),"Medium")</f>
        <v>Medium</v>
      </c>
      <c r="D105" s="46" t="s">
        <v>70</v>
      </c>
      <c r="E105" s="87" t="str">
        <f>IFERROR(__xludf.DUMMYFUNCTION("IF(ISBLANK(A105),,FILTER('Leetcode List'!E:J,'Leetcode List'!A:A = A105))"),"Bloomberg,Cisco,Facebook,Google")</f>
        <v>Bloomberg,Cisco,Facebook,Google</v>
      </c>
      <c r="F105" s="47" t="str">
        <f>IFERROR(__xludf.DUMMYFUNCTION("""COMPUTED_VALUE"""),"Facebook,Google")</f>
        <v>Facebook,Google</v>
      </c>
      <c r="G105" s="47" t="str">
        <f>IFERROR(__xludf.DUMMYFUNCTION("""COMPUTED_VALUE"""),"Facebook,Google")</f>
        <v>Facebook,Google</v>
      </c>
      <c r="H105" s="47" t="str">
        <f>IFERROR(__xludf.DUMMYFUNCTION("""COMPUTED_VALUE"""),"Cisco,Bloomberg,Facebook,Google")</f>
        <v>Cisco,Bloomberg,Facebook,Google</v>
      </c>
      <c r="I105" s="47">
        <f>IFERROR(__xludf.DUMMYFUNCTION("""COMPUTED_VALUE"""),48.63)</f>
        <v>48.63</v>
      </c>
      <c r="J105" s="47" t="str">
        <f>IFERROR(__xludf.DUMMYFUNCTION("""COMPUTED_VALUE"""),"算法")</f>
        <v>算法</v>
      </c>
      <c r="K105" s="47">
        <v>104.0</v>
      </c>
      <c r="L105" s="6">
        <f>COUNTIF('Coder-1'!B:B,A105)</f>
        <v>0</v>
      </c>
      <c r="M105" s="6">
        <f>COUNTIF('Coder-2'!B:B,A105)</f>
        <v>0</v>
      </c>
      <c r="N105" s="6">
        <f>COUNTIF('Coder-3'!B:B,A105)</f>
        <v>0</v>
      </c>
      <c r="O105" s="6">
        <f>COUNTIF('Coder-4'!B:B,A105)</f>
        <v>0</v>
      </c>
    </row>
    <row r="106">
      <c r="A106" s="83">
        <v>248.0</v>
      </c>
      <c r="B106" s="86" t="str">
        <f>IFERROR(__xludf.DUMMYFUNCTION("IF(ISBLANK(A106),,FILTER('Leetcode List'!B:C,'Leetcode List'!A:A = A106))"),"Strobogrammatic Number III")</f>
        <v>Strobogrammatic Number III</v>
      </c>
      <c r="C106" s="46" t="str">
        <f>IFERROR(__xludf.DUMMYFUNCTION("""COMPUTED_VALUE"""),"Hard")</f>
        <v>Hard</v>
      </c>
      <c r="D106" s="46" t="s">
        <v>70</v>
      </c>
      <c r="E106" s="87" t="str">
        <f>IFERROR(__xludf.DUMMYFUNCTION("IF(ISBLANK(A106),,FILTER('Leetcode List'!E:J,'Leetcode List'!A:A = A106))"),"Facebook,Google")</f>
        <v>Facebook,Google</v>
      </c>
      <c r="F106" s="47" t="str">
        <f>IFERROR(__xludf.DUMMYFUNCTION("""COMPUTED_VALUE"""),"Google")</f>
        <v>Google</v>
      </c>
      <c r="G106" s="47" t="str">
        <f>IFERROR(__xludf.DUMMYFUNCTION("""COMPUTED_VALUE"""),"Google")</f>
        <v>Google</v>
      </c>
      <c r="H106" s="47" t="str">
        <f>IFERROR(__xludf.DUMMYFUNCTION("""COMPUTED_VALUE"""),"Google")</f>
        <v>Google</v>
      </c>
      <c r="I106" s="47">
        <f>IFERROR(__xludf.DUMMYFUNCTION("""COMPUTED_VALUE"""),40.3)</f>
        <v>40.3</v>
      </c>
      <c r="J106" s="47" t="str">
        <f>IFERROR(__xludf.DUMMYFUNCTION("""COMPUTED_VALUE"""),"算法")</f>
        <v>算法</v>
      </c>
      <c r="K106" s="47">
        <v>105.0</v>
      </c>
      <c r="L106" s="6">
        <f>COUNTIF('Coder-1'!B:B,A106)</f>
        <v>0</v>
      </c>
      <c r="M106" s="6">
        <f>COUNTIF('Coder-2'!B:B,A106)</f>
        <v>0</v>
      </c>
      <c r="N106" s="6">
        <f>COUNTIF('Coder-3'!B:B,A106)</f>
        <v>0</v>
      </c>
      <c r="O106" s="6">
        <f>COUNTIF('Coder-4'!B:B,A106)</f>
        <v>0</v>
      </c>
    </row>
    <row r="107">
      <c r="A107" s="83">
        <v>157.0</v>
      </c>
      <c r="B107" s="86" t="str">
        <f>IFERROR(__xludf.DUMMYFUNCTION("IF(ISBLANK(A107),,FILTER('Leetcode List'!B:C,'Leetcode List'!A:A = A107))"),"Read N Characters Given Read4")</f>
        <v>Read N Characters Given Read4</v>
      </c>
      <c r="C107" s="46" t="str">
        <f>IFERROR(__xludf.DUMMYFUNCTION("""COMPUTED_VALUE"""),"Easy")</f>
        <v>Easy</v>
      </c>
      <c r="D107" s="46" t="s">
        <v>70</v>
      </c>
      <c r="E107" s="87" t="str">
        <f>IFERROR(__xludf.DUMMYFUNCTION("IF(ISBLANK(A107),,FILTER('Leetcode List'!E:J,'Leetcode List'!A:A = A107))"),"Rubrik,Lyft,Oracle,Microsoft,Facebook,Google")</f>
        <v>Rubrik,Lyft,Oracle,Microsoft,Facebook,Google</v>
      </c>
      <c r="F107" s="47" t="str">
        <f>IFERROR(__xludf.DUMMYFUNCTION("""COMPUTED_VALUE"""),"Facebook,Rubrik,Lyft")</f>
        <v>Facebook,Rubrik,Lyft</v>
      </c>
      <c r="G107" s="47" t="str">
        <f>IFERROR(__xludf.DUMMYFUNCTION("""COMPUTED_VALUE"""),"Google,Facebook,Rubrik,Lyft")</f>
        <v>Google,Facebook,Rubrik,Lyft</v>
      </c>
      <c r="H107" s="47" t="str">
        <f>IFERROR(__xludf.DUMMYFUNCTION("""COMPUTED_VALUE"""),"Oracle,Microsoft,Google,Facebook,Rubrik,Lyft")</f>
        <v>Oracle,Microsoft,Google,Facebook,Rubrik,Lyft</v>
      </c>
      <c r="I107" s="47">
        <f>IFERROR(__xludf.DUMMYFUNCTION("""COMPUTED_VALUE"""),37.48)</f>
        <v>37.48</v>
      </c>
      <c r="J107" s="47" t="str">
        <f>IFERROR(__xludf.DUMMYFUNCTION("""COMPUTED_VALUE"""),"算法")</f>
        <v>算法</v>
      </c>
      <c r="K107" s="47">
        <v>106.0</v>
      </c>
      <c r="L107" s="6">
        <f>COUNTIF('Coder-1'!B:B,A107)</f>
        <v>0</v>
      </c>
      <c r="M107" s="6">
        <f>COUNTIF('Coder-2'!B:B,A107)</f>
        <v>0</v>
      </c>
      <c r="N107" s="6">
        <f>COUNTIF('Coder-3'!B:B,A107)</f>
        <v>0</v>
      </c>
      <c r="O107" s="6">
        <f>COUNTIF('Coder-4'!B:B,A107)</f>
        <v>0</v>
      </c>
    </row>
    <row r="108">
      <c r="A108" s="83">
        <v>158.0</v>
      </c>
      <c r="B108" s="86" t="str">
        <f>IFERROR(__xludf.DUMMYFUNCTION("IF(ISBLANK(A108),,FILTER('Leetcode List'!B:C,'Leetcode List'!A:A = A108))"),"Read N Characters Given Read4 II - Call multiple times")</f>
        <v>Read N Characters Given Read4 II - Call multiple times</v>
      </c>
      <c r="C108" s="46" t="str">
        <f>IFERROR(__xludf.DUMMYFUNCTION("""COMPUTED_VALUE"""),"Hard")</f>
        <v>Hard</v>
      </c>
      <c r="D108" s="46" t="s">
        <v>70</v>
      </c>
      <c r="E108" s="87" t="str">
        <f>IFERROR(__xludf.DUMMYFUNCTION("IF(ISBLANK(A108),,FILTER('Leetcode List'!E:J,'Leetcode List'!A:A = A108))"),"Oracle,Apple,Pinterest,Lyft,Uber,Bloomberg,Facebook,Amazon,Microsoft,Google")</f>
        <v>Oracle,Apple,Pinterest,Lyft,Uber,Bloomberg,Facebook,Amazon,Microsoft,Google</v>
      </c>
      <c r="F108" s="47" t="str">
        <f>IFERROR(__xludf.DUMMYFUNCTION("""COMPUTED_VALUE"""),"Facebook,Lyft,Google,Oracle")</f>
        <v>Facebook,Lyft,Google,Oracle</v>
      </c>
      <c r="G108" s="47" t="str">
        <f>IFERROR(__xludf.DUMMYFUNCTION("""COMPUTED_VALUE"""),"Amazon,Facebook,Lyft,Google,Oracle")</f>
        <v>Amazon,Facebook,Lyft,Google,Oracle</v>
      </c>
      <c r="H108" s="47" t="str">
        <f>IFERROR(__xludf.DUMMYFUNCTION("""COMPUTED_VALUE"""),"Microsoft,Uber,Pinterest,Apple,Bloomberg,Amazon,Facebook,Lyft,Google,Oracle")</f>
        <v>Microsoft,Uber,Pinterest,Apple,Bloomberg,Amazon,Facebook,Lyft,Google,Oracle</v>
      </c>
      <c r="I108" s="47">
        <f>IFERROR(__xludf.DUMMYFUNCTION("""COMPUTED_VALUE"""),37.11)</f>
        <v>37.11</v>
      </c>
      <c r="J108" s="47" t="str">
        <f>IFERROR(__xludf.DUMMYFUNCTION("""COMPUTED_VALUE"""),"算法")</f>
        <v>算法</v>
      </c>
      <c r="K108" s="47">
        <v>107.0</v>
      </c>
      <c r="L108" s="6">
        <f>COUNTIF('Coder-1'!B:B,A108)</f>
        <v>0</v>
      </c>
      <c r="M108" s="6">
        <f>COUNTIF('Coder-2'!B:B,A108)</f>
        <v>0</v>
      </c>
      <c r="N108" s="6">
        <f>COUNTIF('Coder-3'!B:B,A108)</f>
        <v>0</v>
      </c>
      <c r="O108" s="6">
        <f>COUNTIF('Coder-4'!B:B,A108)</f>
        <v>0</v>
      </c>
    </row>
    <row r="109">
      <c r="A109" s="83">
        <v>68.0</v>
      </c>
      <c r="B109" s="86" t="str">
        <f>IFERROR(__xludf.DUMMYFUNCTION("IF(ISBLANK(A109),,FILTER('Leetcode List'!B:C,'Leetcode List'!A:A = A109))"),"Text Justification")</f>
        <v>Text Justification</v>
      </c>
      <c r="C109" s="46" t="str">
        <f>IFERROR(__xludf.DUMMYFUNCTION("""COMPUTED_VALUE"""),"Hard")</f>
        <v>Hard</v>
      </c>
      <c r="D109" s="46" t="s">
        <v>70</v>
      </c>
      <c r="E109" s="87" t="str">
        <f>IFERROR(__xludf.DUMMYFUNCTION("IF(ISBLANK(A109),,FILTER('Leetcode List'!E:J,'Leetcode List'!A:A = A109))"),"Karat,Netflix,Square,Databricks,Reddit,ByteDance,Paypal,EBay,Bloomberg,Robinhood,Pinterest,Coursera,Twilio,Box,Snapchat,Indeed,Twitter,Intuit,Lyft,Apple,Airbnb,Uber,Facebook,Amazon,LinkedIn,Microsoft,Google")</f>
        <v>Karat,Netflix,Square,Databricks,Reddit,ByteDance,Paypal,EBay,Bloomberg,Robinhood,Pinterest,Coursera,Twilio,Box,Snapchat,Indeed,Twitter,Intuit,Lyft,Apple,Airbnb,Uber,Facebook,Amazon,LinkedIn,Microsoft,Google</v>
      </c>
      <c r="F109" s="47" t="str">
        <f>IFERROR(__xludf.DUMMYFUNCTION("""COMPUTED_VALUE"""),"Intuit,Twilio,Uber,Karat,Indeed,Amazon,Google,Reddit,Databricks,Bloomberg,LinkedIn,Twitter,Paypal,Microsoft,ByteDance,Netflix,eBay")</f>
        <v>Intuit,Twilio,Uber,Karat,Indeed,Amazon,Google,Reddit,Databricks,Bloomberg,LinkedIn,Twitter,Paypal,Microsoft,ByteDance,Netflix,eBay</v>
      </c>
      <c r="G109" s="47" t="str">
        <f>IFERROR(__xludf.DUMMYFUNCTION("""COMPUTED_VALUE"""),"Coursera,Robinhood,Box,Intuit,Twilio,Uber,Karat,Indeed,Amazon,Google,Reddit,Databricks,Bloomberg,LinkedIn,Twitter,Paypal,Microsoft,ByteDance,Netflix,eBay")</f>
        <v>Coursera,Robinhood,Box,Intuit,Twilio,Uber,Karat,Indeed,Amazon,Google,Reddit,Databricks,Bloomberg,LinkedIn,Twitter,Paypal,Microsoft,ByteDance,Netflix,eBay</v>
      </c>
      <c r="H109" s="47" t="str">
        <f>IFERROR(__xludf.DUMMYFUNCTION("""COMPUTED_VALUE"""),"Airbnb,Pinterest,Snapchat,Square,Apple,Facebook,Coursera,Robinhood,Box,Intuit,Twilio,Uber,Karat,Indeed,Amazon,Google,Reddit,Databricks,Bloomberg,LinkedIn,Twitter,Paypal,Microsoft,ByteDance,Netflix,eBay")</f>
        <v>Airbnb,Pinterest,Snapchat,Square,Apple,Facebook,Coursera,Robinhood,Box,Intuit,Twilio,Uber,Karat,Indeed,Amazon,Google,Reddit,Databricks,Bloomberg,LinkedIn,Twitter,Paypal,Microsoft,ByteDance,Netflix,eBay</v>
      </c>
      <c r="I109" s="47">
        <f>IFERROR(__xludf.DUMMYFUNCTION("""COMPUTED_VALUE"""),29.93)</f>
        <v>29.93</v>
      </c>
      <c r="J109" s="47" t="str">
        <f>IFERROR(__xludf.DUMMYFUNCTION("""COMPUTED_VALUE"""),"算法")</f>
        <v>算法</v>
      </c>
      <c r="K109" s="47">
        <v>108.0</v>
      </c>
      <c r="L109" s="6">
        <f>COUNTIF('Coder-1'!B:B,A109)</f>
        <v>0</v>
      </c>
      <c r="M109" s="6">
        <f>COUNTIF('Coder-2'!B:B,A109)</f>
        <v>0</v>
      </c>
      <c r="N109" s="6">
        <f>COUNTIF('Coder-3'!B:B,A109)</f>
        <v>0</v>
      </c>
      <c r="O109" s="6">
        <f>COUNTIF('Coder-4'!B:B,A109)</f>
        <v>0</v>
      </c>
    </row>
    <row r="110">
      <c r="A110" s="83">
        <v>65.0</v>
      </c>
      <c r="B110" s="86" t="str">
        <f>IFERROR(__xludf.DUMMYFUNCTION("IF(ISBLANK(A110),,FILTER('Leetcode List'!B:C,'Leetcode List'!A:A = A110))"),"Valid Number")</f>
        <v>Valid Number</v>
      </c>
      <c r="C110" s="46" t="str">
        <f>IFERROR(__xludf.DUMMYFUNCTION("""COMPUTED_VALUE"""),"Hard")</f>
        <v>Hard</v>
      </c>
      <c r="D110" s="46" t="s">
        <v>70</v>
      </c>
      <c r="E110" s="87" t="str">
        <f>IFERROR(__xludf.DUMMYFUNCTION("IF(ISBLANK(A110),,FILTER('Leetcode List'!E:J,'Leetcode List'!A:A = A110))"),"Twitch,Oracle,TripAdvisor,Apple,Adobe,Facebook,Amazon,LinkedIn,Microsoft,Google")</f>
        <v>Twitch,Oracle,TripAdvisor,Apple,Adobe,Facebook,Amazon,LinkedIn,Microsoft,Google</v>
      </c>
      <c r="F110" s="47" t="str">
        <f>IFERROR(__xludf.DUMMYFUNCTION("""COMPUTED_VALUE"""),"Facebook,LinkedIn,Oracle")</f>
        <v>Facebook,LinkedIn,Oracle</v>
      </c>
      <c r="G110" s="47" t="str">
        <f>IFERROR(__xludf.DUMMYFUNCTION("""COMPUTED_VALUE"""),"Amazon,Google,Facebook,LinkedIn,Oracle")</f>
        <v>Amazon,Google,Facebook,LinkedIn,Oracle</v>
      </c>
      <c r="H110" s="47" t="str">
        <f>IFERROR(__xludf.DUMMYFUNCTION("""COMPUTED_VALUE"""),"Adobe,Microsoft,TripAdvisor,Twitch,Amazon,Google,Facebook,LinkedIn,Oracle")</f>
        <v>Adobe,Microsoft,TripAdvisor,Twitch,Amazon,Google,Facebook,LinkedIn,Oracle</v>
      </c>
      <c r="I110" s="47">
        <f>IFERROR(__xludf.DUMMYFUNCTION("""COMPUTED_VALUE"""),15.96)</f>
        <v>15.96</v>
      </c>
      <c r="J110" s="47" t="str">
        <f>IFERROR(__xludf.DUMMYFUNCTION("""COMPUTED_VALUE"""),"算法")</f>
        <v>算法</v>
      </c>
      <c r="K110" s="47">
        <v>109.0</v>
      </c>
      <c r="L110" s="6">
        <f>COUNTIF('Coder-1'!B:B,A110)</f>
        <v>0</v>
      </c>
      <c r="M110" s="6">
        <f>COUNTIF('Coder-2'!B:B,A110)</f>
        <v>0</v>
      </c>
      <c r="N110" s="6">
        <f>COUNTIF('Coder-3'!B:B,A110)</f>
        <v>0</v>
      </c>
      <c r="O110" s="6">
        <f>COUNTIF('Coder-4'!B:B,A110)</f>
        <v>0</v>
      </c>
    </row>
    <row r="111">
      <c r="A111" s="83">
        <v>76.0</v>
      </c>
      <c r="B111" s="86" t="str">
        <f>IFERROR(__xludf.DUMMYFUNCTION("IF(ISBLANK(A111),,FILTER('Leetcode List'!B:C,'Leetcode List'!A:A = A111))"),"Minimum Window Substring")</f>
        <v>Minimum Window Substring</v>
      </c>
      <c r="C111" s="46" t="str">
        <f>IFERROR(__xludf.DUMMYFUNCTION("""COMPUTED_VALUE"""),"Hard")</f>
        <v>Hard</v>
      </c>
      <c r="D111" s="46" t="s">
        <v>70</v>
      </c>
      <c r="E111" s="87" t="str">
        <f>IFERROR(__xludf.DUMMYFUNCTION("IF(ISBLANK(A111),,FILTER('Leetcode List'!E:J,'Leetcode List'!A:A = A111))"),"Pinterest,Cohesity,Nutanix,ByteDance,Deutsche Bank,Salesforce,Visa,VMware,Walmart Labs,GoDaddy,Snapchat,Twitter,Oracle,Lyft,EBay,Apple,Airbnb,Uber,Yahoo,Tencent,Bloomberg,Adobe,Facebook,Amazon,LinkedIn,Microsoft,Goldman Sachs,Google")</f>
        <v>Pinterest,Cohesity,Nutanix,ByteDance,Deutsche Bank,Salesforce,Visa,VMware,Walmart Labs,GoDaddy,Snapchat,Twitter,Oracle,Lyft,EBay,Apple,Airbnb,Uber,Yahoo,Tencent,Bloomberg,Adobe,Facebook,Amazon,LinkedIn,Microsoft,Goldman Sachs,Google</v>
      </c>
      <c r="F111" s="47" t="str">
        <f>IFERROR(__xludf.DUMMYFUNCTION("""COMPUTED_VALUE"""),"Facebook,Amazon,Microsoft,Google,Lyft,LinkedIn,Apple,Uber,Bloomberg,Pinterest,Snapchat,ByteDance")</f>
        <v>Facebook,Amazon,Microsoft,Google,Lyft,LinkedIn,Apple,Uber,Bloomberg,Pinterest,Snapchat,ByteDance</v>
      </c>
      <c r="G111" s="47" t="str">
        <f>IFERROR(__xludf.DUMMYFUNCTION("""COMPUTED_VALUE"""),"Adobe,Goldman Sachs,Facebook,Amazon,Microsoft,Google,Lyft,LinkedIn,Apple,Uber,Bloomberg,Pinterest,Snapchat,ByteDance")</f>
        <v>Adobe,Goldman Sachs,Facebook,Amazon,Microsoft,Google,Lyft,LinkedIn,Apple,Uber,Bloomberg,Pinterest,Snapchat,ByteDance</v>
      </c>
      <c r="H111" s="47" t="str">
        <f>IFERROR(__xludf.DUMMYFUNCTION("""COMPUTED_VALUE"""),"Cohesity,Walmart Labs,Deutsche Bank,Oracle,Visa,VMware,eBay,Twitter,GoDaddy,Salesforce,Adobe,Goldman Sachs,Facebook,Amazon,Microsoft,Google,Lyft,LinkedIn,Apple,Uber,Bloomberg,Pinterest,Snapchat,ByteDance")</f>
        <v>Cohesity,Walmart Labs,Deutsche Bank,Oracle,Visa,VMware,eBay,Twitter,GoDaddy,Salesforce,Adobe,Goldman Sachs,Facebook,Amazon,Microsoft,Google,Lyft,LinkedIn,Apple,Uber,Bloomberg,Pinterest,Snapchat,ByteDance</v>
      </c>
      <c r="I111" s="47">
        <f>IFERROR(__xludf.DUMMYFUNCTION("""COMPUTED_VALUE"""),36.07)</f>
        <v>36.07</v>
      </c>
      <c r="J111" s="47" t="str">
        <f>IFERROR(__xludf.DUMMYFUNCTION("""COMPUTED_VALUE"""),"算法")</f>
        <v>算法</v>
      </c>
      <c r="K111" s="47">
        <v>110.0</v>
      </c>
      <c r="L111" s="6">
        <f>COUNTIF('Coder-1'!B:B,A111)</f>
        <v>0</v>
      </c>
      <c r="M111" s="6">
        <f>COUNTIF('Coder-2'!B:B,A111)</f>
        <v>0</v>
      </c>
      <c r="N111" s="6">
        <f>COUNTIF('Coder-3'!B:B,A111)</f>
        <v>0</v>
      </c>
      <c r="O111" s="6">
        <f>COUNTIF('Coder-4'!B:B,A111)</f>
        <v>0</v>
      </c>
    </row>
    <row r="112">
      <c r="A112" s="83">
        <v>30.0</v>
      </c>
      <c r="B112" s="86" t="str">
        <f>IFERROR(__xludf.DUMMYFUNCTION("IF(ISBLANK(A112),,FILTER('Leetcode List'!B:C,'Leetcode List'!A:A = A112))"),"Substring with Concatenation of All Words")</f>
        <v>Substring with Concatenation of All Words</v>
      </c>
      <c r="C112" s="46" t="str">
        <f>IFERROR(__xludf.DUMMYFUNCTION("""COMPUTED_VALUE"""),"Hard")</f>
        <v>Hard</v>
      </c>
      <c r="D112" s="46" t="s">
        <v>70</v>
      </c>
      <c r="E112" s="87" t="str">
        <f>IFERROR(__xludf.DUMMYFUNCTION("IF(ISBLANK(A112),,FILTER('Leetcode List'!E:J,'Leetcode List'!A:A = A112))"),"Apple,Bloomberg,Adobe,Facebook,Amazon,Microsoft,Google")</f>
        <v>Apple,Bloomberg,Adobe,Facebook,Amazon,Microsoft,Google</v>
      </c>
      <c r="F112" s="47" t="str">
        <f>IFERROR(__xludf.DUMMYFUNCTION("""COMPUTED_VALUE"""),"Amazon,Adobe")</f>
        <v>Amazon,Adobe</v>
      </c>
      <c r="G112" s="47" t="str">
        <f>IFERROR(__xludf.DUMMYFUNCTION("""COMPUTED_VALUE"""),"Bloomberg,Google,Amazon,Adobe")</f>
        <v>Bloomberg,Google,Amazon,Adobe</v>
      </c>
      <c r="H112" s="47" t="str">
        <f>IFERROR(__xludf.DUMMYFUNCTION("""COMPUTED_VALUE"""),"Microsoft,Facebook,Bloomberg,Google,Amazon,Adobe")</f>
        <v>Microsoft,Facebook,Bloomberg,Google,Amazon,Adobe</v>
      </c>
      <c r="I112" s="47">
        <f>IFERROR(__xludf.DUMMYFUNCTION("""COMPUTED_VALUE"""),26.28)</f>
        <v>26.28</v>
      </c>
      <c r="J112" s="47" t="str">
        <f>IFERROR(__xludf.DUMMYFUNCTION("""COMPUTED_VALUE"""),"算法")</f>
        <v>算法</v>
      </c>
      <c r="K112" s="47">
        <v>111.0</v>
      </c>
      <c r="L112" s="6">
        <f>COUNTIF('Coder-1'!B:B,A112)</f>
        <v>0</v>
      </c>
      <c r="M112" s="6">
        <f>COUNTIF('Coder-2'!B:B,A112)</f>
        <v>0</v>
      </c>
      <c r="N112" s="6">
        <f>COUNTIF('Coder-3'!B:B,A112)</f>
        <v>0</v>
      </c>
      <c r="O112" s="6">
        <f>COUNTIF('Coder-4'!B:B,A112)</f>
        <v>0</v>
      </c>
    </row>
    <row r="113">
      <c r="A113" s="83">
        <v>3.0</v>
      </c>
      <c r="B113" s="86" t="str">
        <f>IFERROR(__xludf.DUMMYFUNCTION("IF(ISBLANK(A113),,FILTER('Leetcode List'!B:C,'Leetcode List'!A:A = A113))"),"Longest Substring Without Repeating Characters")</f>
        <v>Longest Substring Without Repeating Characters</v>
      </c>
      <c r="C113" s="46" t="str">
        <f>IFERROR(__xludf.DUMMYFUNCTION("""COMPUTED_VALUE"""),"Medium")</f>
        <v>Medium</v>
      </c>
      <c r="D113" s="46" t="s">
        <v>70</v>
      </c>
      <c r="E113" s="87" t="str">
        <f>IFERROR(__xludf.DUMMYFUNCTION("IF(ISBLANK(A113),,FILTER('Leetcode List'!E:J,'Leetcode List'!A:A = A113))"),"American Express,Tcs,PayTM,Infosys,Splunk,Nagarro,Intuit,Morgan Stanley,Coupang,Atlassian,Twitch,Alation,ByteDance,Salesforce,VMware,Walmart Labs,Snapchat,Zillow,Paypal,Expedia,Yelp,Zoho,Oracle,Spotify,Cisco,Yandex,Huawei,EBay,Baidu,Apple,Uber,Yahoo,Samsu"&amp;"ng,Tencent,SAP,Bloomberg,Adobe,Facebook,Amazon,Microsoft,Alibaba,Goldman Sachs,Google")</f>
        <v>American Express,Tcs,PayTM,Infosys,Splunk,Nagarro,Intuit,Morgan Stanley,Coupang,Atlassian,Twitch,Alation,ByteDance,Salesforce,VMware,Walmart Labs,Snapchat,Zillow,Paypal,Expedia,Yelp,Zoho,Oracle,Spotify,Cisco,Yandex,Huawei,EBay,Baidu,Apple,Uber,Yahoo,Samsung,Tencent,SAP,Bloomberg,Adobe,Facebook,Amazon,Microsoft,Alibaba,Goldman Sachs,Google</v>
      </c>
      <c r="F113" s="47" t="str">
        <f>IFERROR(__xludf.DUMMYFUNCTION("""COMPUTED_VALUE"""),"Amazon,Bloomberg,Microsoft,Facebook,Goldman Sachs,Google,Adobe,eBay,Apple,Alation,Uber,VMware,Oracle,ByteDance,PayTM,Yahoo,Salesforce,Splunk,Nagarro")</f>
        <v>Amazon,Bloomberg,Microsoft,Facebook,Goldman Sachs,Google,Adobe,eBay,Apple,Alation,Uber,VMware,Oracle,ByteDance,PayTM,Yahoo,Salesforce,Splunk,Nagarro</v>
      </c>
      <c r="G113" s="47" t="str">
        <f>IFERROR(__xludf.DUMMYFUNCTION("""COMPUTED_VALUE"""),"Spotify,Cisco,Coupang,Morgan Stanley,Expedia,Walmart Labs,SAP,Yandex,Atlassian,tcs,Amazon,Bloomberg,Microsoft,Facebook,Goldman Sachs,Google,Adobe,eBay,Apple,Alation,Uber,VMware,Oracle,ByteDance,PayTM,Yahoo,Salesforce,Splunk,Nagarro")</f>
        <v>Spotify,Cisco,Coupang,Morgan Stanley,Expedia,Walmart Labs,SAP,Yandex,Atlassian,tcs,Amazon,Bloomberg,Microsoft,Facebook,Goldman Sachs,Google,Adobe,eBay,Apple,Alation,Uber,VMware,Oracle,ByteDance,PayTM,Yahoo,Salesforce,Splunk,Nagarro</v>
      </c>
      <c r="H113" s="47" t="str">
        <f>IFERROR(__xludf.DUMMYFUNCTION("""COMPUTED_VALUE"""),"Huawei,Zillow,Samsung,Zoho,Infosys,Alibaba,Paypal,Intuit,American Express,Yelp,Spotify,Cisco,Coupang,Morgan Stanley,Expedia,Walmart Labs,SAP,Yandex,Atlassian,tcs,Amazon,Bloomberg,Microsoft,Facebook,Goldman Sachs,Google,Adobe,eBay,Apple,Alation,Uber,VMware"&amp;",Oracle,ByteDance,PayTM,Yahoo,Salesforce,Splunk,Nagarro")</f>
        <v>Huawei,Zillow,Samsung,Zoho,Infosys,Alibaba,Paypal,Intuit,American Express,Yelp,Spotify,Cisco,Coupang,Morgan Stanley,Expedia,Walmart Labs,SAP,Yandex,Atlassian,tcs,Amazon,Bloomberg,Microsoft,Facebook,Goldman Sachs,Google,Adobe,eBay,Apple,Alation,Uber,VMware,Oracle,ByteDance,PayTM,Yahoo,Salesforce,Splunk,Nagarro</v>
      </c>
      <c r="I113" s="47">
        <f>IFERROR(__xludf.DUMMYFUNCTION("""COMPUTED_VALUE"""),31.48)</f>
        <v>31.48</v>
      </c>
      <c r="J113" s="47" t="str">
        <f>IFERROR(__xludf.DUMMYFUNCTION("""COMPUTED_VALUE"""),"算法")</f>
        <v>算法</v>
      </c>
      <c r="K113" s="47">
        <v>112.0</v>
      </c>
      <c r="L113" s="6">
        <f>COUNTIF('Coder-1'!B:B,A113)</f>
        <v>0</v>
      </c>
      <c r="M113" s="6">
        <f>COUNTIF('Coder-2'!B:B,A113)</f>
        <v>0</v>
      </c>
      <c r="N113" s="6">
        <f>COUNTIF('Coder-3'!B:B,A113)</f>
        <v>0</v>
      </c>
      <c r="O113" s="6">
        <f>COUNTIF('Coder-4'!B:B,A113)</f>
        <v>0</v>
      </c>
    </row>
    <row r="114">
      <c r="A114" s="83">
        <v>340.0</v>
      </c>
      <c r="B114" s="86" t="str">
        <f>IFERROR(__xludf.DUMMYFUNCTION("IF(ISBLANK(A114),,FILTER('Leetcode List'!B:C,'Leetcode List'!A:A = A114))"),"Longest Substring with At Most K Distinct Characters")</f>
        <v>Longest Substring with At Most K Distinct Characters</v>
      </c>
      <c r="C114" s="46" t="str">
        <f>IFERROR(__xludf.DUMMYFUNCTION("""COMPUTED_VALUE"""),"Medium")</f>
        <v>Medium</v>
      </c>
      <c r="D114" s="46" t="s">
        <v>70</v>
      </c>
      <c r="E114" s="87" t="str">
        <f>IFERROR(__xludf.DUMMYFUNCTION("IF(ISBLANK(A114),,FILTER('Leetcode List'!E:J,'Leetcode List'!A:A = A114))"),"LinkedIn,AppDynamics,Coupang,Citadel,Snapchat,Wish,Oracle,Uber,Bloomberg,Facebook,Amazon,Microsoft,Google")</f>
        <v>LinkedIn,AppDynamics,Coupang,Citadel,Snapchat,Wish,Oracle,Uber,Bloomberg,Facebook,Amazon,Microsoft,Google</v>
      </c>
      <c r="F114" s="47" t="str">
        <f>IFERROR(__xludf.DUMMYFUNCTION("""COMPUTED_VALUE"""),"Facebook,Uber,Amazon,Microsoft,Wish")</f>
        <v>Facebook,Uber,Amazon,Microsoft,Wish</v>
      </c>
      <c r="G114" s="47" t="str">
        <f>IFERROR(__xludf.DUMMYFUNCTION("""COMPUTED_VALUE"""),"Google,Oracle,Facebook,Uber,Amazon,Microsoft,Wish")</f>
        <v>Google,Oracle,Facebook,Uber,Amazon,Microsoft,Wish</v>
      </c>
      <c r="H114" s="47" t="str">
        <f>IFERROR(__xludf.DUMMYFUNCTION("""COMPUTED_VALUE"""),"Bloomberg,Snapchat,LinkedIn,Citadel,AppDynamics,Coupang,Google,Oracle,Facebook,Uber,Amazon,Microsoft,Wish")</f>
        <v>Bloomberg,Snapchat,LinkedIn,Citadel,AppDynamics,Coupang,Google,Oracle,Facebook,Uber,Amazon,Microsoft,Wish</v>
      </c>
      <c r="I114" s="47">
        <f>IFERROR(__xludf.DUMMYFUNCTION("""COMPUTED_VALUE"""),45.62)</f>
        <v>45.62</v>
      </c>
      <c r="J114" s="47" t="str">
        <f>IFERROR(__xludf.DUMMYFUNCTION("""COMPUTED_VALUE"""),"算法")</f>
        <v>算法</v>
      </c>
      <c r="K114" s="47">
        <v>113.0</v>
      </c>
      <c r="L114" s="6">
        <f>COUNTIF('Coder-1'!B:B,A114)</f>
        <v>0</v>
      </c>
      <c r="M114" s="6">
        <f>COUNTIF('Coder-2'!B:B,A114)</f>
        <v>0</v>
      </c>
      <c r="N114" s="6">
        <f>COUNTIF('Coder-3'!B:B,A114)</f>
        <v>0</v>
      </c>
      <c r="O114" s="6">
        <f>COUNTIF('Coder-4'!B:B,A114)</f>
        <v>0</v>
      </c>
    </row>
    <row r="115">
      <c r="A115" s="83">
        <v>395.0</v>
      </c>
      <c r="B115" s="86" t="str">
        <f>IFERROR(__xludf.DUMMYFUNCTION("IF(ISBLANK(A115),,FILTER('Leetcode List'!B:C,'Leetcode List'!A:A = A115))"),"Longest Substring with At Least K Repeating Characters")</f>
        <v>Longest Substring with At Least K Repeating Characters</v>
      </c>
      <c r="C115" s="46" t="str">
        <f>IFERROR(__xludf.DUMMYFUNCTION("""COMPUTED_VALUE"""),"Medium")</f>
        <v>Medium</v>
      </c>
      <c r="D115" s="46" t="s">
        <v>70</v>
      </c>
      <c r="E115" s="87" t="str">
        <f>IFERROR(__xludf.DUMMYFUNCTION("IF(ISBLANK(A115),,FILTER('Leetcode List'!E:J,'Leetcode List'!A:A = A115))"),"Apple,ByteDance,Baidu,Uber,Bloomberg,Adobe,Facebook,Amazon,Google")</f>
        <v>Apple,ByteDance,Baidu,Uber,Bloomberg,Adobe,Facebook,Amazon,Google</v>
      </c>
      <c r="F115" s="47" t="str">
        <f>IFERROR(__xludf.DUMMYFUNCTION("""COMPUTED_VALUE"""),"Facebook,Amazon")</f>
        <v>Facebook,Amazon</v>
      </c>
      <c r="G115" s="47" t="str">
        <f>IFERROR(__xludf.DUMMYFUNCTION("""COMPUTED_VALUE"""),"Uber,Apple,ByteDance,Bloomberg,Facebook,Amazon")</f>
        <v>Uber,Apple,ByteDance,Bloomberg,Facebook,Amazon</v>
      </c>
      <c r="H115" s="47" t="str">
        <f>IFERROR(__xludf.DUMMYFUNCTION("""COMPUTED_VALUE"""),"Google,Adobe,Baidu,Uber,Apple,ByteDance,Bloomberg,Facebook,Amazon")</f>
        <v>Google,Adobe,Baidu,Uber,Apple,ByteDance,Bloomberg,Facebook,Amazon</v>
      </c>
      <c r="I115" s="47">
        <f>IFERROR(__xludf.DUMMYFUNCTION("""COMPUTED_VALUE"""),43.59)</f>
        <v>43.59</v>
      </c>
      <c r="J115" s="47" t="str">
        <f>IFERROR(__xludf.DUMMYFUNCTION("""COMPUTED_VALUE"""),"算法")</f>
        <v>算法</v>
      </c>
      <c r="K115" s="47">
        <v>114.0</v>
      </c>
      <c r="L115" s="6">
        <f>COUNTIF('Coder-1'!B:B,A115)</f>
        <v>0</v>
      </c>
      <c r="M115" s="6">
        <f>COUNTIF('Coder-2'!B:B,A115)</f>
        <v>0</v>
      </c>
      <c r="N115" s="6">
        <f>COUNTIF('Coder-3'!B:B,A115)</f>
        <v>0</v>
      </c>
      <c r="O115" s="6">
        <f>COUNTIF('Coder-4'!B:B,A115)</f>
        <v>0</v>
      </c>
    </row>
    <row r="116">
      <c r="A116" s="83">
        <v>159.0</v>
      </c>
      <c r="B116" s="86" t="str">
        <f>IFERROR(__xludf.DUMMYFUNCTION("IF(ISBLANK(A116),,FILTER('Leetcode List'!B:C,'Leetcode List'!A:A = A116))"),"Longest Substring with At Most Two Distinct Characters")</f>
        <v>Longest Substring with At Most Two Distinct Characters</v>
      </c>
      <c r="C116" s="46" t="str">
        <f>IFERROR(__xludf.DUMMYFUNCTION("""COMPUTED_VALUE"""),"Medium")</f>
        <v>Medium</v>
      </c>
      <c r="D116" s="46" t="s">
        <v>70</v>
      </c>
      <c r="E116" s="87" t="str">
        <f>IFERROR(__xludf.DUMMYFUNCTION("IF(ISBLANK(A116),,FILTER('Leetcode List'!E:J,'Leetcode List'!A:A = A116))"),"Adobe,Facebook,Amazon,Microsoft,Google")</f>
        <v>Adobe,Facebook,Amazon,Microsoft,Google</v>
      </c>
      <c r="F116" s="47" t="str">
        <f>IFERROR(__xludf.DUMMYFUNCTION("""COMPUTED_VALUE"""),"Facebook")</f>
        <v>Facebook</v>
      </c>
      <c r="G116" s="47" t="str">
        <f>IFERROR(__xludf.DUMMYFUNCTION("""COMPUTED_VALUE"""),"Google,Microsoft,Facebook")</f>
        <v>Google,Microsoft,Facebook</v>
      </c>
      <c r="H116" s="47" t="str">
        <f>IFERROR(__xludf.DUMMYFUNCTION("""COMPUTED_VALUE"""),"Amazon,Adobe,Google,Microsoft,Facebook")</f>
        <v>Amazon,Adobe,Google,Microsoft,Facebook</v>
      </c>
      <c r="I116" s="47">
        <f>IFERROR(__xludf.DUMMYFUNCTION("""COMPUTED_VALUE"""),50.57)</f>
        <v>50.57</v>
      </c>
      <c r="J116" s="47" t="str">
        <f>IFERROR(__xludf.DUMMYFUNCTION("""COMPUTED_VALUE"""),"算法")</f>
        <v>算法</v>
      </c>
      <c r="K116" s="47">
        <v>115.0</v>
      </c>
      <c r="L116" s="6">
        <f>COUNTIF('Coder-1'!B:B,A116)</f>
        <v>0</v>
      </c>
      <c r="M116" s="6">
        <f>COUNTIF('Coder-2'!B:B,A116)</f>
        <v>0</v>
      </c>
      <c r="N116" s="6">
        <f>COUNTIF('Coder-3'!B:B,A116)</f>
        <v>0</v>
      </c>
      <c r="O116" s="6">
        <f>COUNTIF('Coder-4'!B:B,A116)</f>
        <v>0</v>
      </c>
    </row>
    <row r="117">
      <c r="A117" s="83">
        <v>125.0</v>
      </c>
      <c r="B117" s="86" t="str">
        <f>IFERROR(__xludf.DUMMYFUNCTION("IF(ISBLANK(A117),,FILTER('Leetcode List'!B:C,'Leetcode List'!A:A = A117))"),"Valid Palindrome")</f>
        <v>Valid Palindrome</v>
      </c>
      <c r="C117" s="46" t="str">
        <f>IFERROR(__xludf.DUMMYFUNCTION("""COMPUTED_VALUE"""),"Easy")</f>
        <v>Easy</v>
      </c>
      <c r="D117" s="46" t="s">
        <v>70</v>
      </c>
      <c r="E117" s="87" t="str">
        <f>IFERROR(__xludf.DUMMYFUNCTION("IF(ISBLANK(A117),,FILTER('Leetcode List'!E:J,'Leetcode List'!A:A = A117))"),"IBM,Wayfair,Zenefits,Wish,Oracle,Cisco,Yandex,EBay,Apple,Uber,Bloomberg,Adobe,Facebook,Amazon,LinkedIn,Microsoft,Google")</f>
        <v>IBM,Wayfair,Zenefits,Wish,Oracle,Cisco,Yandex,EBay,Apple,Uber,Bloomberg,Adobe,Facebook,Amazon,LinkedIn,Microsoft,Google</v>
      </c>
      <c r="F117" s="47" t="str">
        <f>IFERROR(__xludf.DUMMYFUNCTION("""COMPUTED_VALUE"""),"Facebook,Microsoft,Apple,Wayfair,Amazon,Yandex,Bloomberg,Oracle")</f>
        <v>Facebook,Microsoft,Apple,Wayfair,Amazon,Yandex,Bloomberg,Oracle</v>
      </c>
      <c r="G117" s="47" t="str">
        <f>IFERROR(__xludf.DUMMYFUNCTION("""COMPUTED_VALUE"""),"eBay,IBM,Facebook,Microsoft,Apple,Wayfair,Amazon,Yandex,Bloomberg,Oracle")</f>
        <v>eBay,IBM,Facebook,Microsoft,Apple,Wayfair,Amazon,Yandex,Bloomberg,Oracle</v>
      </c>
      <c r="H117" s="47" t="str">
        <f>IFERROR(__xludf.DUMMYFUNCTION("""COMPUTED_VALUE"""),"Google,Adobe,LinkedIn,Cisco,Wish,Uber,Zenefits,eBay,IBM,Facebook,Microsoft,Apple,Wayfair,Amazon,Yandex,Bloomberg,Oracle")</f>
        <v>Google,Adobe,LinkedIn,Cisco,Wish,Uber,Zenefits,eBay,IBM,Facebook,Microsoft,Apple,Wayfair,Amazon,Yandex,Bloomberg,Oracle</v>
      </c>
      <c r="I117" s="47">
        <f>IFERROR(__xludf.DUMMYFUNCTION("""COMPUTED_VALUE"""),38.37)</f>
        <v>38.37</v>
      </c>
      <c r="J117" s="47" t="str">
        <f>IFERROR(__xludf.DUMMYFUNCTION("""COMPUTED_VALUE"""),"算法")</f>
        <v>算法</v>
      </c>
      <c r="K117" s="47">
        <v>116.0</v>
      </c>
      <c r="L117" s="6">
        <f>COUNTIF('Coder-1'!B:B,A117)</f>
        <v>0</v>
      </c>
      <c r="M117" s="6">
        <f>COUNTIF('Coder-2'!B:B,A117)</f>
        <v>0</v>
      </c>
      <c r="N117" s="6">
        <f>COUNTIF('Coder-3'!B:B,A117)</f>
        <v>0</v>
      </c>
      <c r="O117" s="6">
        <f>COUNTIF('Coder-4'!B:B,A117)</f>
        <v>0</v>
      </c>
    </row>
    <row r="118">
      <c r="A118" s="83">
        <v>266.0</v>
      </c>
      <c r="B118" s="86" t="str">
        <f>IFERROR(__xludf.DUMMYFUNCTION("IF(ISBLANK(A118),,FILTER('Leetcode List'!B:C,'Leetcode List'!A:A = A118))"),"Palindrome Permutation")</f>
        <v>Palindrome Permutation</v>
      </c>
      <c r="C118" s="46" t="str">
        <f>IFERROR(__xludf.DUMMYFUNCTION("""COMPUTED_VALUE"""),"Easy")</f>
        <v>Easy</v>
      </c>
      <c r="D118" s="46" t="s">
        <v>70</v>
      </c>
      <c r="E118" s="87" t="str">
        <f>IFERROR(__xludf.DUMMYFUNCTION("IF(ISBLANK(A118),,FILTER('Leetcode List'!E:J,'Leetcode List'!A:A = A118))"),"Apple,Uber,Bloomberg,Facebook,Amazon,Microsoft,Google")</f>
        <v>Apple,Uber,Bloomberg,Facebook,Amazon,Microsoft,Google</v>
      </c>
      <c r="F118" s="47" t="str">
        <f>IFERROR(__xludf.DUMMYFUNCTION("""COMPUTED_VALUE"""),"Facebook,Microsoft")</f>
        <v>Facebook,Microsoft</v>
      </c>
      <c r="G118" s="47" t="str">
        <f>IFERROR(__xludf.DUMMYFUNCTION("""COMPUTED_VALUE"""),"Facebook,Microsoft")</f>
        <v>Facebook,Microsoft</v>
      </c>
      <c r="H118" s="47" t="str">
        <f>IFERROR(__xludf.DUMMYFUNCTION("""COMPUTED_VALUE"""),"Apple,Amazon,Google,Uber,Bloomberg,Facebook,Microsoft")</f>
        <v>Apple,Amazon,Google,Uber,Bloomberg,Facebook,Microsoft</v>
      </c>
      <c r="I118" s="47">
        <f>IFERROR(__xludf.DUMMYFUNCTION("""COMPUTED_VALUE"""),62.53)</f>
        <v>62.53</v>
      </c>
      <c r="J118" s="47" t="str">
        <f>IFERROR(__xludf.DUMMYFUNCTION("""COMPUTED_VALUE"""),"算法")</f>
        <v>算法</v>
      </c>
      <c r="K118" s="47">
        <v>117.0</v>
      </c>
      <c r="L118" s="6">
        <f>COUNTIF('Coder-1'!B:B,A118)</f>
        <v>0</v>
      </c>
      <c r="M118" s="6">
        <f>COUNTIF('Coder-2'!B:B,A118)</f>
        <v>0</v>
      </c>
      <c r="N118" s="6">
        <f>COUNTIF('Coder-3'!B:B,A118)</f>
        <v>0</v>
      </c>
      <c r="O118" s="6">
        <f>COUNTIF('Coder-4'!B:B,A118)</f>
        <v>0</v>
      </c>
    </row>
    <row r="119">
      <c r="A119" s="83">
        <v>5.0</v>
      </c>
      <c r="B119" s="86" t="str">
        <f>IFERROR(__xludf.DUMMYFUNCTION("IF(ISBLANK(A119),,FILTER('Leetcode List'!B:C,'Leetcode List'!A:A = A119))"),"Longest Palindromic Substring")</f>
        <v>Longest Palindromic Substring</v>
      </c>
      <c r="C119" s="46" t="str">
        <f>IFERROR(__xludf.DUMMYFUNCTION("""COMPUTED_VALUE"""),"Medium")</f>
        <v>Medium</v>
      </c>
      <c r="D119" s="46" t="s">
        <v>70</v>
      </c>
      <c r="E119" s="87" t="str">
        <f>IFERROR(__xludf.DUMMYFUNCTION("IF(ISBLANK(A119),,FILTER('Leetcode List'!E:J,'Leetcode List'!A:A = A119))"),"Nutanix,Robinhood,Tcs,Infosys,ByteDance,Qualcomm,Morgan Stanley,Goldman Sachs,Wayfair,Pure Storage,Roblox,VMware,Walmart Labs,GoDaddy,JPMorgan,Paypal,ServiceNow,Oracle,Cisco,Mathworks,Yandex,Huawei,EBay,Apple,Airbnb,Uber,Yahoo,Samsung,Tencent,SAP,Bloomber"&amp;"g,Adobe,Facebook,Amazon,Microsoft,Alibaba,Google")</f>
        <v>Nutanix,Robinhood,Tcs,Infosys,ByteDance,Qualcomm,Morgan Stanley,Goldman Sachs,Wayfair,Pure Storage,Roblox,VMware,Walmart Labs,GoDaddy,JPMorgan,Paypal,ServiceNow,Oracle,Cisco,Mathworks,Yandex,Huawei,EBay,Apple,Airbnb,Uber,Yahoo,Samsung,Tencent,SAP,Bloomberg,Adobe,Facebook,Amazon,Microsoft,Alibaba,Google</v>
      </c>
      <c r="F119" s="47" t="str">
        <f>IFERROR(__xludf.DUMMYFUNCTION("""COMPUTED_VALUE"""),"Amazon,Microsoft,Wayfair,Facebook,Google,Adobe,eBay,Oracle,Bloomberg,Goldman Sachs,Apple,Yandex,Qualcomm")</f>
        <v>Amazon,Microsoft,Wayfair,Facebook,Google,Adobe,eBay,Oracle,Bloomberg,Goldman Sachs,Apple,Yandex,Qualcomm</v>
      </c>
      <c r="G119" s="47" t="str">
        <f>IFERROR(__xludf.DUMMYFUNCTION("""COMPUTED_VALUE"""),"Cisco,Nutanix,Uber,Walmart Labs,Paypal,Morgan Stanley,Infosys,tcs,Amazon,Microsoft,Wayfair,Facebook,Google,Adobe,eBay,Oracle,Bloomberg,Goldman Sachs,Apple,Yandex,Qualcomm")</f>
        <v>Cisco,Nutanix,Uber,Walmart Labs,Paypal,Morgan Stanley,Infosys,tcs,Amazon,Microsoft,Wayfair,Facebook,Google,Adobe,eBay,Oracle,Bloomberg,Goldman Sachs,Apple,Yandex,Qualcomm</v>
      </c>
      <c r="H119" s="47" t="str">
        <f>IFERROR(__xludf.DUMMYFUNCTION("""COMPUTED_VALUE"""),"Yahoo,SAP,ServiceNow,Samsung,Tencent,VMware,Huawei,Airbnb,Mathworks,ByteDance,Robinhood,Cisco,Nutanix,Uber,Walmart Labs,Paypal,Morgan Stanley,Infosys,tcs,Amazon,Microsoft,Wayfair,Facebook,Google,Adobe,eBay,Oracle,Bloomberg,Goldman Sachs,Apple,Yandex,Qualc"&amp;"omm")</f>
        <v>Yahoo,SAP,ServiceNow,Samsung,Tencent,VMware,Huawei,Airbnb,Mathworks,ByteDance,Robinhood,Cisco,Nutanix,Uber,Walmart Labs,Paypal,Morgan Stanley,Infosys,tcs,Amazon,Microsoft,Wayfair,Facebook,Google,Adobe,eBay,Oracle,Bloomberg,Goldman Sachs,Apple,Yandex,Qualcomm</v>
      </c>
      <c r="I119" s="47">
        <f>IFERROR(__xludf.DUMMYFUNCTION("""COMPUTED_VALUE"""),30.58)</f>
        <v>30.58</v>
      </c>
      <c r="J119" s="47" t="str">
        <f>IFERROR(__xludf.DUMMYFUNCTION("""COMPUTED_VALUE"""),"算法")</f>
        <v>算法</v>
      </c>
      <c r="K119" s="47">
        <v>118.0</v>
      </c>
      <c r="L119" s="6">
        <f>COUNTIF('Coder-1'!B:B,A119)</f>
        <v>0</v>
      </c>
      <c r="M119" s="6">
        <f>COUNTIF('Coder-2'!B:B,A119)</f>
        <v>0</v>
      </c>
      <c r="N119" s="6">
        <f>COUNTIF('Coder-3'!B:B,A119)</f>
        <v>0</v>
      </c>
      <c r="O119" s="6">
        <f>COUNTIF('Coder-4'!B:B,A119)</f>
        <v>0</v>
      </c>
    </row>
    <row r="120">
      <c r="A120" s="83">
        <v>9.0</v>
      </c>
      <c r="B120" s="86" t="str">
        <f>IFERROR(__xludf.DUMMYFUNCTION("IF(ISBLANK(A120),,FILTER('Leetcode List'!B:C,'Leetcode List'!A:A = A120))"),"Palindrome Number")</f>
        <v>Palindrome Number</v>
      </c>
      <c r="C120" s="46" t="str">
        <f>IFERROR(__xludf.DUMMYFUNCTION("""COMPUTED_VALUE"""),"Easy")</f>
        <v>Easy</v>
      </c>
      <c r="D120" s="46" t="s">
        <v>70</v>
      </c>
      <c r="E120" s="87" t="str">
        <f>IFERROR(__xludf.DUMMYFUNCTION("IF(ISBLANK(A120),,FILTER('Leetcode List'!E:J,'Leetcode List'!A:A = A120))"),"SAP,JPMorgan,Oracle,Apple,Yahoo,Bloomberg,Adobe,Facebook,Amazon,Microsoft,Goldman Sachs,Google")</f>
        <v>SAP,JPMorgan,Oracle,Apple,Yahoo,Bloomberg,Adobe,Facebook,Amazon,Microsoft,Goldman Sachs,Google</v>
      </c>
      <c r="F120" s="47" t="str">
        <f>IFERROR(__xludf.DUMMYFUNCTION("""COMPUTED_VALUE"""),"Microsoft,Adobe,Bloomberg,Facebook,Google,Yahoo")</f>
        <v>Microsoft,Adobe,Bloomberg,Facebook,Google,Yahoo</v>
      </c>
      <c r="G120" s="47" t="str">
        <f>IFERROR(__xludf.DUMMYFUNCTION("""COMPUTED_VALUE"""),"Apple,Microsoft,Adobe,Bloomberg,Facebook,Google,Yahoo")</f>
        <v>Apple,Microsoft,Adobe,Bloomberg,Facebook,Google,Yahoo</v>
      </c>
      <c r="H120" s="47" t="str">
        <f>IFERROR(__xludf.DUMMYFUNCTION("""COMPUTED_VALUE"""),"Amazon,Oracle,SAP,Apple,Microsoft,Adobe,Bloomberg,Facebook,Google,Yahoo")</f>
        <v>Amazon,Oracle,SAP,Apple,Microsoft,Adobe,Bloomberg,Facebook,Google,Yahoo</v>
      </c>
      <c r="I120" s="47">
        <f>IFERROR(__xludf.DUMMYFUNCTION("""COMPUTED_VALUE"""),49.89)</f>
        <v>49.89</v>
      </c>
      <c r="J120" s="47" t="str">
        <f>IFERROR(__xludf.DUMMYFUNCTION("""COMPUTED_VALUE"""),"算法")</f>
        <v>算法</v>
      </c>
      <c r="K120" s="47">
        <v>119.0</v>
      </c>
      <c r="L120" s="6">
        <f>COUNTIF('Coder-1'!B:B,A120)</f>
        <v>0</v>
      </c>
      <c r="M120" s="6">
        <f>COUNTIF('Coder-2'!B:B,A120)</f>
        <v>0</v>
      </c>
      <c r="N120" s="6">
        <f>COUNTIF('Coder-3'!B:B,A120)</f>
        <v>0</v>
      </c>
      <c r="O120" s="6">
        <f>COUNTIF('Coder-4'!B:B,A120)</f>
        <v>0</v>
      </c>
    </row>
    <row r="121">
      <c r="A121" s="83">
        <v>214.0</v>
      </c>
      <c r="B121" s="86" t="str">
        <f>IFERROR(__xludf.DUMMYFUNCTION("IF(ISBLANK(A121),,FILTER('Leetcode List'!B:C,'Leetcode List'!A:A = A121))"),"Shortest Palindrome")</f>
        <v>Shortest Palindrome</v>
      </c>
      <c r="C121" s="46" t="str">
        <f>IFERROR(__xludf.DUMMYFUNCTION("""COMPUTED_VALUE"""),"Hard")</f>
        <v>Hard</v>
      </c>
      <c r="D121" s="46" t="s">
        <v>70</v>
      </c>
      <c r="E121" s="87" t="str">
        <f>IFERROR(__xludf.DUMMYFUNCTION("IF(ISBLANK(A121),,FILTER('Leetcode List'!E:J,'Leetcode List'!A:A = A121))"),"Tesla,Pocket Gems,Oracle,Bloomberg,Adobe,Facebook,Amazon,Microsoft,Google")</f>
        <v>Tesla,Pocket Gems,Oracle,Bloomberg,Adobe,Facebook,Amazon,Microsoft,Google</v>
      </c>
      <c r="F121" s="47" t="str">
        <f>IFERROR(__xludf.DUMMYFUNCTION("""COMPUTED_VALUE"""),"Microsoft")</f>
        <v>Microsoft</v>
      </c>
      <c r="G121" s="47" t="str">
        <f>IFERROR(__xludf.DUMMYFUNCTION("""COMPUTED_VALUE"""),"Bloomberg,Facebook,Google,Amazon,Tesla,Microsoft")</f>
        <v>Bloomberg,Facebook,Google,Amazon,Tesla,Microsoft</v>
      </c>
      <c r="H121" s="47" t="str">
        <f>IFERROR(__xludf.DUMMYFUNCTION("""COMPUTED_VALUE"""),"Oracle,Adobe,Pocket Gems,Bloomberg,Facebook,Google,Amazon,Tesla,Microsoft")</f>
        <v>Oracle,Adobe,Pocket Gems,Bloomberg,Facebook,Google,Amazon,Tesla,Microsoft</v>
      </c>
      <c r="I121" s="47">
        <f>IFERROR(__xludf.DUMMYFUNCTION("""COMPUTED_VALUE"""),30.74)</f>
        <v>30.74</v>
      </c>
      <c r="J121" s="47" t="str">
        <f>IFERROR(__xludf.DUMMYFUNCTION("""COMPUTED_VALUE"""),"算法")</f>
        <v>算法</v>
      </c>
      <c r="K121" s="47">
        <v>120.0</v>
      </c>
      <c r="L121" s="6">
        <f>COUNTIF('Coder-1'!B:B,A121)</f>
        <v>0</v>
      </c>
      <c r="M121" s="6">
        <f>COUNTIF('Coder-2'!B:B,A121)</f>
        <v>0</v>
      </c>
      <c r="N121" s="6">
        <f>COUNTIF('Coder-3'!B:B,A121)</f>
        <v>0</v>
      </c>
      <c r="O121" s="6">
        <f>COUNTIF('Coder-4'!B:B,A121)</f>
        <v>0</v>
      </c>
    </row>
    <row r="122">
      <c r="A122" s="83">
        <v>336.0</v>
      </c>
      <c r="B122" s="86" t="str">
        <f>IFERROR(__xludf.DUMMYFUNCTION("IF(ISBLANK(A122),,FILTER('Leetcode List'!B:C,'Leetcode List'!A:A = A122))"),"Palindrome Pairs")</f>
        <v>Palindrome Pairs</v>
      </c>
      <c r="C122" s="46" t="str">
        <f>IFERROR(__xludf.DUMMYFUNCTION("""COMPUTED_VALUE"""),"Hard")</f>
        <v>Hard</v>
      </c>
      <c r="D122" s="46" t="s">
        <v>70</v>
      </c>
      <c r="E122" s="87" t="str">
        <f>IFERROR(__xludf.DUMMYFUNCTION("IF(ISBLANK(A122),,FILTER('Leetcode List'!E:J,'Leetcode List'!A:A = A122))"),"Nutanix,ByteDance,Square,Apple,Airbnb,Uber,Bloomberg,Adobe,Facebook,Amazon,Google")</f>
        <v>Nutanix,ByteDance,Square,Apple,Airbnb,Uber,Bloomberg,Adobe,Facebook,Amazon,Google</v>
      </c>
      <c r="F122" s="47" t="str">
        <f>IFERROR(__xludf.DUMMYFUNCTION("""COMPUTED_VALUE"""),"Airbnb,ByteDance,Facebook,Amazon")</f>
        <v>Airbnb,ByteDance,Facebook,Amazon</v>
      </c>
      <c r="G122" s="47" t="str">
        <f>IFERROR(__xludf.DUMMYFUNCTION("""COMPUTED_VALUE"""),"Square,Uber,Airbnb,ByteDance,Facebook,Amazon")</f>
        <v>Square,Uber,Airbnb,ByteDance,Facebook,Amazon</v>
      </c>
      <c r="H122" s="47" t="str">
        <f>IFERROR(__xludf.DUMMYFUNCTION("""COMPUTED_VALUE"""),"Google,Apple,Nutanix,Square,Uber,Airbnb,ByteDance,Facebook,Amazon")</f>
        <v>Google,Apple,Nutanix,Square,Uber,Airbnb,ByteDance,Facebook,Amazon</v>
      </c>
      <c r="I122" s="47">
        <f>IFERROR(__xludf.DUMMYFUNCTION("""COMPUTED_VALUE"""),34.72)</f>
        <v>34.72</v>
      </c>
      <c r="J122" s="47" t="str">
        <f>IFERROR(__xludf.DUMMYFUNCTION("""COMPUTED_VALUE"""),"算法")</f>
        <v>算法</v>
      </c>
      <c r="K122" s="47">
        <v>121.0</v>
      </c>
      <c r="L122" s="6">
        <f>COUNTIF('Coder-1'!B:B,A122)</f>
        <v>0</v>
      </c>
      <c r="M122" s="6">
        <f>COUNTIF('Coder-2'!B:B,A122)</f>
        <v>0</v>
      </c>
      <c r="N122" s="6">
        <f>COUNTIF('Coder-3'!B:B,A122)</f>
        <v>0</v>
      </c>
      <c r="O122" s="6">
        <f>COUNTIF('Coder-4'!B:B,A122)</f>
        <v>0</v>
      </c>
    </row>
    <row r="123">
      <c r="A123" s="83">
        <v>131.0</v>
      </c>
      <c r="B123" s="86" t="str">
        <f>IFERROR(__xludf.DUMMYFUNCTION("IF(ISBLANK(A123),,FILTER('Leetcode List'!B:C,'Leetcode List'!A:A = A123))"),"Palindrome Partitioning")</f>
        <v>Palindrome Partitioning</v>
      </c>
      <c r="C123" s="46" t="str">
        <f>IFERROR(__xludf.DUMMYFUNCTION("""COMPUTED_VALUE"""),"Medium")</f>
        <v>Medium</v>
      </c>
      <c r="D123" s="46" t="s">
        <v>70</v>
      </c>
      <c r="E123" s="87" t="str">
        <f>IFERROR(__xludf.DUMMYFUNCTION("IF(ISBLANK(A123),,FILTER('Leetcode List'!E:J,'Leetcode List'!A:A = A123))"),"Apple,Facebook,Microsoft,Qualtrics,Uber,Yahoo,Bloomberg,Adobe,Amazon,Google")</f>
        <v>Apple,Facebook,Microsoft,Qualtrics,Uber,Yahoo,Bloomberg,Adobe,Amazon,Google</v>
      </c>
      <c r="F123" s="47" t="str">
        <f>IFERROR(__xludf.DUMMYFUNCTION("""COMPUTED_VALUE"""),"Amazon,Apple,Google")</f>
        <v>Amazon,Apple,Google</v>
      </c>
      <c r="G123" s="47" t="str">
        <f>IFERROR(__xludf.DUMMYFUNCTION("""COMPUTED_VALUE"""),"Microsoft,Facebook,Amazon,Apple,Google")</f>
        <v>Microsoft,Facebook,Amazon,Apple,Google</v>
      </c>
      <c r="H123" s="47" t="str">
        <f>IFERROR(__xludf.DUMMYFUNCTION("""COMPUTED_VALUE"""),"Uber,Adobe,Bloomberg,Yahoo,Qualtrics,Microsoft,Facebook,Amazon,Apple,Google")</f>
        <v>Uber,Adobe,Bloomberg,Yahoo,Qualtrics,Microsoft,Facebook,Amazon,Apple,Google</v>
      </c>
      <c r="I123" s="47">
        <f>IFERROR(__xludf.DUMMYFUNCTION("""COMPUTED_VALUE"""),52.33)</f>
        <v>52.33</v>
      </c>
      <c r="J123" s="47" t="str">
        <f>IFERROR(__xludf.DUMMYFUNCTION("""COMPUTED_VALUE"""),"算法")</f>
        <v>算法</v>
      </c>
      <c r="K123" s="47">
        <v>122.0</v>
      </c>
      <c r="L123" s="6">
        <f>COUNTIF('Coder-1'!B:B,A123)</f>
        <v>0</v>
      </c>
      <c r="M123" s="6">
        <f>COUNTIF('Coder-2'!B:B,A123)</f>
        <v>0</v>
      </c>
      <c r="N123" s="6">
        <f>COUNTIF('Coder-3'!B:B,A123)</f>
        <v>0</v>
      </c>
      <c r="O123" s="6">
        <f>COUNTIF('Coder-4'!B:B,A123)</f>
        <v>0</v>
      </c>
    </row>
    <row r="124">
      <c r="A124" s="83">
        <v>132.0</v>
      </c>
      <c r="B124" s="86" t="str">
        <f>IFERROR(__xludf.DUMMYFUNCTION("IF(ISBLANK(A124),,FILTER('Leetcode List'!B:C,'Leetcode List'!A:A = A124))"),"Palindrome Partitioning II")</f>
        <v>Palindrome Partitioning II</v>
      </c>
      <c r="C124" s="46" t="str">
        <f>IFERROR(__xludf.DUMMYFUNCTION("""COMPUTED_VALUE"""),"Hard")</f>
        <v>Hard</v>
      </c>
      <c r="D124" s="46" t="s">
        <v>70</v>
      </c>
      <c r="E124" s="87" t="str">
        <f>IFERROR(__xludf.DUMMYFUNCTION("IF(ISBLANK(A124),,FILTER('Leetcode List'!E:J,'Leetcode List'!A:A = A124))"),"Duolingo,Amazon,Google")</f>
        <v>Duolingo,Amazon,Google</v>
      </c>
      <c r="F124" s="47" t="str">
        <f>IFERROR(__xludf.DUMMYFUNCTION("""COMPUTED_VALUE"""),"Amazon")</f>
        <v>Amazon</v>
      </c>
      <c r="G124" s="47" t="str">
        <f>IFERROR(__xludf.DUMMYFUNCTION("""COMPUTED_VALUE"""),"Google,Amazon")</f>
        <v>Google,Amazon</v>
      </c>
      <c r="H124" s="47" t="str">
        <f>IFERROR(__xludf.DUMMYFUNCTION("""COMPUTED_VALUE"""),"Duolingo,Google,Amazon")</f>
        <v>Duolingo,Google,Amazon</v>
      </c>
      <c r="I124" s="47">
        <f>IFERROR(__xludf.DUMMYFUNCTION("""COMPUTED_VALUE"""),31.35)</f>
        <v>31.35</v>
      </c>
      <c r="J124" s="47" t="str">
        <f>IFERROR(__xludf.DUMMYFUNCTION("""COMPUTED_VALUE"""),"算法")</f>
        <v>算法</v>
      </c>
      <c r="K124" s="47">
        <v>123.0</v>
      </c>
      <c r="L124" s="6">
        <f>COUNTIF('Coder-1'!B:B,A124)</f>
        <v>0</v>
      </c>
      <c r="M124" s="6">
        <f>COUNTIF('Coder-2'!B:B,A124)</f>
        <v>0</v>
      </c>
      <c r="N124" s="6">
        <f>COUNTIF('Coder-3'!B:B,A124)</f>
        <v>0</v>
      </c>
      <c r="O124" s="6">
        <f>COUNTIF('Coder-4'!B:B,A124)</f>
        <v>0</v>
      </c>
    </row>
    <row r="125">
      <c r="A125" s="83">
        <v>267.0</v>
      </c>
      <c r="B125" s="86" t="str">
        <f>IFERROR(__xludf.DUMMYFUNCTION("IF(ISBLANK(A125),,FILTER('Leetcode List'!B:C,'Leetcode List'!A:A = A125))"),"Palindrome Permutation II")</f>
        <v>Palindrome Permutation II</v>
      </c>
      <c r="C125" s="46" t="str">
        <f>IFERROR(__xludf.DUMMYFUNCTION("""COMPUTED_VALUE"""),"Medium")</f>
        <v>Medium</v>
      </c>
      <c r="D125" s="46" t="s">
        <v>70</v>
      </c>
      <c r="E125" s="87" t="str">
        <f>IFERROR(__xludf.DUMMYFUNCTION("IF(ISBLANK(A125),,FILTER('Leetcode List'!E:J,'Leetcode List'!A:A = A125))"),"Microsoft,Uber,Amazon,Google")</f>
        <v>Microsoft,Uber,Amazon,Google</v>
      </c>
      <c r="F125" s="47"/>
      <c r="G125" s="47" t="str">
        <f>IFERROR(__xludf.DUMMYFUNCTION("""COMPUTED_VALUE"""),"Uber,Microsoft")</f>
        <v>Uber,Microsoft</v>
      </c>
      <c r="H125" s="47" t="str">
        <f>IFERROR(__xludf.DUMMYFUNCTION("""COMPUTED_VALUE"""),"Google,Amazon,Uber,Microsoft")</f>
        <v>Google,Amazon,Uber,Microsoft</v>
      </c>
      <c r="I125" s="47">
        <f>IFERROR(__xludf.DUMMYFUNCTION("""COMPUTED_VALUE"""),37.48)</f>
        <v>37.48</v>
      </c>
      <c r="J125" s="47" t="str">
        <f>IFERROR(__xludf.DUMMYFUNCTION("""COMPUTED_VALUE"""),"算法")</f>
        <v>算法</v>
      </c>
      <c r="K125" s="47">
        <v>124.0</v>
      </c>
      <c r="L125" s="6">
        <f>COUNTIF('Coder-1'!B:B,A125)</f>
        <v>0</v>
      </c>
      <c r="M125" s="6">
        <f>COUNTIF('Coder-2'!B:B,A125)</f>
        <v>0</v>
      </c>
      <c r="N125" s="6">
        <f>COUNTIF('Coder-3'!B:B,A125)</f>
        <v>0</v>
      </c>
      <c r="O125" s="6">
        <f>COUNTIF('Coder-4'!B:B,A125)</f>
        <v>0</v>
      </c>
    </row>
    <row r="126">
      <c r="A126" s="83">
        <v>20.0</v>
      </c>
      <c r="B126" s="86" t="str">
        <f>IFERROR(__xludf.DUMMYFUNCTION("IF(ISBLANK(A126),,FILTER('Leetcode List'!B:C,'Leetcode List'!A:A = A126))"),"Valid Parentheses")</f>
        <v>Valid Parentheses</v>
      </c>
      <c r="C126" s="46" t="str">
        <f>IFERROR(__xludf.DUMMYFUNCTION("""COMPUTED_VALUE"""),"Easy")</f>
        <v>Easy</v>
      </c>
      <c r="D126" s="46" t="s">
        <v>70</v>
      </c>
      <c r="E126" s="87" t="str">
        <f>IFERROR(__xludf.DUMMYFUNCTION("IF(ISBLANK(A126),,FILTER('Leetcode List'!E:J,'Leetcode List'!A:A = A126))"),"Flipkart,Splunk,ByteDance,Qualcomm,LiveRamp,Netflix,Epic Systems,Riot Games,Tesla,Blizzard,DoorDash,Postmates,Akuna Capital,Barclays,Zenefits,Atlassian,Audible,Twilio,Salesforce,Intel,Visa,VMware,Citadel,Walmart Labs,GoDaddy,JPMorgan,Zillow,Paypal,Twitter"&amp;",ServiceNow,Expedia,Oracle,Spotify,Intuit,IBM,Lyft,Cisco,Mathworks,Yandex,EBay,Apple,Airbnb,Uber,Yahoo,Samsung,Tencent,SAP,Morgan Stanley,Bloomberg,Adobe,Facebook,Amazon,LinkedIn,Microsoft,Goldman Sachs,Google")</f>
        <v>Flipkart,Splunk,ByteDance,Qualcomm,LiveRamp,Netflix,Epic Systems,Riot Games,Tesla,Blizzard,DoorDash,Postmates,Akuna Capital,Barclays,Zenefits,Atlassian,Audible,Twilio,Salesforce,Intel,Visa,VMware,Citadel,Walmart Labs,GoDaddy,JPMorgan,Zillow,Paypal,Twitter,ServiceNow,Expedia,Oracle,Spotify,Intuit,IBM,Lyft,Cisco,Mathworks,Yandex,EBay,Apple,Airbnb,Uber,Yahoo,Samsung,Tencent,SAP,Morgan Stanley,Bloomberg,Adobe,Facebook,Amazon,LinkedIn,Microsoft,Goldman Sachs,Google</v>
      </c>
      <c r="F126" s="47" t="str">
        <f>IFERROR(__xludf.DUMMYFUNCTION("""COMPUTED_VALUE"""),"Amazon,Bloomberg,Apple,Facebook,Microsoft,Expedia,Google,Oracle,Spotify,IBM,LinkedIn,Goldman Sachs,Intuit,Paypal,eBay,ServiceNow,Qualcomm,Zillow,JPMorgan,ByteDance")</f>
        <v>Amazon,Bloomberg,Apple,Facebook,Microsoft,Expedia,Google,Oracle,Spotify,IBM,LinkedIn,Goldman Sachs,Intuit,Paypal,eBay,ServiceNow,Qualcomm,Zillow,JPMorgan,ByteDance</v>
      </c>
      <c r="G126" s="47" t="str">
        <f>IFERROR(__xludf.DUMMYFUNCTION("""COMPUTED_VALUE"""),"Citadel,Tesla,VMware,Adobe,Yahoo,Lyft,Flipkart,Blizzard,Barclays,Atlassian,Mathworks,Morgan Stanley,Visa,Salesforce,Amazon,Bloomberg,Apple,Facebook,Microsoft,Expedia,Google,Oracle,Spotify,IBM,LinkedIn,Goldman Sachs,Intuit,Paypal,eBay,ServiceNow,Qualcomm,Z"&amp;"illow,JPMorgan,ByteDance")</f>
        <v>Citadel,Tesla,VMware,Adobe,Yahoo,Lyft,Flipkart,Blizzard,Barclays,Atlassian,Mathworks,Morgan Stanley,Visa,Salesforce,Amazon,Bloomberg,Apple,Facebook,Microsoft,Expedia,Google,Oracle,Spotify,IBM,LinkedIn,Goldman Sachs,Intuit,Paypal,eBay,ServiceNow,Qualcomm,Zillow,JPMorgan,ByteDance</v>
      </c>
      <c r="H126" s="47" t="str">
        <f>IFERROR(__xludf.DUMMYFUNCTION("""COMPUTED_VALUE"""),"Uber,Yandex,Cisco,Intel,Twitter,Riot Games,GoDaddy,Walmart Labs,Audible,Epic Systems,SAP,LiveRamp,Splunk,Airbnb,Zenefits,Citadel,Tesla,VMware,Adobe,Yahoo,Lyft,Flipkart,Blizzard,Barclays,Atlassian,Mathworks,Morgan Stanley,Visa,Salesforce,Amazon,Bloomberg,A"&amp;"pple,Facebook,Microsoft,Expedia,Google,Oracle,Spotify,IBM,LinkedIn,Goldman Sachs,Intuit,Paypal,eBay,ServiceNow,Qualcomm,Zillow,JPMorgan,ByteDance")</f>
        <v>Uber,Yandex,Cisco,Intel,Twitter,Riot Games,GoDaddy,Walmart Labs,Audible,Epic Systems,SAP,LiveRamp,Splunk,Airbnb,Zenefits,Citadel,Tesla,VMware,Adobe,Yahoo,Lyft,Flipkart,Blizzard,Barclays,Atlassian,Mathworks,Morgan Stanley,Visa,Salesforce,Amazon,Bloomberg,Apple,Facebook,Microsoft,Expedia,Google,Oracle,Spotify,IBM,LinkedIn,Goldman Sachs,Intuit,Paypal,eBay,ServiceNow,Qualcomm,Zillow,JPMorgan,ByteDance</v>
      </c>
      <c r="I126" s="47">
        <f>IFERROR(__xludf.DUMMYFUNCTION("""COMPUTED_VALUE"""),39.93)</f>
        <v>39.93</v>
      </c>
      <c r="J126" s="47" t="str">
        <f>IFERROR(__xludf.DUMMYFUNCTION("""COMPUTED_VALUE"""),"算法")</f>
        <v>算法</v>
      </c>
      <c r="K126" s="47">
        <v>125.0</v>
      </c>
      <c r="L126" s="6">
        <f>COUNTIF('Coder-1'!B:B,A126)</f>
        <v>0</v>
      </c>
      <c r="M126" s="6">
        <f>COUNTIF('Coder-2'!B:B,A126)</f>
        <v>0</v>
      </c>
      <c r="N126" s="6">
        <f>COUNTIF('Coder-3'!B:B,A126)</f>
        <v>0</v>
      </c>
      <c r="O126" s="6">
        <f>COUNTIF('Coder-4'!B:B,A126)</f>
        <v>0</v>
      </c>
    </row>
    <row r="127">
      <c r="A127" s="83">
        <v>22.0</v>
      </c>
      <c r="B127" s="86" t="str">
        <f>IFERROR(__xludf.DUMMYFUNCTION("IF(ISBLANK(A127),,FILTER('Leetcode List'!B:C,'Leetcode List'!A:A = A127))"),"Generate Parentheses")</f>
        <v>Generate Parentheses</v>
      </c>
      <c r="C127" s="46" t="str">
        <f>IFERROR(__xludf.DUMMYFUNCTION("""COMPUTED_VALUE"""),"Medium")</f>
        <v>Medium</v>
      </c>
      <c r="D127" s="46" t="s">
        <v>70</v>
      </c>
      <c r="E127" s="87" t="str">
        <f>IFERROR(__xludf.DUMMYFUNCTION("IF(ISBLANK(A127),,FILTER('Leetcode List'!E:J,'Leetcode List'!A:A = A127))"),"Wish,Paypal,Oracle,EBay,Nutanix,Zenefits,Atlassian,ByteDance,Salesforce,Walmart Labs,Snapchat,Yelp,Nvidia,Spotify,Lyft,Cisco,Yandex,Apple,Uber,Yahoo,Samsung,SAP,Bloomberg,Adobe,Facebook,Amazon,Microsoft,Alibaba,Google")</f>
        <v>Wish,Paypal,Oracle,EBay,Nutanix,Zenefits,Atlassian,ByteDance,Salesforce,Walmart Labs,Snapchat,Yelp,Nvidia,Spotify,Lyft,Cisco,Yandex,Apple,Uber,Yahoo,Samsung,SAP,Bloomberg,Adobe,Facebook,Amazon,Microsoft,Alibaba,Google</v>
      </c>
      <c r="F127" s="47" t="str">
        <f>IFERROR(__xludf.DUMMYFUNCTION("""COMPUTED_VALUE"""),"Microsoft,Google,Bloomberg,Facebook,Apple,Amazon,Adobe,Walmart Labs,ByteDance,Nvidia,Paypal")</f>
        <v>Microsoft,Google,Bloomberg,Facebook,Apple,Amazon,Adobe,Walmart Labs,ByteDance,Nvidia,Paypal</v>
      </c>
      <c r="G127" s="47" t="str">
        <f>IFERROR(__xludf.DUMMYFUNCTION("""COMPUTED_VALUE"""),"Uber,Yandex,Salesforce,Spotify,Cisco,Oracle,Atlassian,Microsoft,Google,Bloomberg,Facebook,Apple,Amazon,Adobe,Walmart Labs,ByteDance,Nvidia,Paypal")</f>
        <v>Uber,Yandex,Salesforce,Spotify,Cisco,Oracle,Atlassian,Microsoft,Google,Bloomberg,Facebook,Apple,Amazon,Adobe,Walmart Labs,ByteDance,Nvidia,Paypal</v>
      </c>
      <c r="H127" s="47" t="str">
        <f>IFERROR(__xludf.DUMMYFUNCTION("""COMPUTED_VALUE"""),"Lyft,Yahoo,eBay,Nutanix,Samsung,Wish,Zenefits,Uber,Yandex,Salesforce,Spotify,Cisco,Oracle,Atlassian,Microsoft,Google,Bloomberg,Facebook,Apple,Amazon,Adobe,Walmart Labs,ByteDance,Nvidia,Paypal")</f>
        <v>Lyft,Yahoo,eBay,Nutanix,Samsung,Wish,Zenefits,Uber,Yandex,Salesforce,Spotify,Cisco,Oracle,Atlassian,Microsoft,Google,Bloomberg,Facebook,Apple,Amazon,Adobe,Walmart Labs,ByteDance,Nvidia,Paypal</v>
      </c>
      <c r="I127" s="47">
        <f>IFERROR(__xludf.DUMMYFUNCTION("""COMPUTED_VALUE"""),65.53)</f>
        <v>65.53</v>
      </c>
      <c r="J127" s="47" t="str">
        <f>IFERROR(__xludf.DUMMYFUNCTION("""COMPUTED_VALUE"""),"算法")</f>
        <v>算法</v>
      </c>
      <c r="K127" s="47">
        <v>126.0</v>
      </c>
      <c r="L127" s="6">
        <f>COUNTIF('Coder-1'!B:B,A127)</f>
        <v>0</v>
      </c>
      <c r="M127" s="6">
        <f>COUNTIF('Coder-2'!B:B,A127)</f>
        <v>0</v>
      </c>
      <c r="N127" s="6">
        <f>COUNTIF('Coder-3'!B:B,A127)</f>
        <v>0</v>
      </c>
      <c r="O127" s="6">
        <f>COUNTIF('Coder-4'!B:B,A127)</f>
        <v>0</v>
      </c>
    </row>
    <row r="128">
      <c r="A128" s="83">
        <v>32.0</v>
      </c>
      <c r="B128" s="86" t="str">
        <f>IFERROR(__xludf.DUMMYFUNCTION("IF(ISBLANK(A128),,FILTER('Leetcode List'!B:C,'Leetcode List'!A:A = A128))"),"Longest Valid Parentheses")</f>
        <v>Longest Valid Parentheses</v>
      </c>
      <c r="C128" s="46" t="str">
        <f>IFERROR(__xludf.DUMMYFUNCTION("""COMPUTED_VALUE"""),"Hard")</f>
        <v>Hard</v>
      </c>
      <c r="D128" s="46" t="s">
        <v>70</v>
      </c>
      <c r="E128" s="87" t="str">
        <f>IFERROR(__xludf.DUMMYFUNCTION("IF(ISBLANK(A128),,FILTER('Leetcode List'!E:J,'Leetcode List'!A:A = A128))"),"ByteDance,VMware,Bloomberg,Salesforce,Citadel,Expedia,Oracle,EBay,Apple,Uber,Yahoo,Samsung,Adobe,Facebook,Amazon,Microsoft,Google")</f>
        <v>ByteDance,VMware,Bloomberg,Salesforce,Citadel,Expedia,Oracle,EBay,Apple,Uber,Yahoo,Samsung,Adobe,Facebook,Amazon,Microsoft,Google</v>
      </c>
      <c r="F128" s="47" t="str">
        <f>IFERROR(__xludf.DUMMYFUNCTION("""COMPUTED_VALUE"""),"Amazon,Facebook,Microsoft,Apple,ByteDance")</f>
        <v>Amazon,Facebook,Microsoft,Apple,ByteDance</v>
      </c>
      <c r="G128" s="47" t="str">
        <f>IFERROR(__xludf.DUMMYFUNCTION("""COMPUTED_VALUE"""),"Uber,Bloomberg,Citadel,Amazon,Facebook,Microsoft,Apple,ByteDance")</f>
        <v>Uber,Bloomberg,Citadel,Amazon,Facebook,Microsoft,Apple,ByteDance</v>
      </c>
      <c r="H128" s="47" t="str">
        <f>IFERROR(__xludf.DUMMYFUNCTION("""COMPUTED_VALUE"""),"Google,Adobe,Oracle,Yahoo,eBay,VMware,Uber,Bloomberg,Citadel,Amazon,Facebook,Microsoft,Apple,ByteDance")</f>
        <v>Google,Adobe,Oracle,Yahoo,eBay,VMware,Uber,Bloomberg,Citadel,Amazon,Facebook,Microsoft,Apple,ByteDance</v>
      </c>
      <c r="I128" s="47">
        <f>IFERROR(__xludf.DUMMYFUNCTION("""COMPUTED_VALUE"""),29.36)</f>
        <v>29.36</v>
      </c>
      <c r="J128" s="47" t="str">
        <f>IFERROR(__xludf.DUMMYFUNCTION("""COMPUTED_VALUE"""),"算法")</f>
        <v>算法</v>
      </c>
      <c r="K128" s="47">
        <v>127.0</v>
      </c>
      <c r="L128" s="6">
        <f>COUNTIF('Coder-1'!B:B,A128)</f>
        <v>0</v>
      </c>
      <c r="M128" s="6">
        <f>COUNTIF('Coder-2'!B:B,A128)</f>
        <v>0</v>
      </c>
      <c r="N128" s="6">
        <f>COUNTIF('Coder-3'!B:B,A128)</f>
        <v>0</v>
      </c>
      <c r="O128" s="6">
        <f>COUNTIF('Coder-4'!B:B,A128)</f>
        <v>0</v>
      </c>
    </row>
    <row r="129">
      <c r="A129" s="83">
        <v>241.0</v>
      </c>
      <c r="B129" s="86" t="str">
        <f>IFERROR(__xludf.DUMMYFUNCTION("IF(ISBLANK(A129),,FILTER('Leetcode List'!B:C,'Leetcode List'!A:A = A129))"),"Different Ways to Add Parentheses")</f>
        <v>Different Ways to Add Parentheses</v>
      </c>
      <c r="C129" s="46" t="str">
        <f>IFERROR(__xludf.DUMMYFUNCTION("""COMPUTED_VALUE"""),"Medium")</f>
        <v>Medium</v>
      </c>
      <c r="D129" s="46" t="s">
        <v>70</v>
      </c>
      <c r="E129" s="87" t="str">
        <f>IFERROR(__xludf.DUMMYFUNCTION("IF(ISBLANK(A129),,FILTER('Leetcode List'!E:J,'Leetcode List'!A:A = A129))"),"Flipkart,Cisco,Bloomberg,Adobe,Microsoft,Citadel,Facebook,Amazon,Google")</f>
        <v>Flipkart,Cisco,Bloomberg,Adobe,Microsoft,Citadel,Facebook,Amazon,Google</v>
      </c>
      <c r="F129" s="47" t="str">
        <f>IFERROR(__xludf.DUMMYFUNCTION("""COMPUTED_VALUE"""),"Microsoft,Flipkart")</f>
        <v>Microsoft,Flipkart</v>
      </c>
      <c r="G129" s="47" t="str">
        <f>IFERROR(__xludf.DUMMYFUNCTION("""COMPUTED_VALUE"""),"Citadel,Google,Amazon,Bloomberg,Microsoft,Flipkart")</f>
        <v>Citadel,Google,Amazon,Bloomberg,Microsoft,Flipkart</v>
      </c>
      <c r="H129" s="47" t="str">
        <f>IFERROR(__xludf.DUMMYFUNCTION("""COMPUTED_VALUE"""),"Facebook,Adobe,Cisco,Citadel,Google,Amazon,Bloomberg,Microsoft,Flipkart")</f>
        <v>Facebook,Adobe,Cisco,Citadel,Google,Amazon,Bloomberg,Microsoft,Flipkart</v>
      </c>
      <c r="I129" s="47">
        <f>IFERROR(__xludf.DUMMYFUNCTION("""COMPUTED_VALUE"""),57.41)</f>
        <v>57.41</v>
      </c>
      <c r="J129" s="47" t="str">
        <f>IFERROR(__xludf.DUMMYFUNCTION("""COMPUTED_VALUE"""),"算法")</f>
        <v>算法</v>
      </c>
      <c r="K129" s="47">
        <v>128.0</v>
      </c>
      <c r="L129" s="6">
        <f>COUNTIF('Coder-1'!B:B,A129)</f>
        <v>0</v>
      </c>
      <c r="M129" s="6">
        <f>COUNTIF('Coder-2'!B:B,A129)</f>
        <v>0</v>
      </c>
      <c r="N129" s="6">
        <f>COUNTIF('Coder-3'!B:B,A129)</f>
        <v>0</v>
      </c>
      <c r="O129" s="6">
        <f>COUNTIF('Coder-4'!B:B,A129)</f>
        <v>0</v>
      </c>
    </row>
    <row r="130">
      <c r="A130" s="83">
        <v>301.0</v>
      </c>
      <c r="B130" s="86" t="str">
        <f>IFERROR(__xludf.DUMMYFUNCTION("IF(ISBLANK(A130),,FILTER('Leetcode List'!B:C,'Leetcode List'!A:A = A130))"),"Remove Invalid Parentheses")</f>
        <v>Remove Invalid Parentheses</v>
      </c>
      <c r="C130" s="46" t="str">
        <f>IFERROR(__xludf.DUMMYFUNCTION("""COMPUTED_VALUE"""),"Hard")</f>
        <v>Hard</v>
      </c>
      <c r="D130" s="46" t="s">
        <v>70</v>
      </c>
      <c r="E130" s="87" t="str">
        <f>IFERROR(__xludf.DUMMYFUNCTION("IF(ISBLANK(A130),,FILTER('Leetcode List'!E:J,'Leetcode List'!A:A = A130))"),"Qualtrics,ByteDance,Citadel,EBay,Pony.ai,Postmates,Houzz,Apple,Uber,Bloomberg,Facebook,Amazon,Google")</f>
        <v>Qualtrics,ByteDance,Citadel,EBay,Pony.ai,Postmates,Houzz,Apple,Uber,Bloomberg,Facebook,Amazon,Google</v>
      </c>
      <c r="F130" s="47" t="str">
        <f>IFERROR(__xludf.DUMMYFUNCTION("""COMPUTED_VALUE"""),"Facebook,Bloomberg,Amazon,ByteDance,Qualtrics,Citadel")</f>
        <v>Facebook,Bloomberg,Amazon,ByteDance,Qualtrics,Citadel</v>
      </c>
      <c r="G130" s="47" t="str">
        <f>IFERROR(__xludf.DUMMYFUNCTION("""COMPUTED_VALUE"""),"Google,Postmates,eBay,Facebook,Bloomberg,Amazon,ByteDance,Qualtrics,Citadel")</f>
        <v>Google,Postmates,eBay,Facebook,Bloomberg,Amazon,ByteDance,Qualtrics,Citadel</v>
      </c>
      <c r="H130" s="47" t="str">
        <f>IFERROR(__xludf.DUMMYFUNCTION("""COMPUTED_VALUE"""),"Uber,Houzz,Google,Postmates,eBay,Facebook,Bloomberg,Amazon,ByteDance,Qualtrics,Citadel")</f>
        <v>Uber,Houzz,Google,Postmates,eBay,Facebook,Bloomberg,Amazon,ByteDance,Qualtrics,Citadel</v>
      </c>
      <c r="I130" s="47">
        <f>IFERROR(__xludf.DUMMYFUNCTION("""COMPUTED_VALUE"""),44.74)</f>
        <v>44.74</v>
      </c>
      <c r="J130" s="47" t="str">
        <f>IFERROR(__xludf.DUMMYFUNCTION("""COMPUTED_VALUE"""),"算法")</f>
        <v>算法</v>
      </c>
      <c r="K130" s="47">
        <v>129.0</v>
      </c>
      <c r="L130" s="6">
        <f>COUNTIF('Coder-1'!B:B,A130)</f>
        <v>0</v>
      </c>
      <c r="M130" s="6">
        <f>COUNTIF('Coder-2'!B:B,A130)</f>
        <v>0</v>
      </c>
      <c r="N130" s="6">
        <f>COUNTIF('Coder-3'!B:B,A130)</f>
        <v>0</v>
      </c>
      <c r="O130" s="6">
        <f>COUNTIF('Coder-4'!B:B,A130)</f>
        <v>0</v>
      </c>
    </row>
    <row r="131">
      <c r="A131" s="83">
        <v>392.0</v>
      </c>
      <c r="B131" s="86" t="str">
        <f>IFERROR(__xludf.DUMMYFUNCTION("IF(ISBLANK(A131),,FILTER('Leetcode List'!B:C,'Leetcode List'!A:A = A131))"),"Is Subsequence")</f>
        <v>Is Subsequence</v>
      </c>
      <c r="C131" s="46" t="str">
        <f>IFERROR(__xludf.DUMMYFUNCTION("""COMPUTED_VALUE"""),"Easy")</f>
        <v>Easy</v>
      </c>
      <c r="D131" s="46" t="s">
        <v>70</v>
      </c>
      <c r="E131" s="87" t="str">
        <f>IFERROR(__xludf.DUMMYFUNCTION("IF(ISBLANK(A131),,FILTER('Leetcode List'!E:J,'Leetcode List'!A:A = A131))"),"Yandex,Adobe,Microsoft,Pinterest,Coursera,Bloomberg,Facebook,Amazon,Google")</f>
        <v>Yandex,Adobe,Microsoft,Pinterest,Coursera,Bloomberg,Facebook,Amazon,Google</v>
      </c>
      <c r="F131" s="47" t="str">
        <f>IFERROR(__xludf.DUMMYFUNCTION("""COMPUTED_VALUE"""),"Facebook,Adobe,Bloomberg")</f>
        <v>Facebook,Adobe,Bloomberg</v>
      </c>
      <c r="G131" s="47" t="str">
        <f>IFERROR(__xludf.DUMMYFUNCTION("""COMPUTED_VALUE"""),"Google,Microsoft,Yandex,Facebook,Adobe,Bloomberg")</f>
        <v>Google,Microsoft,Yandex,Facebook,Adobe,Bloomberg</v>
      </c>
      <c r="H131" s="47" t="str">
        <f>IFERROR(__xludf.DUMMYFUNCTION("""COMPUTED_VALUE"""),"Amazon,Pinterest,Google,Microsoft,Yandex,Facebook,Adobe,Bloomberg")</f>
        <v>Amazon,Pinterest,Google,Microsoft,Yandex,Facebook,Adobe,Bloomberg</v>
      </c>
      <c r="I131" s="47">
        <f>IFERROR(__xludf.DUMMYFUNCTION("""COMPUTED_VALUE"""),49.48)</f>
        <v>49.48</v>
      </c>
      <c r="J131" s="47" t="str">
        <f>IFERROR(__xludf.DUMMYFUNCTION("""COMPUTED_VALUE"""),"算法")</f>
        <v>算法</v>
      </c>
      <c r="K131" s="47">
        <v>130.0</v>
      </c>
      <c r="L131" s="6">
        <f>COUNTIF('Coder-1'!B:B,A131)</f>
        <v>0</v>
      </c>
      <c r="M131" s="6">
        <f>COUNTIF('Coder-2'!B:B,A131)</f>
        <v>0</v>
      </c>
      <c r="N131" s="6">
        <f>COUNTIF('Coder-3'!B:B,A131)</f>
        <v>0</v>
      </c>
      <c r="O131" s="6">
        <f>COUNTIF('Coder-4'!B:B,A131)</f>
        <v>0</v>
      </c>
    </row>
    <row r="132">
      <c r="A132" s="83">
        <v>115.0</v>
      </c>
      <c r="B132" s="86" t="str">
        <f>IFERROR(__xludf.DUMMYFUNCTION("IF(ISBLANK(A132),,FILTER('Leetcode List'!B:C,'Leetcode List'!A:A = A132))"),"Distinct Subsequences")</f>
        <v>Distinct Subsequences</v>
      </c>
      <c r="C132" s="46" t="str">
        <f>IFERROR(__xludf.DUMMYFUNCTION("""COMPUTED_VALUE"""),"Hard")</f>
        <v>Hard</v>
      </c>
      <c r="D132" s="46" t="s">
        <v>70</v>
      </c>
      <c r="E132" s="87" t="str">
        <f>IFERROR(__xludf.DUMMYFUNCTION("IF(ISBLANK(A132),,FILTER('Leetcode List'!E:J,'Leetcode List'!A:A = A132))"),"Uber,Bloomberg,Barclays,Mathworks,Adobe,Amazon,Google")</f>
        <v>Uber,Bloomberg,Barclays,Mathworks,Adobe,Amazon,Google</v>
      </c>
      <c r="F132" s="47" t="str">
        <f>IFERROR(__xludf.DUMMYFUNCTION("""COMPUTED_VALUE"""),"Mathworks,Google,Amazon,Bloomberg")</f>
        <v>Mathworks,Google,Amazon,Bloomberg</v>
      </c>
      <c r="G132" s="47" t="str">
        <f>IFERROR(__xludf.DUMMYFUNCTION("""COMPUTED_VALUE"""),"Adobe,Mathworks,Google,Amazon,Bloomberg")</f>
        <v>Adobe,Mathworks,Google,Amazon,Bloomberg</v>
      </c>
      <c r="H132" s="47" t="str">
        <f>IFERROR(__xludf.DUMMYFUNCTION("""COMPUTED_VALUE"""),"Uber,Adobe,Mathworks,Google,Amazon,Bloomberg")</f>
        <v>Uber,Adobe,Mathworks,Google,Amazon,Bloomberg</v>
      </c>
      <c r="I132" s="47">
        <f>IFERROR(__xludf.DUMMYFUNCTION("""COMPUTED_VALUE"""),39.86)</f>
        <v>39.86</v>
      </c>
      <c r="J132" s="47" t="str">
        <f>IFERROR(__xludf.DUMMYFUNCTION("""COMPUTED_VALUE"""),"算法")</f>
        <v>算法</v>
      </c>
      <c r="K132" s="47">
        <v>131.0</v>
      </c>
      <c r="L132" s="6">
        <f>COUNTIF('Coder-1'!B:B,A132)</f>
        <v>0</v>
      </c>
      <c r="M132" s="6">
        <f>COUNTIF('Coder-2'!B:B,A132)</f>
        <v>0</v>
      </c>
      <c r="N132" s="6">
        <f>COUNTIF('Coder-3'!B:B,A132)</f>
        <v>0</v>
      </c>
      <c r="O132" s="6">
        <f>COUNTIF('Coder-4'!B:B,A132)</f>
        <v>0</v>
      </c>
    </row>
    <row r="133">
      <c r="A133" s="83">
        <v>187.0</v>
      </c>
      <c r="B133" s="86" t="str">
        <f>IFERROR(__xludf.DUMMYFUNCTION("IF(ISBLANK(A133),,FILTER('Leetcode List'!B:C,'Leetcode List'!A:A = A133))"),"Repeated DNA Sequences")</f>
        <v>Repeated DNA Sequences</v>
      </c>
      <c r="C133" s="46" t="str">
        <f>IFERROR(__xludf.DUMMYFUNCTION("""COMPUTED_VALUE"""),"Medium")</f>
        <v>Medium</v>
      </c>
      <c r="D133" s="46" t="s">
        <v>70</v>
      </c>
      <c r="E133" s="87" t="str">
        <f>IFERROR(__xludf.DUMMYFUNCTION("IF(ISBLANK(A133),,FILTER('Leetcode List'!E:J,'Leetcode List'!A:A = A133))"),"Apple,Microsoft,Amazon,LinkedIn,Google")</f>
        <v>Apple,Microsoft,Amazon,LinkedIn,Google</v>
      </c>
      <c r="F133" s="47" t="str">
        <f>IFERROR(__xludf.DUMMYFUNCTION("""COMPUTED_VALUE"""),"Google,Amazon")</f>
        <v>Google,Amazon</v>
      </c>
      <c r="G133" s="47" t="str">
        <f>IFERROR(__xludf.DUMMYFUNCTION("""COMPUTED_VALUE"""),"Microsoft,Apple,Google,Amazon")</f>
        <v>Microsoft,Apple,Google,Amazon</v>
      </c>
      <c r="H133" s="47" t="str">
        <f>IFERROR(__xludf.DUMMYFUNCTION("""COMPUTED_VALUE"""),"LinkedIn,Microsoft,Apple,Google,Amazon")</f>
        <v>LinkedIn,Microsoft,Apple,Google,Amazon</v>
      </c>
      <c r="I133" s="47">
        <f>IFERROR(__xludf.DUMMYFUNCTION("""COMPUTED_VALUE"""),41.56)</f>
        <v>41.56</v>
      </c>
      <c r="J133" s="47" t="str">
        <f>IFERROR(__xludf.DUMMYFUNCTION("""COMPUTED_VALUE"""),"算法")</f>
        <v>算法</v>
      </c>
      <c r="K133" s="47">
        <v>132.0</v>
      </c>
      <c r="L133" s="6">
        <f>COUNTIF('Coder-1'!B:B,A133)</f>
        <v>0</v>
      </c>
      <c r="M133" s="6">
        <f>COUNTIF('Coder-2'!B:B,A133)</f>
        <v>0</v>
      </c>
      <c r="N133" s="6">
        <f>COUNTIF('Coder-3'!B:B,A133)</f>
        <v>0</v>
      </c>
      <c r="O133" s="6">
        <f>COUNTIF('Coder-4'!B:B,A133)</f>
        <v>0</v>
      </c>
    </row>
    <row r="134">
      <c r="A134" s="83">
        <v>7.0</v>
      </c>
      <c r="B134" s="86" t="str">
        <f>IFERROR(__xludf.DUMMYFUNCTION("IF(ISBLANK(A134),,FILTER('Leetcode List'!B:C,'Leetcode List'!A:A = A134))"),"Reverse Integer")</f>
        <v>Reverse Integer</v>
      </c>
      <c r="C134" s="83" t="str">
        <f>IFERROR(__xludf.DUMMYFUNCTION("""COMPUTED_VALUE"""),"Easy")</f>
        <v>Easy</v>
      </c>
      <c r="D134" s="83" t="s">
        <v>99</v>
      </c>
      <c r="E134" s="87" t="str">
        <f>IFERROR(__xludf.DUMMYFUNCTION("IF(ISBLANK(A134),,FILTER('Leetcode List'!E:J,'Leetcode List'!A:A = A134))"),"American Express,ByteDance,EBay,Barclays,JPMorgan,Oracle,NetEase,Lyft,Cisco,Apple,Uber,Yahoo,Bloomberg,Adobe,Facebook,Amazon,Microsoft,Google")</f>
        <v>American Express,ByteDance,EBay,Barclays,JPMorgan,Oracle,NetEase,Lyft,Cisco,Apple,Uber,Yahoo,Bloomberg,Adobe,Facebook,Amazon,Microsoft,Google</v>
      </c>
      <c r="F134" s="47" t="str">
        <f>IFERROR(__xludf.DUMMYFUNCTION("""COMPUTED_VALUE"""),"Amazon,Google,Facebook,Apple,American Express,Microsoft,Adobe,Uber,Bloomberg")</f>
        <v>Amazon,Google,Facebook,Apple,American Express,Microsoft,Adobe,Uber,Bloomberg</v>
      </c>
      <c r="G134" s="47" t="str">
        <f>IFERROR(__xludf.DUMMYFUNCTION("""COMPUTED_VALUE"""),"Yahoo,ByteDance,Amazon,Google,Facebook,Apple,American Express,Microsoft,Adobe,Uber,Bloomberg")</f>
        <v>Yahoo,ByteDance,Amazon,Google,Facebook,Apple,American Express,Microsoft,Adobe,Uber,Bloomberg</v>
      </c>
      <c r="H134" s="47" t="str">
        <f>IFERROR(__xludf.DUMMYFUNCTION("""COMPUTED_VALUE"""),"Oracle,eBay,Lyft,Cisco,Yahoo,ByteDance,Amazon,Google,Facebook,Apple,American Express,Microsoft,Adobe,Uber,Bloomberg")</f>
        <v>Oracle,eBay,Lyft,Cisco,Yahoo,ByteDance,Amazon,Google,Facebook,Apple,American Express,Microsoft,Adobe,Uber,Bloomberg</v>
      </c>
      <c r="I134" s="47">
        <f>IFERROR(__xludf.DUMMYFUNCTION("""COMPUTED_VALUE"""),25.93)</f>
        <v>25.93</v>
      </c>
      <c r="J134" s="47" t="str">
        <f>IFERROR(__xludf.DUMMYFUNCTION("""COMPUTED_VALUE"""),"算法")</f>
        <v>算法</v>
      </c>
      <c r="K134" s="47">
        <v>133.0</v>
      </c>
      <c r="L134" s="6">
        <f>COUNTIF('Coder-1'!B:B,A134)</f>
        <v>0</v>
      </c>
      <c r="M134" s="6">
        <f>COUNTIF('Coder-2'!B:B,A134)</f>
        <v>0</v>
      </c>
      <c r="N134" s="6">
        <f>COUNTIF('Coder-3'!B:B,A134)</f>
        <v>0</v>
      </c>
      <c r="O134" s="6">
        <f>COUNTIF('Coder-4'!B:B,A134)</f>
        <v>0</v>
      </c>
    </row>
    <row r="135">
      <c r="A135" s="83">
        <v>165.0</v>
      </c>
      <c r="B135" s="86" t="str">
        <f>IFERROR(__xludf.DUMMYFUNCTION("IF(ISBLANK(A135),,FILTER('Leetcode List'!B:C,'Leetcode List'!A:A = A135))"),"Compare Version Numbers")</f>
        <v>Compare Version Numbers</v>
      </c>
      <c r="C135" s="83" t="str">
        <f>IFERROR(__xludf.DUMMYFUNCTION("""COMPUTED_VALUE"""),"Medium")</f>
        <v>Medium</v>
      </c>
      <c r="D135" s="83" t="s">
        <v>99</v>
      </c>
      <c r="E135" s="87" t="str">
        <f>IFERROR(__xludf.DUMMYFUNCTION("IF(ISBLANK(A135),,FILTER('Leetcode List'!E:J,'Leetcode List'!A:A = A135))"),"ByteDance,Arista Networks,Square,Apple,Amazon,Microsoft,Google")</f>
        <v>ByteDance,Arista Networks,Square,Apple,Amazon,Microsoft,Google</v>
      </c>
      <c r="F135" s="47" t="str">
        <f>IFERROR(__xludf.DUMMYFUNCTION("""COMPUTED_VALUE"""),"Amazon,Google,Microsoft,ByteDance")</f>
        <v>Amazon,Google,Microsoft,ByteDance</v>
      </c>
      <c r="G135" s="47" t="str">
        <f>IFERROR(__xludf.DUMMYFUNCTION("""COMPUTED_VALUE"""),"Amazon,Google,Microsoft,ByteDance")</f>
        <v>Amazon,Google,Microsoft,ByteDance</v>
      </c>
      <c r="H135" s="47" t="str">
        <f>IFERROR(__xludf.DUMMYFUNCTION("""COMPUTED_VALUE"""),"Square,Apple,Arista Networks,Amazon,Google,Microsoft,ByteDance")</f>
        <v>Square,Apple,Arista Networks,Amazon,Google,Microsoft,ByteDance</v>
      </c>
      <c r="I135" s="47">
        <f>IFERROR(__xludf.DUMMYFUNCTION("""COMPUTED_VALUE"""),30.53)</f>
        <v>30.53</v>
      </c>
      <c r="J135" s="47" t="str">
        <f>IFERROR(__xludf.DUMMYFUNCTION("""COMPUTED_VALUE"""),"算法")</f>
        <v>算法</v>
      </c>
      <c r="K135" s="47">
        <v>134.0</v>
      </c>
      <c r="L135" s="6">
        <f>COUNTIF('Coder-1'!B:B,A135)</f>
        <v>0</v>
      </c>
      <c r="M135" s="6">
        <f>COUNTIF('Coder-2'!B:B,A135)</f>
        <v>0</v>
      </c>
      <c r="N135" s="6">
        <f>COUNTIF('Coder-3'!B:B,A135)</f>
        <v>0</v>
      </c>
      <c r="O135" s="6">
        <f>COUNTIF('Coder-4'!B:B,A135)</f>
        <v>0</v>
      </c>
    </row>
    <row r="136">
      <c r="A136" s="83">
        <v>66.0</v>
      </c>
      <c r="B136" s="86" t="str">
        <f>IFERROR(__xludf.DUMMYFUNCTION("IF(ISBLANK(A136),,FILTER('Leetcode List'!B:C,'Leetcode List'!A:A = A136))"),"Plus One")</f>
        <v>Plus One</v>
      </c>
      <c r="C136" s="83" t="str">
        <f>IFERROR(__xludf.DUMMYFUNCTION("""COMPUTED_VALUE"""),"Easy")</f>
        <v>Easy</v>
      </c>
      <c r="D136" s="83" t="s">
        <v>99</v>
      </c>
      <c r="E136" s="87" t="str">
        <f>IFERROR(__xludf.DUMMYFUNCTION("IF(ISBLANK(A136),,FILTER('Leetcode List'!E:J,'Leetcode List'!A:A = A136))"),"Capital One,ByteDance,Salesforce,Apple,Adobe,Microsoft,Spotify,EBay,Uber,Bloomberg,Facebook,Amazon,Google")</f>
        <v>Capital One,ByteDance,Salesforce,Apple,Adobe,Microsoft,Spotify,EBay,Uber,Bloomberg,Facebook,Amazon,Google</v>
      </c>
      <c r="F136" s="47" t="str">
        <f>IFERROR(__xludf.DUMMYFUNCTION("""COMPUTED_VALUE"""),"ByteDance,Facebook,Google,Adobe,Amazon,Spotify")</f>
        <v>ByteDance,Facebook,Google,Adobe,Amazon,Spotify</v>
      </c>
      <c r="G136" s="47" t="str">
        <f>IFERROR(__xludf.DUMMYFUNCTION("""COMPUTED_VALUE"""),"Microsoft,eBay,Apple,Capital One,ByteDance,Facebook,Google,Adobe,Amazon,Spotify")</f>
        <v>Microsoft,eBay,Apple,Capital One,ByteDance,Facebook,Google,Adobe,Amazon,Spotify</v>
      </c>
      <c r="H136" s="47" t="str">
        <f>IFERROR(__xludf.DUMMYFUNCTION("""COMPUTED_VALUE"""),"Bloomberg,Salesforce,Microsoft,eBay,Apple,Capital One,ByteDance,Facebook,Google,Adobe,Amazon,Spotify")</f>
        <v>Bloomberg,Salesforce,Microsoft,eBay,Apple,Capital One,ByteDance,Facebook,Google,Adobe,Amazon,Spotify</v>
      </c>
      <c r="I136" s="47">
        <f>IFERROR(__xludf.DUMMYFUNCTION("""COMPUTED_VALUE"""),42.29)</f>
        <v>42.29</v>
      </c>
      <c r="J136" s="47" t="str">
        <f>IFERROR(__xludf.DUMMYFUNCTION("""COMPUTED_VALUE"""),"算法")</f>
        <v>算法</v>
      </c>
      <c r="K136" s="47">
        <v>135.0</v>
      </c>
      <c r="L136" s="6">
        <f>COUNTIF('Coder-1'!B:B,A136)</f>
        <v>0</v>
      </c>
      <c r="M136" s="6">
        <f>COUNTIF('Coder-2'!B:B,A136)</f>
        <v>0</v>
      </c>
      <c r="N136" s="6">
        <f>COUNTIF('Coder-3'!B:B,A136)</f>
        <v>0</v>
      </c>
      <c r="O136" s="6">
        <f>COUNTIF('Coder-4'!B:B,A136)</f>
        <v>0</v>
      </c>
    </row>
    <row r="137">
      <c r="A137" s="83">
        <v>8.0</v>
      </c>
      <c r="B137" s="86" t="str">
        <f>IFERROR(__xludf.DUMMYFUNCTION("IF(ISBLANK(A137),,FILTER('Leetcode List'!B:C,'Leetcode List'!A:A = A137))"),"String to Integer (atoi)")</f>
        <v>String to Integer (atoi)</v>
      </c>
      <c r="C137" s="83" t="str">
        <f>IFERROR(__xludf.DUMMYFUNCTION("""COMPUTED_VALUE"""),"Medium")</f>
        <v>Medium</v>
      </c>
      <c r="D137" s="83" t="s">
        <v>99</v>
      </c>
      <c r="E137" s="87" t="str">
        <f>IFERROR(__xludf.DUMMYFUNCTION("IF(ISBLANK(A137),,FILTER('Leetcode List'!E:J,'Leetcode List'!A:A = A137))"),"Salesforce,Intel,Citrix,Redfin,VMware,Citadel,Zillow,Nvidia,Oracle,Cisco,EBay,Apple,Uber,Tencent,SAP,Bloomberg,Adobe,Facebook,Amazon,LinkedIn,Microsoft,Goldman Sachs,Google")</f>
        <v>Salesforce,Intel,Citrix,Redfin,VMware,Citadel,Zillow,Nvidia,Oracle,Cisco,EBay,Apple,Uber,Tencent,SAP,Bloomberg,Adobe,Facebook,Amazon,LinkedIn,Microsoft,Goldman Sachs,Google</v>
      </c>
      <c r="F137" s="47" t="str">
        <f>IFERROR(__xludf.DUMMYFUNCTION("""COMPUTED_VALUE"""),"Facebook,Amazon,Microsoft,Apple,Google,Goldman Sachs,Adobe,Bloomberg,Intel")</f>
        <v>Facebook,Amazon,Microsoft,Apple,Google,Goldman Sachs,Adobe,Bloomberg,Intel</v>
      </c>
      <c r="G137" s="47" t="str">
        <f>IFERROR(__xludf.DUMMYFUNCTION("""COMPUTED_VALUE"""),"Cisco,eBay,VMware,Oracle,Facebook,Amazon,Microsoft,Apple,Google,Goldman Sachs,Adobe,Bloomberg,Intel")</f>
        <v>Cisco,eBay,VMware,Oracle,Facebook,Amazon,Microsoft,Apple,Google,Goldman Sachs,Adobe,Bloomberg,Intel</v>
      </c>
      <c r="H137" s="47" t="str">
        <f>IFERROR(__xludf.DUMMYFUNCTION("""COMPUTED_VALUE"""),"LinkedIn,SAP,Uber,Salesforce,Cisco,eBay,VMware,Oracle,Facebook,Amazon,Microsoft,Apple,Google,Goldman Sachs,Adobe,Bloomberg,Intel")</f>
        <v>LinkedIn,SAP,Uber,Salesforce,Cisco,eBay,VMware,Oracle,Facebook,Amazon,Microsoft,Apple,Google,Goldman Sachs,Adobe,Bloomberg,Intel</v>
      </c>
      <c r="I137" s="47">
        <f>IFERROR(__xludf.DUMMYFUNCTION("""COMPUTED_VALUE"""),15.68)</f>
        <v>15.68</v>
      </c>
      <c r="J137" s="47" t="str">
        <f>IFERROR(__xludf.DUMMYFUNCTION("""COMPUTED_VALUE"""),"算法")</f>
        <v>算法</v>
      </c>
      <c r="K137" s="47">
        <v>136.0</v>
      </c>
      <c r="L137" s="6">
        <f>COUNTIF('Coder-1'!B:B,A137)</f>
        <v>0</v>
      </c>
      <c r="M137" s="6">
        <f>COUNTIF('Coder-2'!B:B,A137)</f>
        <v>0</v>
      </c>
      <c r="N137" s="6">
        <f>COUNTIF('Coder-3'!B:B,A137)</f>
        <v>0</v>
      </c>
      <c r="O137" s="6">
        <f>COUNTIF('Coder-4'!B:B,A137)</f>
        <v>0</v>
      </c>
    </row>
    <row r="138">
      <c r="A138" s="83">
        <v>258.0</v>
      </c>
      <c r="B138" s="86" t="str">
        <f>IFERROR(__xludf.DUMMYFUNCTION("IF(ISBLANK(A138),,FILTER('Leetcode List'!B:C,'Leetcode List'!A:A = A138))"),"Add Digits")</f>
        <v>Add Digits</v>
      </c>
      <c r="C138" s="83" t="str">
        <f>IFERROR(__xludf.DUMMYFUNCTION("""COMPUTED_VALUE"""),"Easy")</f>
        <v>Easy</v>
      </c>
      <c r="D138" s="83" t="s">
        <v>99</v>
      </c>
      <c r="E138" s="87" t="str">
        <f>IFERROR(__xludf.DUMMYFUNCTION("IF(ISBLANK(A138),,FILTER('Leetcode List'!E:J,'Leetcode List'!A:A = A138))"),"Amazon,Google,Apple,Bloomberg,Adobe,Microsoft")</f>
        <v>Amazon,Google,Apple,Bloomberg,Adobe,Microsoft</v>
      </c>
      <c r="F138" s="47" t="str">
        <f>IFERROR(__xludf.DUMMYFUNCTION("""COMPUTED_VALUE"""),"Amazon,Google")</f>
        <v>Amazon,Google</v>
      </c>
      <c r="G138" s="47" t="str">
        <f>IFERROR(__xludf.DUMMYFUNCTION("""COMPUTED_VALUE"""),"Bloomberg,Amazon,Google")</f>
        <v>Bloomberg,Amazon,Google</v>
      </c>
      <c r="H138" s="47" t="str">
        <f>IFERROR(__xludf.DUMMYFUNCTION("""COMPUTED_VALUE"""),"Microsoft,Adobe,Bloomberg,Amazon,Google")</f>
        <v>Microsoft,Adobe,Bloomberg,Amazon,Google</v>
      </c>
      <c r="I138" s="47">
        <f>IFERROR(__xludf.DUMMYFUNCTION("""COMPUTED_VALUE"""),58.59)</f>
        <v>58.59</v>
      </c>
      <c r="J138" s="47" t="str">
        <f>IFERROR(__xludf.DUMMYFUNCTION("""COMPUTED_VALUE"""),"算法")</f>
        <v>算法</v>
      </c>
      <c r="K138" s="47">
        <v>137.0</v>
      </c>
      <c r="L138" s="6">
        <f>COUNTIF('Coder-1'!B:B,A138)</f>
        <v>0</v>
      </c>
      <c r="M138" s="6">
        <f>COUNTIF('Coder-2'!B:B,A138)</f>
        <v>0</v>
      </c>
      <c r="N138" s="6">
        <f>COUNTIF('Coder-3'!B:B,A138)</f>
        <v>0</v>
      </c>
      <c r="O138" s="6">
        <f>COUNTIF('Coder-4'!B:B,A138)</f>
        <v>0</v>
      </c>
    </row>
    <row r="139">
      <c r="A139" s="83">
        <v>67.0</v>
      </c>
      <c r="B139" s="86" t="str">
        <f>IFERROR(__xludf.DUMMYFUNCTION("IF(ISBLANK(A139),,FILTER('Leetcode List'!B:C,'Leetcode List'!A:A = A139))"),"Add Binary")</f>
        <v>Add Binary</v>
      </c>
      <c r="C139" s="83" t="str">
        <f>IFERROR(__xludf.DUMMYFUNCTION("""COMPUTED_VALUE"""),"Easy")</f>
        <v>Easy</v>
      </c>
      <c r="D139" s="83" t="s">
        <v>99</v>
      </c>
      <c r="E139" s="87" t="str">
        <f>IFERROR(__xludf.DUMMYFUNCTION("IF(ISBLANK(A139),,FILTER('Leetcode List'!E:J,'Leetcode List'!A:A = A139))"),"ByteDance,Yahoo,Bloomberg,Oracle,Apple,Adobe,Facebook,Amazon,Microsoft,Google")</f>
        <v>ByteDance,Yahoo,Bloomberg,Oracle,Apple,Adobe,Facebook,Amazon,Microsoft,Google</v>
      </c>
      <c r="F139" s="47" t="str">
        <f>IFERROR(__xludf.DUMMYFUNCTION("""COMPUTED_VALUE"""),"Facebook,Amazon,ByteDance")</f>
        <v>Facebook,Amazon,ByteDance</v>
      </c>
      <c r="G139" s="47" t="str">
        <f>IFERROR(__xludf.DUMMYFUNCTION("""COMPUTED_VALUE"""),"Apple,Google,Microsoft,Yahoo,Facebook,Amazon,ByteDance")</f>
        <v>Apple,Google,Microsoft,Yahoo,Facebook,Amazon,ByteDance</v>
      </c>
      <c r="H139" s="47" t="str">
        <f>IFERROR(__xludf.DUMMYFUNCTION("""COMPUTED_VALUE"""),"Adobe,Bloomberg,Oracle,Apple,Google,Microsoft,Yahoo,Facebook,Amazon,ByteDance")</f>
        <v>Adobe,Bloomberg,Oracle,Apple,Google,Microsoft,Yahoo,Facebook,Amazon,ByteDance</v>
      </c>
      <c r="I139" s="47">
        <f>IFERROR(__xludf.DUMMYFUNCTION("""COMPUTED_VALUE"""),47.13)</f>
        <v>47.13</v>
      </c>
      <c r="J139" s="47" t="str">
        <f>IFERROR(__xludf.DUMMYFUNCTION("""COMPUTED_VALUE"""),"算法")</f>
        <v>算法</v>
      </c>
      <c r="K139" s="47">
        <v>138.0</v>
      </c>
      <c r="L139" s="6">
        <f>COUNTIF('Coder-1'!B:B,A139)</f>
        <v>0</v>
      </c>
      <c r="M139" s="6">
        <f>COUNTIF('Coder-2'!B:B,A139)</f>
        <v>0</v>
      </c>
      <c r="N139" s="6">
        <f>COUNTIF('Coder-3'!B:B,A139)</f>
        <v>0</v>
      </c>
      <c r="O139" s="6">
        <f>COUNTIF('Coder-4'!B:B,A139)</f>
        <v>0</v>
      </c>
    </row>
    <row r="140">
      <c r="A140" s="83">
        <v>43.0</v>
      </c>
      <c r="B140" s="86" t="str">
        <f>IFERROR(__xludf.DUMMYFUNCTION("IF(ISBLANK(A140),,FILTER('Leetcode List'!B:C,'Leetcode List'!A:A = A140))"),"Multiply Strings")</f>
        <v>Multiply Strings</v>
      </c>
      <c r="C140" s="83" t="str">
        <f>IFERROR(__xludf.DUMMYFUNCTION("""COMPUTED_VALUE"""),"Medium")</f>
        <v>Medium</v>
      </c>
      <c r="D140" s="83" t="s">
        <v>99</v>
      </c>
      <c r="E140" s="87" t="str">
        <f>IFERROR(__xludf.DUMMYFUNCTION("IF(ISBLANK(A140),,FILTER('Leetcode List'!E:J,'Leetcode List'!A:A = A140))"),"Two Sigma,Square,ByteDance,Bloomberg,Houzz,Redfin,Walmart Labs,Zillow,Twitter,Expedia,Oracle,Mathworks,Huawei,Apple,Uber,Facebook,Amazon,Microsoft,Google")</f>
        <v>Two Sigma,Square,ByteDance,Bloomberg,Houzz,Redfin,Walmart Labs,Zillow,Twitter,Expedia,Oracle,Mathworks,Huawei,Apple,Uber,Facebook,Amazon,Microsoft,Google</v>
      </c>
      <c r="F140" s="47" t="str">
        <f>IFERROR(__xludf.DUMMYFUNCTION("""COMPUTED_VALUE"""),"Facebook,Microsoft,Apple,Amazon,Bloomberg,Square,Two Sigma,ByteDance")</f>
        <v>Facebook,Microsoft,Apple,Amazon,Bloomberg,Square,Two Sigma,ByteDance</v>
      </c>
      <c r="G140" s="47" t="str">
        <f>IFERROR(__xludf.DUMMYFUNCTION("""COMPUTED_VALUE"""),"Google,Facebook,Microsoft,Apple,Amazon,Bloomberg,Square,Two Sigma,ByteDance")</f>
        <v>Google,Facebook,Microsoft,Apple,Amazon,Bloomberg,Square,Two Sigma,ByteDance</v>
      </c>
      <c r="H140" s="47" t="str">
        <f>IFERROR(__xludf.DUMMYFUNCTION("""COMPUTED_VALUE"""),"Oracle,Zillow,Houzz,Twitter,Google,Facebook,Microsoft,Apple,Amazon,Bloomberg,Square,Two Sigma,ByteDance")</f>
        <v>Oracle,Zillow,Houzz,Twitter,Google,Facebook,Microsoft,Apple,Amazon,Bloomberg,Square,Two Sigma,ByteDance</v>
      </c>
      <c r="I140" s="47">
        <f>IFERROR(__xludf.DUMMYFUNCTION("""COMPUTED_VALUE"""),35.03)</f>
        <v>35.03</v>
      </c>
      <c r="J140" s="47" t="str">
        <f>IFERROR(__xludf.DUMMYFUNCTION("""COMPUTED_VALUE"""),"算法")</f>
        <v>算法</v>
      </c>
      <c r="K140" s="47">
        <v>139.0</v>
      </c>
      <c r="L140" s="6">
        <f>COUNTIF('Coder-1'!B:B,A140)</f>
        <v>0</v>
      </c>
      <c r="M140" s="6">
        <f>COUNTIF('Coder-2'!B:B,A140)</f>
        <v>0</v>
      </c>
      <c r="N140" s="6">
        <f>COUNTIF('Coder-3'!B:B,A140)</f>
        <v>0</v>
      </c>
      <c r="O140" s="6">
        <f>COUNTIF('Coder-4'!B:B,A140)</f>
        <v>0</v>
      </c>
    </row>
    <row r="141">
      <c r="A141" s="83">
        <v>29.0</v>
      </c>
      <c r="B141" s="86" t="str">
        <f>IFERROR(__xludf.DUMMYFUNCTION("IF(ISBLANK(A141),,FILTER('Leetcode List'!B:C,'Leetcode List'!A:A = A141))"),"Divide Two Integers")</f>
        <v>Divide Two Integers</v>
      </c>
      <c r="C141" s="83" t="str">
        <f>IFERROR(__xludf.DUMMYFUNCTION("""COMPUTED_VALUE"""),"Medium")</f>
        <v>Medium</v>
      </c>
      <c r="D141" s="83" t="s">
        <v>99</v>
      </c>
      <c r="E141" s="87" t="str">
        <f>IFERROR(__xludf.DUMMYFUNCTION("IF(ISBLANK(A141),,FILTER('Leetcode List'!E:J,'Leetcode List'!A:A = A141))"),"Riot Games,Oracle,Apple,Bloomberg,Adobe,Facebook,Amazon,Microsoft,Google")</f>
        <v>Riot Games,Oracle,Apple,Bloomberg,Adobe,Facebook,Amazon,Microsoft,Google</v>
      </c>
      <c r="F141" s="47" t="str">
        <f>IFERROR(__xludf.DUMMYFUNCTION("""COMPUTED_VALUE"""),"Facebook,Amazon")</f>
        <v>Facebook,Amazon</v>
      </c>
      <c r="G141" s="47" t="str">
        <f>IFERROR(__xludf.DUMMYFUNCTION("""COMPUTED_VALUE"""),"Apple,Adobe,Riot Games,Google,Microsoft,Facebook,Amazon")</f>
        <v>Apple,Adobe,Riot Games,Google,Microsoft,Facebook,Amazon</v>
      </c>
      <c r="H141" s="47" t="str">
        <f>IFERROR(__xludf.DUMMYFUNCTION("""COMPUTED_VALUE"""),"Bloomberg,Apple,Adobe,Riot Games,Google,Microsoft,Facebook,Amazon")</f>
        <v>Bloomberg,Apple,Adobe,Riot Games,Google,Microsoft,Facebook,Amazon</v>
      </c>
      <c r="I141" s="47">
        <f>IFERROR(__xludf.DUMMYFUNCTION("""COMPUTED_VALUE"""),16.93)</f>
        <v>16.93</v>
      </c>
      <c r="J141" s="47" t="str">
        <f>IFERROR(__xludf.DUMMYFUNCTION("""COMPUTED_VALUE"""),"算法")</f>
        <v>算法</v>
      </c>
      <c r="K141" s="47">
        <v>140.0</v>
      </c>
      <c r="L141" s="6">
        <f>COUNTIF('Coder-1'!B:B,A141)</f>
        <v>0</v>
      </c>
      <c r="M141" s="6">
        <f>COUNTIF('Coder-2'!B:B,A141)</f>
        <v>0</v>
      </c>
      <c r="N141" s="6">
        <f>COUNTIF('Coder-3'!B:B,A141)</f>
        <v>0</v>
      </c>
      <c r="O141" s="6">
        <f>COUNTIF('Coder-4'!B:B,A141)</f>
        <v>0</v>
      </c>
    </row>
    <row r="142">
      <c r="A142" s="83">
        <v>69.0</v>
      </c>
      <c r="B142" s="86" t="str">
        <f>IFERROR(__xludf.DUMMYFUNCTION("IF(ISBLANK(A142),,FILTER('Leetcode List'!B:C,'Leetcode List'!A:A = A142))"),"Sqrt(x)")</f>
        <v>Sqrt(x)</v>
      </c>
      <c r="C142" s="83" t="str">
        <f>IFERROR(__xludf.DUMMYFUNCTION("""COMPUTED_VALUE"""),"Easy")</f>
        <v>Easy</v>
      </c>
      <c r="D142" s="83" t="s">
        <v>99</v>
      </c>
      <c r="E142" s="87" t="str">
        <f>IFERROR(__xludf.DUMMYFUNCTION("IF(ISBLANK(A142),,FILTER('Leetcode List'!E:J,'Leetcode List'!A:A = A142))"),"ByteDance,Oracle,Goldman Sachs,Qualtrics,Wayfair,Lyft,Huawei,Apple,Uber,Bloomberg,Facebook,Amazon,LinkedIn,Microsoft,Google")</f>
        <v>ByteDance,Oracle,Goldman Sachs,Qualtrics,Wayfair,Lyft,Huawei,Apple,Uber,Bloomberg,Facebook,Amazon,LinkedIn,Microsoft,Google</v>
      </c>
      <c r="F142" s="47" t="str">
        <f>IFERROR(__xludf.DUMMYFUNCTION("""COMPUTED_VALUE"""),"Microsoft,Amazon,Uber,LinkedIn,Google")</f>
        <v>Microsoft,Amazon,Uber,LinkedIn,Google</v>
      </c>
      <c r="G142" s="47" t="str">
        <f>IFERROR(__xludf.DUMMYFUNCTION("""COMPUTED_VALUE"""),"Bloomberg,Apple,Goldman Sachs,Lyft,ByteDance,Microsoft,Amazon,Uber,LinkedIn,Google")</f>
        <v>Bloomberg,Apple,Goldman Sachs,Lyft,ByteDance,Microsoft,Amazon,Uber,LinkedIn,Google</v>
      </c>
      <c r="H142" s="47" t="str">
        <f>IFERROR(__xludf.DUMMYFUNCTION("""COMPUTED_VALUE"""),"Wayfair,Facebook,Huawei,Qualtrics,Oracle,Bloomberg,Apple,Goldman Sachs,Lyft,ByteDance,Microsoft,Amazon,Uber,LinkedIn,Google")</f>
        <v>Wayfair,Facebook,Huawei,Qualtrics,Oracle,Bloomberg,Apple,Goldman Sachs,Lyft,ByteDance,Microsoft,Amazon,Uber,LinkedIn,Google</v>
      </c>
      <c r="I142" s="47">
        <f>IFERROR(__xludf.DUMMYFUNCTION("""COMPUTED_VALUE"""),35.2)</f>
        <v>35.2</v>
      </c>
      <c r="J142" s="47" t="str">
        <f>IFERROR(__xludf.DUMMYFUNCTION("""COMPUTED_VALUE"""),"算法")</f>
        <v>算法</v>
      </c>
      <c r="K142" s="47">
        <v>141.0</v>
      </c>
      <c r="L142" s="6">
        <f>COUNTIF('Coder-1'!B:B,A142)</f>
        <v>0</v>
      </c>
      <c r="M142" s="6">
        <f>COUNTIF('Coder-2'!B:B,A142)</f>
        <v>0</v>
      </c>
      <c r="N142" s="6">
        <f>COUNTIF('Coder-3'!B:B,A142)</f>
        <v>0</v>
      </c>
      <c r="O142" s="6">
        <f>COUNTIF('Coder-4'!B:B,A142)</f>
        <v>0</v>
      </c>
    </row>
    <row r="143">
      <c r="A143" s="83">
        <v>50.0</v>
      </c>
      <c r="B143" s="86" t="str">
        <f>IFERROR(__xludf.DUMMYFUNCTION("IF(ISBLANK(A143),,FILTER('Leetcode List'!B:C,'Leetcode List'!A:A = A143))"),"Pow(x, n)")</f>
        <v>Pow(x, n)</v>
      </c>
      <c r="C143" s="83" t="str">
        <f>IFERROR(__xludf.DUMMYFUNCTION("""COMPUTED_VALUE"""),"Medium")</f>
        <v>Medium</v>
      </c>
      <c r="D143" s="83" t="s">
        <v>99</v>
      </c>
      <c r="E143" s="87" t="str">
        <f>IFERROR(__xludf.DUMMYFUNCTION("IF(ISBLANK(A143),,FILTER('Leetcode List'!E:J,'Leetcode List'!A:A = A143))"),"VMware,Paypal,EBay,Asana,Walmart Labs,Oracle,Apple,Uber,Morgan Stanley,Bloomberg,Adobe,Facebook,Amazon,LinkedIn,Microsoft,Goldman Sachs,Google")</f>
        <v>VMware,Paypal,EBay,Asana,Walmart Labs,Oracle,Apple,Uber,Morgan Stanley,Bloomberg,Adobe,Facebook,Amazon,LinkedIn,Microsoft,Goldman Sachs,Google</v>
      </c>
      <c r="F143" s="47" t="str">
        <f>IFERROR(__xludf.DUMMYFUNCTION("""COMPUTED_VALUE"""),"Facebook,Amazon,LinkedIn,Microsoft,Google,Bloomberg,Goldman Sachs,eBay,Asana")</f>
        <v>Facebook,Amazon,LinkedIn,Microsoft,Google,Bloomberg,Goldman Sachs,eBay,Asana</v>
      </c>
      <c r="G143" s="47" t="str">
        <f>IFERROR(__xludf.DUMMYFUNCTION("""COMPUTED_VALUE"""),"Apple,Uber,Oracle,Facebook,Amazon,LinkedIn,Microsoft,Google,Bloomberg,Goldman Sachs,eBay,Asana")</f>
        <v>Apple,Uber,Oracle,Facebook,Amazon,LinkedIn,Microsoft,Google,Bloomberg,Goldman Sachs,eBay,Asana</v>
      </c>
      <c r="H143" s="47" t="str">
        <f>IFERROR(__xludf.DUMMYFUNCTION("""COMPUTED_VALUE"""),"VMware,Walmart Labs,Paypal,Apple,Uber,Oracle,Facebook,Amazon,LinkedIn,Microsoft,Google,Bloomberg,Goldman Sachs,eBay,Asana")</f>
        <v>VMware,Walmart Labs,Paypal,Apple,Uber,Oracle,Facebook,Amazon,LinkedIn,Microsoft,Google,Bloomberg,Goldman Sachs,eBay,Asana</v>
      </c>
      <c r="I143" s="47">
        <f>IFERROR(__xludf.DUMMYFUNCTION("""COMPUTED_VALUE"""),30.99)</f>
        <v>30.99</v>
      </c>
      <c r="J143" s="47" t="str">
        <f>IFERROR(__xludf.DUMMYFUNCTION("""COMPUTED_VALUE"""),"算法")</f>
        <v>算法</v>
      </c>
      <c r="K143" s="47">
        <v>142.0</v>
      </c>
      <c r="L143" s="6">
        <f>COUNTIF('Coder-1'!B:B,A143)</f>
        <v>0</v>
      </c>
      <c r="M143" s="6">
        <f>COUNTIF('Coder-2'!B:B,A143)</f>
        <v>0</v>
      </c>
      <c r="N143" s="6">
        <f>COUNTIF('Coder-3'!B:B,A143)</f>
        <v>0</v>
      </c>
      <c r="O143" s="6">
        <f>COUNTIF('Coder-4'!B:B,A143)</f>
        <v>0</v>
      </c>
    </row>
    <row r="144">
      <c r="A144" s="83">
        <v>367.0</v>
      </c>
      <c r="B144" s="86" t="str">
        <f>IFERROR(__xludf.DUMMYFUNCTION("IF(ISBLANK(A144),,FILTER('Leetcode List'!B:C,'Leetcode List'!A:A = A144))"),"Valid Perfect Square")</f>
        <v>Valid Perfect Square</v>
      </c>
      <c r="C144" s="83" t="str">
        <f>IFERROR(__xludf.DUMMYFUNCTION("""COMPUTED_VALUE"""),"Easy")</f>
        <v>Easy</v>
      </c>
      <c r="D144" s="83" t="s">
        <v>99</v>
      </c>
      <c r="E144" s="87" t="str">
        <f>IFERROR(__xludf.DUMMYFUNCTION("IF(ISBLANK(A144),,FILTER('Leetcode List'!E:J,'Leetcode List'!A:A = A144))"),"Adobe,Facebook,Amazon,LinkedIn,Microsoft,Google")</f>
        <v>Adobe,Facebook,Amazon,LinkedIn,Microsoft,Google</v>
      </c>
      <c r="F144" s="47" t="str">
        <f>IFERROR(__xludf.DUMMYFUNCTION("""COMPUTED_VALUE"""),"LinkedIn,Facebook,Adobe")</f>
        <v>LinkedIn,Facebook,Adobe</v>
      </c>
      <c r="G144" s="47" t="str">
        <f>IFERROR(__xludf.DUMMYFUNCTION("""COMPUTED_VALUE"""),"Amazon,LinkedIn,Facebook,Adobe")</f>
        <v>Amazon,LinkedIn,Facebook,Adobe</v>
      </c>
      <c r="H144" s="47" t="str">
        <f>IFERROR(__xludf.DUMMYFUNCTION("""COMPUTED_VALUE"""),"Microsoft,Amazon,LinkedIn,Facebook,Adobe")</f>
        <v>Microsoft,Amazon,LinkedIn,Facebook,Adobe</v>
      </c>
      <c r="I144" s="47">
        <f>IFERROR(__xludf.DUMMYFUNCTION("""COMPUTED_VALUE"""),42.05)</f>
        <v>42.05</v>
      </c>
      <c r="J144" s="47" t="str">
        <f>IFERROR(__xludf.DUMMYFUNCTION("""COMPUTED_VALUE"""),"算法")</f>
        <v>算法</v>
      </c>
      <c r="K144" s="47">
        <v>143.0</v>
      </c>
      <c r="L144" s="6">
        <f>COUNTIF('Coder-1'!B:B,A144)</f>
        <v>0</v>
      </c>
      <c r="M144" s="6">
        <f>COUNTIF('Coder-2'!B:B,A144)</f>
        <v>0</v>
      </c>
      <c r="N144" s="6">
        <f>COUNTIF('Coder-3'!B:B,A144)</f>
        <v>0</v>
      </c>
      <c r="O144" s="6">
        <f>COUNTIF('Coder-4'!B:B,A144)</f>
        <v>0</v>
      </c>
    </row>
    <row r="145">
      <c r="A145" s="83">
        <v>365.0</v>
      </c>
      <c r="B145" s="86" t="str">
        <f>IFERROR(__xludf.DUMMYFUNCTION("IF(ISBLANK(A145),,FILTER('Leetcode List'!B:C,'Leetcode List'!A:A = A145))"),"Water and Jug Problem")</f>
        <v>Water and Jug Problem</v>
      </c>
      <c r="C145" s="83" t="str">
        <f>IFERROR(__xludf.DUMMYFUNCTION("""COMPUTED_VALUE"""),"Medium")</f>
        <v>Medium</v>
      </c>
      <c r="D145" s="83" t="s">
        <v>99</v>
      </c>
      <c r="E145" s="87" t="str">
        <f>IFERROR(__xludf.DUMMYFUNCTION("IF(ISBLANK(A145),,FILTER('Leetcode List'!E:J,'Leetcode List'!A:A = A145))"),"Lyft,Uber,Amazon,Microsoft,Google")</f>
        <v>Lyft,Uber,Amazon,Microsoft,Google</v>
      </c>
      <c r="F145" s="47" t="str">
        <f>IFERROR(__xludf.DUMMYFUNCTION("""COMPUTED_VALUE"""),"Lyft,Google")</f>
        <v>Lyft,Google</v>
      </c>
      <c r="G145" s="47" t="str">
        <f>IFERROR(__xludf.DUMMYFUNCTION("""COMPUTED_VALUE"""),"Lyft,Google")</f>
        <v>Lyft,Google</v>
      </c>
      <c r="H145" s="47" t="str">
        <f>IFERROR(__xludf.DUMMYFUNCTION("""COMPUTED_VALUE"""),"Uber,Microsoft,Lyft,Google")</f>
        <v>Uber,Microsoft,Lyft,Google</v>
      </c>
      <c r="I145" s="47">
        <f>IFERROR(__xludf.DUMMYFUNCTION("""COMPUTED_VALUE"""),31.16)</f>
        <v>31.16</v>
      </c>
      <c r="J145" s="47" t="str">
        <f>IFERROR(__xludf.DUMMYFUNCTION("""COMPUTED_VALUE"""),"算法")</f>
        <v>算法</v>
      </c>
      <c r="K145" s="47">
        <v>144.0</v>
      </c>
      <c r="L145" s="6">
        <f>COUNTIF('Coder-1'!B:B,A145)</f>
        <v>0</v>
      </c>
      <c r="M145" s="6">
        <f>COUNTIF('Coder-2'!B:B,A145)</f>
        <v>0</v>
      </c>
      <c r="N145" s="6">
        <f>COUNTIF('Coder-3'!B:B,A145)</f>
        <v>0</v>
      </c>
      <c r="O145" s="6">
        <f>COUNTIF('Coder-4'!B:B,A145)</f>
        <v>0</v>
      </c>
    </row>
    <row r="146">
      <c r="A146" s="83">
        <v>204.0</v>
      </c>
      <c r="B146" s="86" t="str">
        <f>IFERROR(__xludf.DUMMYFUNCTION("IF(ISBLANK(A146),,FILTER('Leetcode List'!B:C,'Leetcode List'!A:A = A146))"),"Count Primes")</f>
        <v>Count Primes</v>
      </c>
      <c r="C146" s="83" t="str">
        <f>IFERROR(__xludf.DUMMYFUNCTION("""COMPUTED_VALUE"""),"Easy")</f>
        <v>Easy</v>
      </c>
      <c r="D146" s="83" t="s">
        <v>99</v>
      </c>
      <c r="E146" s="87" t="str">
        <f>IFERROR(__xludf.DUMMYFUNCTION("IF(ISBLANK(A146),,FILTER('Leetcode List'!E:J,'Leetcode List'!A:A = A146))"),"Docusign,Tcs,Citadel,Spotify,Uber,Capital One,Intel,Oracle,Yandex,EBay,Apple,Yahoo,Bloomberg,Adobe,Facebook,Amazon,Microsoft,Goldman Sachs,Google")</f>
        <v>Docusign,Tcs,Citadel,Spotify,Uber,Capital One,Intel,Oracle,Yandex,EBay,Apple,Yahoo,Bloomberg,Adobe,Facebook,Amazon,Microsoft,Goldman Sachs,Google</v>
      </c>
      <c r="F146" s="47" t="str">
        <f>IFERROR(__xludf.DUMMYFUNCTION("""COMPUTED_VALUE"""),"Capital One,Amazon,Apple,Microsoft")</f>
        <v>Capital One,Amazon,Apple,Microsoft</v>
      </c>
      <c r="G146" s="47" t="str">
        <f>IFERROR(__xludf.DUMMYFUNCTION("""COMPUTED_VALUE"""),"Google,Oracle,Adobe,Capital One,Amazon,Apple,Microsoft")</f>
        <v>Google,Oracle,Adobe,Capital One,Amazon,Apple,Microsoft</v>
      </c>
      <c r="H146" s="47" t="str">
        <f>IFERROR(__xludf.DUMMYFUNCTION("""COMPUTED_VALUE"""),"Facebook,Goldman Sachs,Uber,Bloomberg,eBay,Citadel,Intel,Spotify,Docusign,tcs,Google,Oracle,Adobe,Capital One,Amazon,Apple,Microsoft")</f>
        <v>Facebook,Goldman Sachs,Uber,Bloomberg,eBay,Citadel,Intel,Spotify,Docusign,tcs,Google,Oracle,Adobe,Capital One,Amazon,Apple,Microsoft</v>
      </c>
      <c r="I146" s="47">
        <f>IFERROR(__xludf.DUMMYFUNCTION("""COMPUTED_VALUE"""),32.29)</f>
        <v>32.29</v>
      </c>
      <c r="J146" s="47" t="str">
        <f>IFERROR(__xludf.DUMMYFUNCTION("""COMPUTED_VALUE"""),"算法")</f>
        <v>算法</v>
      </c>
      <c r="K146" s="47">
        <v>145.0</v>
      </c>
      <c r="L146" s="6">
        <f>COUNTIF('Coder-1'!B:B,A146)</f>
        <v>0</v>
      </c>
      <c r="M146" s="6">
        <f>COUNTIF('Coder-2'!B:B,A146)</f>
        <v>0</v>
      </c>
      <c r="N146" s="6">
        <f>COUNTIF('Coder-3'!B:B,A146)</f>
        <v>0</v>
      </c>
      <c r="O146" s="6">
        <f>COUNTIF('Coder-4'!B:B,A146)</f>
        <v>0</v>
      </c>
    </row>
    <row r="147">
      <c r="A147" s="83">
        <v>1.0</v>
      </c>
      <c r="B147" s="86" t="str">
        <f>IFERROR(__xludf.DUMMYFUNCTION("IF(ISBLANK(A147),,FILTER('Leetcode List'!B:C,'Leetcode List'!A:A = A147))"),"Two Sum")</f>
        <v>Two Sum</v>
      </c>
      <c r="C147" s="83" t="str">
        <f>IFERROR(__xludf.DUMMYFUNCTION("""COMPUTED_VALUE"""),"Easy")</f>
        <v>Easy</v>
      </c>
      <c r="D147" s="83" t="s">
        <v>99</v>
      </c>
      <c r="E147" s="87" t="str">
        <f>IFERROR(__xludf.DUMMYFUNCTION("IF(ISBLANK(A147),,FILTER('Leetcode List'!E:J,'Leetcode List'!A:A = A147))"),"Tcs,Directi,Hotstar,Accolite,Poshmark,PayTM,Infosys,Zulily,HBO,Cloudera,Citrix,Nagarro,Roblox,Audible,Splunk,ByteDance,FactSet,Twilio,Qualcomm,GE Digital,Capital One,EMC,Deutsche Bank,Tableau,Salesforce,Groupon,Zynga,Intel,Booking.com,Drawbridge,Visa,VMwa"&amp;"re,Box,Citadel,Quora,Affirm,Walmart Labs,Dropbox,GoDaddy,Snapchat,MAQ Software,Indeed,Radius,Works Applications,JPMorgan,Zillow,Paypal,Twitter,ServiceNow,Expedia,Wish,Yelp,Nvidia,Zoho,Oracle,NetEase,Spotify,Intuit,IBM,Lyft,Cisco,Mathworks,DiDi,Yandex,Huaw"&amp;"ei,EBay,BlackRock,Baidu,Valve,Apple,Airbnb,Uber,Yahoo,Samsung,Tencent,SAP,Morgan Stanley,Aetion,Bloomberg,Adobe,Facebook,Amazon,LinkedIn,Microsoft,Alibaba,Goldman Sachs,Google")</f>
        <v>Tcs,Directi,Hotstar,Accolite,Poshmark,PayTM,Infosys,Zulily,HBO,Cloudera,Citrix,Nagarro,Roblox,Audible,Splunk,ByteDance,FactSet,Twilio,Qualcomm,GE Digital,Capital One,EMC,Deutsche Bank,Tableau,Salesforce,Groupon,Zynga,Intel,Booking.com,Drawbridge,Visa,VMware,Box,Citadel,Quora,Affirm,Walmart Labs,Dropbox,GoDaddy,Snapchat,MAQ Software,Indeed,Radius,Works Applications,JPMorgan,Zillow,Paypal,Twitter,ServiceNow,Expedia,Wish,Yelp,Nvidia,Zoho,Oracle,NetEase,Spotify,Intuit,IBM,Lyft,Cisco,Mathworks,DiDi,Yandex,Huawei,EBay,BlackRock,Baidu,Valve,Apple,Airbnb,Uber,Yahoo,Samsung,Tencent,SAP,Morgan Stanley,Aetion,Bloomberg,Adobe,Facebook,Amazon,LinkedIn,Microsoft,Alibaba,Goldman Sachs,Google</v>
      </c>
      <c r="F147" s="47" t="str">
        <f>IFERROR(__xludf.DUMMYFUNCTION("""COMPUTED_VALUE"""),"Amazon,Google,Apple,Microsoft,Adobe,Bloomberg,Facebook,Oracle,Uber,Expedia,Twitter,Yahoo,Cisco,Nagarro,Goldman Sachs,SAP,Yandex,Intuit,Qualcomm,ByteDance,HBO,tcs")</f>
        <v>Amazon,Google,Apple,Microsoft,Adobe,Bloomberg,Facebook,Oracle,Uber,Expedia,Twitter,Yahoo,Cisco,Nagarro,Goldman Sachs,SAP,Yandex,Intuit,Qualcomm,ByteDance,HBO,tcs</v>
      </c>
      <c r="G147" s="47" t="str">
        <f>IFERROR(__xludf.DUMMYFUNCTION("""COMPUTED_VALUE"""),"eBay,Paypal,Walmart Labs,VMware,Samsung,ServiceNow,Infosys,Accolite,Alibaba,Airbnb,Citrix,Cloudera,Intel,Groupon,Salesforce,PayTM,Poshmark,Amazon,Google,Apple,Microsoft,Adobe,Bloomberg,Facebook,Oracle,Uber,Expedia,Twitter,Yahoo,Cisco,Nagarro,Goldman Sachs"&amp;",SAP,Yandex,Intuit,Qualcomm,ByteDance,HBO,tcs")</f>
        <v>eBay,Paypal,Walmart Labs,VMware,Samsung,ServiceNow,Infosys,Accolite,Alibaba,Airbnb,Citrix,Cloudera,Intel,Groupon,Salesforce,PayTM,Poshmark,Amazon,Google,Apple,Microsoft,Adobe,Bloomberg,Facebook,Oracle,Uber,Expedia,Twitter,Yahoo,Cisco,Nagarro,Goldman Sachs,SAP,Yandex,Intuit,Qualcomm,ByteDance,HBO,tcs</v>
      </c>
      <c r="H147" s="47" t="str">
        <f>IFERROR(__xludf.DUMMYFUNCTION("""COMPUTED_VALUE"""),"LinkedIn,Splunk,Huawei,Nvidia,Visa,Morgan Stanley,JPMorgan,FactSet,Hotstar,Tencent,Mathworks,IBM,Zillow,GoDaddy,Audible,Spotify,Zoho,Citadel,Tableau,Roblox,Zulily,Directi,Yelp,Dropbox,eBay,Paypal,Walmart Labs,VMware,Samsung,ServiceNow,Infosys,Accolite,Ali"&amp;"baba,Airbnb,Citrix,Cloudera,Intel,Groupon,Salesforce,PayTM,Poshmark,Amazon,Google,Apple,Microsoft,Adobe,Bloomberg,Facebook,Oracle,Uber,Expedia,Twitter,Yahoo,Cisco,Nagarro,Goldman Sachs,SAP,Yandex,Intuit,Qualcomm,ByteDance,HBO,tcs")</f>
        <v>LinkedIn,Splunk,Huawei,Nvidia,Visa,Morgan Stanley,JPMorgan,FactSet,Hotstar,Tencent,Mathworks,IBM,Zillow,GoDaddy,Audible,Spotify,Zoho,Citadel,Tableau,Roblox,Zulily,Directi,Yelp,Dropbox,eBay,Paypal,Walmart Labs,VMware,Samsung,ServiceNow,Infosys,Accolite,Alibaba,Airbnb,Citrix,Cloudera,Intel,Groupon,Salesforce,PayTM,Poshmark,Amazon,Google,Apple,Microsoft,Adobe,Bloomberg,Facebook,Oracle,Uber,Expedia,Twitter,Yahoo,Cisco,Nagarro,Goldman Sachs,SAP,Yandex,Intuit,Qualcomm,ByteDance,HBO,tcs</v>
      </c>
      <c r="I147" s="47">
        <f>IFERROR(__xludf.DUMMYFUNCTION("""COMPUTED_VALUE"""),46.59)</f>
        <v>46.59</v>
      </c>
      <c r="J147" s="47" t="str">
        <f>IFERROR(__xludf.DUMMYFUNCTION("""COMPUTED_VALUE"""),"算法")</f>
        <v>算法</v>
      </c>
      <c r="K147" s="47">
        <v>146.0</v>
      </c>
      <c r="L147" s="6">
        <f>COUNTIF('Coder-1'!B:B,A147)</f>
        <v>0</v>
      </c>
      <c r="M147" s="6">
        <f>COUNTIF('Coder-2'!B:B,A147)</f>
        <v>0</v>
      </c>
      <c r="N147" s="6">
        <f>COUNTIF('Coder-3'!B:B,A147)</f>
        <v>0</v>
      </c>
      <c r="O147" s="6">
        <f>COUNTIF('Coder-4'!B:B,A147)</f>
        <v>0</v>
      </c>
    </row>
    <row r="148">
      <c r="A148" s="83">
        <v>167.0</v>
      </c>
      <c r="B148" s="86" t="str">
        <f>IFERROR(__xludf.DUMMYFUNCTION("IF(ISBLANK(A148),,FILTER('Leetcode List'!B:C,'Leetcode List'!A:A = A148))"),"Two Sum II - Input array is sorted")</f>
        <v>Two Sum II - Input array is sorted</v>
      </c>
      <c r="C148" s="83" t="str">
        <f>IFERROR(__xludf.DUMMYFUNCTION("""COMPUTED_VALUE"""),"Easy")</f>
        <v>Easy</v>
      </c>
      <c r="D148" s="83" t="s">
        <v>99</v>
      </c>
      <c r="E148" s="87" t="str">
        <f>IFERROR(__xludf.DUMMYFUNCTION("IF(ISBLANK(A148),,FILTER('Leetcode List'!E:J,'Leetcode List'!A:A = A148))"),"Oracle,Intuit,Uber,Bloomberg,Wayfair,Pure Storage,ByteDance,Paypal,Expedia,Apple,Facebook,Amazon,Microsoft,Goldman Sachs,Google")</f>
        <v>Oracle,Intuit,Uber,Bloomberg,Wayfair,Pure Storage,ByteDance,Paypal,Expedia,Apple,Facebook,Amazon,Microsoft,Goldman Sachs,Google</v>
      </c>
      <c r="F148" s="47" t="str">
        <f>IFERROR(__xludf.DUMMYFUNCTION("""COMPUTED_VALUE"""),"Oracle,Amazon,Microsoft")</f>
        <v>Oracle,Amazon,Microsoft</v>
      </c>
      <c r="G148" s="47" t="str">
        <f>IFERROR(__xludf.DUMMYFUNCTION("""COMPUTED_VALUE"""),"Apple,Intuit,ByteDance,Oracle,Amazon,Microsoft")</f>
        <v>Apple,Intuit,ByteDance,Oracle,Amazon,Microsoft</v>
      </c>
      <c r="H148" s="47" t="str">
        <f>IFERROR(__xludf.DUMMYFUNCTION("""COMPUTED_VALUE"""),"Google,Uber,Bloomberg,Paypal,Goldman Sachs,Pure Storage,Apple,Intuit,ByteDance,Oracle,Amazon,Microsoft")</f>
        <v>Google,Uber,Bloomberg,Paypal,Goldman Sachs,Pure Storage,Apple,Intuit,ByteDance,Oracle,Amazon,Microsoft</v>
      </c>
      <c r="I148" s="47">
        <f>IFERROR(__xludf.DUMMYFUNCTION("""COMPUTED_VALUE"""),55.74)</f>
        <v>55.74</v>
      </c>
      <c r="J148" s="47" t="str">
        <f>IFERROR(__xludf.DUMMYFUNCTION("""COMPUTED_VALUE"""),"算法")</f>
        <v>算法</v>
      </c>
      <c r="K148" s="47">
        <v>147.0</v>
      </c>
      <c r="L148" s="6">
        <f>COUNTIF('Coder-1'!B:B,A148)</f>
        <v>0</v>
      </c>
      <c r="M148" s="6">
        <f>COUNTIF('Coder-2'!B:B,A148)</f>
        <v>0</v>
      </c>
      <c r="N148" s="6">
        <f>COUNTIF('Coder-3'!B:B,A148)</f>
        <v>0</v>
      </c>
      <c r="O148" s="6">
        <f>COUNTIF('Coder-4'!B:B,A148)</f>
        <v>0</v>
      </c>
    </row>
    <row r="149">
      <c r="A149" s="83">
        <v>15.0</v>
      </c>
      <c r="B149" s="86" t="str">
        <f>IFERROR(__xludf.DUMMYFUNCTION("IF(ISBLANK(A149),,FILTER('Leetcode List'!B:C,'Leetcode List'!A:A = A149))"),"3Sum")</f>
        <v>3Sum</v>
      </c>
      <c r="C149" s="83" t="str">
        <f>IFERROR(__xludf.DUMMYFUNCTION("""COMPUTED_VALUE"""),"Medium")</f>
        <v>Medium</v>
      </c>
      <c r="D149" s="83" t="s">
        <v>99</v>
      </c>
      <c r="E149" s="87" t="str">
        <f>IFERROR(__xludf.DUMMYFUNCTION("IF(ISBLANK(A149),,FILTER('Leetcode List'!E:J,'Leetcode List'!A:A = A149))"),"Akamai,Tesla,Hulu,Infosys,ServiceNow,Samsung,DoorDash,Postmates,Akuna Capital,Square,Qualtrics,Coursera,Citrix,Splunk,ByteDance,Salesforce,Groupon,Visa,VMware,Citadel,Quora,Walmart Labs,Snapchat,Works Applications,Paypal,Expedia,Zoho,Oracle,IBM,Cisco,Math"&amp;"works,Yandex,EBay,Baidu,Apple,Uber,Yahoo,Tencent,Bloomberg,Adobe,Facebook,Amazon,Microsoft,Alibaba,Goldman Sachs,Google")</f>
        <v>Akamai,Tesla,Hulu,Infosys,ServiceNow,Samsung,DoorDash,Postmates,Akuna Capital,Square,Qualtrics,Coursera,Citrix,Splunk,ByteDance,Salesforce,Groupon,Visa,VMware,Citadel,Quora,Walmart Labs,Snapchat,Works Applications,Paypal,Expedia,Zoho,Oracle,IBM,Cisco,Mathworks,Yandex,EBay,Baidu,Apple,Uber,Yahoo,Tencent,Bloomberg,Adobe,Facebook,Amazon,Microsoft,Alibaba,Goldman Sachs,Google</v>
      </c>
      <c r="F149" s="47" t="str">
        <f>IFERROR(__xludf.DUMMYFUNCTION("""COMPUTED_VALUE"""),"Amazon,Facebook,Microsoft,Bloomberg,Apple,Adobe,VMware,Google,Tesla,Goldman Sachs,Cisco,Oracle")</f>
        <v>Amazon,Facebook,Microsoft,Bloomberg,Apple,Adobe,VMware,Google,Tesla,Goldman Sachs,Cisco,Oracle</v>
      </c>
      <c r="G149" s="47" t="str">
        <f>IFERROR(__xludf.DUMMYFUNCTION("""COMPUTED_VALUE"""),"Uber,Qualtrics,Walmart Labs,ByteDance,Citrix,Amazon,Facebook,Microsoft,Bloomberg,Apple,Adobe,VMware,Google,Tesla,Goldman Sachs,Cisco,Oracle")</f>
        <v>Uber,Qualtrics,Walmart Labs,ByteDance,Citrix,Amazon,Facebook,Microsoft,Bloomberg,Apple,Adobe,VMware,Google,Tesla,Goldman Sachs,Cisco,Oracle</v>
      </c>
      <c r="H149" s="47" t="str">
        <f>IFERROR(__xludf.DUMMYFUNCTION("""COMPUTED_VALUE"""),"Visa,eBay,Yahoo,Mathworks,IBM,DoorDash,Citadel,Akamai,Alibaba,Tencent,Samsung,Square,Paypal,ServiceNow,Hulu,Splunk,Postmates,Groupon,Zoho,Infosys,Works Applications,Uber,Qualtrics,Walmart Labs,ByteDance,Citrix,Amazon,Facebook,Microsoft,Bloomberg,Apple,Ado"&amp;"be,VMware,Google,Tesla,Goldman Sachs,Cisco,Oracle")</f>
        <v>Visa,eBay,Yahoo,Mathworks,IBM,DoorDash,Citadel,Akamai,Alibaba,Tencent,Samsung,Square,Paypal,ServiceNow,Hulu,Splunk,Postmates,Groupon,Zoho,Infosys,Works Applications,Uber,Qualtrics,Walmart Labs,ByteDance,Citrix,Amazon,Facebook,Microsoft,Bloomberg,Apple,Adobe,VMware,Google,Tesla,Goldman Sachs,Cisco,Oracle</v>
      </c>
      <c r="I149" s="47">
        <f>IFERROR(__xludf.DUMMYFUNCTION("""COMPUTED_VALUE"""),28.14)</f>
        <v>28.14</v>
      </c>
      <c r="J149" s="47" t="str">
        <f>IFERROR(__xludf.DUMMYFUNCTION("""COMPUTED_VALUE"""),"算法")</f>
        <v>算法</v>
      </c>
      <c r="K149" s="47">
        <v>148.0</v>
      </c>
      <c r="L149" s="6">
        <f>COUNTIF('Coder-1'!B:B,A149)</f>
        <v>0</v>
      </c>
      <c r="M149" s="6">
        <f>COUNTIF('Coder-2'!B:B,A149)</f>
        <v>0</v>
      </c>
      <c r="N149" s="6">
        <f>COUNTIF('Coder-3'!B:B,A149)</f>
        <v>0</v>
      </c>
      <c r="O149" s="6">
        <f>COUNTIF('Coder-4'!B:B,A149)</f>
        <v>0</v>
      </c>
    </row>
    <row r="150">
      <c r="A150" s="83">
        <v>16.0</v>
      </c>
      <c r="B150" s="86" t="str">
        <f>IFERROR(__xludf.DUMMYFUNCTION("IF(ISBLANK(A150),,FILTER('Leetcode List'!B:C,'Leetcode List'!A:A = A150))"),"3Sum Closest")</f>
        <v>3Sum Closest</v>
      </c>
      <c r="C150" s="83" t="str">
        <f>IFERROR(__xludf.DUMMYFUNCTION("""COMPUTED_VALUE"""),"Medium")</f>
        <v>Medium</v>
      </c>
      <c r="D150" s="83" t="s">
        <v>99</v>
      </c>
      <c r="E150" s="87" t="str">
        <f>IFERROR(__xludf.DUMMYFUNCTION("IF(ISBLANK(A150),,FILTER('Leetcode List'!E:J,'Leetcode List'!A:A = A150))"),"VMware,Yandex,Apple,Uber,SAP,Bloomberg,Adobe,Facebook,Amazon,Microsoft,Goldman Sachs,Google")</f>
        <v>VMware,Yandex,Apple,Uber,SAP,Bloomberg,Adobe,Facebook,Amazon,Microsoft,Goldman Sachs,Google</v>
      </c>
      <c r="F150" s="47" t="str">
        <f>IFERROR(__xludf.DUMMYFUNCTION("""COMPUTED_VALUE"""),"Amazon,Apple,Facebook,Google,Bloomberg")</f>
        <v>Amazon,Apple,Facebook,Google,Bloomberg</v>
      </c>
      <c r="G150" s="47" t="str">
        <f>IFERROR(__xludf.DUMMYFUNCTION("""COMPUTED_VALUE"""),"Adobe,Uber,Amazon,Apple,Facebook,Google,Bloomberg")</f>
        <v>Adobe,Uber,Amazon,Apple,Facebook,Google,Bloomberg</v>
      </c>
      <c r="H150" s="47" t="str">
        <f>IFERROR(__xludf.DUMMYFUNCTION("""COMPUTED_VALUE"""),"Microsoft,Goldman Sachs,Adobe,Uber,Amazon,Apple,Facebook,Google,Bloomberg")</f>
        <v>Microsoft,Goldman Sachs,Adobe,Uber,Amazon,Apple,Facebook,Google,Bloomberg</v>
      </c>
      <c r="I150" s="47">
        <f>IFERROR(__xludf.DUMMYFUNCTION("""COMPUTED_VALUE"""),46.32)</f>
        <v>46.32</v>
      </c>
      <c r="J150" s="47" t="str">
        <f>IFERROR(__xludf.DUMMYFUNCTION("""COMPUTED_VALUE"""),"算法")</f>
        <v>算法</v>
      </c>
      <c r="K150" s="47">
        <v>149.0</v>
      </c>
      <c r="L150" s="6">
        <f>COUNTIF('Coder-1'!B:B,A150)</f>
        <v>0</v>
      </c>
      <c r="M150" s="6">
        <f>COUNTIF('Coder-2'!B:B,A150)</f>
        <v>0</v>
      </c>
      <c r="N150" s="6">
        <f>COUNTIF('Coder-3'!B:B,A150)</f>
        <v>0</v>
      </c>
      <c r="O150" s="6">
        <f>COUNTIF('Coder-4'!B:B,A150)</f>
        <v>0</v>
      </c>
    </row>
    <row r="151">
      <c r="A151" s="83">
        <v>259.0</v>
      </c>
      <c r="B151" s="86" t="str">
        <f>IFERROR(__xludf.DUMMYFUNCTION("IF(ISBLANK(A151),,FILTER('Leetcode List'!B:C,'Leetcode List'!A:A = A151))"),"3Sum Smaller")</f>
        <v>3Sum Smaller</v>
      </c>
      <c r="C151" s="83" t="str">
        <f>IFERROR(__xludf.DUMMYFUNCTION("""COMPUTED_VALUE"""),"Medium")</f>
        <v>Medium</v>
      </c>
      <c r="D151" s="83" t="s">
        <v>99</v>
      </c>
      <c r="E151" s="87" t="str">
        <f>IFERROR(__xludf.DUMMYFUNCTION("IF(ISBLANK(A151),,FILTER('Leetcode List'!E:J,'Leetcode List'!A:A = A151))"),"Citadel,Adobe,IBM,Mathworks,Google")</f>
        <v>Citadel,Adobe,IBM,Mathworks,Google</v>
      </c>
      <c r="F151" s="47" t="str">
        <f>IFERROR(__xludf.DUMMYFUNCTION("""COMPUTED_VALUE"""),"IBM,Citadel")</f>
        <v>IBM,Citadel</v>
      </c>
      <c r="G151" s="47" t="str">
        <f>IFERROR(__xludf.DUMMYFUNCTION("""COMPUTED_VALUE"""),"Google,Adobe,IBM,Citadel")</f>
        <v>Google,Adobe,IBM,Citadel</v>
      </c>
      <c r="H151" s="47" t="str">
        <f>IFERROR(__xludf.DUMMYFUNCTION("""COMPUTED_VALUE"""),"Mathworks,Google,Adobe,IBM,Citadel")</f>
        <v>Mathworks,Google,Adobe,IBM,Citadel</v>
      </c>
      <c r="I151" s="47">
        <f>IFERROR(__xludf.DUMMYFUNCTION("""COMPUTED_VALUE"""),49.07)</f>
        <v>49.07</v>
      </c>
      <c r="J151" s="47" t="str">
        <f>IFERROR(__xludf.DUMMYFUNCTION("""COMPUTED_VALUE"""),"算法")</f>
        <v>算法</v>
      </c>
      <c r="K151" s="47">
        <v>150.0</v>
      </c>
      <c r="L151" s="6">
        <f>COUNTIF('Coder-1'!B:B,A151)</f>
        <v>0</v>
      </c>
      <c r="M151" s="6">
        <f>COUNTIF('Coder-2'!B:B,A151)</f>
        <v>0</v>
      </c>
      <c r="N151" s="6">
        <f>COUNTIF('Coder-3'!B:B,A151)</f>
        <v>0</v>
      </c>
      <c r="O151" s="6">
        <f>COUNTIF('Coder-4'!B:B,A151)</f>
        <v>0</v>
      </c>
    </row>
    <row r="152">
      <c r="A152" s="83">
        <v>18.0</v>
      </c>
      <c r="B152" s="86" t="str">
        <f>IFERROR(__xludf.DUMMYFUNCTION("IF(ISBLANK(A152),,FILTER('Leetcode List'!B:C,'Leetcode List'!A:A = A152))"),"4Sum")</f>
        <v>4Sum</v>
      </c>
      <c r="C152" s="83" t="str">
        <f>IFERROR(__xludf.DUMMYFUNCTION("""COMPUTED_VALUE"""),"Medium")</f>
        <v>Medium</v>
      </c>
      <c r="D152" s="83" t="s">
        <v>99</v>
      </c>
      <c r="E152" s="87" t="str">
        <f>IFERROR(__xludf.DUMMYFUNCTION("IF(ISBLANK(A152),,FILTER('Leetcode List'!E:J,'Leetcode List'!A:A = A152))"),"Goldman Sachs,Apple,Yahoo,Bloomberg,Adobe,Facebook,Amazon,Microsoft,Google")</f>
        <v>Goldman Sachs,Apple,Yahoo,Bloomberg,Adobe,Facebook,Amazon,Microsoft,Google</v>
      </c>
      <c r="F152" s="47" t="str">
        <f>IFERROR(__xludf.DUMMYFUNCTION("""COMPUTED_VALUE"""),"Amazon,Bloomberg")</f>
        <v>Amazon,Bloomberg</v>
      </c>
      <c r="G152" s="47" t="str">
        <f>IFERROR(__xludf.DUMMYFUNCTION("""COMPUTED_VALUE"""),"Adobe,Apple,Goldman Sachs,Amazon,Bloomberg")</f>
        <v>Adobe,Apple,Goldman Sachs,Amazon,Bloomberg</v>
      </c>
      <c r="H152" s="47" t="str">
        <f>IFERROR(__xludf.DUMMYFUNCTION("""COMPUTED_VALUE"""),"Google,Microsoft,Yahoo,Adobe,Apple,Goldman Sachs,Amazon,Bloomberg")</f>
        <v>Google,Microsoft,Yahoo,Adobe,Apple,Goldman Sachs,Amazon,Bloomberg</v>
      </c>
      <c r="I152" s="47">
        <f>IFERROR(__xludf.DUMMYFUNCTION("""COMPUTED_VALUE"""),34.99)</f>
        <v>34.99</v>
      </c>
      <c r="J152" s="47" t="str">
        <f>IFERROR(__xludf.DUMMYFUNCTION("""COMPUTED_VALUE"""),"算法")</f>
        <v>算法</v>
      </c>
      <c r="K152" s="47">
        <v>151.0</v>
      </c>
      <c r="L152" s="6">
        <f>COUNTIF('Coder-1'!B:B,A152)</f>
        <v>0</v>
      </c>
      <c r="M152" s="6">
        <f>COUNTIF('Coder-2'!B:B,A152)</f>
        <v>0</v>
      </c>
      <c r="N152" s="6">
        <f>COUNTIF('Coder-3'!B:B,A152)</f>
        <v>0</v>
      </c>
      <c r="O152" s="6">
        <f>COUNTIF('Coder-4'!B:B,A152)</f>
        <v>0</v>
      </c>
    </row>
    <row r="153">
      <c r="A153" s="83">
        <v>231.0</v>
      </c>
      <c r="B153" s="86" t="str">
        <f>IFERROR(__xludf.DUMMYFUNCTION("IF(ISBLANK(A153),,FILTER('Leetcode List'!B:C,'Leetcode List'!A:A = A153))"),"Power of Two")</f>
        <v>Power of Two</v>
      </c>
      <c r="C153" s="83" t="str">
        <f>IFERROR(__xludf.DUMMYFUNCTION("""COMPUTED_VALUE"""),"Easy")</f>
        <v>Easy</v>
      </c>
      <c r="D153" s="83" t="s">
        <v>99</v>
      </c>
      <c r="E153" s="87" t="str">
        <f>IFERROR(__xludf.DUMMYFUNCTION("IF(ISBLANK(A153),,FILTER('Leetcode List'!E:J,'Leetcode List'!A:A = A153))"),"Nvidia,Apple,Amazon,Microsoft,Google")</f>
        <v>Nvidia,Apple,Amazon,Microsoft,Google</v>
      </c>
      <c r="F153" s="47" t="str">
        <f>IFERROR(__xludf.DUMMYFUNCTION("""COMPUTED_VALUE"""),"Apple")</f>
        <v>Apple</v>
      </c>
      <c r="G153" s="47" t="str">
        <f>IFERROR(__xludf.DUMMYFUNCTION("""COMPUTED_VALUE"""),"Nvidia,Apple")</f>
        <v>Nvidia,Apple</v>
      </c>
      <c r="H153" s="47" t="str">
        <f>IFERROR(__xludf.DUMMYFUNCTION("""COMPUTED_VALUE"""),"Google,Amazon,Nvidia,Apple")</f>
        <v>Google,Amazon,Nvidia,Apple</v>
      </c>
      <c r="I153" s="47">
        <f>IFERROR(__xludf.DUMMYFUNCTION("""COMPUTED_VALUE"""),43.81)</f>
        <v>43.81</v>
      </c>
      <c r="J153" s="47" t="str">
        <f>IFERROR(__xludf.DUMMYFUNCTION("""COMPUTED_VALUE"""),"算法")</f>
        <v>算法</v>
      </c>
      <c r="K153" s="47">
        <v>152.0</v>
      </c>
      <c r="L153" s="6">
        <f>COUNTIF('Coder-1'!B:B,A153)</f>
        <v>0</v>
      </c>
      <c r="M153" s="6">
        <f>COUNTIF('Coder-2'!B:B,A153)</f>
        <v>0</v>
      </c>
      <c r="N153" s="6">
        <f>COUNTIF('Coder-3'!B:B,A153)</f>
        <v>0</v>
      </c>
      <c r="O153" s="6">
        <f>COUNTIF('Coder-4'!B:B,A153)</f>
        <v>0</v>
      </c>
    </row>
    <row r="154">
      <c r="A154" s="83">
        <v>326.0</v>
      </c>
      <c r="B154" s="86" t="str">
        <f>IFERROR(__xludf.DUMMYFUNCTION("IF(ISBLANK(A154),,FILTER('Leetcode List'!B:C,'Leetcode List'!A:A = A154))"),"Power of Three")</f>
        <v>Power of Three</v>
      </c>
      <c r="C154" s="83" t="str">
        <f>IFERROR(__xludf.DUMMYFUNCTION("""COMPUTED_VALUE"""),"Easy")</f>
        <v>Easy</v>
      </c>
      <c r="D154" s="83" t="s">
        <v>99</v>
      </c>
      <c r="E154" s="87" t="str">
        <f>IFERROR(__xludf.DUMMYFUNCTION("IF(ISBLANK(A154),,FILTER('Leetcode List'!E:J,'Leetcode List'!A:A = A154))"),"Hulu,Apple,Goldman Sachs,Google")</f>
        <v>Hulu,Apple,Goldman Sachs,Google</v>
      </c>
      <c r="F154" s="47" t="str">
        <f>IFERROR(__xludf.DUMMYFUNCTION("""COMPUTED_VALUE"""),"Google")</f>
        <v>Google</v>
      </c>
      <c r="G154" s="47" t="str">
        <f>IFERROR(__xludf.DUMMYFUNCTION("""COMPUTED_VALUE"""),"Goldman Sachs,Google")</f>
        <v>Goldman Sachs,Google</v>
      </c>
      <c r="H154" s="47" t="str">
        <f>IFERROR(__xludf.DUMMYFUNCTION("""COMPUTED_VALUE"""),"Hulu,Apple,Goldman Sachs,Google")</f>
        <v>Hulu,Apple,Goldman Sachs,Google</v>
      </c>
      <c r="I154" s="47">
        <f>IFERROR(__xludf.DUMMYFUNCTION("""COMPUTED_VALUE"""),42.11)</f>
        <v>42.11</v>
      </c>
      <c r="J154" s="47" t="str">
        <f>IFERROR(__xludf.DUMMYFUNCTION("""COMPUTED_VALUE"""),"算法")</f>
        <v>算法</v>
      </c>
      <c r="K154" s="47">
        <v>153.0</v>
      </c>
      <c r="L154" s="6">
        <f>COUNTIF('Coder-1'!B:B,A154)</f>
        <v>0</v>
      </c>
      <c r="M154" s="6">
        <f>COUNTIF('Coder-2'!B:B,A154)</f>
        <v>0</v>
      </c>
      <c r="N154" s="6">
        <f>COUNTIF('Coder-3'!B:B,A154)</f>
        <v>0</v>
      </c>
      <c r="O154" s="6">
        <f>COUNTIF('Coder-4'!B:B,A154)</f>
        <v>0</v>
      </c>
    </row>
    <row r="155">
      <c r="A155" s="83">
        <v>342.0</v>
      </c>
      <c r="B155" s="86" t="str">
        <f>IFERROR(__xludf.DUMMYFUNCTION("IF(ISBLANK(A155),,FILTER('Leetcode List'!B:C,'Leetcode List'!A:A = A155))"),"Power of Four")</f>
        <v>Power of Four</v>
      </c>
      <c r="C155" s="83" t="str">
        <f>IFERROR(__xludf.DUMMYFUNCTION("""COMPUTED_VALUE"""),"Easy")</f>
        <v>Easy</v>
      </c>
      <c r="D155" s="83" t="s">
        <v>99</v>
      </c>
      <c r="E155" s="87" t="str">
        <f>IFERROR(__xludf.DUMMYFUNCTION("IF(ISBLANK(A155),,FILTER('Leetcode List'!E:J,'Leetcode List'!A:A = A155))"),"Two Sigma,Uber")</f>
        <v>Two Sigma,Uber</v>
      </c>
      <c r="F155" s="47"/>
      <c r="G155" s="47"/>
      <c r="H155" s="47" t="str">
        <f>IFERROR(__xludf.DUMMYFUNCTION("""COMPUTED_VALUE"""),"Two Sigma")</f>
        <v>Two Sigma</v>
      </c>
      <c r="I155" s="47">
        <f>IFERROR(__xludf.DUMMYFUNCTION("""COMPUTED_VALUE"""),41.78)</f>
        <v>41.78</v>
      </c>
      <c r="J155" s="47" t="str">
        <f>IFERROR(__xludf.DUMMYFUNCTION("""COMPUTED_VALUE"""),"算法")</f>
        <v>算法</v>
      </c>
      <c r="K155" s="47">
        <v>154.0</v>
      </c>
      <c r="L155" s="6">
        <f>COUNTIF('Coder-1'!B:B,A155)</f>
        <v>0</v>
      </c>
      <c r="M155" s="6">
        <f>COUNTIF('Coder-2'!B:B,A155)</f>
        <v>0</v>
      </c>
      <c r="N155" s="6">
        <f>COUNTIF('Coder-3'!B:B,A155)</f>
        <v>0</v>
      </c>
      <c r="O155" s="6">
        <f>COUNTIF('Coder-4'!B:B,A155)</f>
        <v>0</v>
      </c>
    </row>
    <row r="156">
      <c r="A156" s="83">
        <v>372.0</v>
      </c>
      <c r="B156" s="86" t="str">
        <f>IFERROR(__xludf.DUMMYFUNCTION("IF(ISBLANK(A156),,FILTER('Leetcode List'!B:C,'Leetcode List'!A:A = A156))"),"Super Pow")</f>
        <v>Super Pow</v>
      </c>
      <c r="C156" s="83" t="str">
        <f>IFERROR(__xludf.DUMMYFUNCTION("""COMPUTED_VALUE"""),"Medium")</f>
        <v>Medium</v>
      </c>
      <c r="D156" s="83" t="s">
        <v>99</v>
      </c>
      <c r="E156" s="87" t="str">
        <f>IFERROR(__xludf.DUMMYFUNCTION("IF(ISBLANK(A156),,FILTER('Leetcode List'!E:J,'Leetcode List'!A:A = A156))"),"")</f>
        <v/>
      </c>
      <c r="F156" s="47"/>
      <c r="G156" s="47"/>
      <c r="H156" s="47"/>
      <c r="I156" s="47">
        <f>IFERROR(__xludf.DUMMYFUNCTION("""COMPUTED_VALUE"""),36.74)</f>
        <v>36.74</v>
      </c>
      <c r="J156" s="47" t="str">
        <f>IFERROR(__xludf.DUMMYFUNCTION("""COMPUTED_VALUE"""),"算法")</f>
        <v>算法</v>
      </c>
      <c r="K156" s="47">
        <v>155.0</v>
      </c>
      <c r="L156" s="6">
        <f>COUNTIF('Coder-1'!B:B,A156)</f>
        <v>0</v>
      </c>
      <c r="M156" s="6">
        <f>COUNTIF('Coder-2'!B:B,A156)</f>
        <v>0</v>
      </c>
      <c r="N156" s="6">
        <f>COUNTIF('Coder-3'!B:B,A156)</f>
        <v>0</v>
      </c>
      <c r="O156" s="6">
        <f>COUNTIF('Coder-4'!B:B,A156)</f>
        <v>0</v>
      </c>
    </row>
    <row r="157">
      <c r="A157" s="83">
        <v>233.0</v>
      </c>
      <c r="B157" s="86" t="str">
        <f>IFERROR(__xludf.DUMMYFUNCTION("IF(ISBLANK(A157),,FILTER('Leetcode List'!B:C,'Leetcode List'!A:A = A157))"),"Number of Digit One")</f>
        <v>Number of Digit One</v>
      </c>
      <c r="C157" s="83" t="str">
        <f>IFERROR(__xludf.DUMMYFUNCTION("""COMPUTED_VALUE"""),"Hard")</f>
        <v>Hard</v>
      </c>
      <c r="D157" s="83" t="s">
        <v>99</v>
      </c>
      <c r="E157" s="87" t="str">
        <f>IFERROR(__xludf.DUMMYFUNCTION("IF(ISBLANK(A157),,FILTER('Leetcode List'!E:J,'Leetcode List'!A:A = A157))"),"Apple,Amazon")</f>
        <v>Apple,Amazon</v>
      </c>
      <c r="F157" s="47"/>
      <c r="G157" s="47" t="str">
        <f>IFERROR(__xludf.DUMMYFUNCTION("""COMPUTED_VALUE"""),"Amazon")</f>
        <v>Amazon</v>
      </c>
      <c r="H157" s="47" t="str">
        <f>IFERROR(__xludf.DUMMYFUNCTION("""COMPUTED_VALUE"""),"Amazon")</f>
        <v>Amazon</v>
      </c>
      <c r="I157" s="47">
        <f>IFERROR(__xludf.DUMMYFUNCTION("""COMPUTED_VALUE"""),31.81)</f>
        <v>31.81</v>
      </c>
      <c r="J157" s="47" t="str">
        <f>IFERROR(__xludf.DUMMYFUNCTION("""COMPUTED_VALUE"""),"算法")</f>
        <v>算法</v>
      </c>
      <c r="K157" s="47">
        <v>156.0</v>
      </c>
      <c r="L157" s="6">
        <f>COUNTIF('Coder-1'!B:B,A157)</f>
        <v>0</v>
      </c>
      <c r="M157" s="6">
        <f>COUNTIF('Coder-2'!B:B,A157)</f>
        <v>0</v>
      </c>
      <c r="N157" s="6">
        <f>COUNTIF('Coder-3'!B:B,A157)</f>
        <v>0</v>
      </c>
      <c r="O157" s="6">
        <f>COUNTIF('Coder-4'!B:B,A157)</f>
        <v>0</v>
      </c>
    </row>
    <row r="158">
      <c r="A158" s="83">
        <v>319.0</v>
      </c>
      <c r="B158" s="86" t="str">
        <f>IFERROR(__xludf.DUMMYFUNCTION("IF(ISBLANK(A158),,FILTER('Leetcode List'!B:C,'Leetcode List'!A:A = A158))"),"Bulb Switcher")</f>
        <v>Bulb Switcher</v>
      </c>
      <c r="C158" s="83" t="str">
        <f>IFERROR(__xludf.DUMMYFUNCTION("""COMPUTED_VALUE"""),"Medium")</f>
        <v>Medium</v>
      </c>
      <c r="D158" s="83" t="s">
        <v>99</v>
      </c>
      <c r="E158" s="87" t="str">
        <f>IFERROR(__xludf.DUMMYFUNCTION("IF(ISBLANK(A158),,FILTER('Leetcode List'!E:J,'Leetcode List'!A:A = A158))"),"Apple,Bloomberg,LinkedIn,Microsoft,Mathworks,Facebook,Amazon")</f>
        <v>Apple,Bloomberg,LinkedIn,Microsoft,Mathworks,Facebook,Amazon</v>
      </c>
      <c r="F158" s="47" t="str">
        <f>IFERROR(__xludf.DUMMYFUNCTION("""COMPUTED_VALUE"""),"Microsoft")</f>
        <v>Microsoft</v>
      </c>
      <c r="G158" s="47" t="str">
        <f>IFERROR(__xludf.DUMMYFUNCTION("""COMPUTED_VALUE"""),"Apple,Microsoft")</f>
        <v>Apple,Microsoft</v>
      </c>
      <c r="H158" s="47" t="str">
        <f>IFERROR(__xludf.DUMMYFUNCTION("""COMPUTED_VALUE"""),"Facebook,Amazon,Mathworks,LinkedIn,Bloomberg,Apple,Microsoft")</f>
        <v>Facebook,Amazon,Mathworks,LinkedIn,Bloomberg,Apple,Microsoft</v>
      </c>
      <c r="I158" s="47">
        <f>IFERROR(__xludf.DUMMYFUNCTION("""COMPUTED_VALUE"""),45.4)</f>
        <v>45.4</v>
      </c>
      <c r="J158" s="47" t="str">
        <f>IFERROR(__xludf.DUMMYFUNCTION("""COMPUTED_VALUE"""),"算法")</f>
        <v>算法</v>
      </c>
      <c r="K158" s="47">
        <v>157.0</v>
      </c>
      <c r="L158" s="6">
        <f>COUNTIF('Coder-1'!B:B,A158)</f>
        <v>0</v>
      </c>
      <c r="M158" s="6">
        <f>COUNTIF('Coder-2'!B:B,A158)</f>
        <v>0</v>
      </c>
      <c r="N158" s="6">
        <f>COUNTIF('Coder-3'!B:B,A158)</f>
        <v>0</v>
      </c>
      <c r="O158" s="6">
        <f>COUNTIF('Coder-4'!B:B,A158)</f>
        <v>0</v>
      </c>
    </row>
    <row r="159">
      <c r="A159" s="83">
        <v>292.0</v>
      </c>
      <c r="B159" s="86" t="str">
        <f>IFERROR(__xludf.DUMMYFUNCTION("IF(ISBLANK(A159),,FILTER('Leetcode List'!B:C,'Leetcode List'!A:A = A159))"),"Nim Game")</f>
        <v>Nim Game</v>
      </c>
      <c r="C159" s="83" t="str">
        <f>IFERROR(__xludf.DUMMYFUNCTION("""COMPUTED_VALUE"""),"Easy")</f>
        <v>Easy</v>
      </c>
      <c r="D159" s="83" t="s">
        <v>99</v>
      </c>
      <c r="E159" s="87" t="str">
        <f>IFERROR(__xludf.DUMMYFUNCTION("IF(ISBLANK(A159),,FILTER('Leetcode List'!E:J,'Leetcode List'!A:A = A159))"),"Google,Bloomberg,Adobe")</f>
        <v>Google,Bloomberg,Adobe</v>
      </c>
      <c r="F159" s="47"/>
      <c r="G159" s="47" t="str">
        <f>IFERROR(__xludf.DUMMYFUNCTION("""COMPUTED_VALUE"""),"Bloomberg")</f>
        <v>Bloomberg</v>
      </c>
      <c r="H159" s="47" t="str">
        <f>IFERROR(__xludf.DUMMYFUNCTION("""COMPUTED_VALUE"""),"Google,Adobe,Bloomberg")</f>
        <v>Google,Adobe,Bloomberg</v>
      </c>
      <c r="I159" s="47">
        <f>IFERROR(__xludf.DUMMYFUNCTION("""COMPUTED_VALUE"""),55.12)</f>
        <v>55.12</v>
      </c>
      <c r="J159" s="47" t="str">
        <f>IFERROR(__xludf.DUMMYFUNCTION("""COMPUTED_VALUE"""),"算法")</f>
        <v>算法</v>
      </c>
      <c r="K159" s="47">
        <v>158.0</v>
      </c>
      <c r="L159" s="6">
        <f>COUNTIF('Coder-1'!B:B,A159)</f>
        <v>0</v>
      </c>
      <c r="M159" s="6">
        <f>COUNTIF('Coder-2'!B:B,A159)</f>
        <v>0</v>
      </c>
      <c r="N159" s="6">
        <f>COUNTIF('Coder-3'!B:B,A159)</f>
        <v>0</v>
      </c>
      <c r="O159" s="6">
        <f>COUNTIF('Coder-4'!B:B,A159)</f>
        <v>0</v>
      </c>
    </row>
    <row r="160">
      <c r="A160" s="83">
        <v>202.0</v>
      </c>
      <c r="B160" s="86" t="str">
        <f>IFERROR(__xludf.DUMMYFUNCTION("IF(ISBLANK(A160),,FILTER('Leetcode List'!B:C,'Leetcode List'!A:A = A160))"),"Happy Number")</f>
        <v>Happy Number</v>
      </c>
      <c r="C160" s="83" t="str">
        <f>IFERROR(__xludf.DUMMYFUNCTION("""COMPUTED_VALUE"""),"Easy")</f>
        <v>Easy</v>
      </c>
      <c r="D160" s="83" t="s">
        <v>99</v>
      </c>
      <c r="E160" s="87" t="str">
        <f>IFERROR(__xludf.DUMMYFUNCTION("IF(ISBLANK(A160),,FILTER('Leetcode List'!E:J,'Leetcode List'!A:A = A160))"),"Pure Storage,Barclays,ByteDance,EBay,Nutanix,Pinterest,Evernote,JPMorgan,Twitter,Apple,Airbnb,Uber,Bloomberg,Adobe,Facebook,Amazon,Microsoft,Google")</f>
        <v>Pure Storage,Barclays,ByteDance,EBay,Nutanix,Pinterest,Evernote,JPMorgan,Twitter,Apple,Airbnb,Uber,Bloomberg,Adobe,Facebook,Amazon,Microsoft,Google</v>
      </c>
      <c r="F160" s="47" t="str">
        <f>IFERROR(__xludf.DUMMYFUNCTION("""COMPUTED_VALUE"""),"Apple,Amazon,Adobe,JPMorgan,Barclays,ByteDance")</f>
        <v>Apple,Amazon,Adobe,JPMorgan,Barclays,ByteDance</v>
      </c>
      <c r="G160" s="47" t="str">
        <f>IFERROR(__xludf.DUMMYFUNCTION("""COMPUTED_VALUE"""),"Google,Apple,Amazon,Adobe,JPMorgan,Barclays,ByteDance")</f>
        <v>Google,Apple,Amazon,Adobe,JPMorgan,Barclays,ByteDance</v>
      </c>
      <c r="H160" s="47" t="str">
        <f>IFERROR(__xludf.DUMMYFUNCTION("""COMPUTED_VALUE"""),"Bloomberg,Microsoft,Evernote,Facebook,Pure Storage,eBay,Airbnb,Twitter,Uber,Google,Apple,Amazon,Adobe,JPMorgan,Barclays,ByteDance")</f>
        <v>Bloomberg,Microsoft,Evernote,Facebook,Pure Storage,eBay,Airbnb,Twitter,Uber,Google,Apple,Amazon,Adobe,JPMorgan,Barclays,ByteDance</v>
      </c>
      <c r="I160" s="47">
        <f>IFERROR(__xludf.DUMMYFUNCTION("""COMPUTED_VALUE"""),51.32)</f>
        <v>51.32</v>
      </c>
      <c r="J160" s="47" t="str">
        <f>IFERROR(__xludf.DUMMYFUNCTION("""COMPUTED_VALUE"""),"算法")</f>
        <v>算法</v>
      </c>
      <c r="K160" s="47">
        <v>159.0</v>
      </c>
      <c r="L160" s="6">
        <f>COUNTIF('Coder-1'!B:B,A160)</f>
        <v>0</v>
      </c>
      <c r="M160" s="6">
        <f>COUNTIF('Coder-2'!B:B,A160)</f>
        <v>0</v>
      </c>
      <c r="N160" s="6">
        <f>COUNTIF('Coder-3'!B:B,A160)</f>
        <v>0</v>
      </c>
      <c r="O160" s="6">
        <f>COUNTIF('Coder-4'!B:B,A160)</f>
        <v>0</v>
      </c>
    </row>
    <row r="161">
      <c r="A161" s="83">
        <v>400.0</v>
      </c>
      <c r="B161" s="86" t="str">
        <f>IFERROR(__xludf.DUMMYFUNCTION("IF(ISBLANK(A161),,FILTER('Leetcode List'!B:C,'Leetcode List'!A:A = A161))"),"Nth Digit")</f>
        <v>Nth Digit</v>
      </c>
      <c r="C161" s="83" t="str">
        <f>IFERROR(__xludf.DUMMYFUNCTION("""COMPUTED_VALUE"""),"Medium")</f>
        <v>Medium</v>
      </c>
      <c r="D161" s="83" t="s">
        <v>99</v>
      </c>
      <c r="E161" s="87" t="str">
        <f>IFERROR(__xludf.DUMMYFUNCTION("IF(ISBLANK(A161),,FILTER('Leetcode List'!E:J,'Leetcode List'!A:A = A161))"),"Facebook,Google")</f>
        <v>Facebook,Google</v>
      </c>
      <c r="F161" s="47"/>
      <c r="G161" s="47" t="str">
        <f>IFERROR(__xludf.DUMMYFUNCTION("""COMPUTED_VALUE"""),"Facebook")</f>
        <v>Facebook</v>
      </c>
      <c r="H161" s="47" t="str">
        <f>IFERROR(__xludf.DUMMYFUNCTION("""COMPUTED_VALUE"""),"Google,Facebook")</f>
        <v>Google,Facebook</v>
      </c>
      <c r="I161" s="47">
        <f>IFERROR(__xludf.DUMMYFUNCTION("""COMPUTED_VALUE"""),32.4)</f>
        <v>32.4</v>
      </c>
      <c r="J161" s="47" t="str">
        <f>IFERROR(__xludf.DUMMYFUNCTION("""COMPUTED_VALUE"""),"算法")</f>
        <v>算法</v>
      </c>
      <c r="K161" s="47">
        <v>160.0</v>
      </c>
      <c r="L161" s="6">
        <f>COUNTIF('Coder-1'!B:B,A161)</f>
        <v>0</v>
      </c>
      <c r="M161" s="6">
        <f>COUNTIF('Coder-2'!B:B,A161)</f>
        <v>0</v>
      </c>
      <c r="N161" s="6">
        <f>COUNTIF('Coder-3'!B:B,A161)</f>
        <v>0</v>
      </c>
      <c r="O161" s="6">
        <f>COUNTIF('Coder-4'!B:B,A161)</f>
        <v>0</v>
      </c>
    </row>
    <row r="162">
      <c r="A162" s="83">
        <v>263.0</v>
      </c>
      <c r="B162" s="86" t="str">
        <f>IFERROR(__xludf.DUMMYFUNCTION("IF(ISBLANK(A162),,FILTER('Leetcode List'!B:C,'Leetcode List'!A:A = A162))"),"Ugly Number")</f>
        <v>Ugly Number</v>
      </c>
      <c r="C162" s="83" t="str">
        <f>IFERROR(__xludf.DUMMYFUNCTION("""COMPUTED_VALUE"""),"Easy")</f>
        <v>Easy</v>
      </c>
      <c r="D162" s="83" t="s">
        <v>99</v>
      </c>
      <c r="E162" s="87" t="str">
        <f>IFERROR(__xludf.DUMMYFUNCTION("IF(ISBLANK(A162),,FILTER('Leetcode List'!E:J,'Leetcode List'!A:A = A162))"),"")</f>
        <v/>
      </c>
      <c r="F162" s="47"/>
      <c r="G162" s="47"/>
      <c r="H162" s="47"/>
      <c r="I162" s="47">
        <f>IFERROR(__xludf.DUMMYFUNCTION("""COMPUTED_VALUE"""),41.69)</f>
        <v>41.69</v>
      </c>
      <c r="J162" s="47" t="str">
        <f>IFERROR(__xludf.DUMMYFUNCTION("""COMPUTED_VALUE"""),"算法")</f>
        <v>算法</v>
      </c>
      <c r="K162" s="47">
        <v>161.0</v>
      </c>
      <c r="L162" s="6">
        <f>COUNTIF('Coder-1'!B:B,A162)</f>
        <v>0</v>
      </c>
      <c r="M162" s="6">
        <f>COUNTIF('Coder-2'!B:B,A162)</f>
        <v>0</v>
      </c>
      <c r="N162" s="6">
        <f>COUNTIF('Coder-3'!B:B,A162)</f>
        <v>0</v>
      </c>
      <c r="O162" s="6">
        <f>COUNTIF('Coder-4'!B:B,A162)</f>
        <v>0</v>
      </c>
    </row>
    <row r="163">
      <c r="A163" s="83">
        <v>264.0</v>
      </c>
      <c r="B163" s="86" t="str">
        <f>IFERROR(__xludf.DUMMYFUNCTION("IF(ISBLANK(A163),,FILTER('Leetcode List'!B:C,'Leetcode List'!A:A = A163))"),"Ugly Number II")</f>
        <v>Ugly Number II</v>
      </c>
      <c r="C163" s="83" t="str">
        <f>IFERROR(__xludf.DUMMYFUNCTION("""COMPUTED_VALUE"""),"Medium")</f>
        <v>Medium</v>
      </c>
      <c r="D163" s="83" t="s">
        <v>99</v>
      </c>
      <c r="E163" s="87" t="str">
        <f>IFERROR(__xludf.DUMMYFUNCTION("IF(ISBLANK(A163),,FILTER('Leetcode List'!E:J,'Leetcode List'!A:A = A163))"),"Adobe,Oracle,Uber,Amazon,Google")</f>
        <v>Adobe,Oracle,Uber,Amazon,Google</v>
      </c>
      <c r="F163" s="47" t="str">
        <f>IFERROR(__xludf.DUMMYFUNCTION("""COMPUTED_VALUE"""),"Adobe")</f>
        <v>Adobe</v>
      </c>
      <c r="G163" s="47" t="str">
        <f>IFERROR(__xludf.DUMMYFUNCTION("""COMPUTED_VALUE"""),"Amazon,Adobe")</f>
        <v>Amazon,Adobe</v>
      </c>
      <c r="H163" s="47" t="str">
        <f>IFERROR(__xludf.DUMMYFUNCTION("""COMPUTED_VALUE"""),"Oracle,Amazon,Adobe")</f>
        <v>Oracle,Amazon,Adobe</v>
      </c>
      <c r="I163" s="47">
        <f>IFERROR(__xludf.DUMMYFUNCTION("""COMPUTED_VALUE"""),42.94)</f>
        <v>42.94</v>
      </c>
      <c r="J163" s="47" t="str">
        <f>IFERROR(__xludf.DUMMYFUNCTION("""COMPUTED_VALUE"""),"算法")</f>
        <v>算法</v>
      </c>
      <c r="K163" s="47">
        <v>162.0</v>
      </c>
      <c r="L163" s="6">
        <f>COUNTIF('Coder-1'!B:B,A163)</f>
        <v>0</v>
      </c>
      <c r="M163" s="6">
        <f>COUNTIF('Coder-2'!B:B,A163)</f>
        <v>0</v>
      </c>
      <c r="N163" s="6">
        <f>COUNTIF('Coder-3'!B:B,A163)</f>
        <v>0</v>
      </c>
      <c r="O163" s="6">
        <f>COUNTIF('Coder-4'!B:B,A163)</f>
        <v>0</v>
      </c>
    </row>
    <row r="164">
      <c r="A164" s="83">
        <v>306.0</v>
      </c>
      <c r="B164" s="86" t="str">
        <f>IFERROR(__xludf.DUMMYFUNCTION("IF(ISBLANK(A164),,FILTER('Leetcode List'!B:C,'Leetcode List'!A:A = A164))"),"Additive Number")</f>
        <v>Additive Number</v>
      </c>
      <c r="C164" s="83" t="str">
        <f>IFERROR(__xludf.DUMMYFUNCTION("""COMPUTED_VALUE"""),"Medium")</f>
        <v>Medium</v>
      </c>
      <c r="D164" s="83" t="s">
        <v>99</v>
      </c>
      <c r="E164" s="87" t="str">
        <f>IFERROR(__xludf.DUMMYFUNCTION("IF(ISBLANK(A164),,FILTER('Leetcode List'!E:J,'Leetcode List'!A:A = A164))"),"Microsoft,Google,Epic Systems")</f>
        <v>Microsoft,Google,Epic Systems</v>
      </c>
      <c r="F164" s="47" t="str">
        <f>IFERROR(__xludf.DUMMYFUNCTION("""COMPUTED_VALUE"""),"Google")</f>
        <v>Google</v>
      </c>
      <c r="G164" s="47" t="str">
        <f>IFERROR(__xludf.DUMMYFUNCTION("""COMPUTED_VALUE"""),"Epic Systems,Microsoft,Google")</f>
        <v>Epic Systems,Microsoft,Google</v>
      </c>
      <c r="H164" s="47" t="str">
        <f>IFERROR(__xludf.DUMMYFUNCTION("""COMPUTED_VALUE"""),"Epic Systems,Microsoft,Google")</f>
        <v>Epic Systems,Microsoft,Google</v>
      </c>
      <c r="I164" s="47">
        <f>IFERROR(__xludf.DUMMYFUNCTION("""COMPUTED_VALUE"""),29.7)</f>
        <v>29.7</v>
      </c>
      <c r="J164" s="47" t="str">
        <f>IFERROR(__xludf.DUMMYFUNCTION("""COMPUTED_VALUE"""),"算法")</f>
        <v>算法</v>
      </c>
      <c r="K164" s="47">
        <v>163.0</v>
      </c>
      <c r="L164" s="6">
        <f>COUNTIF('Coder-1'!B:B,A164)</f>
        <v>0</v>
      </c>
      <c r="M164" s="6">
        <f>COUNTIF('Coder-2'!B:B,A164)</f>
        <v>0</v>
      </c>
      <c r="N164" s="6">
        <f>COUNTIF('Coder-3'!B:B,A164)</f>
        <v>0</v>
      </c>
      <c r="O164" s="6">
        <f>COUNTIF('Coder-4'!B:B,A164)</f>
        <v>0</v>
      </c>
    </row>
    <row r="165">
      <c r="A165" s="83">
        <v>172.0</v>
      </c>
      <c r="B165" s="86" t="str">
        <f>IFERROR(__xludf.DUMMYFUNCTION("IF(ISBLANK(A165),,FILTER('Leetcode List'!B:C,'Leetcode List'!A:A = A165))"),"Factorial Trailing Zeroes")</f>
        <v>Factorial Trailing Zeroes</v>
      </c>
      <c r="C165" s="83" t="str">
        <f>IFERROR(__xludf.DUMMYFUNCTION("""COMPUTED_VALUE"""),"Easy")</f>
        <v>Easy</v>
      </c>
      <c r="D165" s="83" t="s">
        <v>99</v>
      </c>
      <c r="E165" s="87" t="str">
        <f>IFERROR(__xludf.DUMMYFUNCTION("IF(ISBLANK(A165),,FILTER('Leetcode List'!E:J,'Leetcode List'!A:A = A165))"),"Wish,Oracle,Bloomberg,Facebook,Amazon,Microsoft")</f>
        <v>Wish,Oracle,Bloomberg,Facebook,Amazon,Microsoft</v>
      </c>
      <c r="F165" s="47"/>
      <c r="G165" s="47" t="str">
        <f>IFERROR(__xludf.DUMMYFUNCTION("""COMPUTED_VALUE"""),"Bloomberg,Facebook,Amazon")</f>
        <v>Bloomberg,Facebook,Amazon</v>
      </c>
      <c r="H165" s="47" t="str">
        <f>IFERROR(__xludf.DUMMYFUNCTION("""COMPUTED_VALUE"""),"Microsoft,Wish,Oracle,Bloomberg,Facebook,Amazon")</f>
        <v>Microsoft,Wish,Oracle,Bloomberg,Facebook,Amazon</v>
      </c>
      <c r="I165" s="47">
        <f>IFERROR(__xludf.DUMMYFUNCTION("""COMPUTED_VALUE"""),38.67)</f>
        <v>38.67</v>
      </c>
      <c r="J165" s="47" t="str">
        <f>IFERROR(__xludf.DUMMYFUNCTION("""COMPUTED_VALUE"""),"算法")</f>
        <v>算法</v>
      </c>
      <c r="K165" s="47">
        <v>164.0</v>
      </c>
      <c r="L165" s="6">
        <f>COUNTIF('Coder-1'!B:B,A165)</f>
        <v>0</v>
      </c>
      <c r="M165" s="6">
        <f>COUNTIF('Coder-2'!B:B,A165)</f>
        <v>0</v>
      </c>
      <c r="N165" s="6">
        <f>COUNTIF('Coder-3'!B:B,A165)</f>
        <v>0</v>
      </c>
      <c r="O165" s="6">
        <f>COUNTIF('Coder-4'!B:B,A165)</f>
        <v>0</v>
      </c>
    </row>
    <row r="166">
      <c r="A166" s="83">
        <v>343.0</v>
      </c>
      <c r="B166" s="86" t="str">
        <f>IFERROR(__xludf.DUMMYFUNCTION("IF(ISBLANK(A166),,FILTER('Leetcode List'!B:C,'Leetcode List'!A:A = A166))"),"Integer Break")</f>
        <v>Integer Break</v>
      </c>
      <c r="C166" s="83" t="str">
        <f>IFERROR(__xludf.DUMMYFUNCTION("""COMPUTED_VALUE"""),"Medium")</f>
        <v>Medium</v>
      </c>
      <c r="D166" s="83" t="s">
        <v>99</v>
      </c>
      <c r="E166" s="87" t="str">
        <f>IFERROR(__xludf.DUMMYFUNCTION("IF(ISBLANK(A166),,FILTER('Leetcode List'!E:J,'Leetcode List'!A:A = A166))"),"Adobe,Amazon,Apple,Google")</f>
        <v>Adobe,Amazon,Apple,Google</v>
      </c>
      <c r="F166" s="47"/>
      <c r="G166" s="47" t="str">
        <f>IFERROR(__xludf.DUMMYFUNCTION("""COMPUTED_VALUE"""),"Google,Adobe")</f>
        <v>Google,Adobe</v>
      </c>
      <c r="H166" s="47" t="str">
        <f>IFERROR(__xludf.DUMMYFUNCTION("""COMPUTED_VALUE"""),"Apple,Amazon,Google,Adobe")</f>
        <v>Apple,Amazon,Google,Adobe</v>
      </c>
      <c r="I166" s="47">
        <f>IFERROR(__xludf.DUMMYFUNCTION("""COMPUTED_VALUE"""),51.27)</f>
        <v>51.27</v>
      </c>
      <c r="J166" s="47" t="str">
        <f>IFERROR(__xludf.DUMMYFUNCTION("""COMPUTED_VALUE"""),"算法")</f>
        <v>算法</v>
      </c>
      <c r="K166" s="47">
        <v>165.0</v>
      </c>
      <c r="L166" s="6">
        <f>COUNTIF('Coder-1'!B:B,A166)</f>
        <v>0</v>
      </c>
      <c r="M166" s="6">
        <f>COUNTIF('Coder-2'!B:B,A166)</f>
        <v>0</v>
      </c>
      <c r="N166" s="6">
        <f>COUNTIF('Coder-3'!B:B,A166)</f>
        <v>0</v>
      </c>
      <c r="O166" s="6">
        <f>COUNTIF('Coder-4'!B:B,A166)</f>
        <v>0</v>
      </c>
    </row>
    <row r="167">
      <c r="A167" s="83">
        <v>396.0</v>
      </c>
      <c r="B167" s="86" t="str">
        <f>IFERROR(__xludf.DUMMYFUNCTION("IF(ISBLANK(A167),,FILTER('Leetcode List'!B:C,'Leetcode List'!A:A = A167))"),"Rotate Function")</f>
        <v>Rotate Function</v>
      </c>
      <c r="C167" s="83" t="str">
        <f>IFERROR(__xludf.DUMMYFUNCTION("""COMPUTED_VALUE"""),"Medium")</f>
        <v>Medium</v>
      </c>
      <c r="D167" s="83" t="s">
        <v>99</v>
      </c>
      <c r="E167" s="87" t="str">
        <f>IFERROR(__xludf.DUMMYFUNCTION("IF(ISBLANK(A167),,FILTER('Leetcode List'!E:J,'Leetcode List'!A:A = A167))"),"Apple,Amazon")</f>
        <v>Apple,Amazon</v>
      </c>
      <c r="F167" s="47" t="str">
        <f>IFERROR(__xludf.DUMMYFUNCTION("""COMPUTED_VALUE"""),"Apple")</f>
        <v>Apple</v>
      </c>
      <c r="G167" s="47" t="str">
        <f>IFERROR(__xludf.DUMMYFUNCTION("""COMPUTED_VALUE"""),"Apple")</f>
        <v>Apple</v>
      </c>
      <c r="H167" s="47" t="str">
        <f>IFERROR(__xludf.DUMMYFUNCTION("""COMPUTED_VALUE"""),"Amazon,Apple")</f>
        <v>Amazon,Apple</v>
      </c>
      <c r="I167" s="47">
        <f>IFERROR(__xludf.DUMMYFUNCTION("""COMPUTED_VALUE"""),36.63)</f>
        <v>36.63</v>
      </c>
      <c r="J167" s="47" t="str">
        <f>IFERROR(__xludf.DUMMYFUNCTION("""COMPUTED_VALUE"""),"算法")</f>
        <v>算法</v>
      </c>
      <c r="K167" s="47">
        <v>166.0</v>
      </c>
      <c r="L167" s="6">
        <f>COUNTIF('Coder-1'!B:B,A167)</f>
        <v>0</v>
      </c>
      <c r="M167" s="6">
        <f>COUNTIF('Coder-2'!B:B,A167)</f>
        <v>0</v>
      </c>
      <c r="N167" s="6">
        <f>COUNTIF('Coder-3'!B:B,A167)</f>
        <v>0</v>
      </c>
      <c r="O167" s="6">
        <f>COUNTIF('Coder-4'!B:B,A167)</f>
        <v>0</v>
      </c>
    </row>
    <row r="168">
      <c r="A168" s="83">
        <v>390.0</v>
      </c>
      <c r="B168" s="86" t="str">
        <f>IFERROR(__xludf.DUMMYFUNCTION("IF(ISBLANK(A168),,FILTER('Leetcode List'!B:C,'Leetcode List'!A:A = A168))"),"Elimination Game")</f>
        <v>Elimination Game</v>
      </c>
      <c r="C168" s="83" t="str">
        <f>IFERROR(__xludf.DUMMYFUNCTION("""COMPUTED_VALUE"""),"Medium")</f>
        <v>Medium</v>
      </c>
      <c r="D168" s="83" t="s">
        <v>99</v>
      </c>
      <c r="E168" s="87" t="str">
        <f>IFERROR(__xludf.DUMMYFUNCTION("IF(ISBLANK(A168),,FILTER('Leetcode List'!E:J,'Leetcode List'!A:A = A168))"),"Goldman Sachs,Quora,Bloomberg,Amazon")</f>
        <v>Goldman Sachs,Quora,Bloomberg,Amazon</v>
      </c>
      <c r="F168" s="47" t="str">
        <f>IFERROR(__xludf.DUMMYFUNCTION("""COMPUTED_VALUE"""),"Bloomberg,Goldman Sachs")</f>
        <v>Bloomberg,Goldman Sachs</v>
      </c>
      <c r="G168" s="47" t="str">
        <f>IFERROR(__xludf.DUMMYFUNCTION("""COMPUTED_VALUE"""),"Bloomberg,Goldman Sachs")</f>
        <v>Bloomberg,Goldman Sachs</v>
      </c>
      <c r="H168" s="47" t="str">
        <f>IFERROR(__xludf.DUMMYFUNCTION("""COMPUTED_VALUE"""),"Amazon,Quora,Bloomberg,Goldman Sachs")</f>
        <v>Amazon,Quora,Bloomberg,Goldman Sachs</v>
      </c>
      <c r="I168" s="47">
        <f>IFERROR(__xludf.DUMMYFUNCTION("""COMPUTED_VALUE"""),45.06)</f>
        <v>45.06</v>
      </c>
      <c r="J168" s="47" t="str">
        <f>IFERROR(__xludf.DUMMYFUNCTION("""COMPUTED_VALUE"""),"算法")</f>
        <v>算法</v>
      </c>
      <c r="K168" s="47">
        <v>167.0</v>
      </c>
      <c r="L168" s="6">
        <f>COUNTIF('Coder-1'!B:B,A168)</f>
        <v>0</v>
      </c>
      <c r="M168" s="6">
        <f>COUNTIF('Coder-2'!B:B,A168)</f>
        <v>0</v>
      </c>
      <c r="N168" s="6">
        <f>COUNTIF('Coder-3'!B:B,A168)</f>
        <v>0</v>
      </c>
      <c r="O168" s="6">
        <f>COUNTIF('Coder-4'!B:B,A168)</f>
        <v>0</v>
      </c>
    </row>
    <row r="169">
      <c r="A169" s="83">
        <v>386.0</v>
      </c>
      <c r="B169" s="86" t="str">
        <f>IFERROR(__xludf.DUMMYFUNCTION("IF(ISBLANK(A169),,FILTER('Leetcode List'!B:C,'Leetcode List'!A:A = A169))"),"Lexicographical Numbers")</f>
        <v>Lexicographical Numbers</v>
      </c>
      <c r="C169" s="83" t="str">
        <f>IFERROR(__xludf.DUMMYFUNCTION("""COMPUTED_VALUE"""),"Medium")</f>
        <v>Medium</v>
      </c>
      <c r="D169" s="83" t="s">
        <v>99</v>
      </c>
      <c r="E169" s="87" t="str">
        <f>IFERROR(__xludf.DUMMYFUNCTION("IF(ISBLANK(A169),,FILTER('Leetcode List'!E:J,'Leetcode List'!A:A = A169))"),"Pony.ai,ByteDance,Bloomberg,Adobe,Google")</f>
        <v>Pony.ai,ByteDance,Bloomberg,Adobe,Google</v>
      </c>
      <c r="F169" s="47" t="str">
        <f>IFERROR(__xludf.DUMMYFUNCTION("""COMPUTED_VALUE"""),"Pony.ai,ByteDance")</f>
        <v>Pony.ai,ByteDance</v>
      </c>
      <c r="G169" s="47" t="str">
        <f>IFERROR(__xludf.DUMMYFUNCTION("""COMPUTED_VALUE"""),"Pony.ai,ByteDance")</f>
        <v>Pony.ai,ByteDance</v>
      </c>
      <c r="H169" s="47" t="str">
        <f>IFERROR(__xludf.DUMMYFUNCTION("""COMPUTED_VALUE"""),"Adobe,Bloomberg,Pony.ai,ByteDance")</f>
        <v>Adobe,Bloomberg,Pony.ai,ByteDance</v>
      </c>
      <c r="I169" s="47">
        <f>IFERROR(__xludf.DUMMYFUNCTION("""COMPUTED_VALUE"""),54.34)</f>
        <v>54.34</v>
      </c>
      <c r="J169" s="47" t="str">
        <f>IFERROR(__xludf.DUMMYFUNCTION("""COMPUTED_VALUE"""),"算法")</f>
        <v>算法</v>
      </c>
      <c r="K169" s="47">
        <v>168.0</v>
      </c>
      <c r="L169" s="6">
        <f>COUNTIF('Coder-1'!B:B,A169)</f>
        <v>0</v>
      </c>
      <c r="M169" s="6">
        <f>COUNTIF('Coder-2'!B:B,A169)</f>
        <v>0</v>
      </c>
      <c r="N169" s="6">
        <f>COUNTIF('Coder-3'!B:B,A169)</f>
        <v>0</v>
      </c>
      <c r="O169" s="6">
        <f>COUNTIF('Coder-4'!B:B,A169)</f>
        <v>0</v>
      </c>
    </row>
    <row r="170">
      <c r="A170" s="83">
        <v>357.0</v>
      </c>
      <c r="B170" s="86" t="str">
        <f>IFERROR(__xludf.DUMMYFUNCTION("IF(ISBLANK(A170),,FILTER('Leetcode List'!B:C,'Leetcode List'!A:A = A170))"),"Count Numbers with Unique Digits")</f>
        <v>Count Numbers with Unique Digits</v>
      </c>
      <c r="C170" s="83" t="str">
        <f>IFERROR(__xludf.DUMMYFUNCTION("""COMPUTED_VALUE"""),"Medium")</f>
        <v>Medium</v>
      </c>
      <c r="D170" s="83" t="s">
        <v>99</v>
      </c>
      <c r="E170" s="87" t="str">
        <f>IFERROR(__xludf.DUMMYFUNCTION("IF(ISBLANK(A170),,FILTER('Leetcode List'!E:J,'Leetcode List'!A:A = A170))"),"Google")</f>
        <v>Google</v>
      </c>
      <c r="F170" s="47"/>
      <c r="G170" s="47"/>
      <c r="H170" s="47" t="str">
        <f>IFERROR(__xludf.DUMMYFUNCTION("""COMPUTED_VALUE"""),"Google")</f>
        <v>Google</v>
      </c>
      <c r="I170" s="47">
        <f>IFERROR(__xludf.DUMMYFUNCTION("""COMPUTED_VALUE"""),48.9)</f>
        <v>48.9</v>
      </c>
      <c r="J170" s="47" t="str">
        <f>IFERROR(__xludf.DUMMYFUNCTION("""COMPUTED_VALUE"""),"算法")</f>
        <v>算法</v>
      </c>
      <c r="K170" s="47">
        <v>169.0</v>
      </c>
      <c r="L170" s="6">
        <f>COUNTIF('Coder-1'!B:B,A170)</f>
        <v>0</v>
      </c>
      <c r="M170" s="6">
        <f>COUNTIF('Coder-2'!B:B,A170)</f>
        <v>0</v>
      </c>
      <c r="N170" s="6">
        <f>COUNTIF('Coder-3'!B:B,A170)</f>
        <v>0</v>
      </c>
      <c r="O170" s="6">
        <f>COUNTIF('Coder-4'!B:B,A170)</f>
        <v>0</v>
      </c>
    </row>
    <row r="171">
      <c r="A171" s="83">
        <v>360.0</v>
      </c>
      <c r="B171" s="86" t="str">
        <f>IFERROR(__xludf.DUMMYFUNCTION("IF(ISBLANK(A171),,FILTER('Leetcode List'!B:C,'Leetcode List'!A:A = A171))"),"Sort Transformed Array")</f>
        <v>Sort Transformed Array</v>
      </c>
      <c r="C171" s="83" t="str">
        <f>IFERROR(__xludf.DUMMYFUNCTION("""COMPUTED_VALUE"""),"Medium")</f>
        <v>Medium</v>
      </c>
      <c r="D171" s="83" t="s">
        <v>99</v>
      </c>
      <c r="E171" s="87" t="str">
        <f>IFERROR(__xludf.DUMMYFUNCTION("IF(ISBLANK(A171),,FILTER('Leetcode List'!E:J,'Leetcode List'!A:A = A171))"),"LinkedIn,Facebook,Google")</f>
        <v>LinkedIn,Facebook,Google</v>
      </c>
      <c r="F171" s="47" t="str">
        <f>IFERROR(__xludf.DUMMYFUNCTION("""COMPUTED_VALUE"""),"Google")</f>
        <v>Google</v>
      </c>
      <c r="G171" s="47" t="str">
        <f>IFERROR(__xludf.DUMMYFUNCTION("""COMPUTED_VALUE"""),"Google")</f>
        <v>Google</v>
      </c>
      <c r="H171" s="47" t="str">
        <f>IFERROR(__xludf.DUMMYFUNCTION("""COMPUTED_VALUE"""),"LinkedIn,Google")</f>
        <v>LinkedIn,Google</v>
      </c>
      <c r="I171" s="47">
        <f>IFERROR(__xludf.DUMMYFUNCTION("""COMPUTED_VALUE"""),49.77)</f>
        <v>49.77</v>
      </c>
      <c r="J171" s="47" t="str">
        <f>IFERROR(__xludf.DUMMYFUNCTION("""COMPUTED_VALUE"""),"算法")</f>
        <v>算法</v>
      </c>
      <c r="K171" s="47">
        <v>170.0</v>
      </c>
      <c r="L171" s="6">
        <f>COUNTIF('Coder-1'!B:B,A171)</f>
        <v>0</v>
      </c>
      <c r="M171" s="6">
        <f>COUNTIF('Coder-2'!B:B,A171)</f>
        <v>0</v>
      </c>
      <c r="N171" s="6">
        <f>COUNTIF('Coder-3'!B:B,A171)</f>
        <v>0</v>
      </c>
      <c r="O171" s="6">
        <f>COUNTIF('Coder-4'!B:B,A171)</f>
        <v>0</v>
      </c>
    </row>
    <row r="172">
      <c r="A172" s="83">
        <v>397.0</v>
      </c>
      <c r="B172" s="86" t="str">
        <f>IFERROR(__xludf.DUMMYFUNCTION("IF(ISBLANK(A172),,FILTER('Leetcode List'!B:C,'Leetcode List'!A:A = A172))"),"Integer Replacement")</f>
        <v>Integer Replacement</v>
      </c>
      <c r="C172" s="83" t="str">
        <f>IFERROR(__xludf.DUMMYFUNCTION("""COMPUTED_VALUE"""),"Medium")</f>
        <v>Medium</v>
      </c>
      <c r="D172" s="83" t="s">
        <v>99</v>
      </c>
      <c r="E172" s="87" t="str">
        <f>IFERROR(__xludf.DUMMYFUNCTION("IF(ISBLANK(A172),,FILTER('Leetcode List'!E:J,'Leetcode List'!A:A = A172))"),"Baidu,Bloomberg,Amazon,Microsoft,Google")</f>
        <v>Baidu,Bloomberg,Amazon,Microsoft,Google</v>
      </c>
      <c r="F172" s="47" t="str">
        <f>IFERROR(__xludf.DUMMYFUNCTION("""COMPUTED_VALUE"""),"Google")</f>
        <v>Google</v>
      </c>
      <c r="G172" s="47" t="str">
        <f>IFERROR(__xludf.DUMMYFUNCTION("""COMPUTED_VALUE"""),"Google")</f>
        <v>Google</v>
      </c>
      <c r="H172" s="47" t="str">
        <f>IFERROR(__xludf.DUMMYFUNCTION("""COMPUTED_VALUE"""),"Amazon,Bloomberg,Baidu,Google")</f>
        <v>Amazon,Bloomberg,Baidu,Google</v>
      </c>
      <c r="I172" s="47">
        <f>IFERROR(__xludf.DUMMYFUNCTION("""COMPUTED_VALUE"""),33.52)</f>
        <v>33.52</v>
      </c>
      <c r="J172" s="47" t="str">
        <f>IFERROR(__xludf.DUMMYFUNCTION("""COMPUTED_VALUE"""),"算法")</f>
        <v>算法</v>
      </c>
      <c r="K172" s="47">
        <v>171.0</v>
      </c>
      <c r="L172" s="6">
        <f>COUNTIF('Coder-1'!B:B,A172)</f>
        <v>0</v>
      </c>
      <c r="M172" s="6">
        <f>COUNTIF('Coder-2'!B:B,A172)</f>
        <v>0</v>
      </c>
      <c r="N172" s="6">
        <f>COUNTIF('Coder-3'!B:B,A172)</f>
        <v>0</v>
      </c>
      <c r="O172" s="6">
        <f>COUNTIF('Coder-4'!B:B,A172)</f>
        <v>0</v>
      </c>
    </row>
    <row r="173">
      <c r="A173" s="83">
        <v>368.0</v>
      </c>
      <c r="B173" s="86" t="str">
        <f>IFERROR(__xludf.DUMMYFUNCTION("IF(ISBLANK(A173),,FILTER('Leetcode List'!B:C,'Leetcode List'!A:A = A173))"),"Largest Divisible Subset")</f>
        <v>Largest Divisible Subset</v>
      </c>
      <c r="C173" s="83" t="str">
        <f>IFERROR(__xludf.DUMMYFUNCTION("""COMPUTED_VALUE"""),"Medium")</f>
        <v>Medium</v>
      </c>
      <c r="D173" s="83" t="s">
        <v>99</v>
      </c>
      <c r="E173" s="87" t="str">
        <f>IFERROR(__xludf.DUMMYFUNCTION("IF(ISBLANK(A173),,FILTER('Leetcode List'!E:J,'Leetcode List'!A:A = A173))"),"Adobe,Amazon,Google")</f>
        <v>Adobe,Amazon,Google</v>
      </c>
      <c r="F173" s="47" t="str">
        <f>IFERROR(__xludf.DUMMYFUNCTION("""COMPUTED_VALUE"""),"Amazon")</f>
        <v>Amazon</v>
      </c>
      <c r="G173" s="47" t="str">
        <f>IFERROR(__xludf.DUMMYFUNCTION("""COMPUTED_VALUE"""),"Adobe,Amazon")</f>
        <v>Adobe,Amazon</v>
      </c>
      <c r="H173" s="47" t="str">
        <f>IFERROR(__xludf.DUMMYFUNCTION("""COMPUTED_VALUE"""),"Google,Adobe,Amazon")</f>
        <v>Google,Adobe,Amazon</v>
      </c>
      <c r="I173" s="47">
        <f>IFERROR(__xludf.DUMMYFUNCTION("""COMPUTED_VALUE"""),38.36)</f>
        <v>38.36</v>
      </c>
      <c r="J173" s="47" t="str">
        <f>IFERROR(__xludf.DUMMYFUNCTION("""COMPUTED_VALUE"""),"算法")</f>
        <v>算法</v>
      </c>
      <c r="K173" s="47">
        <v>172.0</v>
      </c>
      <c r="L173" s="6">
        <f>COUNTIF('Coder-1'!B:B,A173)</f>
        <v>0</v>
      </c>
      <c r="M173" s="6">
        <f>COUNTIF('Coder-2'!B:B,A173)</f>
        <v>0</v>
      </c>
      <c r="N173" s="6">
        <f>COUNTIF('Coder-3'!B:B,A173)</f>
        <v>0</v>
      </c>
      <c r="O173" s="6">
        <f>COUNTIF('Coder-4'!B:B,A173)</f>
        <v>0</v>
      </c>
    </row>
    <row r="174">
      <c r="A174" s="83">
        <v>144.0</v>
      </c>
      <c r="B174" s="86" t="str">
        <f>IFERROR(__xludf.DUMMYFUNCTION("IF(ISBLANK(A174),,FILTER('Leetcode List'!B:C,'Leetcode List'!A:A = A174))"),"Binary Tree Preorder Traversal")</f>
        <v>Binary Tree Preorder Traversal</v>
      </c>
      <c r="C174" s="83" t="str">
        <f>IFERROR(__xludf.DUMMYFUNCTION("""COMPUTED_VALUE"""),"Medium")</f>
        <v>Medium</v>
      </c>
      <c r="D174" s="83" t="s">
        <v>320</v>
      </c>
      <c r="E174" s="87" t="str">
        <f>IFERROR(__xludf.DUMMYFUNCTION("IF(ISBLANK(A174),,FILTER('Leetcode List'!E:J,'Leetcode List'!A:A = A174))"),"Oracle,Cisco,Bloomberg,Amazon,Microsoft,Google")</f>
        <v>Oracle,Cisco,Bloomberg,Amazon,Microsoft,Google</v>
      </c>
      <c r="F174" s="47" t="str">
        <f>IFERROR(__xludf.DUMMYFUNCTION("""COMPUTED_VALUE"""),"Amazon,Microsoft")</f>
        <v>Amazon,Microsoft</v>
      </c>
      <c r="G174" s="47" t="str">
        <f>IFERROR(__xludf.DUMMYFUNCTION("""COMPUTED_VALUE"""),"Google,Amazon,Microsoft")</f>
        <v>Google,Amazon,Microsoft</v>
      </c>
      <c r="H174" s="47" t="str">
        <f>IFERROR(__xludf.DUMMYFUNCTION("""COMPUTED_VALUE"""),"Oracle,Bloomberg,Google,Amazon,Microsoft")</f>
        <v>Oracle,Bloomberg,Google,Amazon,Microsoft</v>
      </c>
      <c r="I174" s="47">
        <f>IFERROR(__xludf.DUMMYFUNCTION("""COMPUTED_VALUE"""),57.66)</f>
        <v>57.66</v>
      </c>
      <c r="J174" s="47" t="str">
        <f>IFERROR(__xludf.DUMMYFUNCTION("""COMPUTED_VALUE"""),"算法")</f>
        <v>算法</v>
      </c>
      <c r="K174" s="47">
        <v>173.0</v>
      </c>
      <c r="L174" s="6">
        <f>COUNTIF('Coder-1'!B:B,A174)</f>
        <v>0</v>
      </c>
      <c r="M174" s="6">
        <f>COUNTIF('Coder-2'!B:B,A174)</f>
        <v>0</v>
      </c>
      <c r="N174" s="6">
        <f>COUNTIF('Coder-3'!B:B,A174)</f>
        <v>0</v>
      </c>
      <c r="O174" s="6">
        <f>COUNTIF('Coder-4'!B:B,A174)</f>
        <v>0</v>
      </c>
    </row>
    <row r="175">
      <c r="A175" s="83">
        <v>94.0</v>
      </c>
      <c r="B175" s="86" t="str">
        <f>IFERROR(__xludf.DUMMYFUNCTION("IF(ISBLANK(A175),,FILTER('Leetcode List'!B:C,'Leetcode List'!A:A = A175))"),"Binary Tree Inorder Traversal")</f>
        <v>Binary Tree Inorder Traversal</v>
      </c>
      <c r="C175" s="83" t="str">
        <f>IFERROR(__xludf.DUMMYFUNCTION("""COMPUTED_VALUE"""),"Medium")</f>
        <v>Medium</v>
      </c>
      <c r="D175" s="83" t="s">
        <v>320</v>
      </c>
      <c r="E175" s="87" t="str">
        <f>IFERROR(__xludf.DUMMYFUNCTION("IF(ISBLANK(A175),,FILTER('Leetcode List'!E:J,'Leetcode List'!A:A = A175))"),"Cisco,Goldman Sachs,ByteDance,Oracle,EBay,Apple,Uber,SAP,Bloomberg,Facebook,Amazon,Microsoft,Alibaba,Google")</f>
        <v>Cisco,Goldman Sachs,ByteDance,Oracle,EBay,Apple,Uber,SAP,Bloomberg,Facebook,Amazon,Microsoft,Alibaba,Google</v>
      </c>
      <c r="F175" s="47" t="str">
        <f>IFERROR(__xludf.DUMMYFUNCTION("""COMPUTED_VALUE"""),"Microsoft,Oracle,Facebook,Amazon")</f>
        <v>Microsoft,Oracle,Facebook,Amazon</v>
      </c>
      <c r="G175" s="47" t="str">
        <f>IFERROR(__xludf.DUMMYFUNCTION("""COMPUTED_VALUE"""),"Google,Apple,Bloomberg,Microsoft,Oracle,Facebook,Amazon")</f>
        <v>Google,Apple,Bloomberg,Microsoft,Oracle,Facebook,Amazon</v>
      </c>
      <c r="H175" s="47" t="str">
        <f>IFERROR(__xludf.DUMMYFUNCTION("""COMPUTED_VALUE"""),"SAP,Cisco,Goldman Sachs,Google,Apple,Bloomberg,Microsoft,Oracle,Facebook,Amazon")</f>
        <v>SAP,Cisco,Goldman Sachs,Google,Apple,Bloomberg,Microsoft,Oracle,Facebook,Amazon</v>
      </c>
      <c r="I175" s="47">
        <f>IFERROR(__xludf.DUMMYFUNCTION("""COMPUTED_VALUE"""),66.07)</f>
        <v>66.07</v>
      </c>
      <c r="J175" s="47" t="str">
        <f>IFERROR(__xludf.DUMMYFUNCTION("""COMPUTED_VALUE"""),"算法")</f>
        <v>算法</v>
      </c>
      <c r="K175" s="47">
        <v>174.0</v>
      </c>
      <c r="L175" s="6">
        <f>COUNTIF('Coder-1'!B:B,A175)</f>
        <v>0</v>
      </c>
      <c r="M175" s="6">
        <f>COUNTIF('Coder-2'!B:B,A175)</f>
        <v>0</v>
      </c>
      <c r="N175" s="6">
        <f>COUNTIF('Coder-3'!B:B,A175)</f>
        <v>0</v>
      </c>
      <c r="O175" s="6">
        <f>COUNTIF('Coder-4'!B:B,A175)</f>
        <v>0</v>
      </c>
    </row>
    <row r="176">
      <c r="A176" s="83">
        <v>145.0</v>
      </c>
      <c r="B176" s="86" t="str">
        <f>IFERROR(__xludf.DUMMYFUNCTION("IF(ISBLANK(A176),,FILTER('Leetcode List'!B:C,'Leetcode List'!A:A = A176))"),"Binary Tree Postorder Traversal")</f>
        <v>Binary Tree Postorder Traversal</v>
      </c>
      <c r="C176" s="83" t="str">
        <f>IFERROR(__xludf.DUMMYFUNCTION("""COMPUTED_VALUE"""),"Medium")</f>
        <v>Medium</v>
      </c>
      <c r="D176" s="83" t="s">
        <v>320</v>
      </c>
      <c r="E176" s="87" t="str">
        <f>IFERROR(__xludf.DUMMYFUNCTION("IF(ISBLANK(A176),,FILTER('Leetcode List'!E:J,'Leetcode List'!A:A = A176))"),"Microsoft,Uber,Adobe,Facebook,Amazon,Google")</f>
        <v>Microsoft,Uber,Adobe,Facebook,Amazon,Google</v>
      </c>
      <c r="F176" s="47" t="str">
        <f>IFERROR(__xludf.DUMMYFUNCTION("""COMPUTED_VALUE"""),"Amazon")</f>
        <v>Amazon</v>
      </c>
      <c r="G176" s="47" t="str">
        <f>IFERROR(__xludf.DUMMYFUNCTION("""COMPUTED_VALUE"""),"Facebook,Microsoft,Amazon")</f>
        <v>Facebook,Microsoft,Amazon</v>
      </c>
      <c r="H176" s="47" t="str">
        <f>IFERROR(__xludf.DUMMYFUNCTION("""COMPUTED_VALUE"""),"Google,Uber,Facebook,Microsoft,Amazon")</f>
        <v>Google,Uber,Facebook,Microsoft,Amazon</v>
      </c>
      <c r="I176" s="47">
        <f>IFERROR(__xludf.DUMMYFUNCTION("""COMPUTED_VALUE"""),57.82)</f>
        <v>57.82</v>
      </c>
      <c r="J176" s="47" t="str">
        <f>IFERROR(__xludf.DUMMYFUNCTION("""COMPUTED_VALUE"""),"算法")</f>
        <v>算法</v>
      </c>
      <c r="K176" s="47">
        <v>175.0</v>
      </c>
      <c r="L176" s="6">
        <f>COUNTIF('Coder-1'!B:B,A176)</f>
        <v>0</v>
      </c>
      <c r="M176" s="6">
        <f>COUNTIF('Coder-2'!B:B,A176)</f>
        <v>0</v>
      </c>
      <c r="N176" s="6">
        <f>COUNTIF('Coder-3'!B:B,A176)</f>
        <v>0</v>
      </c>
      <c r="O176" s="6">
        <f>COUNTIF('Coder-4'!B:B,A176)</f>
        <v>0</v>
      </c>
    </row>
    <row r="177">
      <c r="A177" s="83">
        <v>102.0</v>
      </c>
      <c r="B177" s="86" t="str">
        <f>IFERROR(__xludf.DUMMYFUNCTION("IF(ISBLANK(A177),,FILTER('Leetcode List'!B:C,'Leetcode List'!A:A = A177))"),"Binary Tree Level Order Traversal")</f>
        <v>Binary Tree Level Order Traversal</v>
      </c>
      <c r="C177" s="83" t="str">
        <f>IFERROR(__xludf.DUMMYFUNCTION("""COMPUTED_VALUE"""),"Medium")</f>
        <v>Medium</v>
      </c>
      <c r="D177" s="83" t="s">
        <v>320</v>
      </c>
      <c r="E177" s="87" t="str">
        <f>IFERROR(__xludf.DUMMYFUNCTION("IF(ISBLANK(A177),,FILTER('Leetcode List'!E:J,'Leetcode List'!A:A = A177))"),"Visa,Paypal,Atlassian,VMware,Citadel,Walmart Labs,Expedia,Oracle,Cisco,Mathworks,EBay,Apple,Uber,Yahoo,SAP,Bloomberg,Adobe,Facebook,Amazon,LinkedIn,Microsoft,Alibaba,Google")</f>
        <v>Visa,Paypal,Atlassian,VMware,Citadel,Walmart Labs,Expedia,Oracle,Cisco,Mathworks,EBay,Apple,Uber,Yahoo,SAP,Bloomberg,Adobe,Facebook,Amazon,LinkedIn,Microsoft,Alibaba,Google</v>
      </c>
      <c r="F177" s="47" t="str">
        <f>IFERROR(__xludf.DUMMYFUNCTION("""COMPUTED_VALUE"""),"Bloomberg,Amazon,Facebook,Microsoft,LinkedIn,Adobe,Paypal,Uber,Apple,Yahoo")</f>
        <v>Bloomberg,Amazon,Facebook,Microsoft,LinkedIn,Adobe,Paypal,Uber,Apple,Yahoo</v>
      </c>
      <c r="G177" s="47" t="str">
        <f>IFERROR(__xludf.DUMMYFUNCTION("""COMPUTED_VALUE"""),"Google,eBay,Cisco,Atlassian,Bloomberg,Amazon,Facebook,Microsoft,LinkedIn,Adobe,Paypal,Uber,Apple,Yahoo")</f>
        <v>Google,eBay,Cisco,Atlassian,Bloomberg,Amazon,Facebook,Microsoft,LinkedIn,Adobe,Paypal,Uber,Apple,Yahoo</v>
      </c>
      <c r="H177" s="47" t="str">
        <f>IFERROR(__xludf.DUMMYFUNCTION("""COMPUTED_VALUE"""),"VMware,SAP,Visa,Walmart Labs,Expedia,Google,eBay,Cisco,Atlassian,Bloomberg,Amazon,Facebook,Microsoft,LinkedIn,Adobe,Paypal,Uber,Apple,Yahoo")</f>
        <v>VMware,SAP,Visa,Walmart Labs,Expedia,Google,eBay,Cisco,Atlassian,Bloomberg,Amazon,Facebook,Microsoft,LinkedIn,Adobe,Paypal,Uber,Apple,Yahoo</v>
      </c>
      <c r="I177" s="47">
        <f>IFERROR(__xludf.DUMMYFUNCTION("""COMPUTED_VALUE"""),56.8)</f>
        <v>56.8</v>
      </c>
      <c r="J177" s="47" t="str">
        <f>IFERROR(__xludf.DUMMYFUNCTION("""COMPUTED_VALUE"""),"算法")</f>
        <v>算法</v>
      </c>
      <c r="K177" s="47">
        <v>176.0</v>
      </c>
      <c r="L177" s="6">
        <f>COUNTIF('Coder-1'!B:B,A177)</f>
        <v>0</v>
      </c>
      <c r="M177" s="6">
        <f>COUNTIF('Coder-2'!B:B,A177)</f>
        <v>0</v>
      </c>
      <c r="N177" s="6">
        <f>COUNTIF('Coder-3'!B:B,A177)</f>
        <v>0</v>
      </c>
      <c r="O177" s="6">
        <f>COUNTIF('Coder-4'!B:B,A177)</f>
        <v>0</v>
      </c>
    </row>
    <row r="178">
      <c r="A178" s="83">
        <v>100.0</v>
      </c>
      <c r="B178" s="86" t="str">
        <f>IFERROR(__xludf.DUMMYFUNCTION("IF(ISBLANK(A178),,FILTER('Leetcode List'!B:C,'Leetcode List'!A:A = A178))"),"Same Tree")</f>
        <v>Same Tree</v>
      </c>
      <c r="C178" s="83" t="str">
        <f>IFERROR(__xludf.DUMMYFUNCTION("""COMPUTED_VALUE"""),"Easy")</f>
        <v>Easy</v>
      </c>
      <c r="D178" s="83" t="s">
        <v>320</v>
      </c>
      <c r="E178" s="87" t="str">
        <f>IFERROR(__xludf.DUMMYFUNCTION("IF(ISBLANK(A178),,FILTER('Leetcode List'!E:J,'Leetcode List'!A:A = A178))"),"Apple,Bloomberg,Facebook,Amazon,LinkedIn,Microsoft,Google")</f>
        <v>Apple,Bloomberg,Facebook,Amazon,LinkedIn,Microsoft,Google</v>
      </c>
      <c r="F178" s="47" t="str">
        <f>IFERROR(__xludf.DUMMYFUNCTION("""COMPUTED_VALUE"""),"Amazon,Google,Microsoft,Apple")</f>
        <v>Amazon,Google,Microsoft,Apple</v>
      </c>
      <c r="G178" s="47" t="str">
        <f>IFERROR(__xludf.DUMMYFUNCTION("""COMPUTED_VALUE"""),"Facebook,Amazon,Google,Microsoft,Apple")</f>
        <v>Facebook,Amazon,Google,Microsoft,Apple</v>
      </c>
      <c r="H178" s="47" t="str">
        <f>IFERROR(__xludf.DUMMYFUNCTION("""COMPUTED_VALUE"""),"LinkedIn,Bloomberg,Facebook,Amazon,Google,Microsoft,Apple")</f>
        <v>LinkedIn,Bloomberg,Facebook,Amazon,Google,Microsoft,Apple</v>
      </c>
      <c r="I178" s="47">
        <f>IFERROR(__xludf.DUMMYFUNCTION("""COMPUTED_VALUE"""),54.18)</f>
        <v>54.18</v>
      </c>
      <c r="J178" s="47" t="str">
        <f>IFERROR(__xludf.DUMMYFUNCTION("""COMPUTED_VALUE"""),"算法")</f>
        <v>算法</v>
      </c>
      <c r="K178" s="47">
        <v>177.0</v>
      </c>
      <c r="L178" s="6">
        <f>COUNTIF('Coder-1'!B:B,A178)</f>
        <v>0</v>
      </c>
      <c r="M178" s="6">
        <f>COUNTIF('Coder-2'!B:B,A178)</f>
        <v>0</v>
      </c>
      <c r="N178" s="6">
        <f>COUNTIF('Coder-3'!B:B,A178)</f>
        <v>0</v>
      </c>
      <c r="O178" s="6">
        <f>COUNTIF('Coder-4'!B:B,A178)</f>
        <v>0</v>
      </c>
    </row>
    <row r="179">
      <c r="A179" s="83">
        <v>101.0</v>
      </c>
      <c r="B179" s="86" t="str">
        <f>IFERROR(__xludf.DUMMYFUNCTION("IF(ISBLANK(A179),,FILTER('Leetcode List'!B:C,'Leetcode List'!A:A = A179))"),"Symmetric Tree")</f>
        <v>Symmetric Tree</v>
      </c>
      <c r="C179" s="83" t="str">
        <f>IFERROR(__xludf.DUMMYFUNCTION("""COMPUTED_VALUE"""),"Easy")</f>
        <v>Easy</v>
      </c>
      <c r="D179" s="83" t="s">
        <v>320</v>
      </c>
      <c r="E179" s="87" t="str">
        <f>IFERROR(__xludf.DUMMYFUNCTION("IF(ISBLANK(A179),,FILTER('Leetcode List'!E:J,'Leetcode List'!A:A = A179))"),"Capital One,VMware,EBay,TripAdvisor,Atlassian,Audible,Salesforce,Visa,Twitter,Oracle,Yandex,Apple,Uber,SAP,Bloomberg,Adobe,Facebook,Amazon,LinkedIn,Microsoft,Alibaba,Google")</f>
        <v>Capital One,VMware,EBay,TripAdvisor,Atlassian,Audible,Salesforce,Visa,Twitter,Oracle,Yandex,Apple,Uber,SAP,Bloomberg,Adobe,Facebook,Amazon,LinkedIn,Microsoft,Alibaba,Google</v>
      </c>
      <c r="F179" s="47" t="str">
        <f>IFERROR(__xludf.DUMMYFUNCTION("""COMPUTED_VALUE"""),"Capital One,Amazon,Google,Yandex,Apple,Oracle")</f>
        <v>Capital One,Amazon,Google,Yandex,Apple,Oracle</v>
      </c>
      <c r="G179" s="47" t="str">
        <f>IFERROR(__xludf.DUMMYFUNCTION("""COMPUTED_VALUE"""),"Facebook,Bloomberg,eBay,Adobe,Capital One,Amazon,Google,Yandex,Apple,Oracle")</f>
        <v>Facebook,Bloomberg,eBay,Adobe,Capital One,Amazon,Google,Yandex,Apple,Oracle</v>
      </c>
      <c r="H179" s="47" t="str">
        <f>IFERROR(__xludf.DUMMYFUNCTION("""COMPUTED_VALUE"""),"LinkedIn,Microsoft,Uber,Atlassian,Twitter,Alibaba,VMware,SAP,Audible,Facebook,Bloomberg,eBay,Adobe,Capital One,Amazon,Google,Yandex,Apple,Oracle")</f>
        <v>LinkedIn,Microsoft,Uber,Atlassian,Twitter,Alibaba,VMware,SAP,Audible,Facebook,Bloomberg,eBay,Adobe,Capital One,Amazon,Google,Yandex,Apple,Oracle</v>
      </c>
      <c r="I179" s="47">
        <f>IFERROR(__xludf.DUMMYFUNCTION("""COMPUTED_VALUE"""),48.28)</f>
        <v>48.28</v>
      </c>
      <c r="J179" s="47" t="str">
        <f>IFERROR(__xludf.DUMMYFUNCTION("""COMPUTED_VALUE"""),"算法")</f>
        <v>算法</v>
      </c>
      <c r="K179" s="47">
        <v>178.0</v>
      </c>
      <c r="L179" s="6">
        <f>COUNTIF('Coder-1'!B:B,A179)</f>
        <v>0</v>
      </c>
      <c r="M179" s="6">
        <f>COUNTIF('Coder-2'!B:B,A179)</f>
        <v>0</v>
      </c>
      <c r="N179" s="6">
        <f>COUNTIF('Coder-3'!B:B,A179)</f>
        <v>0</v>
      </c>
      <c r="O179" s="6">
        <f>COUNTIF('Coder-4'!B:B,A179)</f>
        <v>0</v>
      </c>
    </row>
    <row r="180">
      <c r="A180" s="83">
        <v>226.0</v>
      </c>
      <c r="B180" s="86" t="str">
        <f>IFERROR(__xludf.DUMMYFUNCTION("IF(ISBLANK(A180),,FILTER('Leetcode List'!B:C,'Leetcode List'!A:A = A180))"),"Invert Binary Tree")</f>
        <v>Invert Binary Tree</v>
      </c>
      <c r="C180" s="83" t="str">
        <f>IFERROR(__xludf.DUMMYFUNCTION("""COMPUTED_VALUE"""),"Easy")</f>
        <v>Easy</v>
      </c>
      <c r="D180" s="83" t="s">
        <v>320</v>
      </c>
      <c r="E180" s="87" t="str">
        <f>IFERROR(__xludf.DUMMYFUNCTION("IF(ISBLANK(A180),,FILTER('Leetcode List'!E:J,'Leetcode List'!A:A = A180))"),"Walmart Labs,Paypal,Oracle,EBay,Salesforce,VMware,Apple,Uber,Bloomberg,Facebook,Amazon,Microsoft,Google")</f>
        <v>Walmart Labs,Paypal,Oracle,EBay,Salesforce,VMware,Apple,Uber,Bloomberg,Facebook,Amazon,Microsoft,Google</v>
      </c>
      <c r="F180" s="47" t="str">
        <f>IFERROR(__xludf.DUMMYFUNCTION("""COMPUTED_VALUE"""),"Microsoft,Amazon,Google,Facebook,eBay,Apple,VMware,Paypal")</f>
        <v>Microsoft,Amazon,Google,Facebook,eBay,Apple,VMware,Paypal</v>
      </c>
      <c r="G180" s="47" t="str">
        <f>IFERROR(__xludf.DUMMYFUNCTION("""COMPUTED_VALUE"""),"Oracle,Microsoft,Amazon,Google,Facebook,eBay,Apple,VMware,Paypal")</f>
        <v>Oracle,Microsoft,Amazon,Google,Facebook,eBay,Apple,VMware,Paypal</v>
      </c>
      <c r="H180" s="47" t="str">
        <f>IFERROR(__xludf.DUMMYFUNCTION("""COMPUTED_VALUE"""),"Bloomberg,Walmart Labs,Oracle,Microsoft,Amazon,Google,Facebook,eBay,Apple,VMware,Paypal")</f>
        <v>Bloomberg,Walmart Labs,Oracle,Microsoft,Amazon,Google,Facebook,eBay,Apple,VMware,Paypal</v>
      </c>
      <c r="I180" s="47">
        <f>IFERROR(__xludf.DUMMYFUNCTION("""COMPUTED_VALUE"""),67.16)</f>
        <v>67.16</v>
      </c>
      <c r="J180" s="47" t="str">
        <f>IFERROR(__xludf.DUMMYFUNCTION("""COMPUTED_VALUE"""),"算法")</f>
        <v>算法</v>
      </c>
      <c r="K180" s="47">
        <v>179.0</v>
      </c>
      <c r="L180" s="6">
        <f>COUNTIF('Coder-1'!B:B,A180)</f>
        <v>0</v>
      </c>
      <c r="M180" s="6">
        <f>COUNTIF('Coder-2'!B:B,A180)</f>
        <v>0</v>
      </c>
      <c r="N180" s="6">
        <f>COUNTIF('Coder-3'!B:B,A180)</f>
        <v>0</v>
      </c>
      <c r="O180" s="6">
        <f>COUNTIF('Coder-4'!B:B,A180)</f>
        <v>0</v>
      </c>
    </row>
    <row r="181">
      <c r="A181" s="83">
        <v>257.0</v>
      </c>
      <c r="B181" s="86" t="str">
        <f>IFERROR(__xludf.DUMMYFUNCTION("IF(ISBLANK(A181),,FILTER('Leetcode List'!B:C,'Leetcode List'!A:A = A181))"),"Binary Tree Paths")</f>
        <v>Binary Tree Paths</v>
      </c>
      <c r="C181" s="83" t="str">
        <f>IFERROR(__xludf.DUMMYFUNCTION("""COMPUTED_VALUE"""),"Easy")</f>
        <v>Easy</v>
      </c>
      <c r="D181" s="83" t="s">
        <v>320</v>
      </c>
      <c r="E181" s="87" t="str">
        <f>IFERROR(__xludf.DUMMYFUNCTION("IF(ISBLANK(A181),,FILTER('Leetcode List'!E:J,'Leetcode List'!A:A = A181))"),"Bloomberg,Apple,Adobe,Facebook,Amazon,Microsoft,Google")</f>
        <v>Bloomberg,Apple,Adobe,Facebook,Amazon,Microsoft,Google</v>
      </c>
      <c r="F181" s="47" t="str">
        <f>IFERROR(__xludf.DUMMYFUNCTION("""COMPUTED_VALUE"""),"Facebook,Apple,Google,Bloomberg")</f>
        <v>Facebook,Apple,Google,Bloomberg</v>
      </c>
      <c r="G181" s="47" t="str">
        <f>IFERROR(__xludf.DUMMYFUNCTION("""COMPUTED_VALUE"""),"Amazon,Facebook,Apple,Google,Bloomberg")</f>
        <v>Amazon,Facebook,Apple,Google,Bloomberg</v>
      </c>
      <c r="H181" s="47" t="str">
        <f>IFERROR(__xludf.DUMMYFUNCTION("""COMPUTED_VALUE"""),"Microsoft,Adobe,Amazon,Facebook,Apple,Google,Bloomberg")</f>
        <v>Microsoft,Adobe,Amazon,Facebook,Apple,Google,Bloomberg</v>
      </c>
      <c r="I181" s="47">
        <f>IFERROR(__xludf.DUMMYFUNCTION("""COMPUTED_VALUE"""),53.8)</f>
        <v>53.8</v>
      </c>
      <c r="J181" s="47" t="str">
        <f>IFERROR(__xludf.DUMMYFUNCTION("""COMPUTED_VALUE"""),"算法")</f>
        <v>算法</v>
      </c>
      <c r="K181" s="47">
        <v>180.0</v>
      </c>
      <c r="L181" s="6">
        <f>COUNTIF('Coder-1'!B:B,A181)</f>
        <v>0</v>
      </c>
      <c r="M181" s="6">
        <f>COUNTIF('Coder-2'!B:B,A181)</f>
        <v>0</v>
      </c>
      <c r="N181" s="6">
        <f>COUNTIF('Coder-3'!B:B,A181)</f>
        <v>0</v>
      </c>
      <c r="O181" s="6">
        <f>COUNTIF('Coder-4'!B:B,A181)</f>
        <v>0</v>
      </c>
    </row>
    <row r="182">
      <c r="A182" s="83">
        <v>112.0</v>
      </c>
      <c r="B182" s="86" t="str">
        <f>IFERROR(__xludf.DUMMYFUNCTION("IF(ISBLANK(A182),,FILTER('Leetcode List'!B:C,'Leetcode List'!A:A = A182))"),"Path Sum")</f>
        <v>Path Sum</v>
      </c>
      <c r="C182" s="83" t="str">
        <f>IFERROR(__xludf.DUMMYFUNCTION("""COMPUTED_VALUE"""),"Easy")</f>
        <v>Easy</v>
      </c>
      <c r="D182" s="83" t="s">
        <v>320</v>
      </c>
      <c r="E182" s="87" t="str">
        <f>IFERROR(__xludf.DUMMYFUNCTION("IF(ISBLANK(A182),,FILTER('Leetcode List'!E:J,'Leetcode List'!A:A = A182))"),"Wish,ByteDance,SAP,Google,Zillow,Oracle,Apple,Yahoo,Bloomberg,Adobe,Facebook,Amazon,Microsoft")</f>
        <v>Wish,ByteDance,SAP,Google,Zillow,Oracle,Apple,Yahoo,Bloomberg,Adobe,Facebook,Amazon,Microsoft</v>
      </c>
      <c r="F182" s="47" t="str">
        <f>IFERROR(__xludf.DUMMYFUNCTION("""COMPUTED_VALUE"""),"Amazon,Facebook,Apple,Microsoft,Oracle,ByteDance")</f>
        <v>Amazon,Facebook,Apple,Microsoft,Oracle,ByteDance</v>
      </c>
      <c r="G182" s="47" t="str">
        <f>IFERROR(__xludf.DUMMYFUNCTION("""COMPUTED_VALUE"""),"Bloomberg,SAP,Amazon,Facebook,Apple,Microsoft,Oracle,ByteDance")</f>
        <v>Bloomberg,SAP,Amazon,Facebook,Apple,Microsoft,Oracle,ByteDance</v>
      </c>
      <c r="H182" s="47" t="str">
        <f>IFERROR(__xludf.DUMMYFUNCTION("""COMPUTED_VALUE"""),"Adobe,Google,Zillow,Wish,Bloomberg,SAP,Amazon,Facebook,Apple,Microsoft,Oracle,ByteDance")</f>
        <v>Adobe,Google,Zillow,Wish,Bloomberg,SAP,Amazon,Facebook,Apple,Microsoft,Oracle,ByteDance</v>
      </c>
      <c r="I182" s="47">
        <f>IFERROR(__xludf.DUMMYFUNCTION("""COMPUTED_VALUE"""),42.53)</f>
        <v>42.53</v>
      </c>
      <c r="J182" s="47" t="str">
        <f>IFERROR(__xludf.DUMMYFUNCTION("""COMPUTED_VALUE"""),"算法")</f>
        <v>算法</v>
      </c>
      <c r="K182" s="47">
        <v>181.0</v>
      </c>
      <c r="L182" s="6">
        <f>COUNTIF('Coder-1'!B:B,A182)</f>
        <v>0</v>
      </c>
      <c r="M182" s="6">
        <f>COUNTIF('Coder-2'!B:B,A182)</f>
        <v>0</v>
      </c>
      <c r="N182" s="6">
        <f>COUNTIF('Coder-3'!B:B,A182)</f>
        <v>0</v>
      </c>
      <c r="O182" s="6">
        <f>COUNTIF('Coder-4'!B:B,A182)</f>
        <v>0</v>
      </c>
    </row>
    <row r="183">
      <c r="A183" s="83">
        <v>113.0</v>
      </c>
      <c r="B183" s="86" t="str">
        <f>IFERROR(__xludf.DUMMYFUNCTION("IF(ISBLANK(A183),,FILTER('Leetcode List'!B:C,'Leetcode List'!A:A = A183))"),"Path Sum II")</f>
        <v>Path Sum II</v>
      </c>
      <c r="C183" s="83" t="str">
        <f>IFERROR(__xludf.DUMMYFUNCTION("""COMPUTED_VALUE"""),"Medium")</f>
        <v>Medium</v>
      </c>
      <c r="D183" s="83" t="s">
        <v>320</v>
      </c>
      <c r="E183" s="87" t="str">
        <f>IFERROR(__xludf.DUMMYFUNCTION("IF(ISBLANK(A183),,FILTER('Leetcode List'!E:J,'Leetcode List'!A:A = A183))"),"ByteDance,VMware,Quora,Zillow,Oracle,Baidu,Apple,Bloomberg,Adobe,Facebook,Amazon,LinkedIn,Microsoft,Google")</f>
        <v>ByteDance,VMware,Quora,Zillow,Oracle,Baidu,Apple,Bloomberg,Adobe,Facebook,Amazon,LinkedIn,Microsoft,Google</v>
      </c>
      <c r="F183" s="47" t="str">
        <f>IFERROR(__xludf.DUMMYFUNCTION("""COMPUTED_VALUE"""),"Amazon,Facebook,Microsoft,Zillow")</f>
        <v>Amazon,Facebook,Microsoft,Zillow</v>
      </c>
      <c r="G183" s="47" t="str">
        <f>IFERROR(__xludf.DUMMYFUNCTION("""COMPUTED_VALUE"""),"Adobe,Apple,Oracle,Google,Amazon,Facebook,Microsoft,Zillow")</f>
        <v>Adobe,Apple,Oracle,Google,Amazon,Facebook,Microsoft,Zillow</v>
      </c>
      <c r="H183" s="47" t="str">
        <f>IFERROR(__xludf.DUMMYFUNCTION("""COMPUTED_VALUE"""),"Quora,Baidu,VMware,ByteDance,Bloomberg,Adobe,Apple,Oracle,Google,Amazon,Facebook,Microsoft,Zillow")</f>
        <v>Quora,Baidu,VMware,ByteDance,Bloomberg,Adobe,Apple,Oracle,Google,Amazon,Facebook,Microsoft,Zillow</v>
      </c>
      <c r="I183" s="47">
        <f>IFERROR(__xludf.DUMMYFUNCTION("""COMPUTED_VALUE"""),49.3)</f>
        <v>49.3</v>
      </c>
      <c r="J183" s="47" t="str">
        <f>IFERROR(__xludf.DUMMYFUNCTION("""COMPUTED_VALUE"""),"算法")</f>
        <v>算法</v>
      </c>
      <c r="K183" s="47">
        <v>182.0</v>
      </c>
      <c r="L183" s="6">
        <f>COUNTIF('Coder-1'!B:B,A183)</f>
        <v>0</v>
      </c>
      <c r="M183" s="6">
        <f>COUNTIF('Coder-2'!B:B,A183)</f>
        <v>0</v>
      </c>
      <c r="N183" s="6">
        <f>COUNTIF('Coder-3'!B:B,A183)</f>
        <v>0</v>
      </c>
      <c r="O183" s="6">
        <f>COUNTIF('Coder-4'!B:B,A183)</f>
        <v>0</v>
      </c>
    </row>
    <row r="184">
      <c r="A184" s="83">
        <v>129.0</v>
      </c>
      <c r="B184" s="86" t="str">
        <f>IFERROR(__xludf.DUMMYFUNCTION("IF(ISBLANK(A184),,FILTER('Leetcode List'!B:C,'Leetcode List'!A:A = A184))"),"Sum Root to Leaf Numbers")</f>
        <v>Sum Root to Leaf Numbers</v>
      </c>
      <c r="C184" s="83" t="str">
        <f>IFERROR(__xludf.DUMMYFUNCTION("""COMPUTED_VALUE"""),"Medium")</f>
        <v>Medium</v>
      </c>
      <c r="D184" s="83" t="s">
        <v>320</v>
      </c>
      <c r="E184" s="87" t="str">
        <f>IFERROR(__xludf.DUMMYFUNCTION("IF(ISBLANK(A184),,FILTER('Leetcode List'!E:J,'Leetcode List'!A:A = A184))"),"EBay,Bloomberg,Facebook,Amazon,Microsoft,Google")</f>
        <v>EBay,Bloomberg,Facebook,Amazon,Microsoft,Google</v>
      </c>
      <c r="F184" s="47" t="str">
        <f>IFERROR(__xludf.DUMMYFUNCTION("""COMPUTED_VALUE"""),"Facebook,Bloomberg,Amazon")</f>
        <v>Facebook,Bloomberg,Amazon</v>
      </c>
      <c r="G184" s="47" t="str">
        <f>IFERROR(__xludf.DUMMYFUNCTION("""COMPUTED_VALUE"""),"Microsoft,Google,eBay,Facebook,Bloomberg,Amazon")</f>
        <v>Microsoft,Google,eBay,Facebook,Bloomberg,Amazon</v>
      </c>
      <c r="H184" s="47" t="str">
        <f>IFERROR(__xludf.DUMMYFUNCTION("""COMPUTED_VALUE"""),"Microsoft,Google,eBay,Facebook,Bloomberg,Amazon")</f>
        <v>Microsoft,Google,eBay,Facebook,Bloomberg,Amazon</v>
      </c>
      <c r="I184" s="47">
        <f>IFERROR(__xludf.DUMMYFUNCTION("""COMPUTED_VALUE"""),51.11)</f>
        <v>51.11</v>
      </c>
      <c r="J184" s="47" t="str">
        <f>IFERROR(__xludf.DUMMYFUNCTION("""COMPUTED_VALUE"""),"算法")</f>
        <v>算法</v>
      </c>
      <c r="K184" s="47">
        <v>183.0</v>
      </c>
      <c r="L184" s="6">
        <f>COUNTIF('Coder-1'!B:B,A184)</f>
        <v>0</v>
      </c>
      <c r="M184" s="6">
        <f>COUNTIF('Coder-2'!B:B,A184)</f>
        <v>0</v>
      </c>
      <c r="N184" s="6">
        <f>COUNTIF('Coder-3'!B:B,A184)</f>
        <v>0</v>
      </c>
      <c r="O184" s="6">
        <f>COUNTIF('Coder-4'!B:B,A184)</f>
        <v>0</v>
      </c>
    </row>
    <row r="185">
      <c r="A185" s="83">
        <v>298.0</v>
      </c>
      <c r="B185" s="86" t="str">
        <f>IFERROR(__xludf.DUMMYFUNCTION("IF(ISBLANK(A185),,FILTER('Leetcode List'!B:C,'Leetcode List'!A:A = A185))"),"Binary Tree Longest Consecutive Sequence")</f>
        <v>Binary Tree Longest Consecutive Sequence</v>
      </c>
      <c r="C185" s="83" t="str">
        <f>IFERROR(__xludf.DUMMYFUNCTION("""COMPUTED_VALUE"""),"Medium")</f>
        <v>Medium</v>
      </c>
      <c r="D185" s="83" t="s">
        <v>320</v>
      </c>
      <c r="E185" s="87" t="str">
        <f>IFERROR(__xludf.DUMMYFUNCTION("IF(ISBLANK(A185),,FILTER('Leetcode List'!E:J,'Leetcode List'!A:A = A185))"),"Uber,Facebook,Amazon,Google")</f>
        <v>Uber,Facebook,Amazon,Google</v>
      </c>
      <c r="F185" s="47" t="str">
        <f>IFERROR(__xludf.DUMMYFUNCTION("""COMPUTED_VALUE"""),"Google")</f>
        <v>Google</v>
      </c>
      <c r="G185" s="47" t="str">
        <f>IFERROR(__xludf.DUMMYFUNCTION("""COMPUTED_VALUE"""),"Amazon,Google")</f>
        <v>Amazon,Google</v>
      </c>
      <c r="H185" s="47" t="str">
        <f>IFERROR(__xludf.DUMMYFUNCTION("""COMPUTED_VALUE"""),"Facebook,Amazon,Google")</f>
        <v>Facebook,Amazon,Google</v>
      </c>
      <c r="I185" s="47">
        <f>IFERROR(__xludf.DUMMYFUNCTION("""COMPUTED_VALUE"""),48.08)</f>
        <v>48.08</v>
      </c>
      <c r="J185" s="47" t="str">
        <f>IFERROR(__xludf.DUMMYFUNCTION("""COMPUTED_VALUE"""),"算法")</f>
        <v>算法</v>
      </c>
      <c r="K185" s="47">
        <v>184.0</v>
      </c>
      <c r="L185" s="6">
        <f>COUNTIF('Coder-1'!B:B,A185)</f>
        <v>0</v>
      </c>
      <c r="M185" s="6">
        <f>COUNTIF('Coder-2'!B:B,A185)</f>
        <v>0</v>
      </c>
      <c r="N185" s="6">
        <f>COUNTIF('Coder-3'!B:B,A185)</f>
        <v>0</v>
      </c>
      <c r="O185" s="6">
        <f>COUNTIF('Coder-4'!B:B,A185)</f>
        <v>0</v>
      </c>
    </row>
    <row r="186">
      <c r="A186" s="83">
        <v>111.0</v>
      </c>
      <c r="B186" s="86" t="str">
        <f>IFERROR(__xludf.DUMMYFUNCTION("IF(ISBLANK(A186),,FILTER('Leetcode List'!B:C,'Leetcode List'!A:A = A186))"),"Minimum Depth of Binary Tree")</f>
        <v>Minimum Depth of Binary Tree</v>
      </c>
      <c r="C186" s="83" t="str">
        <f>IFERROR(__xludf.DUMMYFUNCTION("""COMPUTED_VALUE"""),"Easy")</f>
        <v>Easy</v>
      </c>
      <c r="D186" s="83" t="s">
        <v>320</v>
      </c>
      <c r="E186" s="87" t="str">
        <f>IFERROR(__xludf.DUMMYFUNCTION("IF(ISBLANK(A186),,FILTER('Leetcode List'!E:J,'Leetcode List'!A:A = A186))"),"Adobe,Goldman Sachs,Google,Apple,Facebook,Amazon,Microsoft")</f>
        <v>Adobe,Goldman Sachs,Google,Apple,Facebook,Amazon,Microsoft</v>
      </c>
      <c r="F186" s="47" t="str">
        <f>IFERROR(__xludf.DUMMYFUNCTION("""COMPUTED_VALUE"""),"Amazon,Facebook,Adobe")</f>
        <v>Amazon,Facebook,Adobe</v>
      </c>
      <c r="G186" s="47" t="str">
        <f>IFERROR(__xludf.DUMMYFUNCTION("""COMPUTED_VALUE"""),"Google,Apple,Amazon,Facebook,Adobe")</f>
        <v>Google,Apple,Amazon,Facebook,Adobe</v>
      </c>
      <c r="H186" s="47" t="str">
        <f>IFERROR(__xludf.DUMMYFUNCTION("""COMPUTED_VALUE"""),"Goldman Sachs,Google,Apple,Amazon,Facebook,Adobe")</f>
        <v>Goldman Sachs,Google,Apple,Amazon,Facebook,Adobe</v>
      </c>
      <c r="I186" s="47">
        <f>IFERROR(__xludf.DUMMYFUNCTION("""COMPUTED_VALUE"""),39.67)</f>
        <v>39.67</v>
      </c>
      <c r="J186" s="47" t="str">
        <f>IFERROR(__xludf.DUMMYFUNCTION("""COMPUTED_VALUE"""),"算法")</f>
        <v>算法</v>
      </c>
      <c r="K186" s="47">
        <v>185.0</v>
      </c>
      <c r="L186" s="6">
        <f>COUNTIF('Coder-1'!B:B,A186)</f>
        <v>0</v>
      </c>
      <c r="M186" s="6">
        <f>COUNTIF('Coder-2'!B:B,A186)</f>
        <v>0</v>
      </c>
      <c r="N186" s="6">
        <f>COUNTIF('Coder-3'!B:B,A186)</f>
        <v>0</v>
      </c>
      <c r="O186" s="6">
        <f>COUNTIF('Coder-4'!B:B,A186)</f>
        <v>0</v>
      </c>
    </row>
    <row r="187">
      <c r="A187" s="83">
        <v>104.0</v>
      </c>
      <c r="B187" s="86" t="str">
        <f>IFERROR(__xludf.DUMMYFUNCTION("IF(ISBLANK(A187),,FILTER('Leetcode List'!B:C,'Leetcode List'!A:A = A187))"),"Maximum Depth of Binary Tree")</f>
        <v>Maximum Depth of Binary Tree</v>
      </c>
      <c r="C187" s="83" t="str">
        <f>IFERROR(__xludf.DUMMYFUNCTION("""COMPUTED_VALUE"""),"Easy")</f>
        <v>Easy</v>
      </c>
      <c r="D187" s="83" t="s">
        <v>320</v>
      </c>
      <c r="E187" s="87" t="str">
        <f>IFERROR(__xludf.DUMMYFUNCTION("IF(ISBLANK(A187),,FILTER('Leetcode List'!E:J,'Leetcode List'!A:A = A187))"),"Intel,ByteDance,Paypal,Apple,Uber,Yahoo,SAP,Bloomberg,Adobe,Facebook,Amazon,LinkedIn,Microsoft,Goldman Sachs,Google")</f>
        <v>Intel,ByteDance,Paypal,Apple,Uber,Yahoo,SAP,Bloomberg,Adobe,Facebook,Amazon,LinkedIn,Microsoft,Goldman Sachs,Google</v>
      </c>
      <c r="F187" s="47" t="str">
        <f>IFERROR(__xludf.DUMMYFUNCTION("""COMPUTED_VALUE"""),"LinkedIn,Amazon,Microsoft,Facebook,Intel")</f>
        <v>LinkedIn,Amazon,Microsoft,Facebook,Intel</v>
      </c>
      <c r="G187" s="47" t="str">
        <f>IFERROR(__xludf.DUMMYFUNCTION("""COMPUTED_VALUE"""),"Apple,Adobe,Google,Uber,LinkedIn,Amazon,Microsoft,Facebook,Intel")</f>
        <v>Apple,Adobe,Google,Uber,LinkedIn,Amazon,Microsoft,Facebook,Intel</v>
      </c>
      <c r="H187" s="47" t="str">
        <f>IFERROR(__xludf.DUMMYFUNCTION("""COMPUTED_VALUE"""),"Bloomberg,Goldman Sachs,SAP,Yahoo,Apple,Adobe,Google,Uber,LinkedIn,Amazon,Microsoft,Facebook,Intel")</f>
        <v>Bloomberg,Goldman Sachs,SAP,Yahoo,Apple,Adobe,Google,Uber,LinkedIn,Amazon,Microsoft,Facebook,Intel</v>
      </c>
      <c r="I187" s="47">
        <f>IFERROR(__xludf.DUMMYFUNCTION("""COMPUTED_VALUE"""),68.19)</f>
        <v>68.19</v>
      </c>
      <c r="J187" s="47" t="str">
        <f>IFERROR(__xludf.DUMMYFUNCTION("""COMPUTED_VALUE"""),"算法")</f>
        <v>算法</v>
      </c>
      <c r="K187" s="47">
        <v>186.0</v>
      </c>
      <c r="L187" s="6">
        <f>COUNTIF('Coder-1'!B:B,A187)</f>
        <v>0</v>
      </c>
      <c r="M187" s="6">
        <f>COUNTIF('Coder-2'!B:B,A187)</f>
        <v>0</v>
      </c>
      <c r="N187" s="6">
        <f>COUNTIF('Coder-3'!B:B,A187)</f>
        <v>0</v>
      </c>
      <c r="O187" s="6">
        <f>COUNTIF('Coder-4'!B:B,A187)</f>
        <v>0</v>
      </c>
    </row>
    <row r="188">
      <c r="A188" s="83">
        <v>110.0</v>
      </c>
      <c r="B188" s="86" t="str">
        <f>IFERROR(__xludf.DUMMYFUNCTION("IF(ISBLANK(A188),,FILTER('Leetcode List'!B:C,'Leetcode List'!A:A = A188))"),"Balanced Binary Tree")</f>
        <v>Balanced Binary Tree</v>
      </c>
      <c r="C188" s="83" t="str">
        <f>IFERROR(__xludf.DUMMYFUNCTION("""COMPUTED_VALUE"""),"Easy")</f>
        <v>Easy</v>
      </c>
      <c r="D188" s="83" t="s">
        <v>320</v>
      </c>
      <c r="E188" s="87" t="str">
        <f>IFERROR(__xludf.DUMMYFUNCTION("IF(ISBLANK(A188),,FILTER('Leetcode List'!E:J,'Leetcode List'!A:A = A188))"),"ByteDance,VMware,Cisco,Apple,Bloomberg,Adobe,Facebook,Amazon,Microsoft,Google")</f>
        <v>ByteDance,VMware,Cisco,Apple,Bloomberg,Adobe,Facebook,Amazon,Microsoft,Google</v>
      </c>
      <c r="F188" s="47" t="str">
        <f>IFERROR(__xludf.DUMMYFUNCTION("""COMPUTED_VALUE"""),"Amazon,Google")</f>
        <v>Amazon,Google</v>
      </c>
      <c r="G188" s="47" t="str">
        <f>IFERROR(__xludf.DUMMYFUNCTION("""COMPUTED_VALUE"""),"Microsoft,Bloomberg,ByteDance,Amazon,Google")</f>
        <v>Microsoft,Bloomberg,ByteDance,Amazon,Google</v>
      </c>
      <c r="H188" s="47" t="str">
        <f>IFERROR(__xludf.DUMMYFUNCTION("""COMPUTED_VALUE"""),"Facebook,Adobe,VMware,Apple,Microsoft,Bloomberg,ByteDance,Amazon,Google")</f>
        <v>Facebook,Adobe,VMware,Apple,Microsoft,Bloomberg,ByteDance,Amazon,Google</v>
      </c>
      <c r="I188" s="47">
        <f>IFERROR(__xludf.DUMMYFUNCTION("""COMPUTED_VALUE"""),44.77)</f>
        <v>44.77</v>
      </c>
      <c r="J188" s="47" t="str">
        <f>IFERROR(__xludf.DUMMYFUNCTION("""COMPUTED_VALUE"""),"算法")</f>
        <v>算法</v>
      </c>
      <c r="K188" s="47">
        <v>187.0</v>
      </c>
      <c r="L188" s="6">
        <f>COUNTIF('Coder-1'!B:B,A188)</f>
        <v>0</v>
      </c>
      <c r="M188" s="6">
        <f>COUNTIF('Coder-2'!B:B,A188)</f>
        <v>0</v>
      </c>
      <c r="N188" s="6">
        <f>COUNTIF('Coder-3'!B:B,A188)</f>
        <v>0</v>
      </c>
      <c r="O188" s="6">
        <f>COUNTIF('Coder-4'!B:B,A188)</f>
        <v>0</v>
      </c>
    </row>
    <row r="189">
      <c r="A189" s="83">
        <v>124.0</v>
      </c>
      <c r="B189" s="86" t="str">
        <f>IFERROR(__xludf.DUMMYFUNCTION("IF(ISBLANK(A189),,FILTER('Leetcode List'!B:C,'Leetcode List'!A:A = A189))"),"Binary Tree Maximum Path Sum")</f>
        <v>Binary Tree Maximum Path Sum</v>
      </c>
      <c r="C189" s="83" t="str">
        <f>IFERROR(__xludf.DUMMYFUNCTION("""COMPUTED_VALUE"""),"Hard")</f>
        <v>Hard</v>
      </c>
      <c r="D189" s="83" t="s">
        <v>320</v>
      </c>
      <c r="E189" s="87" t="str">
        <f>IFERROR(__xludf.DUMMYFUNCTION("IF(ISBLANK(A189),,FILTER('Leetcode List'!E:J,'Leetcode List'!A:A = A189))"),"Oracle,Yahoo,AppDynamics,ByteDance,VMware,Walmart Labs,Twitter,Intuit,Baidu,Apple,Uber,Bloomberg,Adobe,Facebook,Amazon,Microsoft,Google")</f>
        <v>Oracle,Yahoo,AppDynamics,ByteDance,VMware,Walmart Labs,Twitter,Intuit,Baidu,Apple,Uber,Bloomberg,Adobe,Facebook,Amazon,Microsoft,Google</v>
      </c>
      <c r="F189" s="47" t="str">
        <f>IFERROR(__xludf.DUMMYFUNCTION("""COMPUTED_VALUE"""),"Facebook,Amazon,Google,Microsoft,Bloomberg,Oracle,Adobe,Apple,Yahoo,ByteDance")</f>
        <v>Facebook,Amazon,Google,Microsoft,Bloomberg,Oracle,Adobe,Apple,Yahoo,ByteDance</v>
      </c>
      <c r="G189" s="47" t="str">
        <f>IFERROR(__xludf.DUMMYFUNCTION("""COMPUTED_VALUE"""),"Uber,Facebook,Amazon,Google,Microsoft,Bloomberg,Oracle,Adobe,Apple,Yahoo,ByteDance")</f>
        <v>Uber,Facebook,Amazon,Google,Microsoft,Bloomberg,Oracle,Adobe,Apple,Yahoo,ByteDance</v>
      </c>
      <c r="H189" s="47" t="str">
        <f>IFERROR(__xludf.DUMMYFUNCTION("""COMPUTED_VALUE"""),"Intuit,AppDynamics,Baidu,Uber,Facebook,Amazon,Google,Microsoft,Bloomberg,Oracle,Adobe,Apple,Yahoo,ByteDance")</f>
        <v>Intuit,AppDynamics,Baidu,Uber,Facebook,Amazon,Google,Microsoft,Bloomberg,Oracle,Adobe,Apple,Yahoo,ByteDance</v>
      </c>
      <c r="I189" s="47">
        <f>IFERROR(__xludf.DUMMYFUNCTION("""COMPUTED_VALUE"""),35.55)</f>
        <v>35.55</v>
      </c>
      <c r="J189" s="47" t="str">
        <f>IFERROR(__xludf.DUMMYFUNCTION("""COMPUTED_VALUE"""),"算法")</f>
        <v>算法</v>
      </c>
      <c r="K189" s="47">
        <v>188.0</v>
      </c>
      <c r="L189" s="6">
        <f>COUNTIF('Coder-1'!B:B,A189)</f>
        <v>0</v>
      </c>
      <c r="M189" s="6">
        <f>COUNTIF('Coder-2'!B:B,A189)</f>
        <v>0</v>
      </c>
      <c r="N189" s="6">
        <f>COUNTIF('Coder-3'!B:B,A189)</f>
        <v>0</v>
      </c>
      <c r="O189" s="6">
        <f>COUNTIF('Coder-4'!B:B,A189)</f>
        <v>0</v>
      </c>
    </row>
    <row r="190">
      <c r="A190" s="83">
        <v>250.0</v>
      </c>
      <c r="B190" s="86" t="str">
        <f>IFERROR(__xludf.DUMMYFUNCTION("IF(ISBLANK(A190),,FILTER('Leetcode List'!B:C,'Leetcode List'!A:A = A190))"),"Count Univalue Subtrees")</f>
        <v>Count Univalue Subtrees</v>
      </c>
      <c r="C190" s="83" t="str">
        <f>IFERROR(__xludf.DUMMYFUNCTION("""COMPUTED_VALUE"""),"Medium")</f>
        <v>Medium</v>
      </c>
      <c r="D190" s="83" t="s">
        <v>320</v>
      </c>
      <c r="E190" s="87" t="str">
        <f>IFERROR(__xludf.DUMMYFUNCTION("IF(ISBLANK(A190),,FILTER('Leetcode List'!E:J,'Leetcode List'!A:A = A190))"),"Paypal,Box,EBay,Bloomberg,Facebook,Amazon,Google")</f>
        <v>Paypal,Box,EBay,Bloomberg,Facebook,Amazon,Google</v>
      </c>
      <c r="F190" s="47" t="str">
        <f>IFERROR(__xludf.DUMMYFUNCTION("""COMPUTED_VALUE"""),"Google")</f>
        <v>Google</v>
      </c>
      <c r="G190" s="47" t="str">
        <f>IFERROR(__xludf.DUMMYFUNCTION("""COMPUTED_VALUE"""),"eBay,Box,Google")</f>
        <v>eBay,Box,Google</v>
      </c>
      <c r="H190" s="47" t="str">
        <f>IFERROR(__xludf.DUMMYFUNCTION("""COMPUTED_VALUE"""),"Amazon,Bloomberg,Facebook,Paypal,eBay,Box,Google")</f>
        <v>Amazon,Bloomberg,Facebook,Paypal,eBay,Box,Google</v>
      </c>
      <c r="I190" s="47">
        <f>IFERROR(__xludf.DUMMYFUNCTION("""COMPUTED_VALUE"""),53.44)</f>
        <v>53.44</v>
      </c>
      <c r="J190" s="47" t="str">
        <f>IFERROR(__xludf.DUMMYFUNCTION("""COMPUTED_VALUE"""),"算法")</f>
        <v>算法</v>
      </c>
      <c r="K190" s="47">
        <v>189.0</v>
      </c>
      <c r="L190" s="6">
        <f>COUNTIF('Coder-1'!B:B,A190)</f>
        <v>0</v>
      </c>
      <c r="M190" s="6">
        <f>COUNTIF('Coder-2'!B:B,A190)</f>
        <v>0</v>
      </c>
      <c r="N190" s="6">
        <f>COUNTIF('Coder-3'!B:B,A190)</f>
        <v>0</v>
      </c>
      <c r="O190" s="6">
        <f>COUNTIF('Coder-4'!B:B,A190)</f>
        <v>0</v>
      </c>
    </row>
    <row r="191">
      <c r="A191" s="83">
        <v>366.0</v>
      </c>
      <c r="B191" s="86" t="str">
        <f>IFERROR(__xludf.DUMMYFUNCTION("IF(ISBLANK(A191),,FILTER('Leetcode List'!B:C,'Leetcode List'!A:A = A191))"),"Find Leaves of Binary Tree")</f>
        <v>Find Leaves of Binary Tree</v>
      </c>
      <c r="C191" s="83" t="str">
        <f>IFERROR(__xludf.DUMMYFUNCTION("""COMPUTED_VALUE"""),"Medium")</f>
        <v>Medium</v>
      </c>
      <c r="D191" s="83" t="s">
        <v>320</v>
      </c>
      <c r="E191" s="87" t="str">
        <f>IFERROR(__xludf.DUMMYFUNCTION("IF(ISBLANK(A191),,FILTER('Leetcode List'!E:J,'Leetcode List'!A:A = A191))"),"Pocket Gems,Atlassian,EBay,Amazon,LinkedIn,Google")</f>
        <v>Pocket Gems,Atlassian,EBay,Amazon,LinkedIn,Google</v>
      </c>
      <c r="F191" s="47" t="str">
        <f>IFERROR(__xludf.DUMMYFUNCTION("""COMPUTED_VALUE"""),"LinkedIn")</f>
        <v>LinkedIn</v>
      </c>
      <c r="G191" s="47" t="str">
        <f>IFERROR(__xludf.DUMMYFUNCTION("""COMPUTED_VALUE"""),"Pocket Gems,Amazon,Atlassian,eBay,LinkedIn")</f>
        <v>Pocket Gems,Amazon,Atlassian,eBay,LinkedIn</v>
      </c>
      <c r="H191" s="47" t="str">
        <f>IFERROR(__xludf.DUMMYFUNCTION("""COMPUTED_VALUE"""),"Google,Pocket Gems,Amazon,Atlassian,eBay,LinkedIn")</f>
        <v>Google,Pocket Gems,Amazon,Atlassian,eBay,LinkedIn</v>
      </c>
      <c r="I191" s="47">
        <f>IFERROR(__xludf.DUMMYFUNCTION("""COMPUTED_VALUE"""),71.95)</f>
        <v>71.95</v>
      </c>
      <c r="J191" s="47" t="str">
        <f>IFERROR(__xludf.DUMMYFUNCTION("""COMPUTED_VALUE"""),"算法")</f>
        <v>算法</v>
      </c>
      <c r="K191" s="47">
        <v>190.0</v>
      </c>
      <c r="L191" s="6">
        <f>COUNTIF('Coder-1'!B:B,A191)</f>
        <v>0</v>
      </c>
      <c r="M191" s="6">
        <f>COUNTIF('Coder-2'!B:B,A191)</f>
        <v>0</v>
      </c>
      <c r="N191" s="6">
        <f>COUNTIF('Coder-3'!B:B,A191)</f>
        <v>0</v>
      </c>
      <c r="O191" s="6">
        <f>COUNTIF('Coder-4'!B:B,A191)</f>
        <v>0</v>
      </c>
    </row>
    <row r="192">
      <c r="A192" s="83">
        <v>337.0</v>
      </c>
      <c r="B192" s="86" t="str">
        <f>IFERROR(__xludf.DUMMYFUNCTION("IF(ISBLANK(A192),,FILTER('Leetcode List'!B:C,'Leetcode List'!A:A = A192))"),"House Robber III")</f>
        <v>House Robber III</v>
      </c>
      <c r="C192" s="83" t="str">
        <f>IFERROR(__xludf.DUMMYFUNCTION("""COMPUTED_VALUE"""),"Medium")</f>
        <v>Medium</v>
      </c>
      <c r="D192" s="83" t="s">
        <v>320</v>
      </c>
      <c r="E192" s="87" t="str">
        <f>IFERROR(__xludf.DUMMYFUNCTION("IF(ISBLANK(A192),,FILTER('Leetcode List'!E:J,'Leetcode List'!A:A = A192))"),"Uber,Facebook,Amazon,Google")</f>
        <v>Uber,Facebook,Amazon,Google</v>
      </c>
      <c r="F192" s="47" t="str">
        <f>IFERROR(__xludf.DUMMYFUNCTION("""COMPUTED_VALUE"""),"Amazon")</f>
        <v>Amazon</v>
      </c>
      <c r="G192" s="47" t="str">
        <f>IFERROR(__xludf.DUMMYFUNCTION("""COMPUTED_VALUE"""),"Google,Amazon")</f>
        <v>Google,Amazon</v>
      </c>
      <c r="H192" s="47" t="str">
        <f>IFERROR(__xludf.DUMMYFUNCTION("""COMPUTED_VALUE"""),"Uber,Google,Amazon")</f>
        <v>Uber,Google,Amazon</v>
      </c>
      <c r="I192" s="47">
        <f>IFERROR(__xludf.DUMMYFUNCTION("""COMPUTED_VALUE"""),51.99)</f>
        <v>51.99</v>
      </c>
      <c r="J192" s="47" t="str">
        <f>IFERROR(__xludf.DUMMYFUNCTION("""COMPUTED_VALUE"""),"算法")</f>
        <v>算法</v>
      </c>
      <c r="K192" s="47">
        <v>191.0</v>
      </c>
      <c r="L192" s="6">
        <f>COUNTIF('Coder-1'!B:B,A192)</f>
        <v>0</v>
      </c>
      <c r="M192" s="6">
        <f>COUNTIF('Coder-2'!B:B,A192)</f>
        <v>0</v>
      </c>
      <c r="N192" s="6">
        <f>COUNTIF('Coder-3'!B:B,A192)</f>
        <v>0</v>
      </c>
      <c r="O192" s="6">
        <f>COUNTIF('Coder-4'!B:B,A192)</f>
        <v>0</v>
      </c>
    </row>
    <row r="193">
      <c r="A193" s="83">
        <v>107.0</v>
      </c>
      <c r="B193" s="86" t="str">
        <f>IFERROR(__xludf.DUMMYFUNCTION("IF(ISBLANK(A193),,FILTER('Leetcode List'!B:C,'Leetcode List'!A:A = A193))"),"Binary Tree Level Order Traversal II")</f>
        <v>Binary Tree Level Order Traversal II</v>
      </c>
      <c r="C193" s="83" t="str">
        <f>IFERROR(__xludf.DUMMYFUNCTION("""COMPUTED_VALUE"""),"Medium")</f>
        <v>Medium</v>
      </c>
      <c r="D193" s="83" t="s">
        <v>320</v>
      </c>
      <c r="E193" s="87" t="str">
        <f>IFERROR(__xludf.DUMMYFUNCTION("IF(ISBLANK(A193),,FILTER('Leetcode List'!E:J,'Leetcode List'!A:A = A193))"),"Bloomberg,Oracle,Apple,Adobe,Amazon,Microsoft")</f>
        <v>Bloomberg,Oracle,Apple,Adobe,Amazon,Microsoft</v>
      </c>
      <c r="F193" s="47" t="str">
        <f>IFERROR(__xludf.DUMMYFUNCTION("""COMPUTED_VALUE"""),"Microsoft,Amazon,Apple")</f>
        <v>Microsoft,Amazon,Apple</v>
      </c>
      <c r="G193" s="47" t="str">
        <f>IFERROR(__xludf.DUMMYFUNCTION("""COMPUTED_VALUE"""),"Bloomberg,Adobe,Microsoft,Amazon,Apple")</f>
        <v>Bloomberg,Adobe,Microsoft,Amazon,Apple</v>
      </c>
      <c r="H193" s="47" t="str">
        <f>IFERROR(__xludf.DUMMYFUNCTION("""COMPUTED_VALUE"""),"Oracle,Bloomberg,Adobe,Microsoft,Amazon,Apple")</f>
        <v>Oracle,Bloomberg,Adobe,Microsoft,Amazon,Apple</v>
      </c>
      <c r="I193" s="47">
        <f>IFERROR(__xludf.DUMMYFUNCTION("""COMPUTED_VALUE"""),55.34)</f>
        <v>55.34</v>
      </c>
      <c r="J193" s="47" t="str">
        <f>IFERROR(__xludf.DUMMYFUNCTION("""COMPUTED_VALUE"""),"算法")</f>
        <v>算法</v>
      </c>
      <c r="K193" s="47">
        <v>192.0</v>
      </c>
      <c r="L193" s="6">
        <f>COUNTIF('Coder-1'!B:B,A193)</f>
        <v>0</v>
      </c>
      <c r="M193" s="6">
        <f>COUNTIF('Coder-2'!B:B,A193)</f>
        <v>0</v>
      </c>
      <c r="N193" s="6">
        <f>COUNTIF('Coder-3'!B:B,A193)</f>
        <v>0</v>
      </c>
      <c r="O193" s="6">
        <f>COUNTIF('Coder-4'!B:B,A193)</f>
        <v>0</v>
      </c>
    </row>
    <row r="194">
      <c r="A194" s="83">
        <v>103.0</v>
      </c>
      <c r="B194" s="86" t="str">
        <f>IFERROR(__xludf.DUMMYFUNCTION("IF(ISBLANK(A194),,FILTER('Leetcode List'!B:C,'Leetcode List'!A:A = A194))"),"Binary Tree Zigzag Level Order Traversal")</f>
        <v>Binary Tree Zigzag Level Order Traversal</v>
      </c>
      <c r="C194" s="83" t="str">
        <f>IFERROR(__xludf.DUMMYFUNCTION("""COMPUTED_VALUE"""),"Medium")</f>
        <v>Medium</v>
      </c>
      <c r="D194" s="83" t="s">
        <v>320</v>
      </c>
      <c r="E194" s="87" t="str">
        <f>IFERROR(__xludf.DUMMYFUNCTION("IF(ISBLANK(A194),,FILTER('Leetcode List'!E:J,'Leetcode List'!A:A = A194))"),"Flipkart,VMware,Adobe,Goldman Sachs,Qualtrics,ByteDance,Walmart Labs,ServiceNow,Oracle,EBay,Apple,Uber,Yahoo,Samsung,Bloomberg,Facebook,Amazon,LinkedIn,Microsoft,Google")</f>
        <v>Flipkart,VMware,Adobe,Goldman Sachs,Qualtrics,ByteDance,Walmart Labs,ServiceNow,Oracle,EBay,Apple,Uber,Yahoo,Samsung,Bloomberg,Facebook,Amazon,LinkedIn,Microsoft,Google</v>
      </c>
      <c r="F194" s="47" t="str">
        <f>IFERROR(__xludf.DUMMYFUNCTION("""COMPUTED_VALUE"""),"Amazon,Microsoft,Bloomberg,Apple,Qualtrics,Adobe,Facebook,Google,eBay,Goldman Sachs,ServiceNow,Oracle")</f>
        <v>Amazon,Microsoft,Bloomberg,Apple,Qualtrics,Adobe,Facebook,Google,eBay,Goldman Sachs,ServiceNow,Oracle</v>
      </c>
      <c r="G194" s="47" t="str">
        <f>IFERROR(__xludf.DUMMYFUNCTION("""COMPUTED_VALUE"""),"ByteDance,Uber,VMware,Flipkart,Amazon,Microsoft,Bloomberg,Apple,Qualtrics,Adobe,Facebook,Google,eBay,Goldman Sachs,ServiceNow,Oracle")</f>
        <v>ByteDance,Uber,VMware,Flipkart,Amazon,Microsoft,Bloomberg,Apple,Qualtrics,Adobe,Facebook,Google,eBay,Goldman Sachs,ServiceNow,Oracle</v>
      </c>
      <c r="H194" s="47" t="str">
        <f>IFERROR(__xludf.DUMMYFUNCTION("""COMPUTED_VALUE"""),"LinkedIn,Walmart Labs,Samsung,ByteDance,Uber,VMware,Flipkart,Amazon,Microsoft,Bloomberg,Apple,Qualtrics,Adobe,Facebook,Google,eBay,Goldman Sachs,ServiceNow,Oracle")</f>
        <v>LinkedIn,Walmart Labs,Samsung,ByteDance,Uber,VMware,Flipkart,Amazon,Microsoft,Bloomberg,Apple,Qualtrics,Adobe,Facebook,Google,eBay,Goldman Sachs,ServiceNow,Oracle</v>
      </c>
      <c r="I194" s="47">
        <f>IFERROR(__xludf.DUMMYFUNCTION("""COMPUTED_VALUE"""),50.28)</f>
        <v>50.28</v>
      </c>
      <c r="J194" s="47" t="str">
        <f>IFERROR(__xludf.DUMMYFUNCTION("""COMPUTED_VALUE"""),"算法")</f>
        <v>算法</v>
      </c>
      <c r="K194" s="47">
        <v>193.0</v>
      </c>
      <c r="L194" s="6">
        <f>COUNTIF('Coder-1'!B:B,A194)</f>
        <v>0</v>
      </c>
      <c r="M194" s="6">
        <f>COUNTIF('Coder-2'!B:B,A194)</f>
        <v>0</v>
      </c>
      <c r="N194" s="6">
        <f>COUNTIF('Coder-3'!B:B,A194)</f>
        <v>0</v>
      </c>
      <c r="O194" s="6">
        <f>COUNTIF('Coder-4'!B:B,A194)</f>
        <v>0</v>
      </c>
    </row>
    <row r="195">
      <c r="A195" s="83">
        <v>199.0</v>
      </c>
      <c r="B195" s="86" t="str">
        <f>IFERROR(__xludf.DUMMYFUNCTION("IF(ISBLANK(A195),,FILTER('Leetcode List'!B:C,'Leetcode List'!A:A = A195))"),"Binary Tree Right Side View")</f>
        <v>Binary Tree Right Side View</v>
      </c>
      <c r="C195" s="83" t="str">
        <f>IFERROR(__xludf.DUMMYFUNCTION("""COMPUTED_VALUE"""),"Medium")</f>
        <v>Medium</v>
      </c>
      <c r="D195" s="83" t="s">
        <v>320</v>
      </c>
      <c r="E195" s="87" t="str">
        <f>IFERROR(__xludf.DUMMYFUNCTION("IF(ISBLANK(A195),,FILTER('Leetcode List'!E:J,'Leetcode List'!A:A = A195))"),"Accolite,ServiceNow,Nvidia,SAP,Goldman Sachs,Google,Atlassian,ByteDance,VMware,Citadel,Walmart Labs,Paypal,Oracle,Mathworks,EBay,Apple,Uber,Bloomberg,Adobe,Facebook,Amazon,Microsoft")</f>
        <v>Accolite,ServiceNow,Nvidia,SAP,Goldman Sachs,Google,Atlassian,ByteDance,VMware,Citadel,Walmart Labs,Paypal,Oracle,Mathworks,EBay,Apple,Uber,Bloomberg,Adobe,Facebook,Amazon,Microsoft</v>
      </c>
      <c r="F195" s="47" t="str">
        <f>IFERROR(__xludf.DUMMYFUNCTION("""COMPUTED_VALUE"""),"Facebook,Amazon,ByteDance,Microsoft,Bloomberg,Apple,eBay")</f>
        <v>Facebook,Amazon,ByteDance,Microsoft,Bloomberg,Apple,eBay</v>
      </c>
      <c r="G195" s="47" t="str">
        <f>IFERROR(__xludf.DUMMYFUNCTION("""COMPUTED_VALUE"""),"Oracle,Walmart Labs,Accolite,Facebook,Amazon,ByteDance,Microsoft,Bloomberg,Apple,eBay")</f>
        <v>Oracle,Walmart Labs,Accolite,Facebook,Amazon,ByteDance,Microsoft,Bloomberg,Apple,eBay</v>
      </c>
      <c r="H195" s="47" t="str">
        <f>IFERROR(__xludf.DUMMYFUNCTION("""COMPUTED_VALUE"""),"Mathworks,Adobe,Google,Uber,SAP,ServiceNow,VMware,Atlassian,Goldman Sachs,Nvidia,Oracle,Walmart Labs,Accolite,Facebook,Amazon,ByteDance,Microsoft,Bloomberg,Apple,eBay")</f>
        <v>Mathworks,Adobe,Google,Uber,SAP,ServiceNow,VMware,Atlassian,Goldman Sachs,Nvidia,Oracle,Walmart Labs,Accolite,Facebook,Amazon,ByteDance,Microsoft,Bloomberg,Apple,eBay</v>
      </c>
      <c r="I195" s="47">
        <f>IFERROR(__xludf.DUMMYFUNCTION("""COMPUTED_VALUE"""),56.43)</f>
        <v>56.43</v>
      </c>
      <c r="J195" s="47" t="str">
        <f>IFERROR(__xludf.DUMMYFUNCTION("""COMPUTED_VALUE"""),"算法")</f>
        <v>算法</v>
      </c>
      <c r="K195" s="47">
        <v>194.0</v>
      </c>
      <c r="L195" s="6">
        <f>COUNTIF('Coder-1'!B:B,A195)</f>
        <v>0</v>
      </c>
      <c r="M195" s="6">
        <f>COUNTIF('Coder-2'!B:B,A195)</f>
        <v>0</v>
      </c>
      <c r="N195" s="6">
        <f>COUNTIF('Coder-3'!B:B,A195)</f>
        <v>0</v>
      </c>
      <c r="O195" s="6">
        <f>COUNTIF('Coder-4'!B:B,A195)</f>
        <v>0</v>
      </c>
    </row>
    <row r="196">
      <c r="A196" s="83">
        <v>98.0</v>
      </c>
      <c r="B196" s="86" t="str">
        <f>IFERROR(__xludf.DUMMYFUNCTION("IF(ISBLANK(A196),,FILTER('Leetcode List'!B:C,'Leetcode List'!A:A = A196))"),"Validate Binary Search Tree")</f>
        <v>Validate Binary Search Tree</v>
      </c>
      <c r="C196" s="83" t="str">
        <f>IFERROR(__xludf.DUMMYFUNCTION("""COMPUTED_VALUE"""),"Medium")</f>
        <v>Medium</v>
      </c>
      <c r="D196" s="83" t="s">
        <v>320</v>
      </c>
      <c r="E196" s="87" t="str">
        <f>IFERROR(__xludf.DUMMYFUNCTION("IF(ISBLANK(A196),,FILTER('Leetcode List'!E:J,'Leetcode List'!A:A = A196))"),"Qualtrics,Audible,ByteDance,Citadel,Zillow,Yahoo,Asana,TripAdvisor,Atlassian,Capital One,Salesforce,Visa,VMware,Walmart Labs,Oracle,Mathworks,Yandex,EBay,Apple,Uber,SAP,Bloomberg,Adobe,Facebook,Amazon,LinkedIn,Microsoft,Goldman Sachs,Google")</f>
        <v>Qualtrics,Audible,ByteDance,Citadel,Zillow,Yahoo,Asana,TripAdvisor,Atlassian,Capital One,Salesforce,Visa,VMware,Walmart Labs,Oracle,Mathworks,Yandex,EBay,Apple,Uber,SAP,Bloomberg,Adobe,Facebook,Amazon,LinkedIn,Microsoft,Goldman Sachs,Google</v>
      </c>
      <c r="F196" s="47" t="str">
        <f>IFERROR(__xludf.DUMMYFUNCTION("""COMPUTED_VALUE"""),"Bloomberg,Amazon,Microsoft,Facebook,Asana,Apple,Qualtrics,Zillow,Citadel,VMware,ByteDance,Oracle,Atlassian")</f>
        <v>Bloomberg,Amazon,Microsoft,Facebook,Asana,Apple,Qualtrics,Zillow,Citadel,VMware,ByteDance,Oracle,Atlassian</v>
      </c>
      <c r="G196" s="47" t="str">
        <f>IFERROR(__xludf.DUMMYFUNCTION("""COMPUTED_VALUE"""),"Google,Adobe,Yahoo,Walmart Labs,eBay,Bloomberg,Amazon,Microsoft,Facebook,Asana,Apple,Qualtrics,Zillow,Citadel,VMware,ByteDance,Oracle,Atlassian")</f>
        <v>Google,Adobe,Yahoo,Walmart Labs,eBay,Bloomberg,Amazon,Microsoft,Facebook,Asana,Apple,Qualtrics,Zillow,Citadel,VMware,ByteDance,Oracle,Atlassian</v>
      </c>
      <c r="H196" s="47" t="str">
        <f>IFERROR(__xludf.DUMMYFUNCTION("""COMPUTED_VALUE"""),"Yandex,Salesforce,Visa,Mathworks,Goldman Sachs,Audible,Google,Adobe,Yahoo,Walmart Labs,eBay,Bloomberg,Amazon,Microsoft,Facebook,Asana,Apple,Qualtrics,Zillow,Citadel,VMware,ByteDance,Oracle,Atlassian")</f>
        <v>Yandex,Salesforce,Visa,Mathworks,Goldman Sachs,Audible,Google,Adobe,Yahoo,Walmart Labs,eBay,Bloomberg,Amazon,Microsoft,Facebook,Asana,Apple,Qualtrics,Zillow,Citadel,VMware,ByteDance,Oracle,Atlassian</v>
      </c>
      <c r="I196" s="47">
        <f>IFERROR(__xludf.DUMMYFUNCTION("""COMPUTED_VALUE"""),28.84)</f>
        <v>28.84</v>
      </c>
      <c r="J196" s="47" t="str">
        <f>IFERROR(__xludf.DUMMYFUNCTION("""COMPUTED_VALUE"""),"算法")</f>
        <v>算法</v>
      </c>
      <c r="K196" s="47">
        <v>195.0</v>
      </c>
      <c r="L196" s="6">
        <f>COUNTIF('Coder-1'!B:B,A196)</f>
        <v>0</v>
      </c>
      <c r="M196" s="6">
        <f>COUNTIF('Coder-2'!B:B,A196)</f>
        <v>0</v>
      </c>
      <c r="N196" s="6">
        <f>COUNTIF('Coder-3'!B:B,A196)</f>
        <v>0</v>
      </c>
      <c r="O196" s="6">
        <f>COUNTIF('Coder-4'!B:B,A196)</f>
        <v>0</v>
      </c>
    </row>
    <row r="197">
      <c r="A197" s="83">
        <v>235.0</v>
      </c>
      <c r="B197" s="86" t="str">
        <f>IFERROR(__xludf.DUMMYFUNCTION("IF(ISBLANK(A197),,FILTER('Leetcode List'!B:C,'Leetcode List'!A:A = A197))"),"Lowest Common Ancestor of a Binary Search Tree")</f>
        <v>Lowest Common Ancestor of a Binary Search Tree</v>
      </c>
      <c r="C197" s="83" t="str">
        <f>IFERROR(__xludf.DUMMYFUNCTION("""COMPUTED_VALUE"""),"Easy")</f>
        <v>Easy</v>
      </c>
      <c r="D197" s="83" t="s">
        <v>320</v>
      </c>
      <c r="E197" s="87" t="str">
        <f>IFERROR(__xludf.DUMMYFUNCTION("IF(ISBLANK(A197),,FILTER('Leetcode List'!E:J,'Leetcode List'!A:A = A197))"),"Twitter,Oracle,Cisco,Uber,Bloomberg,Adobe,Facebook,Amazon,LinkedIn,Microsoft,Google")</f>
        <v>Twitter,Oracle,Cisco,Uber,Bloomberg,Adobe,Facebook,Amazon,LinkedIn,Microsoft,Google</v>
      </c>
      <c r="F197" s="47" t="str">
        <f>IFERROR(__xludf.DUMMYFUNCTION("""COMPUTED_VALUE"""),"Amazon,Facebook,LinkedIn,Oracle,Microsoft")</f>
        <v>Amazon,Facebook,LinkedIn,Oracle,Microsoft</v>
      </c>
      <c r="G197" s="47" t="str">
        <f>IFERROR(__xludf.DUMMYFUNCTION("""COMPUTED_VALUE"""),"Amazon,Facebook,LinkedIn,Oracle,Microsoft")</f>
        <v>Amazon,Facebook,LinkedIn,Oracle,Microsoft</v>
      </c>
      <c r="H197" s="47" t="str">
        <f>IFERROR(__xludf.DUMMYFUNCTION("""COMPUTED_VALUE"""),"Twitter,Amazon,Facebook,LinkedIn,Oracle,Microsoft")</f>
        <v>Twitter,Amazon,Facebook,LinkedIn,Oracle,Microsoft</v>
      </c>
      <c r="I197" s="47">
        <f>IFERROR(__xludf.DUMMYFUNCTION("""COMPUTED_VALUE"""),51.93)</f>
        <v>51.93</v>
      </c>
      <c r="J197" s="47" t="str">
        <f>IFERROR(__xludf.DUMMYFUNCTION("""COMPUTED_VALUE"""),"算法")</f>
        <v>算法</v>
      </c>
      <c r="K197" s="47">
        <v>196.0</v>
      </c>
      <c r="L197" s="6">
        <f>COUNTIF('Coder-1'!B:B,A197)</f>
        <v>0</v>
      </c>
      <c r="M197" s="6">
        <f>COUNTIF('Coder-2'!B:B,A197)</f>
        <v>0</v>
      </c>
      <c r="N197" s="6">
        <f>COUNTIF('Coder-3'!B:B,A197)</f>
        <v>0</v>
      </c>
      <c r="O197" s="6">
        <f>COUNTIF('Coder-4'!B:B,A197)</f>
        <v>0</v>
      </c>
    </row>
    <row r="198">
      <c r="A198" s="83">
        <v>236.0</v>
      </c>
      <c r="B198" s="86" t="str">
        <f>IFERROR(__xludf.DUMMYFUNCTION("IF(ISBLANK(A198),,FILTER('Leetcode List'!B:C,'Leetcode List'!A:A = A198))"),"Lowest Common Ancestor of a Binary Tree")</f>
        <v>Lowest Common Ancestor of a Binary Tree</v>
      </c>
      <c r="C198" s="83" t="str">
        <f>IFERROR(__xludf.DUMMYFUNCTION("""COMPUTED_VALUE"""),"Medium")</f>
        <v>Medium</v>
      </c>
      <c r="D198" s="83" t="s">
        <v>320</v>
      </c>
      <c r="E198" s="87" t="str">
        <f>IFERROR(__xludf.DUMMYFUNCTION("IF(ISBLANK(A198),,FILTER('Leetcode List'!E:J,'Leetcode List'!A:A = A198))"),"Pony.ai,Palantir Technologies,Roblox,VMware,Pinterest,Atlassian,Splunk,ByteDance,Salesforce,Visa,Walmart Labs,Zillow,Paypal,Oracle,Intuit,EBay,Apple,Airbnb,Uber,Yahoo,Bloomberg,Adobe,Facebook,Amazon,LinkedIn,Microsoft,Google")</f>
        <v>Pony.ai,Palantir Technologies,Roblox,VMware,Pinterest,Atlassian,Splunk,ByteDance,Salesforce,Visa,Walmart Labs,Zillow,Paypal,Oracle,Intuit,EBay,Apple,Airbnb,Uber,Yahoo,Bloomberg,Adobe,Facebook,Amazon,LinkedIn,Microsoft,Google</v>
      </c>
      <c r="F198" s="47" t="str">
        <f>IFERROR(__xludf.DUMMYFUNCTION("""COMPUTED_VALUE"""),"Facebook,Microsoft,Amazon,Oracle,LinkedIn,Apple,Bloomberg,Atlassian,Google,Uber,Zillow,Intuit,Palantir Technologies,Pony.ai")</f>
        <v>Facebook,Microsoft,Amazon,Oracle,LinkedIn,Apple,Bloomberg,Atlassian,Google,Uber,Zillow,Intuit,Palantir Technologies,Pony.ai</v>
      </c>
      <c r="G198" s="47" t="str">
        <f>IFERROR(__xludf.DUMMYFUNCTION("""COMPUTED_VALUE"""),"Adobe,ByteDance,Roblox,Facebook,Microsoft,Amazon,Oracle,LinkedIn,Apple,Bloomberg,Atlassian,Google,Uber,Zillow,Intuit,Palantir Technologies,Pony.ai")</f>
        <v>Adobe,ByteDance,Roblox,Facebook,Microsoft,Amazon,Oracle,LinkedIn,Apple,Bloomberg,Atlassian,Google,Uber,Zillow,Intuit,Palantir Technologies,Pony.ai</v>
      </c>
      <c r="H198" s="47" t="str">
        <f>IFERROR(__xludf.DUMMYFUNCTION("""COMPUTED_VALUE"""),"eBay,Airbnb,Visa,Paypal,VMware,Yahoo,Splunk,Adobe,ByteDance,Roblox,Facebook,Microsoft,Amazon,Oracle,LinkedIn,Apple,Bloomberg,Atlassian,Google,Uber,Zillow,Intuit,Palantir Technologies,Pony.ai")</f>
        <v>eBay,Airbnb,Visa,Paypal,VMware,Yahoo,Splunk,Adobe,ByteDance,Roblox,Facebook,Microsoft,Amazon,Oracle,LinkedIn,Apple,Bloomberg,Atlassian,Google,Uber,Zillow,Intuit,Palantir Technologies,Pony.ai</v>
      </c>
      <c r="I198" s="47">
        <f>IFERROR(__xludf.DUMMYFUNCTION("""COMPUTED_VALUE"""),49.03)</f>
        <v>49.03</v>
      </c>
      <c r="J198" s="47" t="str">
        <f>IFERROR(__xludf.DUMMYFUNCTION("""COMPUTED_VALUE"""),"算法")</f>
        <v>算法</v>
      </c>
      <c r="K198" s="47">
        <v>197.0</v>
      </c>
      <c r="L198" s="6">
        <f>COUNTIF('Coder-1'!B:B,A198)</f>
        <v>0</v>
      </c>
      <c r="M198" s="6">
        <f>COUNTIF('Coder-2'!B:B,A198)</f>
        <v>0</v>
      </c>
      <c r="N198" s="6">
        <f>COUNTIF('Coder-3'!B:B,A198)</f>
        <v>0</v>
      </c>
      <c r="O198" s="6">
        <f>COUNTIF('Coder-4'!B:B,A198)</f>
        <v>0</v>
      </c>
    </row>
    <row r="199">
      <c r="A199" s="83">
        <v>108.0</v>
      </c>
      <c r="B199" s="86" t="str">
        <f>IFERROR(__xludf.DUMMYFUNCTION("IF(ISBLANK(A199),,FILTER('Leetcode List'!B:C,'Leetcode List'!A:A = A199))"),"Convert Sorted Array to Binary Search Tree")</f>
        <v>Convert Sorted Array to Binary Search Tree</v>
      </c>
      <c r="C199" s="83" t="str">
        <f>IFERROR(__xludf.DUMMYFUNCTION("""COMPUTED_VALUE"""),"Easy")</f>
        <v>Easy</v>
      </c>
      <c r="D199" s="83" t="s">
        <v>320</v>
      </c>
      <c r="E199" s="87" t="str">
        <f>IFERROR(__xludf.DUMMYFUNCTION("IF(ISBLANK(A199),,FILTER('Leetcode List'!E:J,'Leetcode List'!A:A = A199))"),"VMware,Spotify,Adobe,Oracle,Cisco,Apple,Airbnb,Yahoo,Bloomberg,Facebook,Amazon,Microsoft,Google")</f>
        <v>VMware,Spotify,Adobe,Oracle,Cisco,Apple,Airbnb,Yahoo,Bloomberg,Facebook,Amazon,Microsoft,Google</v>
      </c>
      <c r="F199" s="47" t="str">
        <f>IFERROR(__xludf.DUMMYFUNCTION("""COMPUTED_VALUE"""),"Amazon,Adobe,Microsoft,Google,Bloomberg,Apple,Facebook")</f>
        <v>Amazon,Adobe,Microsoft,Google,Bloomberg,Apple,Facebook</v>
      </c>
      <c r="G199" s="47" t="str">
        <f>IFERROR(__xludf.DUMMYFUNCTION("""COMPUTED_VALUE"""),"VMware,Yahoo,Amazon,Adobe,Microsoft,Google,Bloomberg,Apple,Facebook")</f>
        <v>VMware,Yahoo,Amazon,Adobe,Microsoft,Google,Bloomberg,Apple,Facebook</v>
      </c>
      <c r="H199" s="47" t="str">
        <f>IFERROR(__xludf.DUMMYFUNCTION("""COMPUTED_VALUE"""),"Cisco,Oracle,Spotify,Airbnb,VMware,Yahoo,Amazon,Adobe,Microsoft,Google,Bloomberg,Apple,Facebook")</f>
        <v>Cisco,Oracle,Spotify,Airbnb,VMware,Yahoo,Amazon,Adobe,Microsoft,Google,Bloomberg,Apple,Facebook</v>
      </c>
      <c r="I199" s="47">
        <f>IFERROR(__xludf.DUMMYFUNCTION("""COMPUTED_VALUE"""),60.66)</f>
        <v>60.66</v>
      </c>
      <c r="J199" s="47" t="str">
        <f>IFERROR(__xludf.DUMMYFUNCTION("""COMPUTED_VALUE"""),"算法")</f>
        <v>算法</v>
      </c>
      <c r="K199" s="47">
        <v>198.0</v>
      </c>
      <c r="L199" s="6">
        <f>COUNTIF('Coder-1'!B:B,A199)</f>
        <v>0</v>
      </c>
      <c r="M199" s="6">
        <f>COUNTIF('Coder-2'!B:B,A199)</f>
        <v>0</v>
      </c>
      <c r="N199" s="6">
        <f>COUNTIF('Coder-3'!B:B,A199)</f>
        <v>0</v>
      </c>
      <c r="O199" s="6">
        <f>COUNTIF('Coder-4'!B:B,A199)</f>
        <v>0</v>
      </c>
    </row>
    <row r="200">
      <c r="A200" s="83">
        <v>109.0</v>
      </c>
      <c r="B200" s="86" t="str">
        <f>IFERROR(__xludf.DUMMYFUNCTION("IF(ISBLANK(A200),,FILTER('Leetcode List'!B:C,'Leetcode List'!A:A = A200))"),"Convert Sorted List to Binary Search Tree")</f>
        <v>Convert Sorted List to Binary Search Tree</v>
      </c>
      <c r="C200" s="83" t="str">
        <f>IFERROR(__xludf.DUMMYFUNCTION("""COMPUTED_VALUE"""),"Medium")</f>
        <v>Medium</v>
      </c>
      <c r="D200" s="83" t="s">
        <v>320</v>
      </c>
      <c r="E200" s="87" t="str">
        <f>IFERROR(__xludf.DUMMYFUNCTION("IF(ISBLANK(A200),,FILTER('Leetcode List'!E:J,'Leetcode List'!A:A = A200))"),"Zenefits,VMware,Oracle,Lyft,Bloomberg,Facebook,Amazon,Microsoft,Google")</f>
        <v>Zenefits,VMware,Oracle,Lyft,Bloomberg,Facebook,Amazon,Microsoft,Google</v>
      </c>
      <c r="F200" s="47" t="str">
        <f>IFERROR(__xludf.DUMMYFUNCTION("""COMPUTED_VALUE"""),"Facebook,Amazon,Oracle,Microsoft")</f>
        <v>Facebook,Amazon,Oracle,Microsoft</v>
      </c>
      <c r="G200" s="47" t="str">
        <f>IFERROR(__xludf.DUMMYFUNCTION("""COMPUTED_VALUE"""),"Google,Lyft,Facebook,Amazon,Oracle,Microsoft")</f>
        <v>Google,Lyft,Facebook,Amazon,Oracle,Microsoft</v>
      </c>
      <c r="H200" s="47" t="str">
        <f>IFERROR(__xludf.DUMMYFUNCTION("""COMPUTED_VALUE"""),"Bloomberg,Zenefits,Google,Lyft,Facebook,Amazon,Oracle,Microsoft")</f>
        <v>Bloomberg,Zenefits,Google,Lyft,Facebook,Amazon,Oracle,Microsoft</v>
      </c>
      <c r="I200" s="47">
        <f>IFERROR(__xludf.DUMMYFUNCTION("""COMPUTED_VALUE"""),50.42)</f>
        <v>50.42</v>
      </c>
      <c r="J200" s="47" t="str">
        <f>IFERROR(__xludf.DUMMYFUNCTION("""COMPUTED_VALUE"""),"算法")</f>
        <v>算法</v>
      </c>
      <c r="K200" s="47">
        <v>199.0</v>
      </c>
      <c r="L200" s="6">
        <f>COUNTIF('Coder-1'!B:B,A200)</f>
        <v>0</v>
      </c>
      <c r="M200" s="6">
        <f>COUNTIF('Coder-2'!B:B,A200)</f>
        <v>0</v>
      </c>
      <c r="N200" s="6">
        <f>COUNTIF('Coder-3'!B:B,A200)</f>
        <v>0</v>
      </c>
      <c r="O200" s="6">
        <f>COUNTIF('Coder-4'!B:B,A200)</f>
        <v>0</v>
      </c>
    </row>
    <row r="201">
      <c r="A201" s="83">
        <v>173.0</v>
      </c>
      <c r="B201" s="86" t="str">
        <f>IFERROR(__xludf.DUMMYFUNCTION("IF(ISBLANK(A201),,FILTER('Leetcode List'!B:C,'Leetcode List'!A:A = A201))"),"Binary Search Tree Iterator")</f>
        <v>Binary Search Tree Iterator</v>
      </c>
      <c r="C201" s="83" t="str">
        <f>IFERROR(__xludf.DUMMYFUNCTION("""COMPUTED_VALUE"""),"Medium")</f>
        <v>Medium</v>
      </c>
      <c r="D201" s="83" t="s">
        <v>320</v>
      </c>
      <c r="E201" s="87" t="str">
        <f>IFERROR(__xludf.DUMMYFUNCTION("IF(ISBLANK(A201),,FILTER('Leetcode List'!E:J,'Leetcode List'!A:A = A201))"),"JPMorgan,Zillow,Adobe,Cloudera,Qualtrics,Atlassian,Redfin,Splunk,ByteDance,Walmart Labs,Oracle,Cisco,EBay,Apple,Uber,Bloomberg,Facebook,Amazon,LinkedIn,Microsoft,Alibaba,Google")</f>
        <v>JPMorgan,Zillow,Adobe,Cloudera,Qualtrics,Atlassian,Redfin,Splunk,ByteDance,Walmart Labs,Oracle,Cisco,EBay,Apple,Uber,Bloomberg,Facebook,Amazon,LinkedIn,Microsoft,Alibaba,Google</v>
      </c>
      <c r="F201" s="47" t="str">
        <f>IFERROR(__xludf.DUMMYFUNCTION("""COMPUTED_VALUE"""),"Facebook,ByteDance,Bloomberg,Microsoft,Oracle,Google,Amazon,Apple,Adobe")</f>
        <v>Facebook,ByteDance,Bloomberg,Microsoft,Oracle,Google,Amazon,Apple,Adobe</v>
      </c>
      <c r="G201" s="47" t="str">
        <f>IFERROR(__xludf.DUMMYFUNCTION("""COMPUTED_VALUE"""),"Cloudera,Zillow,Atlassian,Facebook,ByteDance,Bloomberg,Microsoft,Oracle,Google,Amazon,Apple,Adobe")</f>
        <v>Cloudera,Zillow,Atlassian,Facebook,ByteDance,Bloomberg,Microsoft,Oracle,Google,Amazon,Apple,Adobe</v>
      </c>
      <c r="H201" s="47" t="str">
        <f>IFERROR(__xludf.DUMMYFUNCTION("""COMPUTED_VALUE"""),"Uber,Qualtrics,LinkedIn,eBay,JPMorgan,Cloudera,Zillow,Atlassian,Facebook,ByteDance,Bloomberg,Microsoft,Oracle,Google,Amazon,Apple,Adobe")</f>
        <v>Uber,Qualtrics,LinkedIn,eBay,JPMorgan,Cloudera,Zillow,Atlassian,Facebook,ByteDance,Bloomberg,Microsoft,Oracle,Google,Amazon,Apple,Adobe</v>
      </c>
      <c r="I201" s="47">
        <f>IFERROR(__xludf.DUMMYFUNCTION("""COMPUTED_VALUE"""),60.37)</f>
        <v>60.37</v>
      </c>
      <c r="J201" s="47" t="str">
        <f>IFERROR(__xludf.DUMMYFUNCTION("""COMPUTED_VALUE"""),"算法")</f>
        <v>算法</v>
      </c>
      <c r="K201" s="47">
        <v>200.0</v>
      </c>
      <c r="L201" s="6">
        <f>COUNTIF('Coder-1'!B:B,A201)</f>
        <v>0</v>
      </c>
      <c r="M201" s="6">
        <f>COUNTIF('Coder-2'!B:B,A201)</f>
        <v>0</v>
      </c>
      <c r="N201" s="6">
        <f>COUNTIF('Coder-3'!B:B,A201)</f>
        <v>0</v>
      </c>
      <c r="O201" s="6">
        <f>COUNTIF('Coder-4'!B:B,A201)</f>
        <v>0</v>
      </c>
    </row>
    <row r="202">
      <c r="A202" s="83">
        <v>230.0</v>
      </c>
      <c r="B202" s="86" t="str">
        <f>IFERROR(__xludf.DUMMYFUNCTION("IF(ISBLANK(A202),,FILTER('Leetcode List'!B:C,'Leetcode List'!A:A = A202))"),"Kth Smallest Element in a BST")</f>
        <v>Kth Smallest Element in a BST</v>
      </c>
      <c r="C202" s="83" t="str">
        <f>IFERROR(__xludf.DUMMYFUNCTION("""COMPUTED_VALUE"""),"Medium")</f>
        <v>Medium</v>
      </c>
      <c r="D202" s="83" t="s">
        <v>320</v>
      </c>
      <c r="E202" s="87" t="str">
        <f>IFERROR(__xludf.DUMMYFUNCTION("IF(ISBLANK(A202),,FILTER('Leetcode List'!E:J,'Leetcode List'!A:A = A202))"),"Adobe,LinkedIn,TripleByte,Hulu,VMware,Affirm,Oracle,Apple,Uber,Bloomberg,Facebook,Amazon,Microsoft,Google")</f>
        <v>Adobe,LinkedIn,TripleByte,Hulu,VMware,Affirm,Oracle,Apple,Uber,Bloomberg,Facebook,Amazon,Microsoft,Google</v>
      </c>
      <c r="F202" s="47" t="str">
        <f>IFERROR(__xludf.DUMMYFUNCTION("""COMPUTED_VALUE"""),"Amazon,Facebook,Adobe,Oracle,Microsoft,Apple")</f>
        <v>Amazon,Facebook,Adobe,Oracle,Microsoft,Apple</v>
      </c>
      <c r="G202" s="47" t="str">
        <f>IFERROR(__xludf.DUMMYFUNCTION("""COMPUTED_VALUE"""),"Bloomberg,Google,Amazon,Facebook,Adobe,Oracle,Microsoft,Apple")</f>
        <v>Bloomberg,Google,Amazon,Facebook,Adobe,Oracle,Microsoft,Apple</v>
      </c>
      <c r="H202" s="47" t="str">
        <f>IFERROR(__xludf.DUMMYFUNCTION("""COMPUTED_VALUE"""),"TripleByte,Uber,LinkedIn,VMware,Hulu,Bloomberg,Google,Amazon,Facebook,Adobe,Oracle,Microsoft,Apple")</f>
        <v>TripleByte,Uber,LinkedIn,VMware,Hulu,Bloomberg,Google,Amazon,Facebook,Adobe,Oracle,Microsoft,Apple</v>
      </c>
      <c r="I202" s="47">
        <f>IFERROR(__xludf.DUMMYFUNCTION("""COMPUTED_VALUE"""),62.77)</f>
        <v>62.77</v>
      </c>
      <c r="J202" s="47" t="str">
        <f>IFERROR(__xludf.DUMMYFUNCTION("""COMPUTED_VALUE"""),"算法")</f>
        <v>算法</v>
      </c>
      <c r="K202" s="47">
        <v>201.0</v>
      </c>
      <c r="L202" s="6">
        <f>COUNTIF('Coder-1'!B:B,A202)</f>
        <v>0</v>
      </c>
      <c r="M202" s="6">
        <f>COUNTIF('Coder-2'!B:B,A202)</f>
        <v>0</v>
      </c>
      <c r="N202" s="6">
        <f>COUNTIF('Coder-3'!B:B,A202)</f>
        <v>0</v>
      </c>
      <c r="O202" s="6">
        <f>COUNTIF('Coder-4'!B:B,A202)</f>
        <v>0</v>
      </c>
    </row>
    <row r="203">
      <c r="A203" s="83">
        <v>297.0</v>
      </c>
      <c r="B203" s="86" t="str">
        <f>IFERROR(__xludf.DUMMYFUNCTION("IF(ISBLANK(A203),,FILTER('Leetcode List'!B:C,'Leetcode List'!A:A = A203))"),"Serialize and Deserialize Binary Tree")</f>
        <v>Serialize and Deserialize Binary Tree</v>
      </c>
      <c r="C203" s="83" t="str">
        <f>IFERROR(__xludf.DUMMYFUNCTION("""COMPUTED_VALUE"""),"Hard")</f>
        <v>Hard</v>
      </c>
      <c r="D203" s="83" t="s">
        <v>320</v>
      </c>
      <c r="E203" s="87" t="str">
        <f>IFERROR(__xludf.DUMMYFUNCTION("IF(ISBLANK(A203),,FILTER('Leetcode List'!E:J,'Leetcode List'!A:A = A203))"),"Square,Walmart Labs,Paypal,Qualtrics,Tableau,Salesforce,Groupon,VMware,Citadel,Quora,Snapchat,Indeed,Expedia,Oracle,EBay,Apple,Uber,Yahoo,Bloomberg,Facebook,Amazon,LinkedIn,Microsoft,Google")</f>
        <v>Square,Walmart Labs,Paypal,Qualtrics,Tableau,Salesforce,Groupon,VMware,Citadel,Quora,Snapchat,Indeed,Expedia,Oracle,EBay,Apple,Uber,Yahoo,Bloomberg,Facebook,Amazon,LinkedIn,Microsoft,Google</v>
      </c>
      <c r="F203" s="47" t="str">
        <f>IFERROR(__xludf.DUMMYFUNCTION("""COMPUTED_VALUE"""),"Facebook,Amazon,Microsoft,LinkedIn,Uber,Bloomberg,eBay,Quora,Google,Oracle,Qualtrics,Citadel,Walmart Labs")</f>
        <v>Facebook,Amazon,Microsoft,LinkedIn,Uber,Bloomberg,eBay,Quora,Google,Oracle,Qualtrics,Citadel,Walmart Labs</v>
      </c>
      <c r="G203" s="47" t="str">
        <f>IFERROR(__xludf.DUMMYFUNCTION("""COMPUTED_VALUE"""),"Apple,Snapchat,VMware,Square,Facebook,Amazon,Microsoft,LinkedIn,Uber,Bloomberg,eBay,Quora,Google,Oracle,Qualtrics,Citadel,Walmart Labs")</f>
        <v>Apple,Snapchat,VMware,Square,Facebook,Amazon,Microsoft,LinkedIn,Uber,Bloomberg,eBay,Quora,Google,Oracle,Qualtrics,Citadel,Walmart Labs</v>
      </c>
      <c r="H203" s="47" t="str">
        <f>IFERROR(__xludf.DUMMYFUNCTION("""COMPUTED_VALUE"""),"Expedia,Paypal,Yahoo,Apple,Snapchat,VMware,Square,Facebook,Amazon,Microsoft,LinkedIn,Uber,Bloomberg,eBay,Quora,Google,Oracle,Qualtrics,Citadel,Walmart Labs")</f>
        <v>Expedia,Paypal,Yahoo,Apple,Snapchat,VMware,Square,Facebook,Amazon,Microsoft,LinkedIn,Uber,Bloomberg,eBay,Quora,Google,Oracle,Qualtrics,Citadel,Walmart Labs</v>
      </c>
      <c r="I203" s="47">
        <f>IFERROR(__xludf.DUMMYFUNCTION("""COMPUTED_VALUE"""),49.99)</f>
        <v>49.99</v>
      </c>
      <c r="J203" s="47" t="str">
        <f>IFERROR(__xludf.DUMMYFUNCTION("""COMPUTED_VALUE"""),"算法")</f>
        <v>算法</v>
      </c>
      <c r="K203" s="47">
        <v>202.0</v>
      </c>
      <c r="L203" s="6">
        <f>COUNTIF('Coder-1'!B:B,A203)</f>
        <v>0</v>
      </c>
      <c r="M203" s="6">
        <f>COUNTIF('Coder-2'!B:B,A203)</f>
        <v>0</v>
      </c>
      <c r="N203" s="6">
        <f>COUNTIF('Coder-3'!B:B,A203)</f>
        <v>0</v>
      </c>
      <c r="O203" s="6">
        <f>COUNTIF('Coder-4'!B:B,A203)</f>
        <v>0</v>
      </c>
    </row>
    <row r="204">
      <c r="A204" s="83">
        <v>285.0</v>
      </c>
      <c r="B204" s="86" t="str">
        <f>IFERROR(__xludf.DUMMYFUNCTION("IF(ISBLANK(A204),,FILTER('Leetcode List'!B:C,'Leetcode List'!A:A = A204))"),"Inorder Successor in BST")</f>
        <v>Inorder Successor in BST</v>
      </c>
      <c r="C204" s="83" t="str">
        <f>IFERROR(__xludf.DUMMYFUNCTION("""COMPUTED_VALUE"""),"Medium")</f>
        <v>Medium</v>
      </c>
      <c r="D204" s="83" t="s">
        <v>320</v>
      </c>
      <c r="E204" s="87" t="str">
        <f>IFERROR(__xludf.DUMMYFUNCTION("IF(ISBLANK(A204),,FILTER('Leetcode List'!E:J,'Leetcode List'!A:A = A204))"),"Adobe,Quip (Salesforce),Pocket Gems,Palantir Technologies,Citadel,Zillow,Bloomberg,Facebook,Amazon,Microsoft,Google")</f>
        <v>Adobe,Quip (Salesforce),Pocket Gems,Palantir Technologies,Citadel,Zillow,Bloomberg,Facebook,Amazon,Microsoft,Google</v>
      </c>
      <c r="F204" s="47" t="str">
        <f>IFERROR(__xludf.DUMMYFUNCTION("""COMPUTED_VALUE"""),"Amazon,Microsoft")</f>
        <v>Amazon,Microsoft</v>
      </c>
      <c r="G204" s="47" t="str">
        <f>IFERROR(__xludf.DUMMYFUNCTION("""COMPUTED_VALUE"""),"Citadel,Facebook,Google,Bloomberg,Amazon,Microsoft")</f>
        <v>Citadel,Facebook,Google,Bloomberg,Amazon,Microsoft</v>
      </c>
      <c r="H204" s="47" t="str">
        <f>IFERROR(__xludf.DUMMYFUNCTION("""COMPUTED_VALUE"""),"Quip (Salesforce),Zillow,Adobe,Pocket Gems,Citadel,Facebook,Google,Bloomberg,Amazon,Microsoft")</f>
        <v>Quip (Salesforce),Zillow,Adobe,Pocket Gems,Citadel,Facebook,Google,Bloomberg,Amazon,Microsoft</v>
      </c>
      <c r="I204" s="47">
        <f>IFERROR(__xludf.DUMMYFUNCTION("""COMPUTED_VALUE"""),43.08)</f>
        <v>43.08</v>
      </c>
      <c r="J204" s="47" t="str">
        <f>IFERROR(__xludf.DUMMYFUNCTION("""COMPUTED_VALUE"""),"算法")</f>
        <v>算法</v>
      </c>
      <c r="K204" s="47">
        <v>203.0</v>
      </c>
      <c r="L204" s="6">
        <f>COUNTIF('Coder-1'!B:B,A204)</f>
        <v>0</v>
      </c>
      <c r="M204" s="6">
        <f>COUNTIF('Coder-2'!B:B,A204)</f>
        <v>0</v>
      </c>
      <c r="N204" s="6">
        <f>COUNTIF('Coder-3'!B:B,A204)</f>
        <v>0</v>
      </c>
      <c r="O204" s="6">
        <f>COUNTIF('Coder-4'!B:B,A204)</f>
        <v>0</v>
      </c>
    </row>
    <row r="205">
      <c r="A205" s="83">
        <v>270.0</v>
      </c>
      <c r="B205" s="86" t="str">
        <f>IFERROR(__xludf.DUMMYFUNCTION("IF(ISBLANK(A205),,FILTER('Leetcode List'!B:C,'Leetcode List'!A:A = A205))"),"Closest Binary Search Tree Value")</f>
        <v>Closest Binary Search Tree Value</v>
      </c>
      <c r="C205" s="83" t="str">
        <f>IFERROR(__xludf.DUMMYFUNCTION("""COMPUTED_VALUE"""),"Easy")</f>
        <v>Easy</v>
      </c>
      <c r="D205" s="83" t="s">
        <v>320</v>
      </c>
      <c r="E205" s="87" t="str">
        <f>IFERROR(__xludf.DUMMYFUNCTION("IF(ISBLANK(A205),,FILTER('Leetcode List'!E:J,'Leetcode List'!A:A = A205))"),"Coupang,Snapchat,Bloomberg,Facebook,Amazon,LinkedIn,Microsoft,Google")</f>
        <v>Coupang,Snapchat,Bloomberg,Facebook,Amazon,LinkedIn,Microsoft,Google</v>
      </c>
      <c r="F205" s="47" t="str">
        <f>IFERROR(__xludf.DUMMYFUNCTION("""COMPUTED_VALUE"""),"Facebook,Bloomberg,Microsoft")</f>
        <v>Facebook,Bloomberg,Microsoft</v>
      </c>
      <c r="G205" s="47" t="str">
        <f>IFERROR(__xludf.DUMMYFUNCTION("""COMPUTED_VALUE"""),"Amazon,Facebook,Bloomberg,Microsoft")</f>
        <v>Amazon,Facebook,Bloomberg,Microsoft</v>
      </c>
      <c r="H205" s="47" t="str">
        <f>IFERROR(__xludf.DUMMYFUNCTION("""COMPUTED_VALUE"""),"Google,Coupang,Snapchat,Amazon,Facebook,Bloomberg,Microsoft")</f>
        <v>Google,Coupang,Snapchat,Amazon,Facebook,Bloomberg,Microsoft</v>
      </c>
      <c r="I205" s="47">
        <f>IFERROR(__xludf.DUMMYFUNCTION("""COMPUTED_VALUE"""),50.09)</f>
        <v>50.09</v>
      </c>
      <c r="J205" s="47" t="str">
        <f>IFERROR(__xludf.DUMMYFUNCTION("""COMPUTED_VALUE"""),"算法")</f>
        <v>算法</v>
      </c>
      <c r="K205" s="47">
        <v>204.0</v>
      </c>
      <c r="L205" s="6">
        <f>COUNTIF('Coder-1'!B:B,A205)</f>
        <v>0</v>
      </c>
      <c r="M205" s="6">
        <f>COUNTIF('Coder-2'!B:B,A205)</f>
        <v>0</v>
      </c>
      <c r="N205" s="6">
        <f>COUNTIF('Coder-3'!B:B,A205)</f>
        <v>0</v>
      </c>
      <c r="O205" s="6">
        <f>COUNTIF('Coder-4'!B:B,A205)</f>
        <v>0</v>
      </c>
    </row>
    <row r="206">
      <c r="A206" s="83">
        <v>272.0</v>
      </c>
      <c r="B206" s="86" t="str">
        <f>IFERROR(__xludf.DUMMYFUNCTION("IF(ISBLANK(A206),,FILTER('Leetcode List'!B:C,'Leetcode List'!A:A = A206))"),"Closest Binary Search Tree Value II")</f>
        <v>Closest Binary Search Tree Value II</v>
      </c>
      <c r="C206" s="83" t="str">
        <f>IFERROR(__xludf.DUMMYFUNCTION("""COMPUTED_VALUE"""),"Hard")</f>
        <v>Hard</v>
      </c>
      <c r="D206" s="83" t="s">
        <v>320</v>
      </c>
      <c r="E206" s="87" t="str">
        <f>IFERROR(__xludf.DUMMYFUNCTION("IF(ISBLANK(A206),,FILTER('Leetcode List'!E:J,'Leetcode List'!A:A = A206))"),"Oracle,ForUsAll,Facebook,Amazon,LinkedIn,Google")</f>
        <v>Oracle,ForUsAll,Facebook,Amazon,LinkedIn,Google</v>
      </c>
      <c r="F206" s="47" t="str">
        <f>IFERROR(__xludf.DUMMYFUNCTION("""COMPUTED_VALUE"""),"LinkedIn,Oracle")</f>
        <v>LinkedIn,Oracle</v>
      </c>
      <c r="G206" s="47" t="str">
        <f>IFERROR(__xludf.DUMMYFUNCTION("""COMPUTED_VALUE"""),"Facebook,LinkedIn,Oracle")</f>
        <v>Facebook,LinkedIn,Oracle</v>
      </c>
      <c r="H206" s="47" t="str">
        <f>IFERROR(__xludf.DUMMYFUNCTION("""COMPUTED_VALUE"""),"Amazon,Google,Facebook,LinkedIn,Oracle")</f>
        <v>Amazon,Google,Facebook,LinkedIn,Oracle</v>
      </c>
      <c r="I206" s="47">
        <f>IFERROR(__xludf.DUMMYFUNCTION("""COMPUTED_VALUE"""),52.47)</f>
        <v>52.47</v>
      </c>
      <c r="J206" s="47" t="str">
        <f>IFERROR(__xludf.DUMMYFUNCTION("""COMPUTED_VALUE"""),"算法")</f>
        <v>算法</v>
      </c>
      <c r="K206" s="47">
        <v>205.0</v>
      </c>
      <c r="L206" s="6">
        <f>COUNTIF('Coder-1'!B:B,A206)</f>
        <v>0</v>
      </c>
      <c r="M206" s="6">
        <f>COUNTIF('Coder-2'!B:B,A206)</f>
        <v>0</v>
      </c>
      <c r="N206" s="6">
        <f>COUNTIF('Coder-3'!B:B,A206)</f>
        <v>0</v>
      </c>
      <c r="O206" s="6">
        <f>COUNTIF('Coder-4'!B:B,A206)</f>
        <v>0</v>
      </c>
    </row>
    <row r="207">
      <c r="A207" s="83">
        <v>99.0</v>
      </c>
      <c r="B207" s="86" t="str">
        <f>IFERROR(__xludf.DUMMYFUNCTION("IF(ISBLANK(A207),,FILTER('Leetcode List'!B:C,'Leetcode List'!A:A = A207))"),"Recover Binary Search Tree")</f>
        <v>Recover Binary Search Tree</v>
      </c>
      <c r="C207" s="83" t="str">
        <f>IFERROR(__xludf.DUMMYFUNCTION("""COMPUTED_VALUE"""),"Hard")</f>
        <v>Hard</v>
      </c>
      <c r="D207" s="83" t="s">
        <v>320</v>
      </c>
      <c r="E207" s="87" t="str">
        <f>IFERROR(__xludf.DUMMYFUNCTION("IF(ISBLANK(A207),,FILTER('Leetcode List'!E:J,'Leetcode List'!A:A = A207))"),"ByteDance,VMware,Oracle,Uber,Bloomberg,Facebook,Amazon,Microsoft,Goldman Sachs,Google")</f>
        <v>ByteDance,VMware,Oracle,Uber,Bloomberg,Facebook,Amazon,Microsoft,Goldman Sachs,Google</v>
      </c>
      <c r="F207" s="47" t="str">
        <f>IFERROR(__xludf.DUMMYFUNCTION("""COMPUTED_VALUE"""),"Oracle,Microsoft,Amazon,Uber")</f>
        <v>Oracle,Microsoft,Amazon,Uber</v>
      </c>
      <c r="G207" s="47" t="str">
        <f>IFERROR(__xludf.DUMMYFUNCTION("""COMPUTED_VALUE"""),"Google,ByteDance,Oracle,Microsoft,Amazon,Uber")</f>
        <v>Google,ByteDance,Oracle,Microsoft,Amazon,Uber</v>
      </c>
      <c r="H207" s="47" t="str">
        <f>IFERROR(__xludf.DUMMYFUNCTION("""COMPUTED_VALUE"""),"Bloomberg,Goldman Sachs,VMware,Google,ByteDance,Oracle,Microsoft,Amazon,Uber")</f>
        <v>Bloomberg,Goldman Sachs,VMware,Google,ByteDance,Oracle,Microsoft,Amazon,Uber</v>
      </c>
      <c r="I207" s="47">
        <f>IFERROR(__xludf.DUMMYFUNCTION("""COMPUTED_VALUE"""),42.6)</f>
        <v>42.6</v>
      </c>
      <c r="J207" s="47" t="str">
        <f>IFERROR(__xludf.DUMMYFUNCTION("""COMPUTED_VALUE"""),"算法")</f>
        <v>算法</v>
      </c>
      <c r="K207" s="47">
        <v>206.0</v>
      </c>
      <c r="L207" s="6">
        <f>COUNTIF('Coder-1'!B:B,A207)</f>
        <v>0</v>
      </c>
      <c r="M207" s="6">
        <f>COUNTIF('Coder-2'!B:B,A207)</f>
        <v>0</v>
      </c>
      <c r="N207" s="6">
        <f>COUNTIF('Coder-3'!B:B,A207)</f>
        <v>0</v>
      </c>
      <c r="O207" s="6">
        <f>COUNTIF('Coder-4'!B:B,A207)</f>
        <v>0</v>
      </c>
    </row>
    <row r="208">
      <c r="A208" s="83">
        <v>156.0</v>
      </c>
      <c r="B208" s="86" t="str">
        <f>IFERROR(__xludf.DUMMYFUNCTION("IF(ISBLANK(A208),,FILTER('Leetcode List'!B:C,'Leetcode List'!A:A = A208))"),"Binary Tree Upside Down")</f>
        <v>Binary Tree Upside Down</v>
      </c>
      <c r="C208" s="83" t="str">
        <f>IFERROR(__xludf.DUMMYFUNCTION("""COMPUTED_VALUE"""),"Medium")</f>
        <v>Medium</v>
      </c>
      <c r="D208" s="83" t="s">
        <v>320</v>
      </c>
      <c r="E208" s="87" t="str">
        <f>IFERROR(__xludf.DUMMYFUNCTION("IF(ISBLANK(A208),,FILTER('Leetcode List'!E:J,'Leetcode List'!A:A = A208))"),"LinkedIn,Google")</f>
        <v>LinkedIn,Google</v>
      </c>
      <c r="F208" s="47"/>
      <c r="G208" s="47" t="str">
        <f>IFERROR(__xludf.DUMMYFUNCTION("""COMPUTED_VALUE"""),"LinkedIn")</f>
        <v>LinkedIn</v>
      </c>
      <c r="H208" s="47" t="str">
        <f>IFERROR(__xludf.DUMMYFUNCTION("""COMPUTED_VALUE"""),"LinkedIn")</f>
        <v>LinkedIn</v>
      </c>
      <c r="I208" s="47">
        <f>IFERROR(__xludf.DUMMYFUNCTION("""COMPUTED_VALUE"""),56.49)</f>
        <v>56.49</v>
      </c>
      <c r="J208" s="47" t="str">
        <f>IFERROR(__xludf.DUMMYFUNCTION("""COMPUTED_VALUE"""),"算法")</f>
        <v>算法</v>
      </c>
      <c r="K208" s="47">
        <v>207.0</v>
      </c>
      <c r="L208" s="6">
        <f>COUNTIF('Coder-1'!B:B,A208)</f>
        <v>0</v>
      </c>
      <c r="M208" s="6">
        <f>COUNTIF('Coder-2'!B:B,A208)</f>
        <v>0</v>
      </c>
      <c r="N208" s="6">
        <f>COUNTIF('Coder-3'!B:B,A208)</f>
        <v>0</v>
      </c>
      <c r="O208" s="6">
        <f>COUNTIF('Coder-4'!B:B,A208)</f>
        <v>0</v>
      </c>
    </row>
    <row r="209">
      <c r="A209" s="83">
        <v>114.0</v>
      </c>
      <c r="B209" s="86" t="str">
        <f>IFERROR(__xludf.DUMMYFUNCTION("IF(ISBLANK(A209),,FILTER('Leetcode List'!B:C,'Leetcode List'!A:A = A209))"),"Flatten Binary Tree to Linked List")</f>
        <v>Flatten Binary Tree to Linked List</v>
      </c>
      <c r="C209" s="83" t="str">
        <f>IFERROR(__xludf.DUMMYFUNCTION("""COMPUTED_VALUE"""),"Medium")</f>
        <v>Medium</v>
      </c>
      <c r="D209" s="83" t="s">
        <v>320</v>
      </c>
      <c r="E209" s="87" t="str">
        <f>IFERROR(__xludf.DUMMYFUNCTION("IF(ISBLANK(A209),,FILTER('Leetcode List'!E:J,'Leetcode List'!A:A = A209))"),"ByteDance,Databricks,Coupang,Nvidia,Oracle,Apple,Uber,Yahoo,Bloomberg,Adobe,Facebook,Amazon,Microsoft,Google")</f>
        <v>ByteDance,Databricks,Coupang,Nvidia,Oracle,Apple,Uber,Yahoo,Bloomberg,Adobe,Facebook,Amazon,Microsoft,Google</v>
      </c>
      <c r="F209" s="47" t="str">
        <f>IFERROR(__xludf.DUMMYFUNCTION("""COMPUTED_VALUE"""),"Facebook,Amazon,Microsoft")</f>
        <v>Facebook,Amazon,Microsoft</v>
      </c>
      <c r="G209" s="47" t="str">
        <f>IFERROR(__xludf.DUMMYFUNCTION("""COMPUTED_VALUE"""),"Bloomberg,Adobe,Google,ByteDance,Facebook,Amazon,Microsoft")</f>
        <v>Bloomberg,Adobe,Google,ByteDance,Facebook,Amazon,Microsoft</v>
      </c>
      <c r="H209" s="47" t="str">
        <f>IFERROR(__xludf.DUMMYFUNCTION("""COMPUTED_VALUE"""),"Oracle,Coupang,Apple,Nvidia,Uber,Yahoo,Databricks,Bloomberg,Adobe,Google,ByteDance,Facebook,Amazon,Microsoft")</f>
        <v>Oracle,Coupang,Apple,Nvidia,Uber,Yahoo,Databricks,Bloomberg,Adobe,Google,ByteDance,Facebook,Amazon,Microsoft</v>
      </c>
      <c r="I209" s="47">
        <f>IFERROR(__xludf.DUMMYFUNCTION("""COMPUTED_VALUE"""),52.17)</f>
        <v>52.17</v>
      </c>
      <c r="J209" s="47" t="str">
        <f>IFERROR(__xludf.DUMMYFUNCTION("""COMPUTED_VALUE"""),"算法")</f>
        <v>算法</v>
      </c>
      <c r="K209" s="47">
        <v>208.0</v>
      </c>
      <c r="L209" s="6">
        <f>COUNTIF('Coder-1'!B:B,A209)</f>
        <v>0</v>
      </c>
      <c r="M209" s="6">
        <f>COUNTIF('Coder-2'!B:B,A209)</f>
        <v>0</v>
      </c>
      <c r="N209" s="6">
        <f>COUNTIF('Coder-3'!B:B,A209)</f>
        <v>0</v>
      </c>
      <c r="O209" s="6">
        <f>COUNTIF('Coder-4'!B:B,A209)</f>
        <v>0</v>
      </c>
    </row>
    <row r="210">
      <c r="A210" s="83">
        <v>255.0</v>
      </c>
      <c r="B210" s="86" t="str">
        <f>IFERROR(__xludf.DUMMYFUNCTION("IF(ISBLANK(A210),,FILTER('Leetcode List'!B:C,'Leetcode List'!A:A = A210))"),"Verify Preorder Sequence in Binary Search Tree")</f>
        <v>Verify Preorder Sequence in Binary Search Tree</v>
      </c>
      <c r="C210" s="83" t="str">
        <f>IFERROR(__xludf.DUMMYFUNCTION("""COMPUTED_VALUE"""),"Medium")</f>
        <v>Medium</v>
      </c>
      <c r="D210" s="83" t="s">
        <v>320</v>
      </c>
      <c r="E210" s="87" t="str">
        <f>IFERROR(__xludf.DUMMYFUNCTION("IF(ISBLANK(A210),,FILTER('Leetcode List'!E:J,'Leetcode List'!A:A = A210))"),"VMware,Zenefits,Walmart Labs,Mathworks,Uber")</f>
        <v>VMware,Zenefits,Walmart Labs,Mathworks,Uber</v>
      </c>
      <c r="F210" s="47" t="str">
        <f>IFERROR(__xludf.DUMMYFUNCTION("""COMPUTED_VALUE"""),"VMware")</f>
        <v>VMware</v>
      </c>
      <c r="G210" s="47" t="str">
        <f>IFERROR(__xludf.DUMMYFUNCTION("""COMPUTED_VALUE"""),"VMware")</f>
        <v>VMware</v>
      </c>
      <c r="H210" s="47" t="str">
        <f>IFERROR(__xludf.DUMMYFUNCTION("""COMPUTED_VALUE"""),"Mathworks,Walmart Labs,Zenefits,VMware")</f>
        <v>Mathworks,Walmart Labs,Zenefits,VMware</v>
      </c>
      <c r="I210" s="47">
        <f>IFERROR(__xludf.DUMMYFUNCTION("""COMPUTED_VALUE"""),46.26)</f>
        <v>46.26</v>
      </c>
      <c r="J210" s="47" t="str">
        <f>IFERROR(__xludf.DUMMYFUNCTION("""COMPUTED_VALUE"""),"算法")</f>
        <v>算法</v>
      </c>
      <c r="K210" s="47">
        <v>209.0</v>
      </c>
      <c r="L210" s="6">
        <f>COUNTIF('Coder-1'!B:B,A210)</f>
        <v>0</v>
      </c>
      <c r="M210" s="6">
        <f>COUNTIF('Coder-2'!B:B,A210)</f>
        <v>0</v>
      </c>
      <c r="N210" s="6">
        <f>COUNTIF('Coder-3'!B:B,A210)</f>
        <v>0</v>
      </c>
      <c r="O210" s="6">
        <f>COUNTIF('Coder-4'!B:B,A210)</f>
        <v>0</v>
      </c>
    </row>
    <row r="211">
      <c r="A211" s="83">
        <v>333.0</v>
      </c>
      <c r="B211" s="86" t="str">
        <f>IFERROR(__xludf.DUMMYFUNCTION("IF(ISBLANK(A211),,FILTER('Leetcode List'!B:C,'Leetcode List'!A:A = A211))"),"Largest BST Subtree")</f>
        <v>Largest BST Subtree</v>
      </c>
      <c r="C211" s="83" t="str">
        <f>IFERROR(__xludf.DUMMYFUNCTION("""COMPUTED_VALUE"""),"Medium")</f>
        <v>Medium</v>
      </c>
      <c r="D211" s="83" t="s">
        <v>320</v>
      </c>
      <c r="E211" s="87" t="str">
        <f>IFERROR(__xludf.DUMMYFUNCTION("IF(ISBLANK(A211),,FILTER('Leetcode List'!E:J,'Leetcode List'!A:A = A211))"),"Bloomberg,Lyft,Apple,Facebook,Amazon,Microsoft,Google")</f>
        <v>Bloomberg,Lyft,Apple,Facebook,Amazon,Microsoft,Google</v>
      </c>
      <c r="F211" s="47" t="str">
        <f>IFERROR(__xludf.DUMMYFUNCTION("""COMPUTED_VALUE"""),"Facebook,Bloomberg")</f>
        <v>Facebook,Bloomberg</v>
      </c>
      <c r="G211" s="47" t="str">
        <f>IFERROR(__xludf.DUMMYFUNCTION("""COMPUTED_VALUE"""),"Amazon,Facebook,Bloomberg")</f>
        <v>Amazon,Facebook,Bloomberg</v>
      </c>
      <c r="H211" s="47" t="str">
        <f>IFERROR(__xludf.DUMMYFUNCTION("""COMPUTED_VALUE"""),"Lyft,Apple,Microsoft,Amazon,Facebook,Bloomberg")</f>
        <v>Lyft,Apple,Microsoft,Amazon,Facebook,Bloomberg</v>
      </c>
      <c r="I211" s="47">
        <f>IFERROR(__xludf.DUMMYFUNCTION("""COMPUTED_VALUE"""),38.08)</f>
        <v>38.08</v>
      </c>
      <c r="J211" s="47" t="str">
        <f>IFERROR(__xludf.DUMMYFUNCTION("""COMPUTED_VALUE"""),"算法")</f>
        <v>算法</v>
      </c>
      <c r="K211" s="47">
        <v>210.0</v>
      </c>
      <c r="L211" s="6">
        <f>COUNTIF('Coder-1'!B:B,A211)</f>
        <v>0</v>
      </c>
      <c r="M211" s="6">
        <f>COUNTIF('Coder-2'!B:B,A211)</f>
        <v>0</v>
      </c>
      <c r="N211" s="6">
        <f>COUNTIF('Coder-3'!B:B,A211)</f>
        <v>0</v>
      </c>
      <c r="O211" s="6">
        <f>COUNTIF('Coder-4'!B:B,A211)</f>
        <v>0</v>
      </c>
    </row>
    <row r="212">
      <c r="A212" s="83">
        <v>222.0</v>
      </c>
      <c r="B212" s="86" t="str">
        <f>IFERROR(__xludf.DUMMYFUNCTION("IF(ISBLANK(A212),,FILTER('Leetcode List'!B:C,'Leetcode List'!A:A = A212))"),"Count Complete Tree Nodes")</f>
        <v>Count Complete Tree Nodes</v>
      </c>
      <c r="C212" s="83" t="str">
        <f>IFERROR(__xludf.DUMMYFUNCTION("""COMPUTED_VALUE"""),"Medium")</f>
        <v>Medium</v>
      </c>
      <c r="D212" s="83" t="s">
        <v>320</v>
      </c>
      <c r="E212" s="87" t="str">
        <f>IFERROR(__xludf.DUMMYFUNCTION("IF(ISBLANK(A212),,FILTER('Leetcode List'!E:J,'Leetcode List'!A:A = A212))"),"ByteDance,Yahoo,Bloomberg,Facebook,Amazon,Microsoft,Google")</f>
        <v>ByteDance,Yahoo,Bloomberg,Facebook,Amazon,Microsoft,Google</v>
      </c>
      <c r="F212" s="47" t="str">
        <f>IFERROR(__xludf.DUMMYFUNCTION("""COMPUTED_VALUE"""),"Google,Bloomberg,Microsoft")</f>
        <v>Google,Bloomberg,Microsoft</v>
      </c>
      <c r="G212" s="47" t="str">
        <f>IFERROR(__xludf.DUMMYFUNCTION("""COMPUTED_VALUE"""),"Amazon,ByteDance,Google,Bloomberg,Microsoft")</f>
        <v>Amazon,ByteDance,Google,Bloomberg,Microsoft</v>
      </c>
      <c r="H212" s="47" t="str">
        <f>IFERROR(__xludf.DUMMYFUNCTION("""COMPUTED_VALUE"""),"Facebook,Amazon,ByteDance,Google,Bloomberg,Microsoft")</f>
        <v>Facebook,Amazon,ByteDance,Google,Bloomberg,Microsoft</v>
      </c>
      <c r="I212" s="47">
        <f>IFERROR(__xludf.DUMMYFUNCTION("""COMPUTED_VALUE"""),49.51)</f>
        <v>49.51</v>
      </c>
      <c r="J212" s="47" t="str">
        <f>IFERROR(__xludf.DUMMYFUNCTION("""COMPUTED_VALUE"""),"算法")</f>
        <v>算法</v>
      </c>
      <c r="K212" s="47">
        <v>211.0</v>
      </c>
      <c r="L212" s="6">
        <f>COUNTIF('Coder-1'!B:B,A212)</f>
        <v>0</v>
      </c>
      <c r="M212" s="6">
        <f>COUNTIF('Coder-2'!B:B,A212)</f>
        <v>0</v>
      </c>
      <c r="N212" s="6">
        <f>COUNTIF('Coder-3'!B:B,A212)</f>
        <v>0</v>
      </c>
      <c r="O212" s="6">
        <f>COUNTIF('Coder-4'!B:B,A212)</f>
        <v>0</v>
      </c>
    </row>
    <row r="213">
      <c r="A213" s="83">
        <v>105.0</v>
      </c>
      <c r="B213" s="86" t="str">
        <f>IFERROR(__xludf.DUMMYFUNCTION("IF(ISBLANK(A213),,FILTER('Leetcode List'!B:C,'Leetcode List'!A:A = A213))"),"Construct Binary Tree from Preorder and Inorder Traversal")</f>
        <v>Construct Binary Tree from Preorder and Inorder Traversal</v>
      </c>
      <c r="C213" s="83" t="str">
        <f>IFERROR(__xludf.DUMMYFUNCTION("""COMPUTED_VALUE"""),"Medium")</f>
        <v>Medium</v>
      </c>
      <c r="D213" s="83" t="s">
        <v>320</v>
      </c>
      <c r="E213" s="87" t="str">
        <f>IFERROR(__xludf.DUMMYFUNCTION("IF(ISBLANK(A213),,FILTER('Leetcode List'!E:J,'Leetcode List'!A:A = A213))"),"Salesforce,Uber,Square,ByteDance,Citadel,Twitter,Oracle,Apple,Yahoo,Bloomberg,Adobe,Facebook,Amazon,Microsoft,Google")</f>
        <v>Salesforce,Uber,Square,ByteDance,Citadel,Twitter,Oracle,Apple,Yahoo,Bloomberg,Adobe,Facebook,Amazon,Microsoft,Google</v>
      </c>
      <c r="F213" s="47" t="str">
        <f>IFERROR(__xludf.DUMMYFUNCTION("""COMPUTED_VALUE"""),"Amazon,Microsoft,ByteDance,Facebook,Citadel,Oracle,Bloomberg")</f>
        <v>Amazon,Microsoft,ByteDance,Facebook,Citadel,Oracle,Bloomberg</v>
      </c>
      <c r="G213" s="47" t="str">
        <f>IFERROR(__xludf.DUMMYFUNCTION("""COMPUTED_VALUE"""),"Google,Apple,Amazon,Microsoft,ByteDance,Facebook,Citadel,Oracle,Bloomberg")</f>
        <v>Google,Apple,Amazon,Microsoft,ByteDance,Facebook,Citadel,Oracle,Bloomberg</v>
      </c>
      <c r="H213" s="47" t="str">
        <f>IFERROR(__xludf.DUMMYFUNCTION("""COMPUTED_VALUE"""),"Square,Salesforce,Twitter,Uber,Google,Apple,Amazon,Microsoft,ByteDance,Facebook,Citadel,Oracle,Bloomberg")</f>
        <v>Square,Salesforce,Twitter,Uber,Google,Apple,Amazon,Microsoft,ByteDance,Facebook,Citadel,Oracle,Bloomberg</v>
      </c>
      <c r="I213" s="47">
        <f>IFERROR(__xludf.DUMMYFUNCTION("""COMPUTED_VALUE"""),52.1)</f>
        <v>52.1</v>
      </c>
      <c r="J213" s="47" t="str">
        <f>IFERROR(__xludf.DUMMYFUNCTION("""COMPUTED_VALUE"""),"算法")</f>
        <v>算法</v>
      </c>
      <c r="K213" s="47">
        <v>212.0</v>
      </c>
      <c r="L213" s="6">
        <f>COUNTIF('Coder-1'!B:B,A213)</f>
        <v>0</v>
      </c>
      <c r="M213" s="6">
        <f>COUNTIF('Coder-2'!B:B,A213)</f>
        <v>0</v>
      </c>
      <c r="N213" s="6">
        <f>COUNTIF('Coder-3'!B:B,A213)</f>
        <v>0</v>
      </c>
      <c r="O213" s="6">
        <f>COUNTIF('Coder-4'!B:B,A213)</f>
        <v>0</v>
      </c>
    </row>
    <row r="214">
      <c r="A214" s="83">
        <v>106.0</v>
      </c>
      <c r="B214" s="86" t="str">
        <f>IFERROR(__xludf.DUMMYFUNCTION("IF(ISBLANK(A214),,FILTER('Leetcode List'!B:C,'Leetcode List'!A:A = A214))"),"Construct Binary Tree from Inorder and Postorder Traversal")</f>
        <v>Construct Binary Tree from Inorder and Postorder Traversal</v>
      </c>
      <c r="C214" s="83" t="str">
        <f>IFERROR(__xludf.DUMMYFUNCTION("""COMPUTED_VALUE"""),"Medium")</f>
        <v>Medium</v>
      </c>
      <c r="D214" s="83" t="s">
        <v>320</v>
      </c>
      <c r="E214" s="87" t="str">
        <f>IFERROR(__xludf.DUMMYFUNCTION("IF(ISBLANK(A214),,FILTER('Leetcode List'!E:J,'Leetcode List'!A:A = A214))"),"Google,Twitter,Mathworks,Bloomberg,Facebook,Amazon,Microsoft")</f>
        <v>Google,Twitter,Mathworks,Bloomberg,Facebook,Amazon,Microsoft</v>
      </c>
      <c r="F214" s="47" t="str">
        <f>IFERROR(__xludf.DUMMYFUNCTION("""COMPUTED_VALUE"""),"Bloomberg,Microsoft")</f>
        <v>Bloomberg,Microsoft</v>
      </c>
      <c r="G214" s="47" t="str">
        <f>IFERROR(__xludf.DUMMYFUNCTION("""COMPUTED_VALUE"""),"Amazon,Bloomberg,Microsoft")</f>
        <v>Amazon,Bloomberg,Microsoft</v>
      </c>
      <c r="H214" s="47" t="str">
        <f>IFERROR(__xludf.DUMMYFUNCTION("""COMPUTED_VALUE"""),"Facebook,Google,Mathworks,Amazon,Bloomberg,Microsoft")</f>
        <v>Facebook,Google,Mathworks,Amazon,Bloomberg,Microsoft</v>
      </c>
      <c r="I214" s="47">
        <f>IFERROR(__xludf.DUMMYFUNCTION("""COMPUTED_VALUE"""),49.89)</f>
        <v>49.89</v>
      </c>
      <c r="J214" s="47" t="str">
        <f>IFERROR(__xludf.DUMMYFUNCTION("""COMPUTED_VALUE"""),"算法")</f>
        <v>算法</v>
      </c>
      <c r="K214" s="47">
        <v>213.0</v>
      </c>
      <c r="L214" s="6">
        <f>COUNTIF('Coder-1'!B:B,A214)</f>
        <v>0</v>
      </c>
      <c r="M214" s="6">
        <f>COUNTIF('Coder-2'!B:B,A214)</f>
        <v>0</v>
      </c>
      <c r="N214" s="6">
        <f>COUNTIF('Coder-3'!B:B,A214)</f>
        <v>0</v>
      </c>
      <c r="O214" s="6">
        <f>COUNTIF('Coder-4'!B:B,A214)</f>
        <v>0</v>
      </c>
    </row>
    <row r="215">
      <c r="A215" s="83">
        <v>116.0</v>
      </c>
      <c r="B215" s="86" t="str">
        <f>IFERROR(__xludf.DUMMYFUNCTION("IF(ISBLANK(A215),,FILTER('Leetcode List'!B:C,'Leetcode List'!A:A = A215))"),"Populating Next Right Pointers in Each Node")</f>
        <v>Populating Next Right Pointers in Each Node</v>
      </c>
      <c r="C215" s="83" t="str">
        <f>IFERROR(__xludf.DUMMYFUNCTION("""COMPUTED_VALUE"""),"Medium")</f>
        <v>Medium</v>
      </c>
      <c r="D215" s="83" t="s">
        <v>320</v>
      </c>
      <c r="E215" s="87" t="str">
        <f>IFERROR(__xludf.DUMMYFUNCTION("IF(ISBLANK(A215),,FILTER('Leetcode List'!E:J,'Leetcode List'!A:A = A215))"),"Nutanix,VMware,Oracle,DiDi,Apple,SAP,Bloomberg,Facebook,Amazon,Microsoft,Google")</f>
        <v>Nutanix,VMware,Oracle,DiDi,Apple,SAP,Bloomberg,Facebook,Amazon,Microsoft,Google</v>
      </c>
      <c r="F215" s="47" t="str">
        <f>IFERROR(__xludf.DUMMYFUNCTION("""COMPUTED_VALUE"""),"Microsoft,Bloomberg,Facebook,Google,Amazon")</f>
        <v>Microsoft,Bloomberg,Facebook,Google,Amazon</v>
      </c>
      <c r="G215" s="47" t="str">
        <f>IFERROR(__xludf.DUMMYFUNCTION("""COMPUTED_VALUE"""),"DiDi,Microsoft,Bloomberg,Facebook,Google,Amazon")</f>
        <v>DiDi,Microsoft,Bloomberg,Facebook,Google,Amazon</v>
      </c>
      <c r="H215" s="47" t="str">
        <f>IFERROR(__xludf.DUMMYFUNCTION("""COMPUTED_VALUE"""),"Oracle,Apple,VMware,SAP,DiDi,Microsoft,Bloomberg,Facebook,Google,Amazon")</f>
        <v>Oracle,Apple,VMware,SAP,DiDi,Microsoft,Bloomberg,Facebook,Google,Amazon</v>
      </c>
      <c r="I215" s="47">
        <f>IFERROR(__xludf.DUMMYFUNCTION("""COMPUTED_VALUE"""),49.36)</f>
        <v>49.36</v>
      </c>
      <c r="J215" s="47" t="str">
        <f>IFERROR(__xludf.DUMMYFUNCTION("""COMPUTED_VALUE"""),"算法")</f>
        <v>算法</v>
      </c>
      <c r="K215" s="47">
        <v>214.0</v>
      </c>
      <c r="L215" s="6">
        <f>COUNTIF('Coder-1'!B:B,A215)</f>
        <v>0</v>
      </c>
      <c r="M215" s="6">
        <f>COUNTIF('Coder-2'!B:B,A215)</f>
        <v>0</v>
      </c>
      <c r="N215" s="6">
        <f>COUNTIF('Coder-3'!B:B,A215)</f>
        <v>0</v>
      </c>
      <c r="O215" s="6">
        <f>COUNTIF('Coder-4'!B:B,A215)</f>
        <v>0</v>
      </c>
    </row>
    <row r="216">
      <c r="A216" s="83">
        <v>117.0</v>
      </c>
      <c r="B216" s="86" t="str">
        <f>IFERROR(__xludf.DUMMYFUNCTION("IF(ISBLANK(A216),,FILTER('Leetcode List'!B:C,'Leetcode List'!A:A = A216))"),"Populating Next Right Pointers in Each Node II")</f>
        <v>Populating Next Right Pointers in Each Node II</v>
      </c>
      <c r="C216" s="83" t="str">
        <f>IFERROR(__xludf.DUMMYFUNCTION("""COMPUTED_VALUE"""),"Medium")</f>
        <v>Medium</v>
      </c>
      <c r="D216" s="83" t="s">
        <v>320</v>
      </c>
      <c r="E216" s="87" t="str">
        <f>IFERROR(__xludf.DUMMYFUNCTION("IF(ISBLANK(A216),,FILTER('Leetcode List'!E:J,'Leetcode List'!A:A = A216))"),"Oracle,Apple,Bloomberg,Facebook,Amazon,Microsoft,Google")</f>
        <v>Oracle,Apple,Bloomberg,Facebook,Amazon,Microsoft,Google</v>
      </c>
      <c r="F216" s="47" t="str">
        <f>IFERROR(__xludf.DUMMYFUNCTION("""COMPUTED_VALUE"""),"Microsoft,Amazon,Bloomberg")</f>
        <v>Microsoft,Amazon,Bloomberg</v>
      </c>
      <c r="G216" s="47" t="str">
        <f>IFERROR(__xludf.DUMMYFUNCTION("""COMPUTED_VALUE"""),"Facebook,Google,Microsoft,Amazon,Bloomberg")</f>
        <v>Facebook,Google,Microsoft,Amazon,Bloomberg</v>
      </c>
      <c r="H216" s="47" t="str">
        <f>IFERROR(__xludf.DUMMYFUNCTION("""COMPUTED_VALUE"""),"Apple,Oracle,Facebook,Google,Microsoft,Amazon,Bloomberg")</f>
        <v>Apple,Oracle,Facebook,Google,Microsoft,Amazon,Bloomberg</v>
      </c>
      <c r="I216" s="47">
        <f>IFERROR(__xludf.DUMMYFUNCTION("""COMPUTED_VALUE"""),42.25)</f>
        <v>42.25</v>
      </c>
      <c r="J216" s="47" t="str">
        <f>IFERROR(__xludf.DUMMYFUNCTION("""COMPUTED_VALUE"""),"算法")</f>
        <v>算法</v>
      </c>
      <c r="K216" s="47">
        <v>215.0</v>
      </c>
      <c r="L216" s="6">
        <f>COUNTIF('Coder-1'!B:B,A216)</f>
        <v>0</v>
      </c>
      <c r="M216" s="6">
        <f>COUNTIF('Coder-2'!B:B,A216)</f>
        <v>0</v>
      </c>
      <c r="N216" s="6">
        <f>COUNTIF('Coder-3'!B:B,A216)</f>
        <v>0</v>
      </c>
      <c r="O216" s="6">
        <f>COUNTIF('Coder-4'!B:B,A216)</f>
        <v>0</v>
      </c>
    </row>
    <row r="217">
      <c r="A217" s="83">
        <v>314.0</v>
      </c>
      <c r="B217" s="86" t="str">
        <f>IFERROR(__xludf.DUMMYFUNCTION("IF(ISBLANK(A217),,FILTER('Leetcode List'!B:C,'Leetcode List'!A:A = A217))"),"Binary Tree Vertical Order Traversal")</f>
        <v>Binary Tree Vertical Order Traversal</v>
      </c>
      <c r="C217" s="83" t="str">
        <f>IFERROR(__xludf.DUMMYFUNCTION("""COMPUTED_VALUE"""),"Medium")</f>
        <v>Medium</v>
      </c>
      <c r="D217" s="83" t="s">
        <v>320</v>
      </c>
      <c r="E217" s="87" t="str">
        <f>IFERROR(__xludf.DUMMYFUNCTION("IF(ISBLANK(A217),,FILTER('Leetcode List'!E:J,'Leetcode List'!A:A = A217))"),"Reddit,Databricks,ByteDance,Salesforce,Snapchat,Expedia,Wish,Oracle,Mathworks,Bloomberg,Adobe,Facebook,Amazon,Microsoft,Google")</f>
        <v>Reddit,Databricks,ByteDance,Salesforce,Snapchat,Expedia,Wish,Oracle,Mathworks,Bloomberg,Adobe,Facebook,Amazon,Microsoft,Google</v>
      </c>
      <c r="F217" s="47" t="str">
        <f>IFERROR(__xludf.DUMMYFUNCTION("""COMPUTED_VALUE"""),"Bloomberg,Facebook,Amazon")</f>
        <v>Bloomberg,Facebook,Amazon</v>
      </c>
      <c r="G217" s="47" t="str">
        <f>IFERROR(__xludf.DUMMYFUNCTION("""COMPUTED_VALUE"""),"Databricks,Reddit,Google,Bloomberg,Facebook,Amazon")</f>
        <v>Databricks,Reddit,Google,Bloomberg,Facebook,Amazon</v>
      </c>
      <c r="H217" s="47" t="str">
        <f>IFERROR(__xludf.DUMMYFUNCTION("""COMPUTED_VALUE"""),"Microsoft,ByteDance,Oracle,Salesforce,Mathworks,Wish,Snapchat,Databricks,Reddit,Google,Bloomberg,Facebook,Amazon")</f>
        <v>Microsoft,ByteDance,Oracle,Salesforce,Mathworks,Wish,Snapchat,Databricks,Reddit,Google,Bloomberg,Facebook,Amazon</v>
      </c>
      <c r="I217" s="47">
        <f>IFERROR(__xludf.DUMMYFUNCTION("""COMPUTED_VALUE"""),47.12)</f>
        <v>47.12</v>
      </c>
      <c r="J217" s="47" t="str">
        <f>IFERROR(__xludf.DUMMYFUNCTION("""COMPUTED_VALUE"""),"算法")</f>
        <v>算法</v>
      </c>
      <c r="K217" s="47">
        <v>216.0</v>
      </c>
      <c r="L217" s="6">
        <f>COUNTIF('Coder-1'!B:B,A217)</f>
        <v>0</v>
      </c>
      <c r="M217" s="6">
        <f>COUNTIF('Coder-2'!B:B,A217)</f>
        <v>0</v>
      </c>
      <c r="N217" s="6">
        <f>COUNTIF('Coder-3'!B:B,A217)</f>
        <v>0</v>
      </c>
      <c r="O217" s="6">
        <f>COUNTIF('Coder-4'!B:B,A217)</f>
        <v>0</v>
      </c>
    </row>
    <row r="218">
      <c r="A218" s="83">
        <v>96.0</v>
      </c>
      <c r="B218" s="86" t="str">
        <f>IFERROR(__xludf.DUMMYFUNCTION("IF(ISBLANK(A218),,FILTER('Leetcode List'!B:C,'Leetcode List'!A:A = A218))"),"Unique Binary Search Trees")</f>
        <v>Unique Binary Search Trees</v>
      </c>
      <c r="C218" s="83" t="str">
        <f>IFERROR(__xludf.DUMMYFUNCTION("""COMPUTED_VALUE"""),"Medium")</f>
        <v>Medium</v>
      </c>
      <c r="D218" s="83" t="s">
        <v>320</v>
      </c>
      <c r="E218" s="87" t="str">
        <f>IFERROR(__xludf.DUMMYFUNCTION("IF(ISBLANK(A218),,FILTER('Leetcode List'!E:J,'Leetcode List'!A:A = A218))"),"ByteDance,Snapchat,Expedia,Wish,Apple,Bloomberg,Adobe,Facebook,Amazon,Microsoft,Google")</f>
        <v>ByteDance,Snapchat,Expedia,Wish,Apple,Bloomberg,Adobe,Facebook,Amazon,Microsoft,Google</v>
      </c>
      <c r="F218" s="47" t="str">
        <f>IFERROR(__xludf.DUMMYFUNCTION("""COMPUTED_VALUE"""),"Bloomberg,Microsoft")</f>
        <v>Bloomberg,Microsoft</v>
      </c>
      <c r="G218" s="47" t="str">
        <f>IFERROR(__xludf.DUMMYFUNCTION("""COMPUTED_VALUE"""),"Amazon,Google,Adobe,ByteDance,Bloomberg,Microsoft")</f>
        <v>Amazon,Google,Adobe,ByteDance,Bloomberg,Microsoft</v>
      </c>
      <c r="H218" s="47" t="str">
        <f>IFERROR(__xludf.DUMMYFUNCTION("""COMPUTED_VALUE"""),"Apple,Wish,Facebook,Snapchat,Amazon,Google,Adobe,ByteDance,Bloomberg,Microsoft")</f>
        <v>Apple,Wish,Facebook,Snapchat,Amazon,Google,Adobe,ByteDance,Bloomberg,Microsoft</v>
      </c>
      <c r="I218" s="47">
        <f>IFERROR(__xludf.DUMMYFUNCTION("""COMPUTED_VALUE"""),54.55)</f>
        <v>54.55</v>
      </c>
      <c r="J218" s="47" t="str">
        <f>IFERROR(__xludf.DUMMYFUNCTION("""COMPUTED_VALUE"""),"算法")</f>
        <v>算法</v>
      </c>
      <c r="K218" s="47">
        <v>217.0</v>
      </c>
      <c r="L218" s="6">
        <f>COUNTIF('Coder-1'!B:B,A218)</f>
        <v>0</v>
      </c>
      <c r="M218" s="6">
        <f>COUNTIF('Coder-2'!B:B,A218)</f>
        <v>0</v>
      </c>
      <c r="N218" s="6">
        <f>COUNTIF('Coder-3'!B:B,A218)</f>
        <v>0</v>
      </c>
      <c r="O218" s="6">
        <f>COUNTIF('Coder-4'!B:B,A218)</f>
        <v>0</v>
      </c>
    </row>
    <row r="219">
      <c r="A219" s="83">
        <v>95.0</v>
      </c>
      <c r="B219" s="86" t="str">
        <f>IFERROR(__xludf.DUMMYFUNCTION("IF(ISBLANK(A219),,FILTER('Leetcode List'!B:C,'Leetcode List'!A:A = A219))"),"Unique Binary Search Trees II")</f>
        <v>Unique Binary Search Trees II</v>
      </c>
      <c r="C219" s="83" t="str">
        <f>IFERROR(__xludf.DUMMYFUNCTION("""COMPUTED_VALUE"""),"Medium")</f>
        <v>Medium</v>
      </c>
      <c r="D219" s="83" t="s">
        <v>320</v>
      </c>
      <c r="E219" s="87" t="str">
        <f>IFERROR(__xludf.DUMMYFUNCTION("IF(ISBLANK(A219),,FILTER('Leetcode List'!E:J,'Leetcode List'!A:A = A219))"),"Apple,Yahoo,Adobe,Facebook,Amazon,Microsoft,Google")</f>
        <v>Apple,Yahoo,Adobe,Facebook,Amazon,Microsoft,Google</v>
      </c>
      <c r="F219" s="47" t="str">
        <f>IFERROR(__xludf.DUMMYFUNCTION("""COMPUTED_VALUE"""),"Amazon,Google")</f>
        <v>Amazon,Google</v>
      </c>
      <c r="G219" s="47" t="str">
        <f>IFERROR(__xludf.DUMMYFUNCTION("""COMPUTED_VALUE"""),"Amazon,Google")</f>
        <v>Amazon,Google</v>
      </c>
      <c r="H219" s="47" t="str">
        <f>IFERROR(__xludf.DUMMYFUNCTION("""COMPUTED_VALUE"""),"Yahoo,Apple,Microsoft,Facebook,Amazon,Google")</f>
        <v>Yahoo,Apple,Microsoft,Facebook,Amazon,Google</v>
      </c>
      <c r="I219" s="47">
        <f>IFERROR(__xludf.DUMMYFUNCTION("""COMPUTED_VALUE"""),42.8)</f>
        <v>42.8</v>
      </c>
      <c r="J219" s="47" t="str">
        <f>IFERROR(__xludf.DUMMYFUNCTION("""COMPUTED_VALUE"""),"算法")</f>
        <v>算法</v>
      </c>
      <c r="K219" s="47">
        <v>218.0</v>
      </c>
      <c r="L219" s="6">
        <f>COUNTIF('Coder-1'!B:B,A219)</f>
        <v>0</v>
      </c>
      <c r="M219" s="6">
        <f>COUNTIF('Coder-2'!B:B,A219)</f>
        <v>0</v>
      </c>
      <c r="N219" s="6">
        <f>COUNTIF('Coder-3'!B:B,A219)</f>
        <v>0</v>
      </c>
      <c r="O219" s="6">
        <f>COUNTIF('Coder-4'!B:B,A219)</f>
        <v>0</v>
      </c>
    </row>
    <row r="220">
      <c r="A220" s="83">
        <v>331.0</v>
      </c>
      <c r="B220" s="86" t="str">
        <f>IFERROR(__xludf.DUMMYFUNCTION("IF(ISBLANK(A220),,FILTER('Leetcode List'!B:C,'Leetcode List'!A:A = A220))"),"Verify Preorder Serialization of a Binary Tree")</f>
        <v>Verify Preorder Serialization of a Binary Tree</v>
      </c>
      <c r="C220" s="83" t="str">
        <f>IFERROR(__xludf.DUMMYFUNCTION("""COMPUTED_VALUE"""),"Medium")</f>
        <v>Medium</v>
      </c>
      <c r="D220" s="83" t="s">
        <v>320</v>
      </c>
      <c r="E220" s="87" t="str">
        <f>IFERROR(__xludf.DUMMYFUNCTION("IF(ISBLANK(A220),,FILTER('Leetcode List'!E:J,'Leetcode List'!A:A = A220))"),"Google")</f>
        <v>Google</v>
      </c>
      <c r="F220" s="47"/>
      <c r="G220" s="47"/>
      <c r="H220" s="47" t="str">
        <f>IFERROR(__xludf.DUMMYFUNCTION("""COMPUTED_VALUE"""),"Google")</f>
        <v>Google</v>
      </c>
      <c r="I220" s="47">
        <f>IFERROR(__xludf.DUMMYFUNCTION("""COMPUTED_VALUE"""),41.05)</f>
        <v>41.05</v>
      </c>
      <c r="J220" s="47" t="str">
        <f>IFERROR(__xludf.DUMMYFUNCTION("""COMPUTED_VALUE"""),"算法")</f>
        <v>算法</v>
      </c>
      <c r="K220" s="47">
        <v>219.0</v>
      </c>
      <c r="L220" s="6">
        <f>COUNTIF('Coder-1'!B:B,A220)</f>
        <v>0</v>
      </c>
      <c r="M220" s="6">
        <f>COUNTIF('Coder-2'!B:B,A220)</f>
        <v>0</v>
      </c>
      <c r="N220" s="6">
        <f>COUNTIF('Coder-3'!B:B,A220)</f>
        <v>0</v>
      </c>
      <c r="O220" s="6">
        <f>COUNTIF('Coder-4'!B:B,A220)</f>
        <v>0</v>
      </c>
    </row>
    <row r="221">
      <c r="A221" s="83">
        <v>78.0</v>
      </c>
      <c r="B221" s="86" t="str">
        <f>IFERROR(__xludf.DUMMYFUNCTION("IF(ISBLANK(A221),,FILTER('Leetcode List'!B:C,'Leetcode List'!A:A = A221))"),"Subsets")</f>
        <v>Subsets</v>
      </c>
      <c r="C221" s="47" t="str">
        <f>IFERROR(__xludf.DUMMYFUNCTION("""COMPUTED_VALUE"""),"Medium")</f>
        <v>Medium</v>
      </c>
      <c r="D221" s="47" t="s">
        <v>271</v>
      </c>
      <c r="E221" s="87" t="str">
        <f>IFERROR(__xludf.DUMMYFUNCTION("IF(ISBLANK(A221),,FILTER('Leetcode List'!E:J,'Leetcode List'!A:A = A221))"),"Coupang,Atlassian,ByteDance,Walmart Labs,Oracle,Lyft,EBay,Apple,Uber,Yahoo,Bloomberg,Adobe,Facebook,Amazon,Microsoft,Goldman Sachs,Google")</f>
        <v>Coupang,Atlassian,ByteDance,Walmart Labs,Oracle,Lyft,EBay,Apple,Uber,Yahoo,Bloomberg,Adobe,Facebook,Amazon,Microsoft,Goldman Sachs,Google</v>
      </c>
      <c r="F221" s="47" t="str">
        <f>IFERROR(__xludf.DUMMYFUNCTION("""COMPUTED_VALUE"""),"Facebook,Amazon,Bloomberg,Microsoft,Uber,Apple,ByteDance")</f>
        <v>Facebook,Amazon,Bloomberg,Microsoft,Uber,Apple,ByteDance</v>
      </c>
      <c r="G221" s="47" t="str">
        <f>IFERROR(__xludf.DUMMYFUNCTION("""COMPUTED_VALUE"""),"Google,Oracle,eBay,Facebook,Amazon,Bloomberg,Microsoft,Uber,Apple,ByteDance")</f>
        <v>Google,Oracle,eBay,Facebook,Amazon,Bloomberg,Microsoft,Uber,Apple,ByteDance</v>
      </c>
      <c r="H221" s="47" t="str">
        <f>IFERROR(__xludf.DUMMYFUNCTION("""COMPUTED_VALUE"""),"Adobe,Goldman Sachs,Walmart Labs,Atlassian,Coupang,Google,Oracle,eBay,Facebook,Amazon,Bloomberg,Microsoft,Uber,Apple,ByteDance")</f>
        <v>Adobe,Goldman Sachs,Walmart Labs,Atlassian,Coupang,Google,Oracle,eBay,Facebook,Amazon,Bloomberg,Microsoft,Uber,Apple,ByteDance</v>
      </c>
      <c r="I221" s="47">
        <f>IFERROR(__xludf.DUMMYFUNCTION("""COMPUTED_VALUE"""),65.37)</f>
        <v>65.37</v>
      </c>
      <c r="J221" s="47" t="str">
        <f>IFERROR(__xludf.DUMMYFUNCTION("""COMPUTED_VALUE"""),"算法")</f>
        <v>算法</v>
      </c>
      <c r="K221" s="47">
        <v>220.0</v>
      </c>
      <c r="L221" s="6">
        <f>COUNTIF('Coder-1'!B:B,A221)</f>
        <v>0</v>
      </c>
      <c r="M221" s="6">
        <f>COUNTIF('Coder-2'!B:B,A221)</f>
        <v>0</v>
      </c>
      <c r="N221" s="6">
        <f>COUNTIF('Coder-3'!B:B,A221)</f>
        <v>0</v>
      </c>
      <c r="O221" s="6">
        <f>COUNTIF('Coder-4'!B:B,A221)</f>
        <v>0</v>
      </c>
    </row>
    <row r="222">
      <c r="A222" s="83">
        <v>90.0</v>
      </c>
      <c r="B222" s="86" t="str">
        <f>IFERROR(__xludf.DUMMYFUNCTION("IF(ISBLANK(A222),,FILTER('Leetcode List'!B:C,'Leetcode List'!A:A = A222))"),"Subsets II")</f>
        <v>Subsets II</v>
      </c>
      <c r="C222" s="47" t="str">
        <f>IFERROR(__xludf.DUMMYFUNCTION("""COMPUTED_VALUE"""),"Medium")</f>
        <v>Medium</v>
      </c>
      <c r="D222" s="47" t="s">
        <v>271</v>
      </c>
      <c r="E222" s="87" t="str">
        <f>IFERROR(__xludf.DUMMYFUNCTION("IF(ISBLANK(A222),,FILTER('Leetcode List'!E:J,'Leetcode List'!A:A = A222))"),"ByteDance,Apple,Uber,Bloomberg,Facebook,Amazon,Microsoft")</f>
        <v>ByteDance,Apple,Uber,Bloomberg,Facebook,Amazon,Microsoft</v>
      </c>
      <c r="F222" s="47" t="str">
        <f>IFERROR(__xludf.DUMMYFUNCTION("""COMPUTED_VALUE"""),"Amazon,Apple,ByteDance")</f>
        <v>Amazon,Apple,ByteDance</v>
      </c>
      <c r="G222" s="47" t="str">
        <f>IFERROR(__xludf.DUMMYFUNCTION("""COMPUTED_VALUE"""),"Facebook,Bloomberg,Amazon,Apple,ByteDance")</f>
        <v>Facebook,Bloomberg,Amazon,Apple,ByteDance</v>
      </c>
      <c r="H222" s="47" t="str">
        <f>IFERROR(__xludf.DUMMYFUNCTION("""COMPUTED_VALUE"""),"Microsoft,Uber,Facebook,Bloomberg,Amazon,Apple,ByteDance")</f>
        <v>Microsoft,Uber,Facebook,Bloomberg,Amazon,Apple,ByteDance</v>
      </c>
      <c r="I222" s="47">
        <f>IFERROR(__xludf.DUMMYFUNCTION("""COMPUTED_VALUE"""),48.99)</f>
        <v>48.99</v>
      </c>
      <c r="J222" s="47" t="str">
        <f>IFERROR(__xludf.DUMMYFUNCTION("""COMPUTED_VALUE"""),"算法")</f>
        <v>算法</v>
      </c>
      <c r="K222" s="47">
        <v>221.0</v>
      </c>
      <c r="L222" s="6">
        <f>COUNTIF('Coder-1'!B:B,A222)</f>
        <v>0</v>
      </c>
      <c r="M222" s="6">
        <f>COUNTIF('Coder-2'!B:B,A222)</f>
        <v>0</v>
      </c>
      <c r="N222" s="6">
        <f>COUNTIF('Coder-3'!B:B,A222)</f>
        <v>0</v>
      </c>
      <c r="O222" s="6">
        <f>COUNTIF('Coder-4'!B:B,A222)</f>
        <v>0</v>
      </c>
    </row>
    <row r="223">
      <c r="A223" s="83">
        <v>77.0</v>
      </c>
      <c r="B223" s="86" t="str">
        <f>IFERROR(__xludf.DUMMYFUNCTION("IF(ISBLANK(A223),,FILTER('Leetcode List'!B:C,'Leetcode List'!A:A = A223))"),"Combinations")</f>
        <v>Combinations</v>
      </c>
      <c r="C223" s="47" t="str">
        <f>IFERROR(__xludf.DUMMYFUNCTION("""COMPUTED_VALUE"""),"Medium")</f>
        <v>Medium</v>
      </c>
      <c r="D223" s="47" t="s">
        <v>271</v>
      </c>
      <c r="E223" s="87" t="str">
        <f>IFERROR(__xludf.DUMMYFUNCTION("IF(ISBLANK(A223),,FILTER('Leetcode List'!E:J,'Leetcode List'!A:A = A223))"),"Yahoo,Bloomberg,Apple,Adobe,Facebook,Amazon,Microsoft,Google")</f>
        <v>Yahoo,Bloomberg,Apple,Adobe,Facebook,Amazon,Microsoft,Google</v>
      </c>
      <c r="F223" s="47" t="str">
        <f>IFERROR(__xludf.DUMMYFUNCTION("""COMPUTED_VALUE"""),"Facebook")</f>
        <v>Facebook</v>
      </c>
      <c r="G223" s="47" t="str">
        <f>IFERROR(__xludf.DUMMYFUNCTION("""COMPUTED_VALUE"""),"Amazon,Apple,Google,Microsoft,Yahoo,Facebook")</f>
        <v>Amazon,Apple,Google,Microsoft,Yahoo,Facebook</v>
      </c>
      <c r="H223" s="47" t="str">
        <f>IFERROR(__xludf.DUMMYFUNCTION("""COMPUTED_VALUE"""),"Adobe,Bloomberg,Amazon,Apple,Google,Microsoft,Yahoo,Facebook")</f>
        <v>Adobe,Bloomberg,Amazon,Apple,Google,Microsoft,Yahoo,Facebook</v>
      </c>
      <c r="I223" s="47">
        <f>IFERROR(__xludf.DUMMYFUNCTION("""COMPUTED_VALUE"""),57.72)</f>
        <v>57.72</v>
      </c>
      <c r="J223" s="47" t="str">
        <f>IFERROR(__xludf.DUMMYFUNCTION("""COMPUTED_VALUE"""),"算法")</f>
        <v>算法</v>
      </c>
      <c r="K223" s="47">
        <v>222.0</v>
      </c>
      <c r="L223" s="6">
        <f>COUNTIF('Coder-1'!B:B,A223)</f>
        <v>0</v>
      </c>
      <c r="M223" s="6">
        <f>COUNTIF('Coder-2'!B:B,A223)</f>
        <v>0</v>
      </c>
      <c r="N223" s="6">
        <f>COUNTIF('Coder-3'!B:B,A223)</f>
        <v>0</v>
      </c>
      <c r="O223" s="6">
        <f>COUNTIF('Coder-4'!B:B,A223)</f>
        <v>0</v>
      </c>
    </row>
    <row r="224">
      <c r="A224" s="83">
        <v>39.0</v>
      </c>
      <c r="B224" s="86" t="str">
        <f>IFERROR(__xludf.DUMMYFUNCTION("IF(ISBLANK(A224),,FILTER('Leetcode List'!B:C,'Leetcode List'!A:A = A224))"),"Combination Sum")</f>
        <v>Combination Sum</v>
      </c>
      <c r="C224" s="47" t="str">
        <f>IFERROR(__xludf.DUMMYFUNCTION("""COMPUTED_VALUE"""),"Medium")</f>
        <v>Medium</v>
      </c>
      <c r="D224" s="47" t="s">
        <v>271</v>
      </c>
      <c r="E224" s="87" t="str">
        <f>IFERROR(__xludf.DUMMYFUNCTION("IF(ISBLANK(A224),,FILTER('Leetcode List'!E:J,'Leetcode List'!A:A = A224))"),"Atlassian,ByteDance,Oracle,Adobe,Akuna Capital,Square,IXL,VMware,Quora,Walmart Labs,Snapchat,JPMorgan,Yelp,EBay,Apple,Airbnb,Uber,Bloomberg,Facebook,Amazon,LinkedIn,Microsoft,Goldman Sachs,Google")</f>
        <v>Atlassian,ByteDance,Oracle,Adobe,Akuna Capital,Square,IXL,VMware,Quora,Walmart Labs,Snapchat,JPMorgan,Yelp,EBay,Apple,Airbnb,Uber,Bloomberg,Facebook,Amazon,LinkedIn,Microsoft,Goldman Sachs,Google</v>
      </c>
      <c r="F224" s="47" t="str">
        <f>IFERROR(__xludf.DUMMYFUNCTION("""COMPUTED_VALUE"""),"Facebook,Airbnb,Bloomberg,Amazon,Microsoft,Adobe,Uber,ByteDance")</f>
        <v>Facebook,Airbnb,Bloomberg,Amazon,Microsoft,Adobe,Uber,ByteDance</v>
      </c>
      <c r="G224" s="47" t="str">
        <f>IFERROR(__xludf.DUMMYFUNCTION("""COMPUTED_VALUE"""),"eBay,Apple,Snapchat,Facebook,Airbnb,Bloomberg,Amazon,Microsoft,Adobe,Uber,ByteDance")</f>
        <v>eBay,Apple,Snapchat,Facebook,Airbnb,Bloomberg,Amazon,Microsoft,Adobe,Uber,ByteDance</v>
      </c>
      <c r="H224" s="47" t="str">
        <f>IFERROR(__xludf.DUMMYFUNCTION("""COMPUTED_VALUE"""),"Google,Square,VMware,Goldman Sachs,Walmart Labs,LinkedIn,Atlassian,Oracle,eBay,Apple,Snapchat,Facebook,Airbnb,Bloomberg,Amazon,Microsoft,Adobe,Uber,ByteDance")</f>
        <v>Google,Square,VMware,Goldman Sachs,Walmart Labs,LinkedIn,Atlassian,Oracle,eBay,Apple,Snapchat,Facebook,Airbnb,Bloomberg,Amazon,Microsoft,Adobe,Uber,ByteDance</v>
      </c>
      <c r="I224" s="47">
        <f>IFERROR(__xludf.DUMMYFUNCTION("""COMPUTED_VALUE"""),59.49)</f>
        <v>59.49</v>
      </c>
      <c r="J224" s="47" t="str">
        <f>IFERROR(__xludf.DUMMYFUNCTION("""COMPUTED_VALUE"""),"算法")</f>
        <v>算法</v>
      </c>
      <c r="K224" s="47">
        <v>223.0</v>
      </c>
      <c r="L224" s="6">
        <f>COUNTIF('Coder-1'!B:B,A224)</f>
        <v>0</v>
      </c>
      <c r="M224" s="6">
        <f>COUNTIF('Coder-2'!B:B,A224)</f>
        <v>0</v>
      </c>
      <c r="N224" s="6">
        <f>COUNTIF('Coder-3'!B:B,A224)</f>
        <v>0</v>
      </c>
      <c r="O224" s="6">
        <f>COUNTIF('Coder-4'!B:B,A224)</f>
        <v>0</v>
      </c>
    </row>
    <row r="225">
      <c r="A225" s="83">
        <v>40.0</v>
      </c>
      <c r="B225" s="86" t="str">
        <f>IFERROR(__xludf.DUMMYFUNCTION("IF(ISBLANK(A225),,FILTER('Leetcode List'!B:C,'Leetcode List'!A:A = A225))"),"Combination Sum II")</f>
        <v>Combination Sum II</v>
      </c>
      <c r="C225" s="47" t="str">
        <f>IFERROR(__xludf.DUMMYFUNCTION("""COMPUTED_VALUE"""),"Medium")</f>
        <v>Medium</v>
      </c>
      <c r="D225" s="47" t="s">
        <v>271</v>
      </c>
      <c r="E225" s="87" t="str">
        <f>IFERROR(__xludf.DUMMYFUNCTION("IF(ISBLANK(A225),,FILTER('Leetcode List'!E:J,'Leetcode List'!A:A = A225))"),"ByteDance,Bloomberg,Nutanix,Walmart Labs,Snapchat,EBay,Apple,Uber,Adobe,Facebook,Amazon,LinkedIn,Microsoft,Google")</f>
        <v>ByteDance,Bloomberg,Nutanix,Walmart Labs,Snapchat,EBay,Apple,Uber,Adobe,Facebook,Amazon,LinkedIn,Microsoft,Google</v>
      </c>
      <c r="F225" s="47" t="str">
        <f>IFERROR(__xludf.DUMMYFUNCTION("""COMPUTED_VALUE"""),"Amazon,Microsoft,ByteDance")</f>
        <v>Amazon,Microsoft,ByteDance</v>
      </c>
      <c r="G225" s="47" t="str">
        <f>IFERROR(__xludf.DUMMYFUNCTION("""COMPUTED_VALUE"""),"Facebook,Adobe,Bloomberg,eBay,Amazon,Microsoft,ByteDance")</f>
        <v>Facebook,Adobe,Bloomberg,eBay,Amazon,Microsoft,ByteDance</v>
      </c>
      <c r="H225" s="47" t="str">
        <f>IFERROR(__xludf.DUMMYFUNCTION("""COMPUTED_VALUE"""),"Uber,Google,LinkedIn,Apple,Walmart Labs,Nutanix,Snapchat,Facebook,Adobe,Bloomberg,eBay,Amazon,Microsoft,ByteDance")</f>
        <v>Uber,Google,LinkedIn,Apple,Walmart Labs,Nutanix,Snapchat,Facebook,Adobe,Bloomberg,eBay,Amazon,Microsoft,ByteDance</v>
      </c>
      <c r="I225" s="47">
        <f>IFERROR(__xludf.DUMMYFUNCTION("""COMPUTED_VALUE"""),50.27)</f>
        <v>50.27</v>
      </c>
      <c r="J225" s="47" t="str">
        <f>IFERROR(__xludf.DUMMYFUNCTION("""COMPUTED_VALUE"""),"算法")</f>
        <v>算法</v>
      </c>
      <c r="K225" s="47">
        <v>224.0</v>
      </c>
      <c r="L225" s="6">
        <f>COUNTIF('Coder-1'!B:B,A225)</f>
        <v>0</v>
      </c>
      <c r="M225" s="6">
        <f>COUNTIF('Coder-2'!B:B,A225)</f>
        <v>0</v>
      </c>
      <c r="N225" s="6">
        <f>COUNTIF('Coder-3'!B:B,A225)</f>
        <v>0</v>
      </c>
      <c r="O225" s="6">
        <f>COUNTIF('Coder-4'!B:B,A225)</f>
        <v>0</v>
      </c>
    </row>
    <row r="226">
      <c r="A226" s="83">
        <v>216.0</v>
      </c>
      <c r="B226" s="86" t="str">
        <f>IFERROR(__xludf.DUMMYFUNCTION("IF(ISBLANK(A226),,FILTER('Leetcode List'!B:C,'Leetcode List'!A:A = A226))"),"Combination Sum III")</f>
        <v>Combination Sum III</v>
      </c>
      <c r="C226" s="47" t="str">
        <f>IFERROR(__xludf.DUMMYFUNCTION("""COMPUTED_VALUE"""),"Medium")</f>
        <v>Medium</v>
      </c>
      <c r="D226" s="47" t="s">
        <v>271</v>
      </c>
      <c r="E226" s="87" t="str">
        <f>IFERROR(__xludf.DUMMYFUNCTION("IF(ISBLANK(A226),,FILTER('Leetcode List'!E:J,'Leetcode List'!A:A = A226))"),"Google,Bloomberg,Amazon,Microsoft")</f>
        <v>Google,Bloomberg,Amazon,Microsoft</v>
      </c>
      <c r="F226" s="47"/>
      <c r="G226" s="47" t="str">
        <f>IFERROR(__xludf.DUMMYFUNCTION("""COMPUTED_VALUE"""),"Google,Amazon,Bloomberg")</f>
        <v>Google,Amazon,Bloomberg</v>
      </c>
      <c r="H226" s="47" t="str">
        <f>IFERROR(__xludf.DUMMYFUNCTION("""COMPUTED_VALUE"""),"Microsoft,Google,Amazon,Bloomberg")</f>
        <v>Microsoft,Google,Amazon,Bloomberg</v>
      </c>
      <c r="I226" s="47">
        <f>IFERROR(__xludf.DUMMYFUNCTION("""COMPUTED_VALUE"""),60.46)</f>
        <v>60.46</v>
      </c>
      <c r="J226" s="47" t="str">
        <f>IFERROR(__xludf.DUMMYFUNCTION("""COMPUTED_VALUE"""),"算法")</f>
        <v>算法</v>
      </c>
      <c r="K226" s="47">
        <v>225.0</v>
      </c>
      <c r="L226" s="6">
        <f>COUNTIF('Coder-1'!B:B,A226)</f>
        <v>0</v>
      </c>
      <c r="M226" s="6">
        <f>COUNTIF('Coder-2'!B:B,A226)</f>
        <v>0</v>
      </c>
      <c r="N226" s="6">
        <f>COUNTIF('Coder-3'!B:B,A226)</f>
        <v>0</v>
      </c>
      <c r="O226" s="6">
        <f>COUNTIF('Coder-4'!B:B,A226)</f>
        <v>0</v>
      </c>
    </row>
    <row r="227">
      <c r="A227" s="83">
        <v>377.0</v>
      </c>
      <c r="B227" s="86" t="str">
        <f>IFERROR(__xludf.DUMMYFUNCTION("IF(ISBLANK(A227),,FILTER('Leetcode List'!B:C,'Leetcode List'!A:A = A227))"),"Combination Sum IV")</f>
        <v>Combination Sum IV</v>
      </c>
      <c r="C227" s="47" t="str">
        <f>IFERROR(__xludf.DUMMYFUNCTION("""COMPUTED_VALUE"""),"Medium")</f>
        <v>Medium</v>
      </c>
      <c r="D227" s="47" t="s">
        <v>271</v>
      </c>
      <c r="E227" s="87" t="str">
        <f>IFERROR(__xludf.DUMMYFUNCTION("IF(ISBLANK(A227),,FILTER('Leetcode List'!E:J,'Leetcode List'!A:A = A227))"),"Apple,Bloomberg,Visa,Snapchat,Facebook,Amazon,Google")</f>
        <v>Apple,Bloomberg,Visa,Snapchat,Facebook,Amazon,Google</v>
      </c>
      <c r="F227" s="47" t="str">
        <f>IFERROR(__xludf.DUMMYFUNCTION("""COMPUTED_VALUE"""),"Bloomberg,Apple")</f>
        <v>Bloomberg,Apple</v>
      </c>
      <c r="G227" s="47" t="str">
        <f>IFERROR(__xludf.DUMMYFUNCTION("""COMPUTED_VALUE"""),"Bloomberg,Apple")</f>
        <v>Bloomberg,Apple</v>
      </c>
      <c r="H227" s="47" t="str">
        <f>IFERROR(__xludf.DUMMYFUNCTION("""COMPUTED_VALUE"""),"Amazon,Google,Facebook,Snapchat,Bloomberg,Apple")</f>
        <v>Amazon,Google,Facebook,Snapchat,Bloomberg,Apple</v>
      </c>
      <c r="I227" s="47">
        <f>IFERROR(__xludf.DUMMYFUNCTION("""COMPUTED_VALUE"""),46.13)</f>
        <v>46.13</v>
      </c>
      <c r="J227" s="47" t="str">
        <f>IFERROR(__xludf.DUMMYFUNCTION("""COMPUTED_VALUE"""),"算法")</f>
        <v>算法</v>
      </c>
      <c r="K227" s="47">
        <v>226.0</v>
      </c>
      <c r="L227" s="6">
        <f>COUNTIF('Coder-1'!B:B,A227)</f>
        <v>0</v>
      </c>
      <c r="M227" s="6">
        <f>COUNTIF('Coder-2'!B:B,A227)</f>
        <v>0</v>
      </c>
      <c r="N227" s="6">
        <f>COUNTIF('Coder-3'!B:B,A227)</f>
        <v>0</v>
      </c>
      <c r="O227" s="6">
        <f>COUNTIF('Coder-4'!B:B,A227)</f>
        <v>0</v>
      </c>
    </row>
    <row r="228">
      <c r="A228" s="83">
        <v>254.0</v>
      </c>
      <c r="B228" s="86" t="str">
        <f>IFERROR(__xludf.DUMMYFUNCTION("IF(ISBLANK(A228),,FILTER('Leetcode List'!B:C,'Leetcode List'!A:A = A228))"),"Factor Combinations")</f>
        <v>Factor Combinations</v>
      </c>
      <c r="C228" s="47" t="str">
        <f>IFERROR(__xludf.DUMMYFUNCTION("""COMPUTED_VALUE"""),"Medium")</f>
        <v>Medium</v>
      </c>
      <c r="D228" s="47" t="s">
        <v>271</v>
      </c>
      <c r="E228" s="87" t="str">
        <f>IFERROR(__xludf.DUMMYFUNCTION("IF(ISBLANK(A228),,FILTER('Leetcode List'!E:J,'Leetcode List'!A:A = A228))"),"Pinterest,Uber,LinkedIn,Google")</f>
        <v>Pinterest,Uber,LinkedIn,Google</v>
      </c>
      <c r="F228" s="47" t="str">
        <f>IFERROR(__xludf.DUMMYFUNCTION("""COMPUTED_VALUE"""),"LinkedIn")</f>
        <v>LinkedIn</v>
      </c>
      <c r="G228" s="47" t="str">
        <f>IFERROR(__xludf.DUMMYFUNCTION("""COMPUTED_VALUE"""),"LinkedIn")</f>
        <v>LinkedIn</v>
      </c>
      <c r="H228" s="47" t="str">
        <f>IFERROR(__xludf.DUMMYFUNCTION("""COMPUTED_VALUE"""),"Google,Uber,LinkedIn")</f>
        <v>Google,Uber,LinkedIn</v>
      </c>
      <c r="I228" s="47">
        <f>IFERROR(__xludf.DUMMYFUNCTION("""COMPUTED_VALUE"""),47.47)</f>
        <v>47.47</v>
      </c>
      <c r="J228" s="47" t="str">
        <f>IFERROR(__xludf.DUMMYFUNCTION("""COMPUTED_VALUE"""),"算法")</f>
        <v>算法</v>
      </c>
      <c r="K228" s="47">
        <v>227.0</v>
      </c>
      <c r="L228" s="6">
        <f>COUNTIF('Coder-1'!B:B,A228)</f>
        <v>0</v>
      </c>
      <c r="M228" s="6">
        <f>COUNTIF('Coder-2'!B:B,A228)</f>
        <v>0</v>
      </c>
      <c r="N228" s="6">
        <f>COUNTIF('Coder-3'!B:B,A228)</f>
        <v>0</v>
      </c>
      <c r="O228" s="6">
        <f>COUNTIF('Coder-4'!B:B,A228)</f>
        <v>0</v>
      </c>
    </row>
    <row r="229">
      <c r="A229" s="83">
        <v>46.0</v>
      </c>
      <c r="B229" s="86" t="str">
        <f>IFERROR(__xludf.DUMMYFUNCTION("IF(ISBLANK(A229),,FILTER('Leetcode List'!B:C,'Leetcode List'!A:A = A229))"),"Permutations")</f>
        <v>Permutations</v>
      </c>
      <c r="C229" s="47" t="str">
        <f>IFERROR(__xludf.DUMMYFUNCTION("""COMPUTED_VALUE"""),"Medium")</f>
        <v>Medium</v>
      </c>
      <c r="D229" s="47" t="s">
        <v>271</v>
      </c>
      <c r="E229" s="87" t="str">
        <f>IFERROR(__xludf.DUMMYFUNCTION("IF(ISBLANK(A229),,FILTER('Leetcode List'!E:J,'Leetcode List'!A:A = A229))"),"Garena,Atlassian,ByteDance,Salesforce,VMware,Walmart Labs,GoDaddy,Paypal,Oracle,NetEase,Cisco,EBay,Apple,Uber,Yahoo,Bloomberg,Adobe,Facebook,Amazon,LinkedIn,Microsoft,Goldman Sachs,Google")</f>
        <v>Garena,Atlassian,ByteDance,Salesforce,VMware,Walmart Labs,GoDaddy,Paypal,Oracle,NetEase,Cisco,EBay,Apple,Uber,Yahoo,Bloomberg,Adobe,Facebook,Amazon,LinkedIn,Microsoft,Goldman Sachs,Google</v>
      </c>
      <c r="F229" s="47" t="str">
        <f>IFERROR(__xludf.DUMMYFUNCTION("""COMPUTED_VALUE"""),"Amazon,Facebook,Apple,eBay,ByteDance,Microsoft,Paypal,LinkedIn,Oracle")</f>
        <v>Amazon,Facebook,Apple,eBay,ByteDance,Microsoft,Paypal,LinkedIn,Oracle</v>
      </c>
      <c r="G229" s="47" t="str">
        <f>IFERROR(__xludf.DUMMYFUNCTION("""COMPUTED_VALUE"""),"Google,Bloomberg,Adobe,Uber,Amazon,Facebook,Apple,eBay,ByteDance,Microsoft,Paypal,LinkedIn,Oracle")</f>
        <v>Google,Bloomberg,Adobe,Uber,Amazon,Facebook,Apple,eBay,ByteDance,Microsoft,Paypal,LinkedIn,Oracle</v>
      </c>
      <c r="H229" s="47" t="str">
        <f>IFERROR(__xludf.DUMMYFUNCTION("""COMPUTED_VALUE"""),"Atlassian,Yahoo,Goldman Sachs,Garena,Google,Bloomberg,Adobe,Uber,Amazon,Facebook,Apple,eBay,ByteDance,Microsoft,Paypal,LinkedIn,Oracle")</f>
        <v>Atlassian,Yahoo,Goldman Sachs,Garena,Google,Bloomberg,Adobe,Uber,Amazon,Facebook,Apple,eBay,ByteDance,Microsoft,Paypal,LinkedIn,Oracle</v>
      </c>
      <c r="I229" s="47">
        <f>IFERROR(__xludf.DUMMYFUNCTION("""COMPUTED_VALUE"""),66.84)</f>
        <v>66.84</v>
      </c>
      <c r="J229" s="47" t="str">
        <f>IFERROR(__xludf.DUMMYFUNCTION("""COMPUTED_VALUE"""),"算法")</f>
        <v>算法</v>
      </c>
      <c r="K229" s="47">
        <v>228.0</v>
      </c>
      <c r="L229" s="6">
        <f>COUNTIF('Coder-1'!B:B,A229)</f>
        <v>0</v>
      </c>
      <c r="M229" s="6">
        <f>COUNTIF('Coder-2'!B:B,A229)</f>
        <v>0</v>
      </c>
      <c r="N229" s="6">
        <f>COUNTIF('Coder-3'!B:B,A229)</f>
        <v>0</v>
      </c>
      <c r="O229" s="6">
        <f>COUNTIF('Coder-4'!B:B,A229)</f>
        <v>0</v>
      </c>
    </row>
    <row r="230">
      <c r="A230" s="83">
        <v>47.0</v>
      </c>
      <c r="B230" s="86" t="str">
        <f>IFERROR(__xludf.DUMMYFUNCTION("IF(ISBLANK(A230),,FILTER('Leetcode List'!B:C,'Leetcode List'!A:A = A230))"),"Permutations II")</f>
        <v>Permutations II</v>
      </c>
      <c r="C230" s="47" t="str">
        <f>IFERROR(__xludf.DUMMYFUNCTION("""COMPUTED_VALUE"""),"Medium")</f>
        <v>Medium</v>
      </c>
      <c r="D230" s="47" t="s">
        <v>271</v>
      </c>
      <c r="E230" s="87" t="str">
        <f>IFERROR(__xludf.DUMMYFUNCTION("IF(ISBLANK(A230),,FILTER('Leetcode List'!E:J,'Leetcode List'!A:A = A230))"),"Walmart Labs,VMware,Apple,Uber,Bloomberg,Adobe,Facebook,Amazon,LinkedIn,Microsoft")</f>
        <v>Walmart Labs,VMware,Apple,Uber,Bloomberg,Adobe,Facebook,Amazon,LinkedIn,Microsoft</v>
      </c>
      <c r="F230" s="47" t="str">
        <f>IFERROR(__xludf.DUMMYFUNCTION("""COMPUTED_VALUE"""),"Facebook,Amazon,Microsoft,Adobe,Apple")</f>
        <v>Facebook,Amazon,Microsoft,Adobe,Apple</v>
      </c>
      <c r="G230" s="47" t="str">
        <f>IFERROR(__xludf.DUMMYFUNCTION("""COMPUTED_VALUE"""),"Walmart Labs,Facebook,Amazon,Microsoft,Adobe,Apple")</f>
        <v>Walmart Labs,Facebook,Amazon,Microsoft,Adobe,Apple</v>
      </c>
      <c r="H230" s="47" t="str">
        <f>IFERROR(__xludf.DUMMYFUNCTION("""COMPUTED_VALUE"""),"LinkedIn,Bloomberg,Uber,Walmart Labs,Facebook,Amazon,Microsoft,Adobe,Apple")</f>
        <v>LinkedIn,Bloomberg,Uber,Walmart Labs,Facebook,Amazon,Microsoft,Adobe,Apple</v>
      </c>
      <c r="I230" s="47">
        <f>IFERROR(__xludf.DUMMYFUNCTION("""COMPUTED_VALUE"""),49.6)</f>
        <v>49.6</v>
      </c>
      <c r="J230" s="47" t="str">
        <f>IFERROR(__xludf.DUMMYFUNCTION("""COMPUTED_VALUE"""),"算法")</f>
        <v>算法</v>
      </c>
      <c r="K230" s="47">
        <v>229.0</v>
      </c>
      <c r="L230" s="6">
        <f>COUNTIF('Coder-1'!B:B,A230)</f>
        <v>0</v>
      </c>
      <c r="M230" s="6">
        <f>COUNTIF('Coder-2'!B:B,A230)</f>
        <v>0</v>
      </c>
      <c r="N230" s="6">
        <f>COUNTIF('Coder-3'!B:B,A230)</f>
        <v>0</v>
      </c>
      <c r="O230" s="6">
        <f>COUNTIF('Coder-4'!B:B,A230)</f>
        <v>0</v>
      </c>
    </row>
    <row r="231">
      <c r="A231" s="83">
        <v>31.0</v>
      </c>
      <c r="B231" s="86" t="str">
        <f>IFERROR(__xludf.DUMMYFUNCTION("IF(ISBLANK(A231),,FILTER('Leetcode List'!B:C,'Leetcode List'!A:A = A231))"),"Next Permutation")</f>
        <v>Next Permutation</v>
      </c>
      <c r="C231" s="47" t="str">
        <f>IFERROR(__xludf.DUMMYFUNCTION("""COMPUTED_VALUE"""),"Medium")</f>
        <v>Medium</v>
      </c>
      <c r="D231" s="47" t="s">
        <v>271</v>
      </c>
      <c r="E231" s="87" t="str">
        <f>IFERROR(__xludf.DUMMYFUNCTION("IF(ISBLANK(A231),,FILTER('Leetcode List'!E:J,'Leetcode List'!A:A = A231))"),"Flipkart,FactSet,Salesforce,Morgan Stanley,Goldman Sachs,Sumologic,Rubrik,Houzz,Atlassian,ByteDance,Quora,JPMorgan,EBay,Apple,Uber,Samsung,Bloomberg,Adobe,Facebook,Amazon,Microsoft,Google")</f>
        <v>Flipkart,FactSet,Salesforce,Morgan Stanley,Goldman Sachs,Sumologic,Rubrik,Houzz,Atlassian,ByteDance,Quora,JPMorgan,EBay,Apple,Uber,Samsung,Bloomberg,Adobe,Facebook,Amazon,Microsoft,Google</v>
      </c>
      <c r="F231" s="47" t="str">
        <f>IFERROR(__xludf.DUMMYFUNCTION("""COMPUTED_VALUE"""),"Facebook,Google,Microsoft,Amazon,Bloomberg,Adobe,Apple,ByteDance,Rubrik,Salesforce,Morgan Stanley,Goldman Sachs,Atlassian,FactSet")</f>
        <v>Facebook,Google,Microsoft,Amazon,Bloomberg,Adobe,Apple,ByteDance,Rubrik,Salesforce,Morgan Stanley,Goldman Sachs,Atlassian,FactSet</v>
      </c>
      <c r="G231" s="47" t="str">
        <f>IFERROR(__xludf.DUMMYFUNCTION("""COMPUTED_VALUE"""),"Uber,JPMorgan,Flipkart,Facebook,Google,Microsoft,Amazon,Bloomberg,Adobe,Apple,ByteDance,Rubrik,Salesforce,Morgan Stanley,Goldman Sachs,Atlassian,FactSet")</f>
        <v>Uber,JPMorgan,Flipkart,Facebook,Google,Microsoft,Amazon,Bloomberg,Adobe,Apple,ByteDance,Rubrik,Salesforce,Morgan Stanley,Goldman Sachs,Atlassian,FactSet</v>
      </c>
      <c r="H231" s="47" t="str">
        <f>IFERROR(__xludf.DUMMYFUNCTION("""COMPUTED_VALUE"""),"eBay,Uber,JPMorgan,Flipkart,Facebook,Google,Microsoft,Amazon,Bloomberg,Adobe,Apple,ByteDance,Rubrik,Salesforce,Morgan Stanley,Goldman Sachs,Atlassian,FactSet")</f>
        <v>eBay,Uber,JPMorgan,Flipkart,Facebook,Google,Microsoft,Amazon,Bloomberg,Adobe,Apple,ByteDance,Rubrik,Salesforce,Morgan Stanley,Goldman Sachs,Atlassian,FactSet</v>
      </c>
      <c r="I231" s="47">
        <f>IFERROR(__xludf.DUMMYFUNCTION("""COMPUTED_VALUE"""),33.83)</f>
        <v>33.83</v>
      </c>
      <c r="J231" s="47" t="str">
        <f>IFERROR(__xludf.DUMMYFUNCTION("""COMPUTED_VALUE"""),"算法")</f>
        <v>算法</v>
      </c>
      <c r="K231" s="47">
        <v>230.0</v>
      </c>
      <c r="L231" s="6">
        <f>COUNTIF('Coder-1'!B:B,A231)</f>
        <v>0</v>
      </c>
      <c r="M231" s="6">
        <f>COUNTIF('Coder-2'!B:B,A231)</f>
        <v>0</v>
      </c>
      <c r="N231" s="6">
        <f>COUNTIF('Coder-3'!B:B,A231)</f>
        <v>0</v>
      </c>
      <c r="O231" s="6">
        <f>COUNTIF('Coder-4'!B:B,A231)</f>
        <v>0</v>
      </c>
    </row>
    <row r="232">
      <c r="A232" s="83">
        <v>60.0</v>
      </c>
      <c r="B232" s="86" t="str">
        <f>IFERROR(__xludf.DUMMYFUNCTION("IF(ISBLANK(A232),,FILTER('Leetcode List'!B:C,'Leetcode List'!A:A = A232))"),"Permutation Sequence")</f>
        <v>Permutation Sequence</v>
      </c>
      <c r="C232" s="47" t="str">
        <f>IFERROR(__xludf.DUMMYFUNCTION("""COMPUTED_VALUE"""),"Hard")</f>
        <v>Hard</v>
      </c>
      <c r="D232" s="47" t="s">
        <v>271</v>
      </c>
      <c r="E232" s="87" t="str">
        <f>IFERROR(__xludf.DUMMYFUNCTION("IF(ISBLANK(A232),,FILTER('Leetcode List'!E:J,'Leetcode List'!A:A = A232))"),"Jump Trading,Apple,Yahoo,Twitter,Facebook,Amazon,Microsoft,Google")</f>
        <v>Jump Trading,Apple,Yahoo,Twitter,Facebook,Amazon,Microsoft,Google</v>
      </c>
      <c r="F232" s="47" t="str">
        <f>IFERROR(__xludf.DUMMYFUNCTION("""COMPUTED_VALUE"""),"Amazon")</f>
        <v>Amazon</v>
      </c>
      <c r="G232" s="47" t="str">
        <f>IFERROR(__xludf.DUMMYFUNCTION("""COMPUTED_VALUE"""),"Facebook,Google,Jump Trading,Amazon")</f>
        <v>Facebook,Google,Jump Trading,Amazon</v>
      </c>
      <c r="H232" s="47" t="str">
        <f>IFERROR(__xludf.DUMMYFUNCTION("""COMPUTED_VALUE"""),"Microsoft,Apple,Yahoo,Twitter,Facebook,Google,Jump Trading,Amazon")</f>
        <v>Microsoft,Apple,Yahoo,Twitter,Facebook,Google,Jump Trading,Amazon</v>
      </c>
      <c r="I232" s="47">
        <f>IFERROR(__xludf.DUMMYFUNCTION("""COMPUTED_VALUE"""),39.47)</f>
        <v>39.47</v>
      </c>
      <c r="J232" s="47" t="str">
        <f>IFERROR(__xludf.DUMMYFUNCTION("""COMPUTED_VALUE"""),"算法")</f>
        <v>算法</v>
      </c>
      <c r="K232" s="47">
        <v>231.0</v>
      </c>
      <c r="L232" s="6">
        <f>COUNTIF('Coder-1'!B:B,A232)</f>
        <v>0</v>
      </c>
      <c r="M232" s="6">
        <f>COUNTIF('Coder-2'!B:B,A232)</f>
        <v>0</v>
      </c>
      <c r="N232" s="6">
        <f>COUNTIF('Coder-3'!B:B,A232)</f>
        <v>0</v>
      </c>
      <c r="O232" s="6">
        <f>COUNTIF('Coder-4'!B:B,A232)</f>
        <v>0</v>
      </c>
    </row>
    <row r="233">
      <c r="A233" s="83">
        <v>291.0</v>
      </c>
      <c r="B233" s="86" t="str">
        <f>IFERROR(__xludf.DUMMYFUNCTION("IF(ISBLANK(A233),,FILTER('Leetcode List'!B:C,'Leetcode List'!A:A = A233))"),"Word Pattern II")</f>
        <v>Word Pattern II</v>
      </c>
      <c r="C233" s="47" t="str">
        <f>IFERROR(__xludf.DUMMYFUNCTION("""COMPUTED_VALUE"""),"Medium")</f>
        <v>Medium</v>
      </c>
      <c r="D233" s="47" t="s">
        <v>271</v>
      </c>
      <c r="E233" s="87" t="str">
        <f>IFERROR(__xludf.DUMMYFUNCTION("IF(ISBLANK(A233),,FILTER('Leetcode List'!E:J,'Leetcode List'!A:A = A233))"),"Amazon,Pony.ai,Dropbox,Uber,Facebook")</f>
        <v>Amazon,Pony.ai,Dropbox,Uber,Facebook</v>
      </c>
      <c r="F233" s="47" t="str">
        <f>IFERROR(__xludf.DUMMYFUNCTION("""COMPUTED_VALUE"""),"Amazon")</f>
        <v>Amazon</v>
      </c>
      <c r="G233" s="47" t="str">
        <f>IFERROR(__xludf.DUMMYFUNCTION("""COMPUTED_VALUE"""),"Uber,Amazon")</f>
        <v>Uber,Amazon</v>
      </c>
      <c r="H233" s="47" t="str">
        <f>IFERROR(__xludf.DUMMYFUNCTION("""COMPUTED_VALUE"""),"Pony.ai,Dropbox,Uber,Amazon")</f>
        <v>Pony.ai,Dropbox,Uber,Amazon</v>
      </c>
      <c r="I233" s="47">
        <f>IFERROR(__xludf.DUMMYFUNCTION("""COMPUTED_VALUE"""),44.32)</f>
        <v>44.32</v>
      </c>
      <c r="J233" s="47" t="str">
        <f>IFERROR(__xludf.DUMMYFUNCTION("""COMPUTED_VALUE"""),"算法")</f>
        <v>算法</v>
      </c>
      <c r="K233" s="47">
        <v>232.0</v>
      </c>
      <c r="L233" s="6">
        <f>COUNTIF('Coder-1'!B:B,A233)</f>
        <v>0</v>
      </c>
      <c r="M233" s="6">
        <f>COUNTIF('Coder-2'!B:B,A233)</f>
        <v>0</v>
      </c>
      <c r="N233" s="6">
        <f>COUNTIF('Coder-3'!B:B,A233)</f>
        <v>0</v>
      </c>
      <c r="O233" s="6">
        <f>COUNTIF('Coder-4'!B:B,A233)</f>
        <v>0</v>
      </c>
    </row>
    <row r="234">
      <c r="A234" s="83">
        <v>17.0</v>
      </c>
      <c r="B234" s="86" t="str">
        <f>IFERROR(__xludf.DUMMYFUNCTION("IF(ISBLANK(A234),,FILTER('Leetcode List'!B:C,'Leetcode List'!A:A = A234))"),"Letter Combinations of a Phone Number")</f>
        <v>Letter Combinations of a Phone Number</v>
      </c>
      <c r="C234" s="47" t="str">
        <f>IFERROR(__xludf.DUMMYFUNCTION("""COMPUTED_VALUE"""),"Medium")</f>
        <v>Medium</v>
      </c>
      <c r="D234" s="47" t="s">
        <v>271</v>
      </c>
      <c r="E234" s="87" t="str">
        <f>IFERROR(__xludf.DUMMYFUNCTION("IF(ISBLANK(A234),,FILTER('Leetcode List'!E:J,'Leetcode List'!A:A = A234))"),"Duolingo,Tesla,Snapchat,Twilio,Qualtrics,Databricks,Capital One,Samsung,Nutanix,Quip (Salesforce),Square,Pinterest,Atlassian,Roblox,Salesforce,VMware,Walmart Labs,Dropbox,JPMorgan,ServiceNow,Oracle,Lyft,Cisco,EBay,Apple,Airbnb,Uber,Yahoo,Morgan Stanley,Bl"&amp;"oomberg,Facebook,Amazon,Microsoft,Goldman Sachs,Google")</f>
        <v>Duolingo,Tesla,Snapchat,Twilio,Qualtrics,Databricks,Capital One,Samsung,Nutanix,Quip (Salesforce),Square,Pinterest,Atlassian,Roblox,Salesforce,VMware,Walmart Labs,Dropbox,JPMorgan,ServiceNow,Oracle,Lyft,Cisco,EBay,Apple,Airbnb,Uber,Yahoo,Morgan Stanley,Bloomberg,Facebook,Amazon,Microsoft,Goldman Sachs,Google</v>
      </c>
      <c r="F234" s="47" t="str">
        <f>IFERROR(__xludf.DUMMYFUNCTION("""COMPUTED_VALUE"""),"Amazon,Microsoft,Capital One,Twilio,Facebook,eBay,Google,Uber,Apple,Oracle,Qualtrics,JPMorgan,Morgan Stanley,Tesla,Samsung,Bloomberg,VMware")</f>
        <v>Amazon,Microsoft,Capital One,Twilio,Facebook,eBay,Google,Uber,Apple,Oracle,Qualtrics,JPMorgan,Morgan Stanley,Tesla,Samsung,Bloomberg,VMware</v>
      </c>
      <c r="G234" s="47" t="str">
        <f>IFERROR(__xludf.DUMMYFUNCTION("""COMPUTED_VALUE"""),"Atlassian,Walmart Labs,Databricks,Goldman Sachs,ServiceNow,Amazon,Microsoft,Capital One,Twilio,Facebook,eBay,Google,Uber,Apple,Oracle,Qualtrics,JPMorgan,Morgan Stanley,Tesla,Samsung,Bloomberg,VMware")</f>
        <v>Atlassian,Walmart Labs,Databricks,Goldman Sachs,ServiceNow,Amazon,Microsoft,Capital One,Twilio,Facebook,eBay,Google,Uber,Apple,Oracle,Qualtrics,JPMorgan,Morgan Stanley,Tesla,Samsung,Bloomberg,VMware</v>
      </c>
      <c r="H234" s="47" t="str">
        <f>IFERROR(__xludf.DUMMYFUNCTION("""COMPUTED_VALUE"""),"Salesforce,Dropbox,Roblox,Nutanix,Snapchat,Lyft,Square,Yahoo,Quip (Salesforce),Duolingo,Atlassian,Walmart Labs,Databricks,Goldman Sachs,ServiceNow,Amazon,Microsoft,Capital One,Twilio,Facebook,eBay,Google,Uber,Apple,Oracle,Qualtrics,JPMorgan,Morgan Stanley"&amp;",Tesla,Samsung,Bloomberg,VMware")</f>
        <v>Salesforce,Dropbox,Roblox,Nutanix,Snapchat,Lyft,Square,Yahoo,Quip (Salesforce),Duolingo,Atlassian,Walmart Labs,Databricks,Goldman Sachs,ServiceNow,Amazon,Microsoft,Capital One,Twilio,Facebook,eBay,Google,Uber,Apple,Oracle,Qualtrics,JPMorgan,Morgan Stanley,Tesla,Samsung,Bloomberg,VMware</v>
      </c>
      <c r="I234" s="47">
        <f>IFERROR(__xludf.DUMMYFUNCTION("""COMPUTED_VALUE"""),49.34)</f>
        <v>49.34</v>
      </c>
      <c r="J234" s="47" t="str">
        <f>IFERROR(__xludf.DUMMYFUNCTION("""COMPUTED_VALUE"""),"算法")</f>
        <v>算法</v>
      </c>
      <c r="K234" s="47">
        <v>233.0</v>
      </c>
      <c r="L234" s="6">
        <f>COUNTIF('Coder-1'!B:B,A234)</f>
        <v>0</v>
      </c>
      <c r="M234" s="6">
        <f>COUNTIF('Coder-2'!B:B,A234)</f>
        <v>0</v>
      </c>
      <c r="N234" s="6">
        <f>COUNTIF('Coder-3'!B:B,A234)</f>
        <v>0</v>
      </c>
      <c r="O234" s="6">
        <f>COUNTIF('Coder-4'!B:B,A234)</f>
        <v>0</v>
      </c>
    </row>
    <row r="235">
      <c r="A235" s="83">
        <v>320.0</v>
      </c>
      <c r="B235" s="86" t="str">
        <f>IFERROR(__xludf.DUMMYFUNCTION("IF(ISBLANK(A235),,FILTER('Leetcode List'!B:C,'Leetcode List'!A:A = A235))"),"Generalized Abbreviation")</f>
        <v>Generalized Abbreviation</v>
      </c>
      <c r="C235" s="47" t="str">
        <f>IFERROR(__xludf.DUMMYFUNCTION("""COMPUTED_VALUE"""),"Medium")</f>
        <v>Medium</v>
      </c>
      <c r="D235" s="47" t="s">
        <v>271</v>
      </c>
      <c r="E235" s="87" t="str">
        <f>IFERROR(__xludf.DUMMYFUNCTION("IF(ISBLANK(A235),,FILTER('Leetcode List'!E:J,'Leetcode List'!A:A = A235))"),"ByteDance,Google")</f>
        <v>ByteDance,Google</v>
      </c>
      <c r="F235" s="47"/>
      <c r="G235" s="47" t="str">
        <f>IFERROR(__xludf.DUMMYFUNCTION("""COMPUTED_VALUE"""),"ByteDance")</f>
        <v>ByteDance</v>
      </c>
      <c r="H235" s="47" t="str">
        <f>IFERROR(__xludf.DUMMYFUNCTION("""COMPUTED_VALUE"""),"Google,ByteDance")</f>
        <v>Google,ByteDance</v>
      </c>
      <c r="I235" s="47">
        <f>IFERROR(__xludf.DUMMYFUNCTION("""COMPUTED_VALUE"""),53.86)</f>
        <v>53.86</v>
      </c>
      <c r="J235" s="47" t="str">
        <f>IFERROR(__xludf.DUMMYFUNCTION("""COMPUTED_VALUE"""),"算法")</f>
        <v>算法</v>
      </c>
      <c r="K235" s="47">
        <v>234.0</v>
      </c>
      <c r="L235" s="6">
        <f>COUNTIF('Coder-1'!B:B,A235)</f>
        <v>0</v>
      </c>
      <c r="M235" s="6">
        <f>COUNTIF('Coder-2'!B:B,A235)</f>
        <v>0</v>
      </c>
      <c r="N235" s="6">
        <f>COUNTIF('Coder-3'!B:B,A235)</f>
        <v>0</v>
      </c>
      <c r="O235" s="6">
        <f>COUNTIF('Coder-4'!B:B,A235)</f>
        <v>0</v>
      </c>
    </row>
    <row r="236">
      <c r="A236" s="83">
        <v>93.0</v>
      </c>
      <c r="B236" s="86" t="str">
        <f>IFERROR(__xludf.DUMMYFUNCTION("IF(ISBLANK(A236),,FILTER('Leetcode List'!B:C,'Leetcode List'!A:A = A236))"),"Restore IP Addresses")</f>
        <v>Restore IP Addresses</v>
      </c>
      <c r="C236" s="47" t="str">
        <f>IFERROR(__xludf.DUMMYFUNCTION("""COMPUTED_VALUE"""),"Medium")</f>
        <v>Medium</v>
      </c>
      <c r="D236" s="47" t="s">
        <v>271</v>
      </c>
      <c r="E236" s="87" t="str">
        <f>IFERROR(__xludf.DUMMYFUNCTION("IF(ISBLANK(A236),,FILTER('Leetcode List'!E:J,'Leetcode List'!A:A = A236))"),"Splunk,Oracle,Bloomberg,Google,VMware,Apple,Yahoo,Adobe,Facebook,Amazon,Microsoft")</f>
        <v>Splunk,Oracle,Bloomberg,Google,VMware,Apple,Yahoo,Adobe,Facebook,Amazon,Microsoft</v>
      </c>
      <c r="F236" s="47" t="str">
        <f>IFERROR(__xludf.DUMMYFUNCTION("""COMPUTED_VALUE"""),"Oracle")</f>
        <v>Oracle</v>
      </c>
      <c r="G236" s="47" t="str">
        <f>IFERROR(__xludf.DUMMYFUNCTION("""COMPUTED_VALUE"""),"Facebook,Amazon,Microsoft,Google,Bloomberg,Apple,Oracle")</f>
        <v>Facebook,Amazon,Microsoft,Google,Bloomberg,Apple,Oracle</v>
      </c>
      <c r="H236" s="47" t="str">
        <f>IFERROR(__xludf.DUMMYFUNCTION("""COMPUTED_VALUE"""),"VMware,Yahoo,Splunk,Facebook,Amazon,Microsoft,Google,Bloomberg,Apple,Oracle")</f>
        <v>VMware,Yahoo,Splunk,Facebook,Amazon,Microsoft,Google,Bloomberg,Apple,Oracle</v>
      </c>
      <c r="I236" s="47">
        <f>IFERROR(__xludf.DUMMYFUNCTION("""COMPUTED_VALUE"""),37.72)</f>
        <v>37.72</v>
      </c>
      <c r="J236" s="47" t="str">
        <f>IFERROR(__xludf.DUMMYFUNCTION("""COMPUTED_VALUE"""),"算法")</f>
        <v>算法</v>
      </c>
      <c r="K236" s="47">
        <v>235.0</v>
      </c>
      <c r="L236" s="6">
        <f>COUNTIF('Coder-1'!B:B,A236)</f>
        <v>0</v>
      </c>
      <c r="M236" s="6">
        <f>COUNTIF('Coder-2'!B:B,A236)</f>
        <v>0</v>
      </c>
      <c r="N236" s="6">
        <f>COUNTIF('Coder-3'!B:B,A236)</f>
        <v>0</v>
      </c>
      <c r="O236" s="6">
        <f>COUNTIF('Coder-4'!B:B,A236)</f>
        <v>0</v>
      </c>
    </row>
    <row r="237">
      <c r="A237" s="83">
        <v>282.0</v>
      </c>
      <c r="B237" s="86" t="str">
        <f>IFERROR(__xludf.DUMMYFUNCTION("IF(ISBLANK(A237),,FILTER('Leetcode List'!B:C,'Leetcode List'!A:A = A237))"),"Expression Add Operators")</f>
        <v>Expression Add Operators</v>
      </c>
      <c r="C237" s="47" t="str">
        <f>IFERROR(__xludf.DUMMYFUNCTION("""COMPUTED_VALUE"""),"Hard")</f>
        <v>Hard</v>
      </c>
      <c r="D237" s="47" t="s">
        <v>271</v>
      </c>
      <c r="E237" s="87" t="str">
        <f>IFERROR(__xludf.DUMMYFUNCTION("IF(ISBLANK(A237),,FILTER('Leetcode List'!E:J,'Leetcode List'!A:A = A237))"),"Jane Street,Wish,Citadel,Amazon,ByteDance,Snapchat,Apple,Uber,Facebook,LinkedIn,Microsoft,Google")</f>
        <v>Jane Street,Wish,Citadel,Amazon,ByteDance,Snapchat,Apple,Uber,Facebook,LinkedIn,Microsoft,Google</v>
      </c>
      <c r="F237" s="47" t="str">
        <f>IFERROR(__xludf.DUMMYFUNCTION("""COMPUTED_VALUE"""),"Facebook,Citadel")</f>
        <v>Facebook,Citadel</v>
      </c>
      <c r="G237" s="47" t="str">
        <f>IFERROR(__xludf.DUMMYFUNCTION("""COMPUTED_VALUE"""),"Uber,ByteDance,Microsoft,Google,Jane Street,Amazon,Wish,Facebook,Citadel")</f>
        <v>Uber,ByteDance,Microsoft,Google,Jane Street,Amazon,Wish,Facebook,Citadel</v>
      </c>
      <c r="H237" s="47" t="str">
        <f>IFERROR(__xludf.DUMMYFUNCTION("""COMPUTED_VALUE"""),"Snapchat,Uber,ByteDance,Microsoft,Google,Jane Street,Amazon,Wish,Facebook,Citadel")</f>
        <v>Snapchat,Uber,ByteDance,Microsoft,Google,Jane Street,Amazon,Wish,Facebook,Citadel</v>
      </c>
      <c r="I237" s="47">
        <f>IFERROR(__xludf.DUMMYFUNCTION("""COMPUTED_VALUE"""),36.84)</f>
        <v>36.84</v>
      </c>
      <c r="J237" s="47" t="str">
        <f>IFERROR(__xludf.DUMMYFUNCTION("""COMPUTED_VALUE"""),"算法")</f>
        <v>算法</v>
      </c>
      <c r="K237" s="47">
        <v>236.0</v>
      </c>
      <c r="L237" s="6">
        <f>COUNTIF('Coder-1'!B:B,A237)</f>
        <v>0</v>
      </c>
      <c r="M237" s="6">
        <f>COUNTIF('Coder-2'!B:B,A237)</f>
        <v>0</v>
      </c>
      <c r="N237" s="6">
        <f>COUNTIF('Coder-3'!B:B,A237)</f>
        <v>0</v>
      </c>
      <c r="O237" s="6">
        <f>COUNTIF('Coder-4'!B:B,A237)</f>
        <v>0</v>
      </c>
    </row>
    <row r="238">
      <c r="A238" s="83">
        <v>140.0</v>
      </c>
      <c r="B238" s="86" t="str">
        <f>IFERROR(__xludf.DUMMYFUNCTION("IF(ISBLANK(A238),,FILTER('Leetcode List'!B:C,'Leetcode List'!A:A = A238))"),"Word Break II")</f>
        <v>Word Break II</v>
      </c>
      <c r="C238" s="47" t="str">
        <f>IFERROR(__xludf.DUMMYFUNCTION("""COMPUTED_VALUE"""),"Hard")</f>
        <v>Hard</v>
      </c>
      <c r="D238" s="47" t="s">
        <v>271</v>
      </c>
      <c r="E238" s="87" t="str">
        <f>IFERROR(__xludf.DUMMYFUNCTION("IF(ISBLANK(A238),,FILTER('Leetcode List'!E:J,'Leetcode List'!A:A = A238))"),"ByteDance,EBay,Adobe,Pinterest,Audible,Booking.com,Dropbox,Snapchat,Zillow,Twitter,Oracle,Apple,Uber,Bloomberg,Facebook,Amazon,Microsoft,Google")</f>
        <v>ByteDance,EBay,Adobe,Pinterest,Audible,Booking.com,Dropbox,Snapchat,Zillow,Twitter,Oracle,Apple,Uber,Bloomberg,Facebook,Amazon,Microsoft,Google</v>
      </c>
      <c r="F238" s="47" t="str">
        <f>IFERROR(__xludf.DUMMYFUNCTION("""COMPUTED_VALUE"""),"Amazon,Facebook,Bloomberg,ByteDance,Google,Apple,Microsoft")</f>
        <v>Amazon,Facebook,Bloomberg,ByteDance,Google,Apple,Microsoft</v>
      </c>
      <c r="G238" s="47" t="str">
        <f>IFERROR(__xludf.DUMMYFUNCTION("""COMPUTED_VALUE"""),"Audible,eBay,Adobe,Amazon,Facebook,Bloomberg,ByteDance,Google,Apple,Microsoft")</f>
        <v>Audible,eBay,Adobe,Amazon,Facebook,Bloomberg,ByteDance,Google,Apple,Microsoft</v>
      </c>
      <c r="H238" s="47" t="str">
        <f>IFERROR(__xludf.DUMMYFUNCTION("""COMPUTED_VALUE"""),"Uber,Oracle,Snapchat,Twitter,Dropbox,Audible,eBay,Adobe,Amazon,Facebook,Bloomberg,ByteDance,Google,Apple,Microsoft")</f>
        <v>Uber,Oracle,Snapchat,Twitter,Dropbox,Audible,eBay,Adobe,Amazon,Facebook,Bloomberg,ByteDance,Google,Apple,Microsoft</v>
      </c>
      <c r="I238" s="47">
        <f>IFERROR(__xludf.DUMMYFUNCTION("""COMPUTED_VALUE"""),34.99)</f>
        <v>34.99</v>
      </c>
      <c r="J238" s="47" t="str">
        <f>IFERROR(__xludf.DUMMYFUNCTION("""COMPUTED_VALUE"""),"算法")</f>
        <v>算法</v>
      </c>
      <c r="K238" s="47">
        <v>237.0</v>
      </c>
      <c r="L238" s="6">
        <f>COUNTIF('Coder-1'!B:B,A238)</f>
        <v>0</v>
      </c>
      <c r="M238" s="6">
        <f>COUNTIF('Coder-2'!B:B,A238)</f>
        <v>0</v>
      </c>
      <c r="N238" s="6">
        <f>COUNTIF('Coder-3'!B:B,A238)</f>
        <v>0</v>
      </c>
      <c r="O238" s="6">
        <f>COUNTIF('Coder-4'!B:B,A238)</f>
        <v>0</v>
      </c>
    </row>
    <row r="239">
      <c r="A239" s="83">
        <v>351.0</v>
      </c>
      <c r="B239" s="86" t="str">
        <f>IFERROR(__xludf.DUMMYFUNCTION("IF(ISBLANK(A239),,FILTER('Leetcode List'!B:C,'Leetcode List'!A:A = A239))"),"Android Unlock Patterns")</f>
        <v>Android Unlock Patterns</v>
      </c>
      <c r="C239" s="47" t="str">
        <f>IFERROR(__xludf.DUMMYFUNCTION("""COMPUTED_VALUE"""),"Medium")</f>
        <v>Medium</v>
      </c>
      <c r="D239" s="47" t="s">
        <v>271</v>
      </c>
      <c r="E239" s="87" t="str">
        <f>IFERROR(__xludf.DUMMYFUNCTION("IF(ISBLANK(A239),,FILTER('Leetcode List'!E:J,'Leetcode List'!A:A = A239))"),"Microsoft,ByteDance,Apple,Amazon,Google")</f>
        <v>Microsoft,ByteDance,Apple,Amazon,Google</v>
      </c>
      <c r="F239" s="47" t="str">
        <f>IFERROR(__xludf.DUMMYFUNCTION("""COMPUTED_VALUE"""),"Google,Microsoft")</f>
        <v>Google,Microsoft</v>
      </c>
      <c r="G239" s="47" t="str">
        <f>IFERROR(__xludf.DUMMYFUNCTION("""COMPUTED_VALUE"""),"Apple,ByteDance,Google,Microsoft")</f>
        <v>Apple,ByteDance,Google,Microsoft</v>
      </c>
      <c r="H239" s="47" t="str">
        <f>IFERROR(__xludf.DUMMYFUNCTION("""COMPUTED_VALUE"""),"Amazon,Apple,ByteDance,Google,Microsoft")</f>
        <v>Amazon,Apple,ByteDance,Google,Microsoft</v>
      </c>
      <c r="I239" s="47">
        <f>IFERROR(__xludf.DUMMYFUNCTION("""COMPUTED_VALUE"""),49.76)</f>
        <v>49.76</v>
      </c>
      <c r="J239" s="47" t="str">
        <f>IFERROR(__xludf.DUMMYFUNCTION("""COMPUTED_VALUE"""),"算法")</f>
        <v>算法</v>
      </c>
      <c r="K239" s="47">
        <v>238.0</v>
      </c>
      <c r="L239" s="6">
        <f>COUNTIF('Coder-1'!B:B,A239)</f>
        <v>0</v>
      </c>
      <c r="M239" s="6">
        <f>COUNTIF('Coder-2'!B:B,A239)</f>
        <v>0</v>
      </c>
      <c r="N239" s="6">
        <f>COUNTIF('Coder-3'!B:B,A239)</f>
        <v>0</v>
      </c>
      <c r="O239" s="6">
        <f>COUNTIF('Coder-4'!B:B,A239)</f>
        <v>0</v>
      </c>
    </row>
    <row r="240">
      <c r="A240" s="83">
        <v>70.0</v>
      </c>
      <c r="B240" s="86" t="str">
        <f>IFERROR(__xludf.DUMMYFUNCTION("IF(ISBLANK(A240),,FILTER('Leetcode List'!B:C,'Leetcode List'!A:A = A240))"),"Climbing Stairs")</f>
        <v>Climbing Stairs</v>
      </c>
      <c r="C240" s="47" t="str">
        <f>IFERROR(__xludf.DUMMYFUNCTION("""COMPUTED_VALUE"""),"Easy")</f>
        <v>Easy</v>
      </c>
      <c r="D240" s="47" t="s">
        <v>76</v>
      </c>
      <c r="E240" s="87" t="str">
        <f>IFERROR(__xludf.DUMMYFUNCTION("IF(ISBLANK(A240),,FILTER('Leetcode List'!E:J,'Leetcode List'!A:A = A240))"),"Expedia,Intuit,Samsung,Morgan Stanley,TripAdvisor,Zulily,Citadel,Walmart Labs,Nvidia,Oracle,Huawei,Baidu,Apple,Uber,Bloomberg,Adobe,Facebook,Amazon,LinkedIn,Microsoft,Alibaba,Goldman Sachs,Google")</f>
        <v>Expedia,Intuit,Samsung,Morgan Stanley,TripAdvisor,Zulily,Citadel,Walmart Labs,Nvidia,Oracle,Huawei,Baidu,Apple,Uber,Bloomberg,Adobe,Facebook,Amazon,LinkedIn,Microsoft,Alibaba,Goldman Sachs,Google</v>
      </c>
      <c r="F240" s="47" t="str">
        <f>IFERROR(__xludf.DUMMYFUNCTION("""COMPUTED_VALUE"""),"Expedia,Amazon,Adobe,Apple,Google,Goldman Sachs,Nvidia,Intuit")</f>
        <v>Expedia,Amazon,Adobe,Apple,Google,Goldman Sachs,Nvidia,Intuit</v>
      </c>
      <c r="G240" s="47" t="str">
        <f>IFERROR(__xludf.DUMMYFUNCTION("""COMPUTED_VALUE"""),"Facebook,Microsoft,Bloomberg,Morgan Stanley,Samsung,Expedia,Amazon,Adobe,Apple,Google,Goldman Sachs,Nvidia,Intuit")</f>
        <v>Facebook,Microsoft,Bloomberg,Morgan Stanley,Samsung,Expedia,Amazon,Adobe,Apple,Google,Goldman Sachs,Nvidia,Intuit</v>
      </c>
      <c r="H240" s="47" t="str">
        <f>IFERROR(__xludf.DUMMYFUNCTION("""COMPUTED_VALUE"""),"Uber,Oracle,LinkedIn,Huawei,Citadel,Zulily,TripAdvisor,Facebook,Microsoft,Bloomberg,Morgan Stanley,Samsung,Expedia,Amazon,Adobe,Apple,Google,Goldman Sachs,Nvidia,Intuit")</f>
        <v>Uber,Oracle,LinkedIn,Huawei,Citadel,Zulily,TripAdvisor,Facebook,Microsoft,Bloomberg,Morgan Stanley,Samsung,Expedia,Amazon,Adobe,Apple,Google,Goldman Sachs,Nvidia,Intuit</v>
      </c>
      <c r="I240" s="47">
        <f>IFERROR(__xludf.DUMMYFUNCTION("""COMPUTED_VALUE"""),48.7)</f>
        <v>48.7</v>
      </c>
      <c r="J240" s="47" t="str">
        <f>IFERROR(__xludf.DUMMYFUNCTION("""COMPUTED_VALUE"""),"算法")</f>
        <v>算法</v>
      </c>
      <c r="K240" s="47">
        <v>239.0</v>
      </c>
      <c r="L240" s="6">
        <f>COUNTIF('Coder-1'!B:B,A240)</f>
        <v>0</v>
      </c>
      <c r="M240" s="6">
        <f>COUNTIF('Coder-2'!B:B,A240)</f>
        <v>0</v>
      </c>
      <c r="N240" s="6">
        <f>COUNTIF('Coder-3'!B:B,A240)</f>
        <v>0</v>
      </c>
      <c r="O240" s="6">
        <f>COUNTIF('Coder-4'!B:B,A240)</f>
        <v>0</v>
      </c>
    </row>
    <row r="241">
      <c r="A241" s="83">
        <v>62.0</v>
      </c>
      <c r="B241" s="86" t="str">
        <f>IFERROR(__xludf.DUMMYFUNCTION("IF(ISBLANK(A241),,FILTER('Leetcode List'!B:C,'Leetcode List'!A:A = A241))"),"Unique Paths")</f>
        <v>Unique Paths</v>
      </c>
      <c r="C241" s="47" t="str">
        <f>IFERROR(__xludf.DUMMYFUNCTION("""COMPUTED_VALUE"""),"Medium")</f>
        <v>Medium</v>
      </c>
      <c r="D241" s="47" t="s">
        <v>76</v>
      </c>
      <c r="E241" s="87" t="str">
        <f>IFERROR(__xludf.DUMMYFUNCTION("IF(ISBLANK(A241),,FILTER('Leetcode List'!E:J,'Leetcode List'!A:A = A241))"),"Qualtrics,ByteDance,Salesforce,EBay,VMware,Walmart Labs,Snapchat,Oracle,Mathworks,Apple,Uber,Bloomberg,Adobe,Facebook,Amazon,Microsoft,Alibaba,Goldman Sachs,Google")</f>
        <v>Qualtrics,ByteDance,Salesforce,EBay,VMware,Walmart Labs,Snapchat,Oracle,Mathworks,Apple,Uber,Bloomberg,Adobe,Facebook,Amazon,Microsoft,Alibaba,Goldman Sachs,Google</v>
      </c>
      <c r="F241" s="47" t="str">
        <f>IFERROR(__xludf.DUMMYFUNCTION("""COMPUTED_VALUE"""),"Microsoft,Amazon,Google,Facebook,Bloomberg,Qualtrics,VMware,ByteDance")</f>
        <v>Microsoft,Amazon,Google,Facebook,Bloomberg,Qualtrics,VMware,ByteDance</v>
      </c>
      <c r="G241" s="47" t="str">
        <f>IFERROR(__xludf.DUMMYFUNCTION("""COMPUTED_VALUE"""),"Goldman Sachs,Apple,Adobe,Microsoft,Amazon,Google,Facebook,Bloomberg,Qualtrics,VMware,ByteDance")</f>
        <v>Goldman Sachs,Apple,Adobe,Microsoft,Amazon,Google,Facebook,Bloomberg,Qualtrics,VMware,ByteDance</v>
      </c>
      <c r="H241" s="47" t="str">
        <f>IFERROR(__xludf.DUMMYFUNCTION("""COMPUTED_VALUE"""),"Mathworks,Uber,Oracle,eBay,Walmart Labs,Salesforce,Goldman Sachs,Apple,Adobe,Microsoft,Amazon,Google,Facebook,Bloomberg,Qualtrics,VMware,ByteDance")</f>
        <v>Mathworks,Uber,Oracle,eBay,Walmart Labs,Salesforce,Goldman Sachs,Apple,Adobe,Microsoft,Amazon,Google,Facebook,Bloomberg,Qualtrics,VMware,ByteDance</v>
      </c>
      <c r="I241" s="47">
        <f>IFERROR(__xludf.DUMMYFUNCTION("""COMPUTED_VALUE"""),56.17)</f>
        <v>56.17</v>
      </c>
      <c r="J241" s="47" t="str">
        <f>IFERROR(__xludf.DUMMYFUNCTION("""COMPUTED_VALUE"""),"算法")</f>
        <v>算法</v>
      </c>
      <c r="K241" s="47">
        <v>240.0</v>
      </c>
      <c r="L241" s="6">
        <f>COUNTIF('Coder-1'!B:B,A241)</f>
        <v>0</v>
      </c>
      <c r="M241" s="6">
        <f>COUNTIF('Coder-2'!B:B,A241)</f>
        <v>0</v>
      </c>
      <c r="N241" s="6">
        <f>COUNTIF('Coder-3'!B:B,A241)</f>
        <v>0</v>
      </c>
      <c r="O241" s="6">
        <f>COUNTIF('Coder-4'!B:B,A241)</f>
        <v>0</v>
      </c>
    </row>
    <row r="242">
      <c r="A242" s="83">
        <v>63.0</v>
      </c>
      <c r="B242" s="86" t="str">
        <f>IFERROR(__xludf.DUMMYFUNCTION("IF(ISBLANK(A242),,FILTER('Leetcode List'!B:C,'Leetcode List'!A:A = A242))"),"Unique Paths II")</f>
        <v>Unique Paths II</v>
      </c>
      <c r="C242" s="47" t="str">
        <f>IFERROR(__xludf.DUMMYFUNCTION("""COMPUTED_VALUE"""),"Medium")</f>
        <v>Medium</v>
      </c>
      <c r="D242" s="47" t="s">
        <v>76</v>
      </c>
      <c r="E242" s="87" t="str">
        <f>IFERROR(__xludf.DUMMYFUNCTION("IF(ISBLANK(A242),,FILTER('Leetcode List'!E:J,'Leetcode List'!A:A = A242))"),"Cruise Automation,VMware,Expedia,GoDaddy,Snapchat,Mathworks,Apple,Bloomberg,Facebook,Amazon,Microsoft,Goldman Sachs,Google")</f>
        <v>Cruise Automation,VMware,Expedia,GoDaddy,Snapchat,Mathworks,Apple,Bloomberg,Facebook,Amazon,Microsoft,Goldman Sachs,Google</v>
      </c>
      <c r="F242" s="47" t="str">
        <f>IFERROR(__xludf.DUMMYFUNCTION("""COMPUTED_VALUE"""),"Amazon,Bloomberg,Facebook")</f>
        <v>Amazon,Bloomberg,Facebook</v>
      </c>
      <c r="G242" s="47" t="str">
        <f>IFERROR(__xludf.DUMMYFUNCTION("""COMPUTED_VALUE"""),"Google,Microsoft,VMware,Expedia,Amazon,Bloomberg,Facebook")</f>
        <v>Google,Microsoft,VMware,Expedia,Amazon,Bloomberg,Facebook</v>
      </c>
      <c r="H242" s="47" t="str">
        <f>IFERROR(__xludf.DUMMYFUNCTION("""COMPUTED_VALUE"""),"Mathworks,Apple,Cruise Automation,Google,Microsoft,VMware,Expedia,Amazon,Bloomberg,Facebook")</f>
        <v>Mathworks,Apple,Cruise Automation,Google,Microsoft,VMware,Expedia,Amazon,Bloomberg,Facebook</v>
      </c>
      <c r="I242" s="47">
        <f>IFERROR(__xludf.DUMMYFUNCTION("""COMPUTED_VALUE"""),35.32)</f>
        <v>35.32</v>
      </c>
      <c r="J242" s="47" t="str">
        <f>IFERROR(__xludf.DUMMYFUNCTION("""COMPUTED_VALUE"""),"算法")</f>
        <v>算法</v>
      </c>
      <c r="K242" s="47">
        <v>241.0</v>
      </c>
      <c r="L242" s="6">
        <f>COUNTIF('Coder-1'!B:B,A242)</f>
        <v>0</v>
      </c>
      <c r="M242" s="6">
        <f>COUNTIF('Coder-2'!B:B,A242)</f>
        <v>0</v>
      </c>
      <c r="N242" s="6">
        <f>COUNTIF('Coder-3'!B:B,A242)</f>
        <v>0</v>
      </c>
      <c r="O242" s="6">
        <f>COUNTIF('Coder-4'!B:B,A242)</f>
        <v>0</v>
      </c>
    </row>
    <row r="243">
      <c r="A243" s="83">
        <v>120.0</v>
      </c>
      <c r="B243" s="86" t="str">
        <f>IFERROR(__xludf.DUMMYFUNCTION("IF(ISBLANK(A243),,FILTER('Leetcode List'!B:C,'Leetcode List'!A:A = A243))"),"Triangle")</f>
        <v>Triangle</v>
      </c>
      <c r="C243" s="47" t="str">
        <f>IFERROR(__xludf.DUMMYFUNCTION("""COMPUTED_VALUE"""),"Medium")</f>
        <v>Medium</v>
      </c>
      <c r="D243" s="47" t="s">
        <v>76</v>
      </c>
      <c r="E243" s="87" t="str">
        <f>IFERROR(__xludf.DUMMYFUNCTION("IF(ISBLANK(A243),,FILTER('Leetcode List'!E:J,'Leetcode List'!A:A = A243))"),"Flipkart,Goldman Sachs,Houzz,Apple,Bloomberg,Amazon,Google")</f>
        <v>Flipkart,Goldman Sachs,Houzz,Apple,Bloomberg,Amazon,Google</v>
      </c>
      <c r="F243" s="47" t="str">
        <f>IFERROR(__xludf.DUMMYFUNCTION("""COMPUTED_VALUE"""),"Amazon,Bloomberg")</f>
        <v>Amazon,Bloomberg</v>
      </c>
      <c r="G243" s="47" t="str">
        <f>IFERROR(__xludf.DUMMYFUNCTION("""COMPUTED_VALUE"""),"Apple,Amazon,Bloomberg")</f>
        <v>Apple,Amazon,Bloomberg</v>
      </c>
      <c r="H243" s="47" t="str">
        <f>IFERROR(__xludf.DUMMYFUNCTION("""COMPUTED_VALUE"""),"Google,Goldman Sachs,Flipkart,Apple,Amazon,Bloomberg")</f>
        <v>Google,Goldman Sachs,Flipkart,Apple,Amazon,Bloomberg</v>
      </c>
      <c r="I243" s="47">
        <f>IFERROR(__xludf.DUMMYFUNCTION("""COMPUTED_VALUE"""),45.92)</f>
        <v>45.92</v>
      </c>
      <c r="J243" s="47" t="str">
        <f>IFERROR(__xludf.DUMMYFUNCTION("""COMPUTED_VALUE"""),"算法")</f>
        <v>算法</v>
      </c>
      <c r="K243" s="47">
        <v>242.0</v>
      </c>
      <c r="L243" s="6">
        <f>COUNTIF('Coder-1'!B:B,A243)</f>
        <v>0</v>
      </c>
      <c r="M243" s="6">
        <f>COUNTIF('Coder-2'!B:B,A243)</f>
        <v>0</v>
      </c>
      <c r="N243" s="6">
        <f>COUNTIF('Coder-3'!B:B,A243)</f>
        <v>0</v>
      </c>
      <c r="O243" s="6">
        <f>COUNTIF('Coder-4'!B:B,A243)</f>
        <v>0</v>
      </c>
    </row>
    <row r="244">
      <c r="A244" s="83">
        <v>279.0</v>
      </c>
      <c r="B244" s="86" t="str">
        <f>IFERROR(__xludf.DUMMYFUNCTION("IF(ISBLANK(A244),,FILTER('Leetcode List'!B:C,'Leetcode List'!A:A = A244))"),"Perfect Squares")</f>
        <v>Perfect Squares</v>
      </c>
      <c r="C244" s="47" t="str">
        <f>IFERROR(__xludf.DUMMYFUNCTION("""COMPUTED_VALUE"""),"Medium")</f>
        <v>Medium</v>
      </c>
      <c r="D244" s="47" t="s">
        <v>76</v>
      </c>
      <c r="E244" s="87" t="str">
        <f>IFERROR(__xludf.DUMMYFUNCTION("IF(ISBLANK(A244),,FILTER('Leetcode List'!E:J,'Leetcode List'!A:A = A244))"),"GoDaddy,Lyft,Cisco,Yandex,EBay,Apple,Uber,Adobe,Facebook,Amazon,LinkedIn,Microsoft,Google")</f>
        <v>GoDaddy,Lyft,Cisco,Yandex,EBay,Apple,Uber,Adobe,Facebook,Amazon,LinkedIn,Microsoft,Google</v>
      </c>
      <c r="F244" s="47" t="str">
        <f>IFERROR(__xludf.DUMMYFUNCTION("""COMPUTED_VALUE"""),"Amazon,Google,Adobe")</f>
        <v>Amazon,Google,Adobe</v>
      </c>
      <c r="G244" s="47" t="str">
        <f>IFERROR(__xludf.DUMMYFUNCTION("""COMPUTED_VALUE"""),"Apple,Yandex,Amazon,Google,Adobe")</f>
        <v>Apple,Yandex,Amazon,Google,Adobe</v>
      </c>
      <c r="H244" s="47" t="str">
        <f>IFERROR(__xludf.DUMMYFUNCTION("""COMPUTED_VALUE"""),"Uber,Lyft,Microsoft,LinkedIn,Cisco,Apple,Yandex,Amazon,Google,Adobe")</f>
        <v>Uber,Lyft,Microsoft,LinkedIn,Cisco,Apple,Yandex,Amazon,Google,Adobe</v>
      </c>
      <c r="I244" s="47">
        <f>IFERROR(__xludf.DUMMYFUNCTION("""COMPUTED_VALUE"""),49.06)</f>
        <v>49.06</v>
      </c>
      <c r="J244" s="47" t="str">
        <f>IFERROR(__xludf.DUMMYFUNCTION("""COMPUTED_VALUE"""),"算法")</f>
        <v>算法</v>
      </c>
      <c r="K244" s="47">
        <v>243.0</v>
      </c>
      <c r="L244" s="6">
        <f>COUNTIF('Coder-1'!B:B,A244)</f>
        <v>0</v>
      </c>
      <c r="M244" s="6">
        <f>COUNTIF('Coder-2'!B:B,A244)</f>
        <v>0</v>
      </c>
      <c r="N244" s="6">
        <f>COUNTIF('Coder-3'!B:B,A244)</f>
        <v>0</v>
      </c>
      <c r="O244" s="6">
        <f>COUNTIF('Coder-4'!B:B,A244)</f>
        <v>0</v>
      </c>
    </row>
    <row r="245">
      <c r="A245" s="83">
        <v>139.0</v>
      </c>
      <c r="B245" s="86" t="str">
        <f>IFERROR(__xludf.DUMMYFUNCTION("IF(ISBLANK(A245),,FILTER('Leetcode List'!B:C,'Leetcode List'!A:A = A245))"),"Word Break")</f>
        <v>Word Break</v>
      </c>
      <c r="C245" s="47" t="str">
        <f>IFERROR(__xludf.DUMMYFUNCTION("""COMPUTED_VALUE"""),"Medium")</f>
        <v>Medium</v>
      </c>
      <c r="D245" s="47" t="s">
        <v>76</v>
      </c>
      <c r="E245" s="87" t="str">
        <f>IFERROR(__xludf.DUMMYFUNCTION("IF(ISBLANK(A245),,FILTER('Leetcode List'!E:J,'Leetcode List'!A:A = A245))"),"Pinterest,Reddit,Twitter,HBO,TripAdvisor,Hulu,Square,Qualtrics,Pocket Gems,Coupang,Audible,ByteDance,Twilio,Salesforce,VMware,Walmart Labs,GoDaddy,Snapchat,Zillow,Yelp,Oracle,EBay,Apple,Uber,Yahoo,Bloomberg,Adobe,Facebook,Amazon,Microsoft,Google")</f>
        <v>Pinterest,Reddit,Twitter,HBO,TripAdvisor,Hulu,Square,Qualtrics,Pocket Gems,Coupang,Audible,ByteDance,Twilio,Salesforce,VMware,Walmart Labs,GoDaddy,Snapchat,Zillow,Yelp,Oracle,EBay,Apple,Uber,Yahoo,Bloomberg,Adobe,Facebook,Amazon,Microsoft,Google</v>
      </c>
      <c r="F245" s="47" t="str">
        <f>IFERROR(__xludf.DUMMYFUNCTION("""COMPUTED_VALUE"""),"Facebook,Amazon,Bloomberg,Microsoft,ByteDance,Apple,eBay,Qualtrics,Oracle,Google,Adobe")</f>
        <v>Facebook,Amazon,Bloomberg,Microsoft,ByteDance,Apple,eBay,Qualtrics,Oracle,Google,Adobe</v>
      </c>
      <c r="G245" s="47" t="str">
        <f>IFERROR(__xludf.DUMMYFUNCTION("""COMPUTED_VALUE"""),"Twitter,Uber,Yahoo,VMware,GoDaddy,Facebook,Amazon,Bloomberg,Microsoft,ByteDance,Apple,eBay,Qualtrics,Oracle,Google,Adobe")</f>
        <v>Twitter,Uber,Yahoo,VMware,GoDaddy,Facebook,Amazon,Bloomberg,Microsoft,ByteDance,Apple,eBay,Qualtrics,Oracle,Google,Adobe</v>
      </c>
      <c r="H245" s="47" t="str">
        <f>IFERROR(__xludf.DUMMYFUNCTION("""COMPUTED_VALUE"""),"Snapchat,Zillow,Audible,Pinterest,Hulu,Square,Salesforce,Walmart Labs,TripAdvisor,Reddit,Pocket Gems,Coupang,Twitter,Uber,Yahoo,VMware,GoDaddy,Facebook,Amazon,Bloomberg,Microsoft,ByteDance,Apple,eBay,Qualtrics,Oracle,Google,Adobe")</f>
        <v>Snapchat,Zillow,Audible,Pinterest,Hulu,Square,Salesforce,Walmart Labs,TripAdvisor,Reddit,Pocket Gems,Coupang,Twitter,Uber,Yahoo,VMware,GoDaddy,Facebook,Amazon,Bloomberg,Microsoft,ByteDance,Apple,eBay,Qualtrics,Oracle,Google,Adobe</v>
      </c>
      <c r="I245" s="47">
        <f>IFERROR(__xludf.DUMMYFUNCTION("""COMPUTED_VALUE"""),41.8)</f>
        <v>41.8</v>
      </c>
      <c r="J245" s="47" t="str">
        <f>IFERROR(__xludf.DUMMYFUNCTION("""COMPUTED_VALUE"""),"算法")</f>
        <v>算法</v>
      </c>
      <c r="K245" s="47">
        <v>244.0</v>
      </c>
      <c r="L245" s="6">
        <f>COUNTIF('Coder-1'!B:B,A245)</f>
        <v>0</v>
      </c>
      <c r="M245" s="6">
        <f>COUNTIF('Coder-2'!B:B,A245)</f>
        <v>0</v>
      </c>
      <c r="N245" s="6">
        <f>COUNTIF('Coder-3'!B:B,A245)</f>
        <v>0</v>
      </c>
      <c r="O245" s="6">
        <f>COUNTIF('Coder-4'!B:B,A245)</f>
        <v>0</v>
      </c>
    </row>
    <row r="246">
      <c r="A246" s="83">
        <v>375.0</v>
      </c>
      <c r="B246" s="86" t="str">
        <f>IFERROR(__xludf.DUMMYFUNCTION("IF(ISBLANK(A246),,FILTER('Leetcode List'!B:C,'Leetcode List'!A:A = A246))"),"Guess Number Higher or Lower II")</f>
        <v>Guess Number Higher or Lower II</v>
      </c>
      <c r="C246" s="47" t="str">
        <f>IFERROR(__xludf.DUMMYFUNCTION("""COMPUTED_VALUE"""),"Medium")</f>
        <v>Medium</v>
      </c>
      <c r="D246" s="47" t="s">
        <v>76</v>
      </c>
      <c r="E246" s="87" t="str">
        <f>IFERROR(__xludf.DUMMYFUNCTION("IF(ISBLANK(A246),,FILTER('Leetcode List'!E:J,'Leetcode List'!A:A = A246))"),"Adobe,Google")</f>
        <v>Adobe,Google</v>
      </c>
      <c r="F246" s="47"/>
      <c r="G246" s="47" t="str">
        <f>IFERROR(__xludf.DUMMYFUNCTION("""COMPUTED_VALUE"""),"Google")</f>
        <v>Google</v>
      </c>
      <c r="H246" s="47" t="str">
        <f>IFERROR(__xludf.DUMMYFUNCTION("""COMPUTED_VALUE"""),"Google")</f>
        <v>Google</v>
      </c>
      <c r="I246" s="47">
        <f>IFERROR(__xludf.DUMMYFUNCTION("""COMPUTED_VALUE"""),42.28)</f>
        <v>42.28</v>
      </c>
      <c r="J246" s="47" t="str">
        <f>IFERROR(__xludf.DUMMYFUNCTION("""COMPUTED_VALUE"""),"算法")</f>
        <v>算法</v>
      </c>
      <c r="K246" s="47">
        <v>245.0</v>
      </c>
      <c r="L246" s="6">
        <f>COUNTIF('Coder-1'!B:B,A246)</f>
        <v>0</v>
      </c>
      <c r="M246" s="6">
        <f>COUNTIF('Coder-2'!B:B,A246)</f>
        <v>0</v>
      </c>
      <c r="N246" s="6">
        <f>COUNTIF('Coder-3'!B:B,A246)</f>
        <v>0</v>
      </c>
      <c r="O246" s="6">
        <f>COUNTIF('Coder-4'!B:B,A246)</f>
        <v>0</v>
      </c>
    </row>
    <row r="247">
      <c r="A247" s="83">
        <v>312.0</v>
      </c>
      <c r="B247" s="86" t="str">
        <f>IFERROR(__xludf.DUMMYFUNCTION("IF(ISBLANK(A247),,FILTER('Leetcode List'!B:C,'Leetcode List'!A:A = A247))"),"Burst Balloons")</f>
        <v>Burst Balloons</v>
      </c>
      <c r="C247" s="47" t="str">
        <f>IFERROR(__xludf.DUMMYFUNCTION("""COMPUTED_VALUE"""),"Hard")</f>
        <v>Hard</v>
      </c>
      <c r="D247" s="47" t="s">
        <v>76</v>
      </c>
      <c r="E247" s="87" t="str">
        <f>IFERROR(__xludf.DUMMYFUNCTION("IF(ISBLANK(A247),,FILTER('Leetcode List'!E:J,'Leetcode List'!A:A = A247))"),"Codenation,Uber,Bloomberg,Snapchat,Samsung,Adobe,Facebook,Amazon,Google")</f>
        <v>Codenation,Uber,Bloomberg,Snapchat,Samsung,Adobe,Facebook,Amazon,Google</v>
      </c>
      <c r="F247" s="47" t="str">
        <f>IFERROR(__xludf.DUMMYFUNCTION("""COMPUTED_VALUE"""),"Adobe,Codenation,Bloomberg")</f>
        <v>Adobe,Codenation,Bloomberg</v>
      </c>
      <c r="G247" s="47" t="str">
        <f>IFERROR(__xludf.DUMMYFUNCTION("""COMPUTED_VALUE"""),"Amazon,Samsung,Google,Adobe,Codenation,Bloomberg")</f>
        <v>Amazon,Samsung,Google,Adobe,Codenation,Bloomberg</v>
      </c>
      <c r="H247" s="47" t="str">
        <f>IFERROR(__xludf.DUMMYFUNCTION("""COMPUTED_VALUE"""),"Facebook,Uber,Snapchat,Amazon,Samsung,Google,Adobe,Codenation,Bloomberg")</f>
        <v>Facebook,Uber,Snapchat,Amazon,Samsung,Google,Adobe,Codenation,Bloomberg</v>
      </c>
      <c r="I247" s="47">
        <f>IFERROR(__xludf.DUMMYFUNCTION("""COMPUTED_VALUE"""),53.82)</f>
        <v>53.82</v>
      </c>
      <c r="J247" s="47" t="str">
        <f>IFERROR(__xludf.DUMMYFUNCTION("""COMPUTED_VALUE"""),"算法")</f>
        <v>算法</v>
      </c>
      <c r="K247" s="47">
        <v>246.0</v>
      </c>
      <c r="L247" s="6">
        <f>COUNTIF('Coder-1'!B:B,A247)</f>
        <v>0</v>
      </c>
      <c r="M247" s="6">
        <f>COUNTIF('Coder-2'!B:B,A247)</f>
        <v>0</v>
      </c>
      <c r="N247" s="6">
        <f>COUNTIF('Coder-3'!B:B,A247)</f>
        <v>0</v>
      </c>
      <c r="O247" s="6">
        <f>COUNTIF('Coder-4'!B:B,A247)</f>
        <v>0</v>
      </c>
    </row>
    <row r="248">
      <c r="A248" s="83">
        <v>322.0</v>
      </c>
      <c r="B248" s="86" t="str">
        <f>IFERROR(__xludf.DUMMYFUNCTION("IF(ISBLANK(A248),,FILTER('Leetcode List'!B:C,'Leetcode List'!A:A = A248))"),"Coin Change")</f>
        <v>Coin Change</v>
      </c>
      <c r="C248" s="47" t="str">
        <f>IFERROR(__xludf.DUMMYFUNCTION("""COMPUTED_VALUE"""),"Medium")</f>
        <v>Medium</v>
      </c>
      <c r="D248" s="47" t="s">
        <v>76</v>
      </c>
      <c r="E248" s="87" t="str">
        <f>IFERROR(__xludf.DUMMYFUNCTION("IF(ISBLANK(A248),,FILTER('Leetcode List'!E:J,'Leetcode List'!A:A = A248))"),"Grab,SAP,Zappos,ByteDance,Capital One,Visa,VMware,Affirm,Walmart Labs,JPMorgan,Paypal,Oracle,Cisco,EBay,BlackRock,Apple,Airbnb,Uber,Yahoo,Bloomberg,Adobe,Facebook,Amazon,LinkedIn,Microsoft,Goldman Sachs,Google")</f>
        <v>Grab,SAP,Zappos,ByteDance,Capital One,Visa,VMware,Affirm,Walmart Labs,JPMorgan,Paypal,Oracle,Cisco,EBay,BlackRock,Apple,Airbnb,Uber,Yahoo,Bloomberg,Adobe,Facebook,Amazon,LinkedIn,Microsoft,Goldman Sachs,Google</v>
      </c>
      <c r="F248" s="47" t="str">
        <f>IFERROR(__xludf.DUMMYFUNCTION("""COMPUTED_VALUE"""),"Amazon,Goldman Sachs,Bloomberg,Walmart Labs,Airbnb,BlackRock,Uber,Oracle,Apple,Microsoft,Facebook")</f>
        <v>Amazon,Goldman Sachs,Bloomberg,Walmart Labs,Airbnb,BlackRock,Uber,Oracle,Apple,Microsoft,Facebook</v>
      </c>
      <c r="G248" s="47" t="str">
        <f>IFERROR(__xludf.DUMMYFUNCTION("""COMPUTED_VALUE"""),"ByteDance,Google,eBay,Capital One,Grab,VMware,Cisco,Paypal,Amazon,Goldman Sachs,Bloomberg,Walmart Labs,Airbnb,BlackRock,Uber,Oracle,Apple,Microsoft,Facebook")</f>
        <v>ByteDance,Google,eBay,Capital One,Grab,VMware,Cisco,Paypal,Amazon,Goldman Sachs,Bloomberg,Walmart Labs,Airbnb,BlackRock,Uber,Oracle,Apple,Microsoft,Facebook</v>
      </c>
      <c r="H248" s="47" t="str">
        <f>IFERROR(__xludf.DUMMYFUNCTION("""COMPUTED_VALUE"""),"Adobe,Yahoo,Zappos,Affirm,SAP,ByteDance,Google,eBay,Capital One,Grab,VMware,Cisco,Paypal,Amazon,Goldman Sachs,Bloomberg,Walmart Labs,Airbnb,BlackRock,Uber,Oracle,Apple,Microsoft,Facebook")</f>
        <v>Adobe,Yahoo,Zappos,Affirm,SAP,ByteDance,Google,eBay,Capital One,Grab,VMware,Cisco,Paypal,Amazon,Goldman Sachs,Bloomberg,Walmart Labs,Airbnb,BlackRock,Uber,Oracle,Apple,Microsoft,Facebook</v>
      </c>
      <c r="I248" s="47">
        <f>IFERROR(__xludf.DUMMYFUNCTION("""COMPUTED_VALUE"""),37.59)</f>
        <v>37.59</v>
      </c>
      <c r="J248" s="47" t="str">
        <f>IFERROR(__xludf.DUMMYFUNCTION("""COMPUTED_VALUE"""),"算法")</f>
        <v>算法</v>
      </c>
      <c r="K248" s="47">
        <v>247.0</v>
      </c>
      <c r="L248" s="6">
        <f>COUNTIF('Coder-1'!B:B,A248)</f>
        <v>0</v>
      </c>
      <c r="M248" s="6">
        <f>COUNTIF('Coder-2'!B:B,A248)</f>
        <v>0</v>
      </c>
      <c r="N248" s="6">
        <f>COUNTIF('Coder-3'!B:B,A248)</f>
        <v>0</v>
      </c>
      <c r="O248" s="6">
        <f>COUNTIF('Coder-4'!B:B,A248)</f>
        <v>0</v>
      </c>
    </row>
    <row r="249">
      <c r="A249" s="83">
        <v>256.0</v>
      </c>
      <c r="B249" s="86" t="str">
        <f>IFERROR(__xludf.DUMMYFUNCTION("IF(ISBLANK(A249),,FILTER('Leetcode List'!B:C,'Leetcode List'!A:A = A249))"),"Paint House")</f>
        <v>Paint House</v>
      </c>
      <c r="C249" s="47" t="str">
        <f>IFERROR(__xludf.DUMMYFUNCTION("""COMPUTED_VALUE"""),"Medium")</f>
        <v>Medium</v>
      </c>
      <c r="D249" s="47" t="s">
        <v>76</v>
      </c>
      <c r="E249" s="87" t="str">
        <f>IFERROR(__xludf.DUMMYFUNCTION("IF(ISBLANK(A249),,FILTER('Leetcode List'!E:J,'Leetcode List'!A:A = A249))"),"Roblox,Walmart Labs,Oracle,Amazon,Google,Twitter,Apple,Tencent,LinkedIn,Microsoft")</f>
        <v>Roblox,Walmart Labs,Oracle,Amazon,Google,Twitter,Apple,Tencent,LinkedIn,Microsoft</v>
      </c>
      <c r="F249" s="47" t="str">
        <f>IFERROR(__xludf.DUMMYFUNCTION("""COMPUTED_VALUE"""),"Roblox,LinkedIn,Google,Oracle")</f>
        <v>Roblox,LinkedIn,Google,Oracle</v>
      </c>
      <c r="G249" s="47" t="str">
        <f>IFERROR(__xludf.DUMMYFUNCTION("""COMPUTED_VALUE"""),"Microsoft,Amazon,Walmart Labs,Roblox,LinkedIn,Google,Oracle")</f>
        <v>Microsoft,Amazon,Walmart Labs,Roblox,LinkedIn,Google,Oracle</v>
      </c>
      <c r="H249" s="47" t="str">
        <f>IFERROR(__xludf.DUMMYFUNCTION("""COMPUTED_VALUE"""),"Twitter,Apple,Tencent,Microsoft,Amazon,Walmart Labs,Roblox,LinkedIn,Google,Oracle")</f>
        <v>Twitter,Apple,Tencent,Microsoft,Amazon,Walmart Labs,Roblox,LinkedIn,Google,Oracle</v>
      </c>
      <c r="I249" s="47">
        <f>IFERROR(__xludf.DUMMYFUNCTION("""COMPUTED_VALUE"""),53.74)</f>
        <v>53.74</v>
      </c>
      <c r="J249" s="47" t="str">
        <f>IFERROR(__xludf.DUMMYFUNCTION("""COMPUTED_VALUE"""),"算法")</f>
        <v>算法</v>
      </c>
      <c r="K249" s="47">
        <v>248.0</v>
      </c>
      <c r="L249" s="6">
        <f>COUNTIF('Coder-1'!B:B,A249)</f>
        <v>0</v>
      </c>
      <c r="M249" s="6">
        <f>COUNTIF('Coder-2'!B:B,A249)</f>
        <v>0</v>
      </c>
      <c r="N249" s="6">
        <f>COUNTIF('Coder-3'!B:B,A249)</f>
        <v>0</v>
      </c>
      <c r="O249" s="6">
        <f>COUNTIF('Coder-4'!B:B,A249)</f>
        <v>0</v>
      </c>
    </row>
    <row r="250">
      <c r="A250" s="83">
        <v>265.0</v>
      </c>
      <c r="B250" s="86" t="str">
        <f>IFERROR(__xludf.DUMMYFUNCTION("IF(ISBLANK(A250),,FILTER('Leetcode List'!B:C,'Leetcode List'!A:A = A250))"),"Paint House II")</f>
        <v>Paint House II</v>
      </c>
      <c r="C250" s="47" t="str">
        <f>IFERROR(__xludf.DUMMYFUNCTION("""COMPUTED_VALUE"""),"Hard")</f>
        <v>Hard</v>
      </c>
      <c r="D250" s="47" t="s">
        <v>76</v>
      </c>
      <c r="E250" s="87" t="str">
        <f>IFERROR(__xludf.DUMMYFUNCTION("IF(ISBLANK(A250),,FILTER('Leetcode List'!E:J,'Leetcode List'!A:A = A250))"),"Walmart Labs,Uber,Facebook,LinkedIn,Google")</f>
        <v>Walmart Labs,Uber,Facebook,LinkedIn,Google</v>
      </c>
      <c r="F250" s="47" t="str">
        <f>IFERROR(__xludf.DUMMYFUNCTION("""COMPUTED_VALUE"""),"Walmart Labs")</f>
        <v>Walmart Labs</v>
      </c>
      <c r="G250" s="47" t="str">
        <f>IFERROR(__xludf.DUMMYFUNCTION("""COMPUTED_VALUE"""),"Walmart Labs")</f>
        <v>Walmart Labs</v>
      </c>
      <c r="H250" s="47" t="str">
        <f>IFERROR(__xludf.DUMMYFUNCTION("""COMPUTED_VALUE"""),"LinkedIn,Facebook,Walmart Labs")</f>
        <v>LinkedIn,Facebook,Walmart Labs</v>
      </c>
      <c r="I250" s="47">
        <f>IFERROR(__xludf.DUMMYFUNCTION("""COMPUTED_VALUE"""),45.74)</f>
        <v>45.74</v>
      </c>
      <c r="J250" s="47" t="str">
        <f>IFERROR(__xludf.DUMMYFUNCTION("""COMPUTED_VALUE"""),"算法")</f>
        <v>算法</v>
      </c>
      <c r="K250" s="47">
        <v>249.0</v>
      </c>
      <c r="L250" s="6">
        <f>COUNTIF('Coder-1'!B:B,A250)</f>
        <v>0</v>
      </c>
      <c r="M250" s="6">
        <f>COUNTIF('Coder-2'!B:B,A250)</f>
        <v>0</v>
      </c>
      <c r="N250" s="6">
        <f>COUNTIF('Coder-3'!B:B,A250)</f>
        <v>0</v>
      </c>
      <c r="O250" s="6">
        <f>COUNTIF('Coder-4'!B:B,A250)</f>
        <v>0</v>
      </c>
    </row>
    <row r="251">
      <c r="A251" s="83">
        <v>64.0</v>
      </c>
      <c r="B251" s="86" t="str">
        <f>IFERROR(__xludf.DUMMYFUNCTION("IF(ISBLANK(A251),,FILTER('Leetcode List'!B:C,'Leetcode List'!A:A = A251))"),"Minimum Path Sum")</f>
        <v>Minimum Path Sum</v>
      </c>
      <c r="C251" s="47" t="str">
        <f>IFERROR(__xludf.DUMMYFUNCTION("""COMPUTED_VALUE"""),"Medium")</f>
        <v>Medium</v>
      </c>
      <c r="D251" s="47" t="s">
        <v>76</v>
      </c>
      <c r="E251" s="87" t="str">
        <f>IFERROR(__xludf.DUMMYFUNCTION("IF(ISBLANK(A251),,FILTER('Leetcode List'!E:J,'Leetcode List'!A:A = A251))"),"Tesla,Snapchat,EBay,Rubrik,Dropbox,Wish,Nvidia,Apple,Uber,Bloomberg,Adobe,Facebook,Amazon,Microsoft,Goldman Sachs,Google")</f>
        <v>Tesla,Snapchat,EBay,Rubrik,Dropbox,Wish,Nvidia,Apple,Uber,Bloomberg,Adobe,Facebook,Amazon,Microsoft,Goldman Sachs,Google</v>
      </c>
      <c r="F251" s="47" t="str">
        <f>IFERROR(__xludf.DUMMYFUNCTION("""COMPUTED_VALUE"""),"Amazon,Google,Bloomberg,Goldman Sachs,Apple,Facebook,Snapchat,Tesla")</f>
        <v>Amazon,Google,Bloomberg,Goldman Sachs,Apple,Facebook,Snapchat,Tesla</v>
      </c>
      <c r="G251" s="47" t="str">
        <f>IFERROR(__xludf.DUMMYFUNCTION("""COMPUTED_VALUE"""),"Microsoft,Adobe,eBay,Amazon,Google,Bloomberg,Goldman Sachs,Apple,Facebook,Snapchat,Tesla")</f>
        <v>Microsoft,Adobe,eBay,Amazon,Google,Bloomberg,Goldman Sachs,Apple,Facebook,Snapchat,Tesla</v>
      </c>
      <c r="H251" s="47" t="str">
        <f>IFERROR(__xludf.DUMMYFUNCTION("""COMPUTED_VALUE"""),"Nvidia,Uber,Dropbox,Wish,Microsoft,Adobe,eBay,Amazon,Google,Bloomberg,Goldman Sachs,Apple,Facebook,Snapchat,Tesla")</f>
        <v>Nvidia,Uber,Dropbox,Wish,Microsoft,Adobe,eBay,Amazon,Google,Bloomberg,Goldman Sachs,Apple,Facebook,Snapchat,Tesla</v>
      </c>
      <c r="I251" s="47">
        <f>IFERROR(__xludf.DUMMYFUNCTION("""COMPUTED_VALUE"""),56.34)</f>
        <v>56.34</v>
      </c>
      <c r="J251" s="47" t="str">
        <f>IFERROR(__xludf.DUMMYFUNCTION("""COMPUTED_VALUE"""),"算法")</f>
        <v>算法</v>
      </c>
      <c r="K251" s="47">
        <v>250.0</v>
      </c>
      <c r="L251" s="6">
        <f>COUNTIF('Coder-1'!B:B,A251)</f>
        <v>0</v>
      </c>
      <c r="M251" s="6">
        <f>COUNTIF('Coder-2'!B:B,A251)</f>
        <v>0</v>
      </c>
      <c r="N251" s="6">
        <f>COUNTIF('Coder-3'!B:B,A251)</f>
        <v>0</v>
      </c>
      <c r="O251" s="6">
        <f>COUNTIF('Coder-4'!B:B,A251)</f>
        <v>0</v>
      </c>
    </row>
    <row r="252">
      <c r="A252" s="83">
        <v>72.0</v>
      </c>
      <c r="B252" s="86" t="str">
        <f>IFERROR(__xludf.DUMMYFUNCTION("IF(ISBLANK(A252),,FILTER('Leetcode List'!B:C,'Leetcode List'!A:A = A252))"),"Edit Distance")</f>
        <v>Edit Distance</v>
      </c>
      <c r="C252" s="47" t="str">
        <f>IFERROR(__xludf.DUMMYFUNCTION("""COMPUTED_VALUE"""),"Hard")</f>
        <v>Hard</v>
      </c>
      <c r="D252" s="47" t="s">
        <v>76</v>
      </c>
      <c r="E252" s="87" t="str">
        <f>IFERROR(__xludf.DUMMYFUNCTION("IF(ISBLANK(A252),,FILTER('Leetcode List'!E:J,'Leetcode List'!A:A = A252))"),"DiDi,Palantir Technologies,Cisco,Tencent,Square,ByteDance,Qualcomm,VMware,Paypal,Intuit,Baidu,Apple,Uber,Yahoo,Bloomberg,Adobe,Facebook,Amazon,LinkedIn,Microsoft,Goldman Sachs,Google")</f>
        <v>DiDi,Palantir Technologies,Cisco,Tencent,Square,ByteDance,Qualcomm,VMware,Paypal,Intuit,Baidu,Apple,Uber,Yahoo,Bloomberg,Adobe,Facebook,Amazon,LinkedIn,Microsoft,Goldman Sachs,Google</v>
      </c>
      <c r="F252" s="47" t="str">
        <f>IFERROR(__xludf.DUMMYFUNCTION("""COMPUTED_VALUE"""),"Amazon,Microsoft,Google,Palantir Technologies,Facebook")</f>
        <v>Amazon,Microsoft,Google,Palantir Technologies,Facebook</v>
      </c>
      <c r="G252" s="47" t="str">
        <f>IFERROR(__xludf.DUMMYFUNCTION("""COMPUTED_VALUE"""),"Square,ByteDance,Cisco,Tencent,Uber,Amazon,Microsoft,Google,Palantir Technologies,Facebook")</f>
        <v>Square,ByteDance,Cisco,Tencent,Uber,Amazon,Microsoft,Google,Palantir Technologies,Facebook</v>
      </c>
      <c r="H252" s="47" t="str">
        <f>IFERROR(__xludf.DUMMYFUNCTION("""COMPUTED_VALUE"""),"LinkedIn,Bloomberg,Intuit,Apple,Adobe,DiDi,Square,ByteDance,Cisco,Tencent,Uber,Amazon,Microsoft,Google,Palantir Technologies,Facebook")</f>
        <v>LinkedIn,Bloomberg,Intuit,Apple,Adobe,DiDi,Square,ByteDance,Cisco,Tencent,Uber,Amazon,Microsoft,Google,Palantir Technologies,Facebook</v>
      </c>
      <c r="I252" s="47">
        <f>IFERROR(__xludf.DUMMYFUNCTION("""COMPUTED_VALUE"""),46.92)</f>
        <v>46.92</v>
      </c>
      <c r="J252" s="47" t="str">
        <f>IFERROR(__xludf.DUMMYFUNCTION("""COMPUTED_VALUE"""),"算法")</f>
        <v>算法</v>
      </c>
      <c r="K252" s="47">
        <v>251.0</v>
      </c>
      <c r="L252" s="6">
        <f>COUNTIF('Coder-1'!B:B,A252)</f>
        <v>0</v>
      </c>
      <c r="M252" s="6">
        <f>COUNTIF('Coder-2'!B:B,A252)</f>
        <v>0</v>
      </c>
      <c r="N252" s="6">
        <f>COUNTIF('Coder-3'!B:B,A252)</f>
        <v>0</v>
      </c>
      <c r="O252" s="6">
        <f>COUNTIF('Coder-4'!B:B,A252)</f>
        <v>0</v>
      </c>
    </row>
    <row r="253">
      <c r="A253" s="83">
        <v>97.0</v>
      </c>
      <c r="B253" s="86" t="str">
        <f>IFERROR(__xludf.DUMMYFUNCTION("IF(ISBLANK(A253),,FILTER('Leetcode List'!B:C,'Leetcode List'!A:A = A253))"),"Interleaving String")</f>
        <v>Interleaving String</v>
      </c>
      <c r="C253" s="47" t="str">
        <f>IFERROR(__xludf.DUMMYFUNCTION("""COMPUTED_VALUE"""),"Hard")</f>
        <v>Hard</v>
      </c>
      <c r="D253" s="47" t="s">
        <v>76</v>
      </c>
      <c r="E253" s="87" t="str">
        <f>IFERROR(__xludf.DUMMYFUNCTION("IF(ISBLANK(A253),,FILTER('Leetcode List'!E:J,'Leetcode List'!A:A = A253))"),"VMware,Nvidia,Apple,Uber,Bloomberg,Amazon,Microsoft,Google")</f>
        <v>VMware,Nvidia,Apple,Uber,Bloomberg,Amazon,Microsoft,Google</v>
      </c>
      <c r="F253" s="47" t="str">
        <f>IFERROR(__xludf.DUMMYFUNCTION("""COMPUTED_VALUE"""),"Microsoft")</f>
        <v>Microsoft</v>
      </c>
      <c r="G253" s="47" t="str">
        <f>IFERROR(__xludf.DUMMYFUNCTION("""COMPUTED_VALUE"""),"Amazon,Apple,VMware,Microsoft")</f>
        <v>Amazon,Apple,VMware,Microsoft</v>
      </c>
      <c r="H253" s="47" t="str">
        <f>IFERROR(__xludf.DUMMYFUNCTION("""COMPUTED_VALUE"""),"Google,Bloomberg,Amazon,Apple,VMware,Microsoft")</f>
        <v>Google,Bloomberg,Amazon,Apple,VMware,Microsoft</v>
      </c>
      <c r="I253" s="47">
        <f>IFERROR(__xludf.DUMMYFUNCTION("""COMPUTED_VALUE"""),32.65)</f>
        <v>32.65</v>
      </c>
      <c r="J253" s="47" t="str">
        <f>IFERROR(__xludf.DUMMYFUNCTION("""COMPUTED_VALUE"""),"算法")</f>
        <v>算法</v>
      </c>
      <c r="K253" s="47">
        <v>252.0</v>
      </c>
      <c r="L253" s="6">
        <f>COUNTIF('Coder-1'!B:B,A253)</f>
        <v>0</v>
      </c>
      <c r="M253" s="6">
        <f>COUNTIF('Coder-2'!B:B,A253)</f>
        <v>0</v>
      </c>
      <c r="N253" s="6">
        <f>COUNTIF('Coder-3'!B:B,A253)</f>
        <v>0</v>
      </c>
      <c r="O253" s="6">
        <f>COUNTIF('Coder-4'!B:B,A253)</f>
        <v>0</v>
      </c>
    </row>
    <row r="254">
      <c r="A254" s="83">
        <v>174.0</v>
      </c>
      <c r="B254" s="86" t="str">
        <f>IFERROR(__xludf.DUMMYFUNCTION("IF(ISBLANK(A254),,FILTER('Leetcode List'!B:C,'Leetcode List'!A:A = A254))"),"Dungeon Game")</f>
        <v>Dungeon Game</v>
      </c>
      <c r="C254" s="47" t="str">
        <f>IFERROR(__xludf.DUMMYFUNCTION("""COMPUTED_VALUE"""),"Hard")</f>
        <v>Hard</v>
      </c>
      <c r="D254" s="47" t="s">
        <v>76</v>
      </c>
      <c r="E254" s="87" t="str">
        <f>IFERROR(__xludf.DUMMYFUNCTION("IF(ISBLANK(A254),,FILTER('Leetcode List'!E:J,'Leetcode List'!A:A = A254))"),"DE Shaw,JPMorgan,Bloomberg,Amazon,Microsoft,Google")</f>
        <v>DE Shaw,JPMorgan,Bloomberg,Amazon,Microsoft,Google</v>
      </c>
      <c r="F254" s="47" t="str">
        <f>IFERROR(__xludf.DUMMYFUNCTION("""COMPUTED_VALUE"""),"JPMorgan")</f>
        <v>JPMorgan</v>
      </c>
      <c r="G254" s="47" t="str">
        <f>IFERROR(__xludf.DUMMYFUNCTION("""COMPUTED_VALUE"""),"Google,Bloomberg,JPMorgan")</f>
        <v>Google,Bloomberg,JPMorgan</v>
      </c>
      <c r="H254" s="47" t="str">
        <f>IFERROR(__xludf.DUMMYFUNCTION("""COMPUTED_VALUE"""),"DE Shaw,Microsoft,Google,Bloomberg,JPMorgan")</f>
        <v>DE Shaw,Microsoft,Google,Bloomberg,JPMorgan</v>
      </c>
      <c r="I254" s="47">
        <f>IFERROR(__xludf.DUMMYFUNCTION("""COMPUTED_VALUE"""),33.35)</f>
        <v>33.35</v>
      </c>
      <c r="J254" s="47" t="str">
        <f>IFERROR(__xludf.DUMMYFUNCTION("""COMPUTED_VALUE"""),"算法")</f>
        <v>算法</v>
      </c>
      <c r="K254" s="47">
        <v>253.0</v>
      </c>
      <c r="L254" s="6">
        <f>COUNTIF('Coder-1'!B:B,A254)</f>
        <v>0</v>
      </c>
      <c r="M254" s="6">
        <f>COUNTIF('Coder-2'!B:B,A254)</f>
        <v>0</v>
      </c>
      <c r="N254" s="6">
        <f>COUNTIF('Coder-3'!B:B,A254)</f>
        <v>0</v>
      </c>
      <c r="O254" s="6">
        <f>COUNTIF('Coder-4'!B:B,A254)</f>
        <v>0</v>
      </c>
    </row>
    <row r="255">
      <c r="A255" s="83">
        <v>221.0</v>
      </c>
      <c r="B255" s="86" t="str">
        <f>IFERROR(__xludf.DUMMYFUNCTION("IF(ISBLANK(A255),,FILTER('Leetcode List'!B:C,'Leetcode List'!A:A = A255))"),"Maximal Square")</f>
        <v>Maximal Square</v>
      </c>
      <c r="C255" s="47" t="str">
        <f>IFERROR(__xludf.DUMMYFUNCTION("""COMPUTED_VALUE"""),"Medium")</f>
        <v>Medium</v>
      </c>
      <c r="D255" s="47" t="s">
        <v>76</v>
      </c>
      <c r="E255" s="87" t="str">
        <f>IFERROR(__xludf.DUMMYFUNCTION("IF(ISBLANK(A255),,FILTER('Leetcode List'!E:J,'Leetcode List'!A:A = A255))"),"AppDynamics,Booking.com,Twilio,ByteDance,FactSet,Walmart Labs,Paypal,Twitter,IBM,Yahoo,Goldman Sachs,Two Sigma,VMware,Citadel,Oracle,Huawei,Apple,Airbnb,Uber,Bloomberg,Adobe,Facebook,Amazon,Microsoft,Google")</f>
        <v>AppDynamics,Booking.com,Twilio,ByteDance,FactSet,Walmart Labs,Paypal,Twitter,IBM,Yahoo,Goldman Sachs,Two Sigma,VMware,Citadel,Oracle,Huawei,Apple,Airbnb,Uber,Bloomberg,Adobe,Facebook,Amazon,Microsoft,Google</v>
      </c>
      <c r="F255" s="47" t="str">
        <f>IFERROR(__xludf.DUMMYFUNCTION("""COMPUTED_VALUE"""),"Amazon,IBM,Google,Twitter,ByteDance,Apple")</f>
        <v>Amazon,IBM,Google,Twitter,ByteDance,Apple</v>
      </c>
      <c r="G255" s="47" t="str">
        <f>IFERROR(__xludf.DUMMYFUNCTION("""COMPUTED_VALUE"""),"Adobe,Citadel,Paypal,Facebook,Microsoft,Bloomberg,AppDynamics,Booking.com,Goldman Sachs,Amazon,IBM,Google,Twitter,ByteDance,Apple")</f>
        <v>Adobe,Citadel,Paypal,Facebook,Microsoft,Bloomberg,AppDynamics,Booking.com,Goldman Sachs,Amazon,IBM,Google,Twitter,ByteDance,Apple</v>
      </c>
      <c r="H255" s="47" t="str">
        <f>IFERROR(__xludf.DUMMYFUNCTION("""COMPUTED_VALUE"""),"Uber,VMware,Huawei,Oracle,Yahoo,Twilio,Walmart Labs,FactSet,Airbnb,Adobe,Citadel,Paypal,Facebook,Microsoft,Bloomberg,AppDynamics,Booking.com,Goldman Sachs,Amazon,IBM,Google,Twitter,ByteDance,Apple")</f>
        <v>Uber,VMware,Huawei,Oracle,Yahoo,Twilio,Walmart Labs,FactSet,Airbnb,Adobe,Citadel,Paypal,Facebook,Microsoft,Bloomberg,AppDynamics,Booking.com,Goldman Sachs,Amazon,IBM,Google,Twitter,ByteDance,Apple</v>
      </c>
      <c r="I255" s="47">
        <f>IFERROR(__xludf.DUMMYFUNCTION("""COMPUTED_VALUE"""),39.4)</f>
        <v>39.4</v>
      </c>
      <c r="J255" s="47" t="str">
        <f>IFERROR(__xludf.DUMMYFUNCTION("""COMPUTED_VALUE"""),"算法")</f>
        <v>算法</v>
      </c>
      <c r="K255" s="47">
        <v>254.0</v>
      </c>
      <c r="L255" s="6">
        <f>COUNTIF('Coder-1'!B:B,A255)</f>
        <v>0</v>
      </c>
      <c r="M255" s="6">
        <f>COUNTIF('Coder-2'!B:B,A255)</f>
        <v>0</v>
      </c>
      <c r="N255" s="6">
        <f>COUNTIF('Coder-3'!B:B,A255)</f>
        <v>0</v>
      </c>
      <c r="O255" s="6">
        <f>COUNTIF('Coder-4'!B:B,A255)</f>
        <v>0</v>
      </c>
    </row>
    <row r="256">
      <c r="A256" s="83">
        <v>85.0</v>
      </c>
      <c r="B256" s="86" t="str">
        <f>IFERROR(__xludf.DUMMYFUNCTION("IF(ISBLANK(A256),,FILTER('Leetcode List'!B:C,'Leetcode List'!A:A = A256))"),"Maximal Rectangle")</f>
        <v>Maximal Rectangle</v>
      </c>
      <c r="C256" s="47" t="str">
        <f>IFERROR(__xludf.DUMMYFUNCTION("""COMPUTED_VALUE"""),"Hard")</f>
        <v>Hard</v>
      </c>
      <c r="D256" s="47" t="s">
        <v>76</v>
      </c>
      <c r="E256" s="87" t="str">
        <f>IFERROR(__xludf.DUMMYFUNCTION("IF(ISBLANK(A256),,FILTER('Leetcode List'!E:J,'Leetcode List'!A:A = A256))"),"Citadel,Yandex,Apple,Karat,Wayfair,VMware,Indeed,Uber,Samsung,Bloomberg,Adobe,Facebook,Amazon,Microsoft,Google")</f>
        <v>Citadel,Yandex,Apple,Karat,Wayfair,VMware,Indeed,Uber,Samsung,Bloomberg,Adobe,Facebook,Amazon,Microsoft,Google</v>
      </c>
      <c r="F256" s="47" t="str">
        <f>IFERROR(__xludf.DUMMYFUNCTION("""COMPUTED_VALUE"""),"Google,Amazon,Adobe,Bloomberg,Apple")</f>
        <v>Google,Amazon,Adobe,Bloomberg,Apple</v>
      </c>
      <c r="G256" s="47" t="str">
        <f>IFERROR(__xludf.DUMMYFUNCTION("""COMPUTED_VALUE"""),"Microsoft,Uber,Citadel,Wayfair,Karat,Yandex,Google,Amazon,Adobe,Bloomberg,Apple")</f>
        <v>Microsoft,Uber,Citadel,Wayfair,Karat,Yandex,Google,Amazon,Adobe,Bloomberg,Apple</v>
      </c>
      <c r="H256" s="47" t="str">
        <f>IFERROR(__xludf.DUMMYFUNCTION("""COMPUTED_VALUE"""),"Samsung,Indeed,VMware,Facebook,Microsoft,Uber,Citadel,Wayfair,Karat,Yandex,Google,Amazon,Adobe,Bloomberg,Apple")</f>
        <v>Samsung,Indeed,VMware,Facebook,Microsoft,Uber,Citadel,Wayfair,Karat,Yandex,Google,Amazon,Adobe,Bloomberg,Apple</v>
      </c>
      <c r="I256" s="47">
        <f>IFERROR(__xludf.DUMMYFUNCTION("""COMPUTED_VALUE"""),39.59)</f>
        <v>39.59</v>
      </c>
      <c r="J256" s="47" t="str">
        <f>IFERROR(__xludf.DUMMYFUNCTION("""COMPUTED_VALUE"""),"算法")</f>
        <v>算法</v>
      </c>
      <c r="K256" s="47">
        <v>255.0</v>
      </c>
      <c r="L256" s="6">
        <f>COUNTIF('Coder-1'!B:B,A256)</f>
        <v>0</v>
      </c>
      <c r="M256" s="6">
        <f>COUNTIF('Coder-2'!B:B,A256)</f>
        <v>0</v>
      </c>
      <c r="N256" s="6">
        <f>COUNTIF('Coder-3'!B:B,A256)</f>
        <v>0</v>
      </c>
      <c r="O256" s="6">
        <f>COUNTIF('Coder-4'!B:B,A256)</f>
        <v>0</v>
      </c>
    </row>
    <row r="257">
      <c r="A257" s="83">
        <v>363.0</v>
      </c>
      <c r="B257" s="86" t="str">
        <f>IFERROR(__xludf.DUMMYFUNCTION("IF(ISBLANK(A257),,FILTER('Leetcode List'!B:C,'Leetcode List'!A:A = A257))"),"Max Sum of Rectangle No Larger Than K")</f>
        <v>Max Sum of Rectangle No Larger Than K</v>
      </c>
      <c r="C257" s="47" t="str">
        <f>IFERROR(__xludf.DUMMYFUNCTION("""COMPUTED_VALUE"""),"Hard")</f>
        <v>Hard</v>
      </c>
      <c r="D257" s="47" t="s">
        <v>76</v>
      </c>
      <c r="E257" s="87" t="str">
        <f>IFERROR(__xludf.DUMMYFUNCTION("IF(ISBLANK(A257),,FILTER('Leetcode List'!E:J,'Leetcode List'!A:A = A257))"),"Roblox,Facebook,Google")</f>
        <v>Roblox,Facebook,Google</v>
      </c>
      <c r="F257" s="47" t="str">
        <f>IFERROR(__xludf.DUMMYFUNCTION("""COMPUTED_VALUE"""),"Roblox")</f>
        <v>Roblox</v>
      </c>
      <c r="G257" s="47" t="str">
        <f>IFERROR(__xludf.DUMMYFUNCTION("""COMPUTED_VALUE"""),"Google,Roblox")</f>
        <v>Google,Roblox</v>
      </c>
      <c r="H257" s="47" t="str">
        <f>IFERROR(__xludf.DUMMYFUNCTION("""COMPUTED_VALUE"""),"Facebook,Google,Roblox")</f>
        <v>Facebook,Google,Roblox</v>
      </c>
      <c r="I257" s="47">
        <f>IFERROR(__xludf.DUMMYFUNCTION("""COMPUTED_VALUE"""),38.45)</f>
        <v>38.45</v>
      </c>
      <c r="J257" s="47" t="str">
        <f>IFERROR(__xludf.DUMMYFUNCTION("""COMPUTED_VALUE"""),"算法")</f>
        <v>算法</v>
      </c>
      <c r="K257" s="47">
        <v>256.0</v>
      </c>
      <c r="L257" s="6">
        <f>COUNTIF('Coder-1'!B:B,A257)</f>
        <v>0</v>
      </c>
      <c r="M257" s="6">
        <f>COUNTIF('Coder-2'!B:B,A257)</f>
        <v>0</v>
      </c>
      <c r="N257" s="6">
        <f>COUNTIF('Coder-3'!B:B,A257)</f>
        <v>0</v>
      </c>
      <c r="O257" s="6">
        <f>COUNTIF('Coder-4'!B:B,A257)</f>
        <v>0</v>
      </c>
    </row>
    <row r="258">
      <c r="A258" s="83">
        <v>198.0</v>
      </c>
      <c r="B258" s="86" t="str">
        <f>IFERROR(__xludf.DUMMYFUNCTION("IF(ISBLANK(A258),,FILTER('Leetcode List'!B:C,'Leetcode List'!A:A = A258))"),"House Robber")</f>
        <v>House Robber</v>
      </c>
      <c r="C258" s="47" t="str">
        <f>IFERROR(__xludf.DUMMYFUNCTION("""COMPUTED_VALUE"""),"Medium")</f>
        <v>Medium</v>
      </c>
      <c r="D258" s="47" t="s">
        <v>76</v>
      </c>
      <c r="E258" s="87" t="str">
        <f>IFERROR(__xludf.DUMMYFUNCTION("IF(ISBLANK(A258),,FILTER('Leetcode List'!E:J,'Leetcode List'!A:A = A258))"),"Qualtrics,Splunk,Twitter,Oracle,HBO,ByteDance,Quora,Walmart Labs,Expedia,Cisco,EBay,Apple,Airbnb,Uber,Bloomberg,Adobe,Amazon,LinkedIn,Microsoft,Goldman Sachs,Google")</f>
        <v>Qualtrics,Splunk,Twitter,Oracle,HBO,ByteDance,Quora,Walmart Labs,Expedia,Cisco,EBay,Apple,Airbnb,Uber,Bloomberg,Adobe,Amazon,LinkedIn,Microsoft,Goldman Sachs,Google</v>
      </c>
      <c r="F258" s="47" t="str">
        <f>IFERROR(__xludf.DUMMYFUNCTION("""COMPUTED_VALUE"""),"Oracle,Cisco,Microsoft,Bloomberg,Amazon,Expedia,ByteDance,Splunk")</f>
        <v>Oracle,Cisco,Microsoft,Bloomberg,Amazon,Expedia,ByteDance,Splunk</v>
      </c>
      <c r="G258" s="47" t="str">
        <f>IFERROR(__xludf.DUMMYFUNCTION("""COMPUTED_VALUE"""),"Google,Apple,Adobe,eBay,Twitter,Oracle,Cisco,Microsoft,Bloomberg,Amazon,Expedia,ByteDance,Splunk")</f>
        <v>Google,Apple,Adobe,eBay,Twitter,Oracle,Cisco,Microsoft,Bloomberg,Amazon,Expedia,ByteDance,Splunk</v>
      </c>
      <c r="H258" s="47" t="str">
        <f>IFERROR(__xludf.DUMMYFUNCTION("""COMPUTED_VALUE"""),"Uber,HBO,LinkedIn,Walmart Labs,Goldman Sachs,Qualtrics,Airbnb,Google,Apple,Adobe,eBay,Twitter,Oracle,Cisco,Microsoft,Bloomberg,Amazon,Expedia,ByteDance,Splunk")</f>
        <v>Uber,HBO,LinkedIn,Walmart Labs,Goldman Sachs,Qualtrics,Airbnb,Google,Apple,Adobe,eBay,Twitter,Oracle,Cisco,Microsoft,Bloomberg,Amazon,Expedia,ByteDance,Splunk</v>
      </c>
      <c r="I258" s="47">
        <f>IFERROR(__xludf.DUMMYFUNCTION("""COMPUTED_VALUE"""),42.97)</f>
        <v>42.97</v>
      </c>
      <c r="J258" s="47" t="str">
        <f>IFERROR(__xludf.DUMMYFUNCTION("""COMPUTED_VALUE"""),"算法")</f>
        <v>算法</v>
      </c>
      <c r="K258" s="47">
        <v>257.0</v>
      </c>
      <c r="L258" s="6">
        <f>COUNTIF('Coder-1'!B:B,A258)</f>
        <v>0</v>
      </c>
      <c r="M258" s="6">
        <f>COUNTIF('Coder-2'!B:B,A258)</f>
        <v>0</v>
      </c>
      <c r="N258" s="6">
        <f>COUNTIF('Coder-3'!B:B,A258)</f>
        <v>0</v>
      </c>
      <c r="O258" s="6">
        <f>COUNTIF('Coder-4'!B:B,A258)</f>
        <v>0</v>
      </c>
    </row>
    <row r="259">
      <c r="A259" s="83">
        <v>213.0</v>
      </c>
      <c r="B259" s="86" t="str">
        <f>IFERROR(__xludf.DUMMYFUNCTION("IF(ISBLANK(A259),,FILTER('Leetcode List'!B:C,'Leetcode List'!A:A = A259))"),"House Robber II")</f>
        <v>House Robber II</v>
      </c>
      <c r="C259" s="47" t="str">
        <f>IFERROR(__xludf.DUMMYFUNCTION("""COMPUTED_VALUE"""),"Medium")</f>
        <v>Medium</v>
      </c>
      <c r="D259" s="47" t="s">
        <v>76</v>
      </c>
      <c r="E259" s="87" t="str">
        <f>IFERROR(__xludf.DUMMYFUNCTION("IF(ISBLANK(A259),,FILTER('Leetcode List'!E:J,'Leetcode List'!A:A = A259))"),"Walmart Labs,Apple,Adobe,Amazon,Salesforce,EBay,Microsoft,Google")</f>
        <v>Walmart Labs,Apple,Adobe,Amazon,Salesforce,EBay,Microsoft,Google</v>
      </c>
      <c r="F259" s="47"/>
      <c r="G259" s="47" t="str">
        <f>IFERROR(__xludf.DUMMYFUNCTION("""COMPUTED_VALUE"""),"Adobe,Amazon,eBay,Microsoft")</f>
        <v>Adobe,Amazon,eBay,Microsoft</v>
      </c>
      <c r="H259" s="47" t="str">
        <f>IFERROR(__xludf.DUMMYFUNCTION("""COMPUTED_VALUE"""),"Apple,Google,Walmart Labs,Adobe,Amazon,eBay,Microsoft")</f>
        <v>Apple,Google,Walmart Labs,Adobe,Amazon,eBay,Microsoft</v>
      </c>
      <c r="I259" s="47">
        <f>IFERROR(__xludf.DUMMYFUNCTION("""COMPUTED_VALUE"""),37.6)</f>
        <v>37.6</v>
      </c>
      <c r="J259" s="47" t="str">
        <f>IFERROR(__xludf.DUMMYFUNCTION("""COMPUTED_VALUE"""),"算法")</f>
        <v>算法</v>
      </c>
      <c r="K259" s="47">
        <v>258.0</v>
      </c>
      <c r="L259" s="6">
        <f>COUNTIF('Coder-1'!B:B,A259)</f>
        <v>0</v>
      </c>
      <c r="M259" s="6">
        <f>COUNTIF('Coder-2'!B:B,A259)</f>
        <v>0</v>
      </c>
      <c r="N259" s="6">
        <f>COUNTIF('Coder-3'!B:B,A259)</f>
        <v>0</v>
      </c>
      <c r="O259" s="6">
        <f>COUNTIF('Coder-4'!B:B,A259)</f>
        <v>0</v>
      </c>
    </row>
    <row r="260">
      <c r="A260" s="83">
        <v>276.0</v>
      </c>
      <c r="B260" s="86" t="str">
        <f>IFERROR(__xludf.DUMMYFUNCTION("IF(ISBLANK(A260),,FILTER('Leetcode List'!B:C,'Leetcode List'!A:A = A260))"),"Paint Fence")</f>
        <v>Paint Fence</v>
      </c>
      <c r="C260" s="47" t="str">
        <f>IFERROR(__xludf.DUMMYFUNCTION("""COMPUTED_VALUE"""),"Medium")</f>
        <v>Medium</v>
      </c>
      <c r="D260" s="47" t="s">
        <v>76</v>
      </c>
      <c r="E260" s="87" t="str">
        <f>IFERROR(__xludf.DUMMYFUNCTION("IF(ISBLANK(A260),,FILTER('Leetcode List'!E:J,'Leetcode List'!A:A = A260))"),"JPMorgan,Expedia,Google")</f>
        <v>JPMorgan,Expedia,Google</v>
      </c>
      <c r="F260" s="47"/>
      <c r="G260" s="47" t="str">
        <f>IFERROR(__xludf.DUMMYFUNCTION("""COMPUTED_VALUE"""),"Google,JPMorgan")</f>
        <v>Google,JPMorgan</v>
      </c>
      <c r="H260" s="47" t="str">
        <f>IFERROR(__xludf.DUMMYFUNCTION("""COMPUTED_VALUE"""),"Expedia,Google,JPMorgan")</f>
        <v>Expedia,Google,JPMorgan</v>
      </c>
      <c r="I260" s="47">
        <f>IFERROR(__xludf.DUMMYFUNCTION("""COMPUTED_VALUE"""),39.11)</f>
        <v>39.11</v>
      </c>
      <c r="J260" s="47" t="str">
        <f>IFERROR(__xludf.DUMMYFUNCTION("""COMPUTED_VALUE"""),"算法")</f>
        <v>算法</v>
      </c>
      <c r="K260" s="47">
        <v>259.0</v>
      </c>
      <c r="L260" s="6">
        <f>COUNTIF('Coder-1'!B:B,A260)</f>
        <v>0</v>
      </c>
      <c r="M260" s="6">
        <f>COUNTIF('Coder-2'!B:B,A260)</f>
        <v>0</v>
      </c>
      <c r="N260" s="6">
        <f>COUNTIF('Coder-3'!B:B,A260)</f>
        <v>0</v>
      </c>
      <c r="O260" s="6">
        <f>COUNTIF('Coder-4'!B:B,A260)</f>
        <v>0</v>
      </c>
    </row>
    <row r="261">
      <c r="A261" s="83">
        <v>91.0</v>
      </c>
      <c r="B261" s="86" t="str">
        <f>IFERROR(__xludf.DUMMYFUNCTION("IF(ISBLANK(A261),,FILTER('Leetcode List'!B:C,'Leetcode List'!A:A = A261))"),"Decode Ways")</f>
        <v>Decode Ways</v>
      </c>
      <c r="C261" s="47" t="str">
        <f>IFERROR(__xludf.DUMMYFUNCTION("""COMPUTED_VALUE"""),"Medium")</f>
        <v>Medium</v>
      </c>
      <c r="D261" s="47" t="s">
        <v>76</v>
      </c>
      <c r="E261" s="87" t="str">
        <f>IFERROR(__xludf.DUMMYFUNCTION("IF(ISBLANK(A261),,FILTER('Leetcode List'!E:J,'Leetcode List'!A:A = A261))"),"PayTM,ByteDance,Walmart Labs,JPMorgan,Paypal,Oracle,Morgan Stanley,Square,Pinterest,Databricks,Barclays,Snapchat,Twitter,Expedia,Lyft,Cisco,Huawei,Baidu,Apple,Uber,Bloomberg,Adobe,Facebook,Amazon,Microsoft,Goldman Sachs,Google")</f>
        <v>PayTM,ByteDance,Walmart Labs,JPMorgan,Paypal,Oracle,Morgan Stanley,Square,Pinterest,Databricks,Barclays,Snapchat,Twitter,Expedia,Lyft,Cisco,Huawei,Baidu,Apple,Uber,Bloomberg,Adobe,Facebook,Amazon,Microsoft,Goldman Sachs,Google</v>
      </c>
      <c r="F261" s="47" t="str">
        <f>IFERROR(__xludf.DUMMYFUNCTION("""COMPUTED_VALUE"""),"JPMorgan,Cisco,Facebook,Amazon,Google,Goldman Sachs,ByteDance,Microsoft,Adobe,Lyft,Oracle")</f>
        <v>JPMorgan,Cisco,Facebook,Amazon,Google,Goldman Sachs,ByteDance,Microsoft,Adobe,Lyft,Oracle</v>
      </c>
      <c r="G261" s="47" t="str">
        <f>IFERROR(__xludf.DUMMYFUNCTION("""COMPUTED_VALUE"""),"Bloomberg,Morgan Stanley,Square,Apple,Databricks,PayTM,JPMorgan,Cisco,Facebook,Amazon,Google,Goldman Sachs,ByteDance,Microsoft,Adobe,Lyft,Oracle")</f>
        <v>Bloomberg,Morgan Stanley,Square,Apple,Databricks,PayTM,JPMorgan,Cisco,Facebook,Amazon,Google,Goldman Sachs,ByteDance,Microsoft,Adobe,Lyft,Oracle</v>
      </c>
      <c r="H261" s="47" t="str">
        <f>IFERROR(__xludf.DUMMYFUNCTION("""COMPUTED_VALUE"""),"Uber,Snapchat,Expedia,Huawei,Walmart Labs,Baidu,Paypal,Bloomberg,Morgan Stanley,Square,Apple,Databricks,PayTM,JPMorgan,Cisco,Facebook,Amazon,Google,Goldman Sachs,ByteDance,Microsoft,Adobe,Lyft,Oracle")</f>
        <v>Uber,Snapchat,Expedia,Huawei,Walmart Labs,Baidu,Paypal,Bloomberg,Morgan Stanley,Square,Apple,Databricks,PayTM,JPMorgan,Cisco,Facebook,Amazon,Google,Goldman Sachs,ByteDance,Microsoft,Adobe,Lyft,Oracle</v>
      </c>
      <c r="I261" s="47">
        <f>IFERROR(__xludf.DUMMYFUNCTION("""COMPUTED_VALUE"""),26.73)</f>
        <v>26.73</v>
      </c>
      <c r="J261" s="47" t="str">
        <f>IFERROR(__xludf.DUMMYFUNCTION("""COMPUTED_VALUE"""),"算法")</f>
        <v>算法</v>
      </c>
      <c r="K261" s="47">
        <v>260.0</v>
      </c>
      <c r="L261" s="6">
        <f>COUNTIF('Coder-1'!B:B,A261)</f>
        <v>0</v>
      </c>
      <c r="M261" s="6">
        <f>COUNTIF('Coder-2'!B:B,A261)</f>
        <v>0</v>
      </c>
      <c r="N261" s="6">
        <f>COUNTIF('Coder-3'!B:B,A261)</f>
        <v>0</v>
      </c>
      <c r="O261" s="6">
        <f>COUNTIF('Coder-4'!B:B,A261)</f>
        <v>0</v>
      </c>
    </row>
    <row r="262">
      <c r="A262" s="83">
        <v>10.0</v>
      </c>
      <c r="B262" s="86" t="str">
        <f>IFERROR(__xludf.DUMMYFUNCTION("IF(ISBLANK(A262),,FILTER('Leetcode List'!B:C,'Leetcode List'!A:A = A262))"),"Regular Expression Matching")</f>
        <v>Regular Expression Matching</v>
      </c>
      <c r="C262" s="47" t="str">
        <f>IFERROR(__xludf.DUMMYFUNCTION("""COMPUTED_VALUE"""),"Hard")</f>
        <v>Hard</v>
      </c>
      <c r="D262" s="47" t="s">
        <v>76</v>
      </c>
      <c r="E262" s="87" t="str">
        <f>IFERROR(__xludf.DUMMYFUNCTION("IF(ISBLANK(A262),,FILTER('Leetcode List'!E:J,'Leetcode List'!A:A = A262))"),"Cloudera,Goldman Sachs,Databricks,Pocket Gems,Palantir Technologies,Coursera,Cruise Automation,Zulily,Houzz,Flipkart,ByteDance,Twitter,Oracle,Lyft,EBay,Apple,Airbnb,Uber,Bloomberg,Adobe,Facebook,Amazon,Microsoft,Alibaba,Google")</f>
        <v>Cloudera,Goldman Sachs,Databricks,Pocket Gems,Palantir Technologies,Coursera,Cruise Automation,Zulily,Houzz,Flipkart,ByteDance,Twitter,Oracle,Lyft,EBay,Apple,Airbnb,Uber,Bloomberg,Adobe,Facebook,Amazon,Microsoft,Alibaba,Google</v>
      </c>
      <c r="F262" s="47" t="str">
        <f>IFERROR(__xludf.DUMMYFUNCTION("""COMPUTED_VALUE"""),"Facebook,Amazon,Coursera,Microsoft,Apple,Google,Adobe,Goldman Sachs")</f>
        <v>Facebook,Amazon,Coursera,Microsoft,Apple,Google,Adobe,Goldman Sachs</v>
      </c>
      <c r="G262" s="47" t="str">
        <f>IFERROR(__xludf.DUMMYFUNCTION("""COMPUTED_VALUE"""),"Bloomberg,Uber,eBay,Databricks,Facebook,Amazon,Coursera,Microsoft,Apple,Google,Adobe,Goldman Sachs")</f>
        <v>Bloomberg,Uber,eBay,Databricks,Facebook,Amazon,Coursera,Microsoft,Apple,Google,Adobe,Goldman Sachs</v>
      </c>
      <c r="H262" s="47" t="str">
        <f>IFERROR(__xludf.DUMMYFUNCTION("""COMPUTED_VALUE"""),"Lyft,Oracle,Twitter,Pocket Gems,Cloudera,Airbnb,Bloomberg,Uber,eBay,Databricks,Facebook,Amazon,Coursera,Microsoft,Apple,Google,Adobe,Goldman Sachs")</f>
        <v>Lyft,Oracle,Twitter,Pocket Gems,Cloudera,Airbnb,Bloomberg,Uber,eBay,Databricks,Facebook,Amazon,Coursera,Microsoft,Apple,Google,Adobe,Goldman Sachs</v>
      </c>
      <c r="I262" s="47">
        <f>IFERROR(__xludf.DUMMYFUNCTION("""COMPUTED_VALUE"""),27.39)</f>
        <v>27.39</v>
      </c>
      <c r="J262" s="47" t="str">
        <f>IFERROR(__xludf.DUMMYFUNCTION("""COMPUTED_VALUE"""),"算法")</f>
        <v>算法</v>
      </c>
      <c r="K262" s="47">
        <v>261.0</v>
      </c>
      <c r="L262" s="6">
        <f>COUNTIF('Coder-1'!B:B,A262)</f>
        <v>0</v>
      </c>
      <c r="M262" s="6">
        <f>COUNTIF('Coder-2'!B:B,A262)</f>
        <v>0</v>
      </c>
      <c r="N262" s="6">
        <f>COUNTIF('Coder-3'!B:B,A262)</f>
        <v>0</v>
      </c>
      <c r="O262" s="6">
        <f>COUNTIF('Coder-4'!B:B,A262)</f>
        <v>0</v>
      </c>
    </row>
    <row r="263">
      <c r="A263" s="83">
        <v>44.0</v>
      </c>
      <c r="B263" s="86" t="str">
        <f>IFERROR(__xludf.DUMMYFUNCTION("IF(ISBLANK(A263),,FILTER('Leetcode List'!B:C,'Leetcode List'!A:A = A263))"),"Wildcard Matching")</f>
        <v>Wildcard Matching</v>
      </c>
      <c r="C263" s="47" t="str">
        <f>IFERROR(__xludf.DUMMYFUNCTION("""COMPUTED_VALUE"""),"Hard")</f>
        <v>Hard</v>
      </c>
      <c r="D263" s="47" t="s">
        <v>76</v>
      </c>
      <c r="E263" s="87" t="str">
        <f>IFERROR(__xludf.DUMMYFUNCTION("IF(ISBLANK(A263),,FILTER('Leetcode List'!E:J,'Leetcode List'!A:A = A263))"),"Citadel,Apple,Coursera,Cruise Automation,Two Sigma,ByteDance,Snapchat,Twitter,Oracle,Bloomberg,Adobe,Facebook,Amazon,Microsoft,Goldman Sachs,Google")</f>
        <v>Citadel,Apple,Coursera,Cruise Automation,Two Sigma,ByteDance,Snapchat,Twitter,Oracle,Bloomberg,Adobe,Facebook,Amazon,Microsoft,Goldman Sachs,Google</v>
      </c>
      <c r="F263" s="47" t="str">
        <f>IFERROR(__xludf.DUMMYFUNCTION("""COMPUTED_VALUE"""),"Amazon,Adobe,Citadel,Facebook,Microsoft,Google,Coursera,Apple")</f>
        <v>Amazon,Adobe,Citadel,Facebook,Microsoft,Google,Coursera,Apple</v>
      </c>
      <c r="G263" s="47" t="str">
        <f>IFERROR(__xludf.DUMMYFUNCTION("""COMPUTED_VALUE"""),"Goldman Sachs,ByteDance,Bloomberg,Amazon,Adobe,Citadel,Facebook,Microsoft,Google,Coursera,Apple")</f>
        <v>Goldman Sachs,ByteDance,Bloomberg,Amazon,Adobe,Citadel,Facebook,Microsoft,Google,Coursera,Apple</v>
      </c>
      <c r="H263" s="47" t="str">
        <f>IFERROR(__xludf.DUMMYFUNCTION("""COMPUTED_VALUE"""),"Two Sigma,Twitter,Snapchat,Goldman Sachs,ByteDance,Bloomberg,Amazon,Adobe,Citadel,Facebook,Microsoft,Google,Coursera,Apple")</f>
        <v>Two Sigma,Twitter,Snapchat,Goldman Sachs,ByteDance,Bloomberg,Amazon,Adobe,Citadel,Facebook,Microsoft,Google,Coursera,Apple</v>
      </c>
      <c r="I263" s="47">
        <f>IFERROR(__xludf.DUMMYFUNCTION("""COMPUTED_VALUE"""),25.47)</f>
        <v>25.47</v>
      </c>
      <c r="J263" s="47" t="str">
        <f>IFERROR(__xludf.DUMMYFUNCTION("""COMPUTED_VALUE"""),"算法")</f>
        <v>算法</v>
      </c>
      <c r="K263" s="47">
        <v>262.0</v>
      </c>
      <c r="L263" s="6">
        <f>COUNTIF('Coder-1'!B:B,A263)</f>
        <v>0</v>
      </c>
      <c r="M263" s="6">
        <f>COUNTIF('Coder-2'!B:B,A263)</f>
        <v>0</v>
      </c>
      <c r="N263" s="6">
        <f>COUNTIF('Coder-3'!B:B,A263)</f>
        <v>0</v>
      </c>
      <c r="O263" s="6">
        <f>COUNTIF('Coder-4'!B:B,A263)</f>
        <v>0</v>
      </c>
    </row>
    <row r="264">
      <c r="A264" s="83">
        <v>206.0</v>
      </c>
      <c r="B264" s="86" t="str">
        <f>IFERROR(__xludf.DUMMYFUNCTION("IF(ISBLANK(A264),,FILTER('Leetcode List'!B:C,'Leetcode List'!A:A = A264))"),"Reverse Linked List")</f>
        <v>Reverse Linked List</v>
      </c>
      <c r="C264" s="83" t="str">
        <f>IFERROR(__xludf.DUMMYFUNCTION("""COMPUTED_VALUE"""),"Easy")</f>
        <v>Easy</v>
      </c>
      <c r="D264" s="83" t="s">
        <v>4975</v>
      </c>
      <c r="E264" s="87" t="str">
        <f>IFERROR(__xludf.DUMMYFUNCTION("IF(ISBLANK(A264),,FILTER('Leetcode List'!E:J,'Leetcode List'!A:A = A264))"),"Deutsche Bank,Capital One,Salesforce,Zillow,ServiceNow,IBM,LinkedIn,Docusign,Electronic Arts,TripAdvisor,Citrix,Zenefits,ByteDance,FactSet,Qualcomm,Intel,Visa,VMware,Walmart Labs,Snapchat,Paypal,Twitter,Expedia,Yelp,Nvidia,Oracle,Spotify,Cisco,Mathworks,Y"&amp;"andex,EBay,Baidu,Apple,Uber,Yahoo,Tencent,Bloomberg,Adobe,Facebook,Amazon,Microsoft,Alibaba,Goldman Sachs,Google")</f>
        <v>Deutsche Bank,Capital One,Salesforce,Zillow,ServiceNow,IBM,LinkedIn,Docusign,Electronic Arts,TripAdvisor,Citrix,Zenefits,ByteDance,FactSet,Qualcomm,Intel,Visa,VMware,Walmart Labs,Snapchat,Paypal,Twitter,Expedia,Yelp,Nvidia,Oracle,Spotify,Cisco,Mathworks,Yandex,EBay,Baidu,Apple,Uber,Yahoo,Tencent,Bloomberg,Adobe,Facebook,Amazon,Microsoft,Alibaba,Goldman Sachs,Google</v>
      </c>
      <c r="F264" s="47" t="str">
        <f>IFERROR(__xludf.DUMMYFUNCTION("""COMPUTED_VALUE"""),"Adobe,Amazon,Facebook,Apple,Microsoft,Qualcomm,Google,Uber,Oracle,Bloomberg,Yandex,Zillow,IBM,ByteDance")</f>
        <v>Adobe,Amazon,Facebook,Apple,Microsoft,Qualcomm,Google,Uber,Oracle,Bloomberg,Yandex,Zillow,IBM,ByteDance</v>
      </c>
      <c r="G264" s="47" t="str">
        <f>IFERROR(__xludf.DUMMYFUNCTION("""COMPUTED_VALUE"""),"Citrix,eBay,Mathworks,Goldman Sachs,Spotify,Deutsche Bank,Intel,Tencent,Expedia,ServiceNow,Adobe,Amazon,Facebook,Apple,Microsoft,Qualcomm,Google,Uber,Oracle,Bloomberg,Yandex,Zillow,IBM,ByteDance")</f>
        <v>Citrix,eBay,Mathworks,Goldman Sachs,Spotify,Deutsche Bank,Intel,Tencent,Expedia,ServiceNow,Adobe,Amazon,Facebook,Apple,Microsoft,Qualcomm,Google,Uber,Oracle,Bloomberg,Yandex,Zillow,IBM,ByteDance</v>
      </c>
      <c r="H264" s="47" t="str">
        <f>IFERROR(__xludf.DUMMYFUNCTION("""COMPUTED_VALUE"""),"Walmart Labs,Cisco,Nvidia,Yahoo,Paypal,Alibaba,Visa,Twitter,VMware,LinkedIn,Capital One,Electronic Arts,Docusign,Salesforce,Snapchat,Zenefits,Yelp,Citrix,eBay,Mathworks,Goldman Sachs,Spotify,Deutsche Bank,Intel,Tencent,Expedia,ServiceNow,Adobe,Amazon,Face"&amp;"book,Apple,Microsoft,Qualcomm,Google,Uber,Oracle,Bloomberg,Yandex,Zillow,IBM,ByteDance")</f>
        <v>Walmart Labs,Cisco,Nvidia,Yahoo,Paypal,Alibaba,Visa,Twitter,VMware,LinkedIn,Capital One,Electronic Arts,Docusign,Salesforce,Snapchat,Zenefits,Yelp,Citrix,eBay,Mathworks,Goldman Sachs,Spotify,Deutsche Bank,Intel,Tencent,Expedia,ServiceNow,Adobe,Amazon,Facebook,Apple,Microsoft,Qualcomm,Google,Uber,Oracle,Bloomberg,Yandex,Zillow,IBM,ByteDance</v>
      </c>
      <c r="I264" s="47">
        <f>IFERROR(__xludf.DUMMYFUNCTION("""COMPUTED_VALUE"""),65.48)</f>
        <v>65.48</v>
      </c>
      <c r="J264" s="47" t="str">
        <f>IFERROR(__xludf.DUMMYFUNCTION("""COMPUTED_VALUE"""),"算法")</f>
        <v>算法</v>
      </c>
      <c r="K264" s="47">
        <v>263.0</v>
      </c>
      <c r="L264" s="6">
        <f>COUNTIF('Coder-1'!B:B,A264)</f>
        <v>0</v>
      </c>
      <c r="M264" s="6">
        <f>COUNTIF('Coder-2'!B:B,A264)</f>
        <v>0</v>
      </c>
      <c r="N264" s="6">
        <f>COUNTIF('Coder-3'!B:B,A264)</f>
        <v>0</v>
      </c>
      <c r="O264" s="6">
        <f>COUNTIF('Coder-4'!B:B,A264)</f>
        <v>0</v>
      </c>
    </row>
    <row r="265">
      <c r="A265" s="83">
        <v>141.0</v>
      </c>
      <c r="B265" s="86" t="str">
        <f>IFERROR(__xludf.DUMMYFUNCTION("IF(ISBLANK(A265),,FILTER('Leetcode List'!B:C,'Leetcode List'!A:A = A265))"),"Linked List Cycle")</f>
        <v>Linked List Cycle</v>
      </c>
      <c r="C265" s="83" t="str">
        <f>IFERROR(__xludf.DUMMYFUNCTION("""COMPUTED_VALUE"""),"Easy")</f>
        <v>Easy</v>
      </c>
      <c r="D265" s="83" t="s">
        <v>4975</v>
      </c>
      <c r="E265" s="87" t="str">
        <f>IFERROR(__xludf.DUMMYFUNCTION("IF(ISBLANK(A265),,FILTER('Leetcode List'!E:J,'Leetcode List'!A:A = A265))"),"Tesla,JPMorgan,Expedia,VMware,Walmart Labs,Oracle,Cisco,EBay,Apple,Uber,Yahoo,Bloomberg,Adobe,Facebook,Amazon,LinkedIn,Microsoft,Goldman Sachs,Google")</f>
        <v>Tesla,JPMorgan,Expedia,VMware,Walmart Labs,Oracle,Cisco,EBay,Apple,Uber,Yahoo,Bloomberg,Adobe,Facebook,Amazon,LinkedIn,Microsoft,Goldman Sachs,Google</v>
      </c>
      <c r="F265" s="47" t="str">
        <f>IFERROR(__xludf.DUMMYFUNCTION("""COMPUTED_VALUE"""),"Apple,Microsoft,Amazon,Goldman Sachs,Facebook,Google")</f>
        <v>Apple,Microsoft,Amazon,Goldman Sachs,Facebook,Google</v>
      </c>
      <c r="G265" s="47" t="str">
        <f>IFERROR(__xludf.DUMMYFUNCTION("""COMPUTED_VALUE"""),"Adobe,eBay,Tesla,Apple,Microsoft,Amazon,Goldman Sachs,Facebook,Google")</f>
        <v>Adobe,eBay,Tesla,Apple,Microsoft,Amazon,Goldman Sachs,Facebook,Google</v>
      </c>
      <c r="H265" s="47" t="str">
        <f>IFERROR(__xludf.DUMMYFUNCTION("""COMPUTED_VALUE"""),"Oracle,Walmart Labs,Cisco,Expedia,VMware,JPMorgan,Bloomberg,Yahoo,Adobe,eBay,Tesla,Apple,Microsoft,Amazon,Goldman Sachs,Facebook,Google")</f>
        <v>Oracle,Walmart Labs,Cisco,Expedia,VMware,JPMorgan,Bloomberg,Yahoo,Adobe,eBay,Tesla,Apple,Microsoft,Amazon,Goldman Sachs,Facebook,Google</v>
      </c>
      <c r="I265" s="47">
        <f>IFERROR(__xludf.DUMMYFUNCTION("""COMPUTED_VALUE"""),43.0)</f>
        <v>43</v>
      </c>
      <c r="J265" s="47" t="str">
        <f>IFERROR(__xludf.DUMMYFUNCTION("""COMPUTED_VALUE"""),"算法")</f>
        <v>算法</v>
      </c>
      <c r="K265" s="47">
        <v>264.0</v>
      </c>
      <c r="L265" s="6">
        <f>COUNTIF('Coder-1'!B:B,A265)</f>
        <v>0</v>
      </c>
      <c r="M265" s="6">
        <f>COUNTIF('Coder-2'!B:B,A265)</f>
        <v>0</v>
      </c>
      <c r="N265" s="6">
        <f>COUNTIF('Coder-3'!B:B,A265)</f>
        <v>0</v>
      </c>
      <c r="O265" s="6">
        <f>COUNTIF('Coder-4'!B:B,A265)</f>
        <v>0</v>
      </c>
    </row>
    <row r="266">
      <c r="A266" s="83">
        <v>24.0</v>
      </c>
      <c r="B266" s="86" t="str">
        <f>IFERROR(__xludf.DUMMYFUNCTION("IF(ISBLANK(A266),,FILTER('Leetcode List'!B:C,'Leetcode List'!A:A = A266))"),"Swap Nodes in Pairs")</f>
        <v>Swap Nodes in Pairs</v>
      </c>
      <c r="C266" s="83" t="str">
        <f>IFERROR(__xludf.DUMMYFUNCTION("""COMPUTED_VALUE"""),"Medium")</f>
        <v>Medium</v>
      </c>
      <c r="D266" s="83" t="s">
        <v>4975</v>
      </c>
      <c r="E266" s="87" t="str">
        <f>IFERROR(__xludf.DUMMYFUNCTION("IF(ISBLANK(A266),,FILTER('Leetcode List'!E:J,'Leetcode List'!A:A = A266))"),"Snapchat,ByteDance,Goldman Sachs,Oracle,Lyft,EBay,Apple,Uber,SAP,Bloomberg,Adobe,Facebook,Amazon,Microsoft,Google")</f>
        <v>Snapchat,ByteDance,Goldman Sachs,Oracle,Lyft,EBay,Apple,Uber,SAP,Bloomberg,Adobe,Facebook,Amazon,Microsoft,Google</v>
      </c>
      <c r="F266" s="47" t="str">
        <f>IFERROR(__xludf.DUMMYFUNCTION("""COMPUTED_VALUE"""),"Microsoft,Amazon,Facebook,Google,Apple,eBay,ByteDance")</f>
        <v>Microsoft,Amazon,Facebook,Google,Apple,eBay,ByteDance</v>
      </c>
      <c r="G266" s="47" t="str">
        <f>IFERROR(__xludf.DUMMYFUNCTION("""COMPUTED_VALUE"""),"Bloomberg,Adobe,Uber,Snapchat,Microsoft,Amazon,Facebook,Google,Apple,eBay,ByteDance")</f>
        <v>Bloomberg,Adobe,Uber,Snapchat,Microsoft,Amazon,Facebook,Google,Apple,eBay,ByteDance</v>
      </c>
      <c r="H266" s="47" t="str">
        <f>IFERROR(__xludf.DUMMYFUNCTION("""COMPUTED_VALUE"""),"SAP,Oracle,Goldman Sachs,Bloomberg,Adobe,Uber,Snapchat,Microsoft,Amazon,Facebook,Google,Apple,eBay,ByteDance")</f>
        <v>SAP,Oracle,Goldman Sachs,Bloomberg,Adobe,Uber,Snapchat,Microsoft,Amazon,Facebook,Google,Apple,eBay,ByteDance</v>
      </c>
      <c r="I266" s="47">
        <f>IFERROR(__xludf.DUMMYFUNCTION("""COMPUTED_VALUE"""),53.3)</f>
        <v>53.3</v>
      </c>
      <c r="J266" s="47" t="str">
        <f>IFERROR(__xludf.DUMMYFUNCTION("""COMPUTED_VALUE"""),"算法")</f>
        <v>算法</v>
      </c>
      <c r="K266" s="47">
        <v>265.0</v>
      </c>
      <c r="L266" s="6">
        <f>COUNTIF('Coder-1'!B:B,A266)</f>
        <v>0</v>
      </c>
      <c r="M266" s="6">
        <f>COUNTIF('Coder-2'!B:B,A266)</f>
        <v>0</v>
      </c>
      <c r="N266" s="6">
        <f>COUNTIF('Coder-3'!B:B,A266)</f>
        <v>0</v>
      </c>
      <c r="O266" s="6">
        <f>COUNTIF('Coder-4'!B:B,A266)</f>
        <v>0</v>
      </c>
    </row>
    <row r="267">
      <c r="A267" s="83">
        <v>328.0</v>
      </c>
      <c r="B267" s="86" t="str">
        <f>IFERROR(__xludf.DUMMYFUNCTION("IF(ISBLANK(A267),,FILTER('Leetcode List'!B:C,'Leetcode List'!A:A = A267))"),"Odd Even Linked List")</f>
        <v>Odd Even Linked List</v>
      </c>
      <c r="C267" s="83" t="str">
        <f>IFERROR(__xludf.DUMMYFUNCTION("""COMPUTED_VALUE"""),"Medium")</f>
        <v>Medium</v>
      </c>
      <c r="D267" s="83" t="s">
        <v>4975</v>
      </c>
      <c r="E267" s="87" t="str">
        <f>IFERROR(__xludf.DUMMYFUNCTION("IF(ISBLANK(A267),,FILTER('Leetcode List'!E:J,'Leetcode List'!A:A = A267))"),"Oracle,Alibaba,Capital One,EBay,Bloomberg,Facebook,Amazon,Microsoft,Google")</f>
        <v>Oracle,Alibaba,Capital One,EBay,Bloomberg,Facebook,Amazon,Microsoft,Google</v>
      </c>
      <c r="F267" s="47" t="str">
        <f>IFERROR(__xludf.DUMMYFUNCTION("""COMPUTED_VALUE"""),"Bloomberg,Oracle,Facebook,Google")</f>
        <v>Bloomberg,Oracle,Facebook,Google</v>
      </c>
      <c r="G267" s="47" t="str">
        <f>IFERROR(__xludf.DUMMYFUNCTION("""COMPUTED_VALUE"""),"Amazon,Microsoft,Capital One,Bloomberg,Oracle,Facebook,Google")</f>
        <v>Amazon,Microsoft,Capital One,Bloomberg,Oracle,Facebook,Google</v>
      </c>
      <c r="H267" s="47" t="str">
        <f>IFERROR(__xludf.DUMMYFUNCTION("""COMPUTED_VALUE"""),"Alibaba,Amazon,Microsoft,Capital One,Bloomberg,Oracle,Facebook,Google")</f>
        <v>Alibaba,Amazon,Microsoft,Capital One,Bloomberg,Oracle,Facebook,Google</v>
      </c>
      <c r="I267" s="47">
        <f>IFERROR(__xludf.DUMMYFUNCTION("""COMPUTED_VALUE"""),57.17)</f>
        <v>57.17</v>
      </c>
      <c r="J267" s="47" t="str">
        <f>IFERROR(__xludf.DUMMYFUNCTION("""COMPUTED_VALUE"""),"算法")</f>
        <v>算法</v>
      </c>
      <c r="K267" s="47">
        <v>266.0</v>
      </c>
      <c r="L267" s="6">
        <f>COUNTIF('Coder-1'!B:B,A267)</f>
        <v>0</v>
      </c>
      <c r="M267" s="6">
        <f>COUNTIF('Coder-2'!B:B,A267)</f>
        <v>0</v>
      </c>
      <c r="N267" s="6">
        <f>COUNTIF('Coder-3'!B:B,A267)</f>
        <v>0</v>
      </c>
      <c r="O267" s="6">
        <f>COUNTIF('Coder-4'!B:B,A267)</f>
        <v>0</v>
      </c>
    </row>
    <row r="268">
      <c r="A268" s="83">
        <v>92.0</v>
      </c>
      <c r="B268" s="86" t="str">
        <f>IFERROR(__xludf.DUMMYFUNCTION("IF(ISBLANK(A268),,FILTER('Leetcode List'!B:C,'Leetcode List'!A:A = A268))"),"Reverse Linked List II")</f>
        <v>Reverse Linked List II</v>
      </c>
      <c r="C268" s="83" t="str">
        <f>IFERROR(__xludf.DUMMYFUNCTION("""COMPUTED_VALUE"""),"Medium")</f>
        <v>Medium</v>
      </c>
      <c r="D268" s="83" t="s">
        <v>4975</v>
      </c>
      <c r="E268" s="87" t="str">
        <f>IFERROR(__xludf.DUMMYFUNCTION("IF(ISBLANK(A268),,FILTER('Leetcode List'!E:J,'Leetcode List'!A:A = A268))"),"ByteDance,Docusign,Atlassian,Oracle,Apple,Bloomberg,Adobe,Facebook,Amazon,Microsoft,Google")</f>
        <v>ByteDance,Docusign,Atlassian,Oracle,Apple,Bloomberg,Adobe,Facebook,Amazon,Microsoft,Google</v>
      </c>
      <c r="F268" s="47" t="str">
        <f>IFERROR(__xludf.DUMMYFUNCTION("""COMPUTED_VALUE"""),"Amazon,Facebook,Microsoft,Oracle,Bloomberg,Google,ByteDance")</f>
        <v>Amazon,Facebook,Microsoft,Oracle,Bloomberg,Google,ByteDance</v>
      </c>
      <c r="G268" s="47" t="str">
        <f>IFERROR(__xludf.DUMMYFUNCTION("""COMPUTED_VALUE"""),"Apple,Adobe,Docusign,Amazon,Facebook,Microsoft,Oracle,Bloomberg,Google,ByteDance")</f>
        <v>Apple,Adobe,Docusign,Amazon,Facebook,Microsoft,Oracle,Bloomberg,Google,ByteDance</v>
      </c>
      <c r="H268" s="47" t="str">
        <f>IFERROR(__xludf.DUMMYFUNCTION("""COMPUTED_VALUE"""),"Apple,Adobe,Docusign,Amazon,Facebook,Microsoft,Oracle,Bloomberg,Google,ByteDance")</f>
        <v>Apple,Adobe,Docusign,Amazon,Facebook,Microsoft,Oracle,Bloomberg,Google,ByteDance</v>
      </c>
      <c r="I268" s="47">
        <f>IFERROR(__xludf.DUMMYFUNCTION("""COMPUTED_VALUE"""),40.71)</f>
        <v>40.71</v>
      </c>
      <c r="J268" s="47" t="str">
        <f>IFERROR(__xludf.DUMMYFUNCTION("""COMPUTED_VALUE"""),"算法")</f>
        <v>算法</v>
      </c>
      <c r="K268" s="47">
        <v>267.0</v>
      </c>
      <c r="L268" s="6">
        <f>COUNTIF('Coder-1'!B:B,A268)</f>
        <v>0</v>
      </c>
      <c r="M268" s="6">
        <f>COUNTIF('Coder-2'!B:B,A268)</f>
        <v>0</v>
      </c>
      <c r="N268" s="6">
        <f>COUNTIF('Coder-3'!B:B,A268)</f>
        <v>0</v>
      </c>
      <c r="O268" s="6">
        <f>COUNTIF('Coder-4'!B:B,A268)</f>
        <v>0</v>
      </c>
    </row>
    <row r="269">
      <c r="A269" s="83">
        <v>237.0</v>
      </c>
      <c r="B269" s="86" t="str">
        <f>IFERROR(__xludf.DUMMYFUNCTION("IF(ISBLANK(A269),,FILTER('Leetcode List'!B:C,'Leetcode List'!A:A = A269))"),"Delete Node in a Linked List")</f>
        <v>Delete Node in a Linked List</v>
      </c>
      <c r="C269" s="83" t="str">
        <f>IFERROR(__xludf.DUMMYFUNCTION("""COMPUTED_VALUE"""),"Easy")</f>
        <v>Easy</v>
      </c>
      <c r="D269" s="83" t="s">
        <v>4975</v>
      </c>
      <c r="E269" s="87" t="str">
        <f>IFERROR(__xludf.DUMMYFUNCTION("IF(ISBLANK(A269),,FILTER('Leetcode List'!E:J,'Leetcode List'!A:A = A269))"),"Qualcomm,Cisco,Apple,Yahoo,Bloomberg,Adobe,Facebook,Amazon,Microsoft,Goldman Sachs,Google")</f>
        <v>Qualcomm,Cisco,Apple,Yahoo,Bloomberg,Adobe,Facebook,Amazon,Microsoft,Goldman Sachs,Google</v>
      </c>
      <c r="F269" s="47" t="str">
        <f>IFERROR(__xludf.DUMMYFUNCTION("""COMPUTED_VALUE"""),"Adobe")</f>
        <v>Adobe</v>
      </c>
      <c r="G269" s="47" t="str">
        <f>IFERROR(__xludf.DUMMYFUNCTION("""COMPUTED_VALUE"""),"Bloomberg,Facebook,Goldman Sachs,Adobe")</f>
        <v>Bloomberg,Facebook,Goldman Sachs,Adobe</v>
      </c>
      <c r="H269" s="47" t="str">
        <f>IFERROR(__xludf.DUMMYFUNCTION("""COMPUTED_VALUE"""),"Google,Amazon,Microsoft,Qualcomm,Apple,Yahoo,Cisco,Bloomberg,Facebook,Goldman Sachs,Adobe")</f>
        <v>Google,Amazon,Microsoft,Qualcomm,Apple,Yahoo,Cisco,Bloomberg,Facebook,Goldman Sachs,Adobe</v>
      </c>
      <c r="I269" s="47">
        <f>IFERROR(__xludf.DUMMYFUNCTION("""COMPUTED_VALUE"""),67.17)</f>
        <v>67.17</v>
      </c>
      <c r="J269" s="47" t="str">
        <f>IFERROR(__xludf.DUMMYFUNCTION("""COMPUTED_VALUE"""),"算法")</f>
        <v>算法</v>
      </c>
      <c r="K269" s="47">
        <v>268.0</v>
      </c>
      <c r="L269" s="6">
        <f>COUNTIF('Coder-1'!B:B,A269)</f>
        <v>0</v>
      </c>
      <c r="M269" s="6">
        <f>COUNTIF('Coder-2'!B:B,A269)</f>
        <v>0</v>
      </c>
      <c r="N269" s="6">
        <f>COUNTIF('Coder-3'!B:B,A269)</f>
        <v>0</v>
      </c>
      <c r="O269" s="6">
        <f>COUNTIF('Coder-4'!B:B,A269)</f>
        <v>0</v>
      </c>
    </row>
    <row r="270">
      <c r="A270" s="83">
        <v>19.0</v>
      </c>
      <c r="B270" s="86" t="str">
        <f>IFERROR(__xludf.DUMMYFUNCTION("IF(ISBLANK(A270),,FILTER('Leetcode List'!B:C,'Leetcode List'!A:A = A270))"),"Remove Nth Node From End of List")</f>
        <v>Remove Nth Node From End of List</v>
      </c>
      <c r="C270" s="83" t="str">
        <f>IFERROR(__xludf.DUMMYFUNCTION("""COMPUTED_VALUE"""),"Medium")</f>
        <v>Medium</v>
      </c>
      <c r="D270" s="83" t="s">
        <v>4975</v>
      </c>
      <c r="E270" s="87" t="str">
        <f>IFERROR(__xludf.DUMMYFUNCTION("IF(ISBLANK(A270),,FILTER('Leetcode List'!E:J,'Leetcode List'!A:A = A270))"),"ByteDance,VMware,Oracle,Cisco,Yandex,Apple,Bloomberg,Adobe,Facebook,Amazon,Microsoft,Goldman Sachs,Google")</f>
        <v>ByteDance,VMware,Oracle,Cisco,Yandex,Apple,Bloomberg,Adobe,Facebook,Amazon,Microsoft,Goldman Sachs,Google</v>
      </c>
      <c r="F270" s="47" t="str">
        <f>IFERROR(__xludf.DUMMYFUNCTION("""COMPUTED_VALUE"""),"Facebook,Amazon,Microsoft,Bloomberg,Apple")</f>
        <v>Facebook,Amazon,Microsoft,Bloomberg,Apple</v>
      </c>
      <c r="G270" s="47" t="str">
        <f>IFERROR(__xludf.DUMMYFUNCTION("""COMPUTED_VALUE"""),"ByteDance,Goldman Sachs,Facebook,Amazon,Microsoft,Bloomberg,Apple")</f>
        <v>ByteDance,Goldman Sachs,Facebook,Amazon,Microsoft,Bloomberg,Apple</v>
      </c>
      <c r="H270" s="47" t="str">
        <f>IFERROR(__xludf.DUMMYFUNCTION("""COMPUTED_VALUE"""),"Oracle,Yandex,Google,Adobe,ByteDance,Goldman Sachs,Facebook,Amazon,Microsoft,Bloomberg,Apple")</f>
        <v>Oracle,Yandex,Google,Adobe,ByteDance,Goldman Sachs,Facebook,Amazon,Microsoft,Bloomberg,Apple</v>
      </c>
      <c r="I270" s="47">
        <f>IFERROR(__xludf.DUMMYFUNCTION("""COMPUTED_VALUE"""),35.79)</f>
        <v>35.79</v>
      </c>
      <c r="J270" s="47" t="str">
        <f>IFERROR(__xludf.DUMMYFUNCTION("""COMPUTED_VALUE"""),"算法")</f>
        <v>算法</v>
      </c>
      <c r="K270" s="47">
        <v>269.0</v>
      </c>
      <c r="L270" s="6">
        <f>COUNTIF('Coder-1'!B:B,A270)</f>
        <v>0</v>
      </c>
      <c r="M270" s="6">
        <f>COUNTIF('Coder-2'!B:B,A270)</f>
        <v>0</v>
      </c>
      <c r="N270" s="6">
        <f>COUNTIF('Coder-3'!B:B,A270)</f>
        <v>0</v>
      </c>
      <c r="O270" s="6">
        <f>COUNTIF('Coder-4'!B:B,A270)</f>
        <v>0</v>
      </c>
    </row>
    <row r="271">
      <c r="A271" s="83">
        <v>83.0</v>
      </c>
      <c r="B271" s="86" t="str">
        <f>IFERROR(__xludf.DUMMYFUNCTION("IF(ISBLANK(A271),,FILTER('Leetcode List'!B:C,'Leetcode List'!A:A = A271))"),"Remove Duplicates from Sorted List")</f>
        <v>Remove Duplicates from Sorted List</v>
      </c>
      <c r="C271" s="83" t="str">
        <f>IFERROR(__xludf.DUMMYFUNCTION("""COMPUTED_VALUE"""),"Easy")</f>
        <v>Easy</v>
      </c>
      <c r="D271" s="83" t="s">
        <v>4975</v>
      </c>
      <c r="E271" s="87" t="str">
        <f>IFERROR(__xludf.DUMMYFUNCTION("IF(ISBLANK(A271),,FILTER('Leetcode List'!E:J,'Leetcode List'!A:A = A271))"),"Snapchat,Oracle,EBay,Yahoo,Goldman Sachs,ByteDance,Salesforce,Apple,Uber,Adobe,Facebook,Amazon,Microsoft,Google")</f>
        <v>Snapchat,Oracle,EBay,Yahoo,Goldman Sachs,ByteDance,Salesforce,Apple,Uber,Adobe,Facebook,Amazon,Microsoft,Google</v>
      </c>
      <c r="F271" s="47" t="str">
        <f>IFERROR(__xludf.DUMMYFUNCTION("""COMPUTED_VALUE"""),"Amazon,Goldman Sachs,Adobe,Oracle")</f>
        <v>Amazon,Goldman Sachs,Adobe,Oracle</v>
      </c>
      <c r="G271" s="47" t="str">
        <f>IFERROR(__xludf.DUMMYFUNCTION("""COMPUTED_VALUE"""),"Microsoft,Facebook,Apple,Snapchat,eBay,Yahoo,Amazon,Goldman Sachs,Adobe,Oracle")</f>
        <v>Microsoft,Facebook,Apple,Snapchat,eBay,Yahoo,Amazon,Goldman Sachs,Adobe,Oracle</v>
      </c>
      <c r="H271" s="47" t="str">
        <f>IFERROR(__xludf.DUMMYFUNCTION("""COMPUTED_VALUE"""),"Google,Microsoft,Facebook,Apple,Snapchat,eBay,Yahoo,Amazon,Goldman Sachs,Adobe,Oracle")</f>
        <v>Google,Microsoft,Facebook,Apple,Snapchat,eBay,Yahoo,Amazon,Goldman Sachs,Adobe,Oracle</v>
      </c>
      <c r="I271" s="47">
        <f>IFERROR(__xludf.DUMMYFUNCTION("""COMPUTED_VALUE"""),46.61)</f>
        <v>46.61</v>
      </c>
      <c r="J271" s="47" t="str">
        <f>IFERROR(__xludf.DUMMYFUNCTION("""COMPUTED_VALUE"""),"算法")</f>
        <v>算法</v>
      </c>
      <c r="K271" s="47">
        <v>270.0</v>
      </c>
      <c r="L271" s="6">
        <f>COUNTIF('Coder-1'!B:B,A271)</f>
        <v>0</v>
      </c>
      <c r="M271" s="6">
        <f>COUNTIF('Coder-2'!B:B,A271)</f>
        <v>0</v>
      </c>
      <c r="N271" s="6">
        <f>COUNTIF('Coder-3'!B:B,A271)</f>
        <v>0</v>
      </c>
      <c r="O271" s="6">
        <f>COUNTIF('Coder-4'!B:B,A271)</f>
        <v>0</v>
      </c>
    </row>
    <row r="272">
      <c r="A272" s="83">
        <v>203.0</v>
      </c>
      <c r="B272" s="86" t="str">
        <f>IFERROR(__xludf.DUMMYFUNCTION("IF(ISBLANK(A272),,FILTER('Leetcode List'!B:C,'Leetcode List'!A:A = A272))"),"Remove Linked List Elements")</f>
        <v>Remove Linked List Elements</v>
      </c>
      <c r="C272" s="83" t="str">
        <f>IFERROR(__xludf.DUMMYFUNCTION("""COMPUTED_VALUE"""),"Easy")</f>
        <v>Easy</v>
      </c>
      <c r="D272" s="83" t="s">
        <v>4975</v>
      </c>
      <c r="E272" s="87" t="str">
        <f>IFERROR(__xludf.DUMMYFUNCTION("IF(ISBLANK(A272),,FILTER('Leetcode List'!E:J,'Leetcode List'!A:A = A272))"),"Pure Storage,Capital One,Paypal,Apple,Uber,Bloomberg,Adobe,Facebook,Amazon,Microsoft,Google")</f>
        <v>Pure Storage,Capital One,Paypal,Apple,Uber,Bloomberg,Adobe,Facebook,Amazon,Microsoft,Google</v>
      </c>
      <c r="F272" s="47" t="str">
        <f>IFERROR(__xludf.DUMMYFUNCTION("""COMPUTED_VALUE"""),"Facebook,Amazon,Google,Microsoft,Apple")</f>
        <v>Facebook,Amazon,Google,Microsoft,Apple</v>
      </c>
      <c r="G272" s="47" t="str">
        <f>IFERROR(__xludf.DUMMYFUNCTION("""COMPUTED_VALUE"""),"Pure Storage,Adobe,Facebook,Amazon,Google,Microsoft,Apple")</f>
        <v>Pure Storage,Adobe,Facebook,Amazon,Google,Microsoft,Apple</v>
      </c>
      <c r="H272" s="47" t="str">
        <f>IFERROR(__xludf.DUMMYFUNCTION("""COMPUTED_VALUE"""),"Bloomberg,Capital One,Pure Storage,Adobe,Facebook,Amazon,Google,Microsoft,Apple")</f>
        <v>Bloomberg,Capital One,Pure Storage,Adobe,Facebook,Amazon,Google,Microsoft,Apple</v>
      </c>
      <c r="I272" s="47">
        <f>IFERROR(__xludf.DUMMYFUNCTION("""COMPUTED_VALUE"""),39.31)</f>
        <v>39.31</v>
      </c>
      <c r="J272" s="47" t="str">
        <f>IFERROR(__xludf.DUMMYFUNCTION("""COMPUTED_VALUE"""),"算法")</f>
        <v>算法</v>
      </c>
      <c r="K272" s="47">
        <v>271.0</v>
      </c>
      <c r="L272" s="6">
        <f>COUNTIF('Coder-1'!B:B,A272)</f>
        <v>0</v>
      </c>
      <c r="M272" s="6">
        <f>COUNTIF('Coder-2'!B:B,A272)</f>
        <v>0</v>
      </c>
      <c r="N272" s="6">
        <f>COUNTIF('Coder-3'!B:B,A272)</f>
        <v>0</v>
      </c>
      <c r="O272" s="6">
        <f>COUNTIF('Coder-4'!B:B,A272)</f>
        <v>0</v>
      </c>
    </row>
    <row r="273">
      <c r="A273" s="83">
        <v>82.0</v>
      </c>
      <c r="B273" s="86" t="str">
        <f>IFERROR(__xludf.DUMMYFUNCTION("IF(ISBLANK(A273),,FILTER('Leetcode List'!B:C,'Leetcode List'!A:A = A273))"),"Remove Duplicates from Sorted List II")</f>
        <v>Remove Duplicates from Sorted List II</v>
      </c>
      <c r="C273" s="83" t="str">
        <f>IFERROR(__xludf.DUMMYFUNCTION("""COMPUTED_VALUE"""),"Medium")</f>
        <v>Medium</v>
      </c>
      <c r="D273" s="83" t="s">
        <v>4975</v>
      </c>
      <c r="E273" s="87" t="str">
        <f>IFERROR(__xludf.DUMMYFUNCTION("IF(ISBLANK(A273),,FILTER('Leetcode List'!E:J,'Leetcode List'!A:A = A273))"),"Qualcomm,Goldman Sachs,Salesforce,Paypal,Apple,Bloomberg,Adobe,Amazon,Microsoft,Google")</f>
        <v>Qualcomm,Goldman Sachs,Salesforce,Paypal,Apple,Bloomberg,Adobe,Amazon,Microsoft,Google</v>
      </c>
      <c r="F273" s="47" t="str">
        <f>IFERROR(__xludf.DUMMYFUNCTION("""COMPUTED_VALUE"""),"Amazon,Bloomberg")</f>
        <v>Amazon,Bloomberg</v>
      </c>
      <c r="G273" s="47" t="str">
        <f>IFERROR(__xludf.DUMMYFUNCTION("""COMPUTED_VALUE"""),"Microsoft,Google,Apple,Adobe,Amazon,Bloomberg")</f>
        <v>Microsoft,Google,Apple,Adobe,Amazon,Bloomberg</v>
      </c>
      <c r="H273" s="47" t="str">
        <f>IFERROR(__xludf.DUMMYFUNCTION("""COMPUTED_VALUE"""),"Salesforce,Goldman Sachs,Qualcomm,Microsoft,Google,Apple,Adobe,Amazon,Bloomberg")</f>
        <v>Salesforce,Goldman Sachs,Qualcomm,Microsoft,Google,Apple,Adobe,Amazon,Bloomberg</v>
      </c>
      <c r="I273" s="47">
        <f>IFERROR(__xludf.DUMMYFUNCTION("""COMPUTED_VALUE"""),39.37)</f>
        <v>39.37</v>
      </c>
      <c r="J273" s="47" t="str">
        <f>IFERROR(__xludf.DUMMYFUNCTION("""COMPUTED_VALUE"""),"算法")</f>
        <v>算法</v>
      </c>
      <c r="K273" s="47">
        <v>272.0</v>
      </c>
      <c r="L273" s="6">
        <f>COUNTIF('Coder-1'!B:B,A273)</f>
        <v>0</v>
      </c>
      <c r="M273" s="6">
        <f>COUNTIF('Coder-2'!B:B,A273)</f>
        <v>0</v>
      </c>
      <c r="N273" s="6">
        <f>COUNTIF('Coder-3'!B:B,A273)</f>
        <v>0</v>
      </c>
      <c r="O273" s="6">
        <f>COUNTIF('Coder-4'!B:B,A273)</f>
        <v>0</v>
      </c>
    </row>
    <row r="274">
      <c r="A274" s="83">
        <v>369.0</v>
      </c>
      <c r="B274" s="86" t="str">
        <f>IFERROR(__xludf.DUMMYFUNCTION("IF(ISBLANK(A274),,FILTER('Leetcode List'!B:C,'Leetcode List'!A:A = A274))"),"Plus One Linked List")</f>
        <v>Plus One Linked List</v>
      </c>
      <c r="C274" s="83" t="str">
        <f>IFERROR(__xludf.DUMMYFUNCTION("""COMPUTED_VALUE"""),"Medium")</f>
        <v>Medium</v>
      </c>
      <c r="D274" s="83" t="s">
        <v>4975</v>
      </c>
      <c r="E274" s="87" t="str">
        <f>IFERROR(__xludf.DUMMYFUNCTION("IF(ISBLANK(A274),,FILTER('Leetcode List'!E:J,'Leetcode List'!A:A = A274))"),"Apple,Amazon,Google")</f>
        <v>Apple,Amazon,Google</v>
      </c>
      <c r="F274" s="47"/>
      <c r="G274" s="47"/>
      <c r="H274" s="47" t="str">
        <f>IFERROR(__xludf.DUMMYFUNCTION("""COMPUTED_VALUE"""),"Google,Amazon")</f>
        <v>Google,Amazon</v>
      </c>
      <c r="I274" s="47">
        <f>IFERROR(__xludf.DUMMYFUNCTION("""COMPUTED_VALUE"""),59.58)</f>
        <v>59.58</v>
      </c>
      <c r="J274" s="47" t="str">
        <f>IFERROR(__xludf.DUMMYFUNCTION("""COMPUTED_VALUE"""),"算法")</f>
        <v>算法</v>
      </c>
      <c r="K274" s="47">
        <v>273.0</v>
      </c>
      <c r="L274" s="6">
        <f>COUNTIF('Coder-1'!B:B,A274)</f>
        <v>0</v>
      </c>
      <c r="M274" s="6">
        <f>COUNTIF('Coder-2'!B:B,A274)</f>
        <v>0</v>
      </c>
      <c r="N274" s="6">
        <f>COUNTIF('Coder-3'!B:B,A274)</f>
        <v>0</v>
      </c>
      <c r="O274" s="6">
        <f>COUNTIF('Coder-4'!B:B,A274)</f>
        <v>0</v>
      </c>
    </row>
    <row r="275">
      <c r="A275" s="83">
        <v>2.0</v>
      </c>
      <c r="B275" s="86" t="str">
        <f>IFERROR(__xludf.DUMMYFUNCTION("IF(ISBLANK(A275),,FILTER('Leetcode List'!B:C,'Leetcode List'!A:A = A275))"),"Add Two Numbers")</f>
        <v>Add Two Numbers</v>
      </c>
      <c r="C275" s="83" t="str">
        <f>IFERROR(__xludf.DUMMYFUNCTION("""COMPUTED_VALUE"""),"Medium")</f>
        <v>Medium</v>
      </c>
      <c r="D275" s="83" t="s">
        <v>4975</v>
      </c>
      <c r="E275" s="87" t="str">
        <f>IFERROR(__xludf.DUMMYFUNCTION("IF(ISBLANK(A275),,FILTER('Leetcode List'!E:J,'Leetcode List'!A:A = A275))"),"Coupang,Docusign,Tcs,PayTM,Walmart Labs,Dell,Redfin,Flipkart,Grab,ByteDance,Qualcomm,Capital One,Salesforce,Intel,VMware,GoDaddy,Paypal,ServiceNow,Wish,Nvidia,Zoho,Oracle,IBM,Lyft,Cisco,Mathworks,Yandex,Huawei,EBay,Baidu,Apple,Airbnb,Uber,Yahoo,SAP,Aetion"&amp;",Bloomberg,Adobe,Facebook,Amazon,Microsoft,Alibaba,Google")</f>
        <v>Coupang,Docusign,Tcs,PayTM,Walmart Labs,Dell,Redfin,Flipkart,Grab,ByteDance,Qualcomm,Capital One,Salesforce,Intel,VMware,GoDaddy,Paypal,ServiceNow,Wish,Nvidia,Zoho,Oracle,IBM,Lyft,Cisco,Mathworks,Yandex,Huawei,EBay,Baidu,Apple,Airbnb,Uber,Yahoo,SAP,Aetion,Bloomberg,Adobe,Facebook,Amazon,Microsoft,Alibaba,Google</v>
      </c>
      <c r="F275" s="47" t="str">
        <f>IFERROR(__xludf.DUMMYFUNCTION("""COMPUTED_VALUE"""),"Bloomberg,Microsoft,Amazon,Adobe,Facebook,Apple,Google,Uber,Oracle,Coupang,VMware,Paypal")</f>
        <v>Bloomberg,Microsoft,Amazon,Adobe,Facebook,Apple,Google,Uber,Oracle,Coupang,VMware,Paypal</v>
      </c>
      <c r="G275" s="47" t="str">
        <f>IFERROR(__xludf.DUMMYFUNCTION("""COMPUTED_VALUE"""),"Yahoo,Docusign,ByteDance,eBay,Walmart Labs,tcs,Bloomberg,Microsoft,Amazon,Adobe,Facebook,Apple,Google,Uber,Oracle,Coupang,VMware,Paypal")</f>
        <v>Yahoo,Docusign,ByteDance,eBay,Walmart Labs,tcs,Bloomberg,Microsoft,Amazon,Adobe,Facebook,Apple,Google,Uber,Oracle,Coupang,VMware,Paypal</v>
      </c>
      <c r="H275" s="47" t="str">
        <f>IFERROR(__xludf.DUMMYFUNCTION("""COMPUTED_VALUE"""),"Cisco,Yandex,ServiceNow,Qualcomm,Zoho,Huawei,Salesforce,Lyft,Capital One,Grab,PayTM,Airbnb,Yahoo,Docusign,ByteDance,eBay,Walmart Labs,tcs,Bloomberg,Microsoft,Amazon,Adobe,Facebook,Apple,Google,Uber,Oracle,Coupang,VMware,Paypal")</f>
        <v>Cisco,Yandex,ServiceNow,Qualcomm,Zoho,Huawei,Salesforce,Lyft,Capital One,Grab,PayTM,Airbnb,Yahoo,Docusign,ByteDance,eBay,Walmart Labs,tcs,Bloomberg,Microsoft,Amazon,Adobe,Facebook,Apple,Google,Uber,Oracle,Coupang,VMware,Paypal</v>
      </c>
      <c r="I275" s="47">
        <f>IFERROR(__xludf.DUMMYFUNCTION("""COMPUTED_VALUE"""),35.59)</f>
        <v>35.59</v>
      </c>
      <c r="J275" s="47" t="str">
        <f>IFERROR(__xludf.DUMMYFUNCTION("""COMPUTED_VALUE"""),"算法")</f>
        <v>算法</v>
      </c>
      <c r="K275" s="47">
        <v>274.0</v>
      </c>
      <c r="L275" s="6">
        <f>COUNTIF('Coder-1'!B:B,A275)</f>
        <v>0</v>
      </c>
      <c r="M275" s="6">
        <f>COUNTIF('Coder-2'!B:B,A275)</f>
        <v>0</v>
      </c>
      <c r="N275" s="6">
        <f>COUNTIF('Coder-3'!B:B,A275)</f>
        <v>0</v>
      </c>
      <c r="O275" s="6">
        <f>COUNTIF('Coder-4'!B:B,A275)</f>
        <v>0</v>
      </c>
    </row>
    <row r="276">
      <c r="A276" s="83">
        <v>160.0</v>
      </c>
      <c r="B276" s="86" t="str">
        <f>IFERROR(__xludf.DUMMYFUNCTION("IF(ISBLANK(A276),,FILTER('Leetcode List'!B:C,'Leetcode List'!A:A = A276))"),"Intersection of Two Linked Lists")</f>
        <v>Intersection of Two Linked Lists</v>
      </c>
      <c r="C276" s="83" t="str">
        <f>IFERROR(__xludf.DUMMYFUNCTION("""COMPUTED_VALUE"""),"Easy")</f>
        <v>Easy</v>
      </c>
      <c r="D276" s="83" t="s">
        <v>4975</v>
      </c>
      <c r="E276" s="87" t="str">
        <f>IFERROR(__xludf.DUMMYFUNCTION("IF(ISBLANK(A276),,FILTER('Leetcode List'!E:J,'Leetcode List'!A:A = A276))"),"Paypal,Intuit,EBay,Apple,Morgan Stanley,Redfin,ByteDance,Qualcomm,Expedia,Oracle,Cisco,Airbnb,Yahoo,Tencent,SAP,Bloomberg,Facebook,Amazon,LinkedIn,Microsoft,Alibaba,Goldman Sachs,Google")</f>
        <v>Paypal,Intuit,EBay,Apple,Morgan Stanley,Redfin,ByteDance,Qualcomm,Expedia,Oracle,Cisco,Airbnb,Yahoo,Tencent,SAP,Bloomberg,Facebook,Amazon,LinkedIn,Microsoft,Alibaba,Goldman Sachs,Google</v>
      </c>
      <c r="F276" s="47" t="str">
        <f>IFERROR(__xludf.DUMMYFUNCTION("""COMPUTED_VALUE"""),"Microsoft,Amazon,Facebook,Apple,ByteDance,LinkedIn,Paypal,Bloomberg,Intuit")</f>
        <v>Microsoft,Amazon,Facebook,Apple,ByteDance,LinkedIn,Paypal,Bloomberg,Intuit</v>
      </c>
      <c r="G276" s="47" t="str">
        <f>IFERROR(__xludf.DUMMYFUNCTION("""COMPUTED_VALUE"""),"eBay,Google,Qualcomm,Yahoo,Morgan Stanley,Redfin,Microsoft,Amazon,Facebook,Apple,ByteDance,LinkedIn,Paypal,Bloomberg,Intuit")</f>
        <v>eBay,Google,Qualcomm,Yahoo,Morgan Stanley,Redfin,Microsoft,Amazon,Facebook,Apple,ByteDance,LinkedIn,Paypal,Bloomberg,Intuit</v>
      </c>
      <c r="H276" s="47" t="str">
        <f>IFERROR(__xludf.DUMMYFUNCTION("""COMPUTED_VALUE"""),"Oracle,Airbnb,Goldman Sachs,Cisco,eBay,Google,Qualcomm,Yahoo,Morgan Stanley,Redfin,Microsoft,Amazon,Facebook,Apple,ByteDance,LinkedIn,Paypal,Bloomberg,Intuit")</f>
        <v>Oracle,Airbnb,Goldman Sachs,Cisco,eBay,Google,Qualcomm,Yahoo,Morgan Stanley,Redfin,Microsoft,Amazon,Facebook,Apple,ByteDance,LinkedIn,Paypal,Bloomberg,Intuit</v>
      </c>
      <c r="I276" s="47">
        <f>IFERROR(__xludf.DUMMYFUNCTION("""COMPUTED_VALUE"""),44.24)</f>
        <v>44.24</v>
      </c>
      <c r="J276" s="47" t="str">
        <f>IFERROR(__xludf.DUMMYFUNCTION("""COMPUTED_VALUE"""),"算法")</f>
        <v>算法</v>
      </c>
      <c r="K276" s="47">
        <v>275.0</v>
      </c>
      <c r="L276" s="6">
        <f>COUNTIF('Coder-1'!B:B,A276)</f>
        <v>0</v>
      </c>
      <c r="M276" s="6">
        <f>COUNTIF('Coder-2'!B:B,A276)</f>
        <v>0</v>
      </c>
      <c r="N276" s="6">
        <f>COUNTIF('Coder-3'!B:B,A276)</f>
        <v>0</v>
      </c>
      <c r="O276" s="6">
        <f>COUNTIF('Coder-4'!B:B,A276)</f>
        <v>0</v>
      </c>
    </row>
    <row r="277">
      <c r="A277" s="83">
        <v>21.0</v>
      </c>
      <c r="B277" s="86" t="str">
        <f>IFERROR(__xludf.DUMMYFUNCTION("IF(ISBLANK(A277),,FILTER('Leetcode List'!B:C,'Leetcode List'!A:A = A277))"),"Merge Two Sorted Lists")</f>
        <v>Merge Two Sorted Lists</v>
      </c>
      <c r="C277" s="83" t="str">
        <f>IFERROR(__xludf.DUMMYFUNCTION("""COMPUTED_VALUE"""),"Easy")</f>
        <v>Easy</v>
      </c>
      <c r="D277" s="83" t="s">
        <v>4975</v>
      </c>
      <c r="E277" s="87" t="str">
        <f>IFERROR(__xludf.DUMMYFUNCTION("IF(ISBLANK(A277),,FILTER('Leetcode List'!E:J,'Leetcode List'!A:A = A277))"),"Wish,IBM,Arista Networks,Atlassian,ByteDance,Capital One,Intel,Visa,VMware,Walmart Labs,Indeed,Paypal,Oracle,Lyft,Cisco,Yandex,Huawei,EBay,Apple,Airbnb,Uber,Yahoo,Samsung,Tencent,Bloomberg,Adobe,Facebook,Amazon,LinkedIn,Microsoft,Alibaba,Google")</f>
        <v>Wish,IBM,Arista Networks,Atlassian,ByteDance,Capital One,Intel,Visa,VMware,Walmart Labs,Indeed,Paypal,Oracle,Lyft,Cisco,Yandex,Huawei,EBay,Apple,Airbnb,Uber,Yahoo,Samsung,Tencent,Bloomberg,Adobe,Facebook,Amazon,LinkedIn,Microsoft,Alibaba,Google</v>
      </c>
      <c r="F277" s="47" t="str">
        <f>IFERROR(__xludf.DUMMYFUNCTION("""COMPUTED_VALUE"""),"Amazon,Capital One,Adobe,Facebook,Bloomberg,Microsoft,Oracle,LinkedIn,Uber,VMware,Google,IBM,ByteDance")</f>
        <v>Amazon,Capital One,Adobe,Facebook,Bloomberg,Microsoft,Oracle,LinkedIn,Uber,VMware,Google,IBM,ByteDance</v>
      </c>
      <c r="G277" s="47" t="str">
        <f>IFERROR(__xludf.DUMMYFUNCTION("""COMPUTED_VALUE"""),"Apple,Yandex,Yahoo,Samsung,eBay,Amazon,Capital One,Adobe,Facebook,Bloomberg,Microsoft,Oracle,LinkedIn,Uber,VMware,Google,IBM,ByteDance")</f>
        <v>Apple,Yandex,Yahoo,Samsung,eBay,Amazon,Capital One,Adobe,Facebook,Bloomberg,Microsoft,Oracle,LinkedIn,Uber,VMware,Google,IBM,ByteDance</v>
      </c>
      <c r="H277" s="47" t="str">
        <f>IFERROR(__xludf.DUMMYFUNCTION("""COMPUTED_VALUE"""),"Tencent,Arista Networks,Indeed,Intel,Cisco,Lyft,Atlassian,Wish,Apple,Yandex,Yahoo,Samsung,eBay,Amazon,Capital One,Adobe,Facebook,Bloomberg,Microsoft,Oracle,LinkedIn,Uber,VMware,Google,IBM,ByteDance")</f>
        <v>Tencent,Arista Networks,Indeed,Intel,Cisco,Lyft,Atlassian,Wish,Apple,Yandex,Yahoo,Samsung,eBay,Amazon,Capital One,Adobe,Facebook,Bloomberg,Microsoft,Oracle,LinkedIn,Uber,VMware,Google,IBM,ByteDance</v>
      </c>
      <c r="I277" s="47">
        <f>IFERROR(__xludf.DUMMYFUNCTION("""COMPUTED_VALUE"""),56.23)</f>
        <v>56.23</v>
      </c>
      <c r="J277" s="47" t="str">
        <f>IFERROR(__xludf.DUMMYFUNCTION("""COMPUTED_VALUE"""),"算法")</f>
        <v>算法</v>
      </c>
      <c r="K277" s="47">
        <v>276.0</v>
      </c>
      <c r="L277" s="6">
        <f>COUNTIF('Coder-1'!B:B,A277)</f>
        <v>0</v>
      </c>
      <c r="M277" s="6">
        <f>COUNTIF('Coder-2'!B:B,A277)</f>
        <v>0</v>
      </c>
      <c r="N277" s="6">
        <f>COUNTIF('Coder-3'!B:B,A277)</f>
        <v>0</v>
      </c>
      <c r="O277" s="6">
        <f>COUNTIF('Coder-4'!B:B,A277)</f>
        <v>0</v>
      </c>
    </row>
    <row r="278">
      <c r="A278" s="83">
        <v>234.0</v>
      </c>
      <c r="B278" s="86" t="str">
        <f>IFERROR(__xludf.DUMMYFUNCTION("IF(ISBLANK(A278),,FILTER('Leetcode List'!B:C,'Leetcode List'!A:A = A278))"),"Palindrome Linked List")</f>
        <v>Palindrome Linked List</v>
      </c>
      <c r="C278" s="83" t="str">
        <f>IFERROR(__xludf.DUMMYFUNCTION("""COMPUTED_VALUE"""),"Easy")</f>
        <v>Easy</v>
      </c>
      <c r="D278" s="83" t="s">
        <v>4975</v>
      </c>
      <c r="E278" s="87" t="str">
        <f>IFERROR(__xludf.DUMMYFUNCTION("IF(ISBLANK(A278),,FILTER('Leetcode List'!E:J,'Leetcode List'!A:A = A278))"),"Capital One,PayTM,Oracle,Cisco,Yandex,Uber,Nutanix,IXL,Grab,Intel,VMware,Snapchat,Apple,Bloomberg,Adobe,Facebook,Amazon,Microsoft,Google")</f>
        <v>Capital One,PayTM,Oracle,Cisco,Yandex,Uber,Nutanix,IXL,Grab,Intel,VMware,Snapchat,Apple,Bloomberg,Adobe,Facebook,Amazon,Microsoft,Google</v>
      </c>
      <c r="F278" s="47" t="str">
        <f>IFERROR(__xludf.DUMMYFUNCTION("""COMPUTED_VALUE"""),"Microsoft,Facebook,Adobe,Amazon,Capital One,PayTM,Bloomberg,Uber,Google,Snapchat,Oracle")</f>
        <v>Microsoft,Facebook,Adobe,Amazon,Capital One,PayTM,Bloomberg,Uber,Google,Snapchat,Oracle</v>
      </c>
      <c r="G278" s="47" t="str">
        <f>IFERROR(__xludf.DUMMYFUNCTION("""COMPUTED_VALUE"""),"Apple,Cisco,IXL,Nutanix,Yandex,Microsoft,Facebook,Adobe,Amazon,Capital One,PayTM,Bloomberg,Uber,Google,Snapchat,Oracle")</f>
        <v>Apple,Cisco,IXL,Nutanix,Yandex,Microsoft,Facebook,Adobe,Amazon,Capital One,PayTM,Bloomberg,Uber,Google,Snapchat,Oracle</v>
      </c>
      <c r="H278" s="47" t="str">
        <f>IFERROR(__xludf.DUMMYFUNCTION("""COMPUTED_VALUE"""),"Intel,Grab,Apple,Cisco,IXL,Nutanix,Yandex,Microsoft,Facebook,Adobe,Amazon,Capital One,PayTM,Bloomberg,Uber,Google,Snapchat,Oracle")</f>
        <v>Intel,Grab,Apple,Cisco,IXL,Nutanix,Yandex,Microsoft,Facebook,Adobe,Amazon,Capital One,PayTM,Bloomberg,Uber,Google,Snapchat,Oracle</v>
      </c>
      <c r="I278" s="47">
        <f>IFERROR(__xludf.DUMMYFUNCTION("""COMPUTED_VALUE"""),40.81)</f>
        <v>40.81</v>
      </c>
      <c r="J278" s="47" t="str">
        <f>IFERROR(__xludf.DUMMYFUNCTION("""COMPUTED_VALUE"""),"算法")</f>
        <v>算法</v>
      </c>
      <c r="K278" s="47">
        <v>277.0</v>
      </c>
      <c r="L278" s="6">
        <f>COUNTIF('Coder-1'!B:B,A278)</f>
        <v>0</v>
      </c>
      <c r="M278" s="6">
        <f>COUNTIF('Coder-2'!B:B,A278)</f>
        <v>0</v>
      </c>
      <c r="N278" s="6">
        <f>COUNTIF('Coder-3'!B:B,A278)</f>
        <v>0</v>
      </c>
      <c r="O278" s="6">
        <f>COUNTIF('Coder-4'!B:B,A278)</f>
        <v>0</v>
      </c>
    </row>
    <row r="279">
      <c r="A279" s="83">
        <v>143.0</v>
      </c>
      <c r="B279" s="86" t="str">
        <f>IFERROR(__xludf.DUMMYFUNCTION("IF(ISBLANK(A279),,FILTER('Leetcode List'!B:C,'Leetcode List'!A:A = A279))"),"Reorder List")</f>
        <v>Reorder List</v>
      </c>
      <c r="C279" s="83" t="str">
        <f>IFERROR(__xludf.DUMMYFUNCTION("""COMPUTED_VALUE"""),"Medium")</f>
        <v>Medium</v>
      </c>
      <c r="D279" s="83" t="s">
        <v>4975</v>
      </c>
      <c r="E279" s="87" t="str">
        <f>IFERROR(__xludf.DUMMYFUNCTION("IF(ISBLANK(A279),,FILTER('Leetcode List'!E:J,'Leetcode List'!A:A = A279))"),"Snapchat,Walmart Labs,Apple,Bloomberg,Splunk,ByteDance,Cisco,EBay,Tencent,Adobe,Facebook,Amazon,Microsoft,Google")</f>
        <v>Snapchat,Walmart Labs,Apple,Bloomberg,Splunk,ByteDance,Cisco,EBay,Tencent,Adobe,Facebook,Amazon,Microsoft,Google</v>
      </c>
      <c r="F279" s="47" t="str">
        <f>IFERROR(__xludf.DUMMYFUNCTION("""COMPUTED_VALUE"""),"Amazon,Facebook,Splunk")</f>
        <v>Amazon,Facebook,Splunk</v>
      </c>
      <c r="G279" s="47" t="str">
        <f>IFERROR(__xludf.DUMMYFUNCTION("""COMPUTED_VALUE"""),"Apple,eBay,ByteDance,Microsoft,Bloomberg,Snapchat,Amazon,Facebook,Splunk")</f>
        <v>Apple,eBay,ByteDance,Microsoft,Bloomberg,Snapchat,Amazon,Facebook,Splunk</v>
      </c>
      <c r="H279" s="47" t="str">
        <f>IFERROR(__xludf.DUMMYFUNCTION("""COMPUTED_VALUE"""),"Adobe,Tencent,Walmart Labs,Apple,eBay,ByteDance,Microsoft,Bloomberg,Snapchat,Amazon,Facebook,Splunk")</f>
        <v>Adobe,Tencent,Walmart Labs,Apple,eBay,ByteDance,Microsoft,Bloomberg,Snapchat,Amazon,Facebook,Splunk</v>
      </c>
      <c r="I279" s="47">
        <f>IFERROR(__xludf.DUMMYFUNCTION("""COMPUTED_VALUE"""),40.83)</f>
        <v>40.83</v>
      </c>
      <c r="J279" s="47" t="str">
        <f>IFERROR(__xludf.DUMMYFUNCTION("""COMPUTED_VALUE"""),"算法")</f>
        <v>算法</v>
      </c>
      <c r="K279" s="47">
        <v>278.0</v>
      </c>
      <c r="L279" s="6">
        <f>COUNTIF('Coder-1'!B:B,A279)</f>
        <v>0</v>
      </c>
      <c r="M279" s="6">
        <f>COUNTIF('Coder-2'!B:B,A279)</f>
        <v>0</v>
      </c>
      <c r="N279" s="6">
        <f>COUNTIF('Coder-3'!B:B,A279)</f>
        <v>0</v>
      </c>
      <c r="O279" s="6">
        <f>COUNTIF('Coder-4'!B:B,A279)</f>
        <v>0</v>
      </c>
    </row>
    <row r="280">
      <c r="A280" s="83">
        <v>142.0</v>
      </c>
      <c r="B280" s="86" t="str">
        <f>IFERROR(__xludf.DUMMYFUNCTION("IF(ISBLANK(A280),,FILTER('Leetcode List'!B:C,'Leetcode List'!A:A = A280))"),"Linked List Cycle II")</f>
        <v>Linked List Cycle II</v>
      </c>
      <c r="C280" s="83" t="str">
        <f>IFERROR(__xludf.DUMMYFUNCTION("""COMPUTED_VALUE"""),"Medium")</f>
        <v>Medium</v>
      </c>
      <c r="D280" s="83" t="s">
        <v>4975</v>
      </c>
      <c r="E280" s="87" t="str">
        <f>IFERROR(__xludf.DUMMYFUNCTION("IF(ISBLANK(A280),,FILTER('Leetcode List'!E:J,'Leetcode List'!A:A = A280))"),"Oracle,Goldman Sachs,EBay,Apple,Adobe,Amazon,LinkedIn,Microsoft,Google")</f>
        <v>Oracle,Goldman Sachs,EBay,Apple,Adobe,Amazon,LinkedIn,Microsoft,Google</v>
      </c>
      <c r="F280" s="47" t="str">
        <f>IFERROR(__xludf.DUMMYFUNCTION("""COMPUTED_VALUE"""),"Microsoft,Amazon,Apple")</f>
        <v>Microsoft,Amazon,Apple</v>
      </c>
      <c r="G280" s="47" t="str">
        <f>IFERROR(__xludf.DUMMYFUNCTION("""COMPUTED_VALUE"""),"Microsoft,Amazon,Apple")</f>
        <v>Microsoft,Amazon,Apple</v>
      </c>
      <c r="H280" s="47" t="str">
        <f>IFERROR(__xludf.DUMMYFUNCTION("""COMPUTED_VALUE"""),"Adobe,Goldman Sachs,eBay,Oracle,Microsoft,Amazon,Apple")</f>
        <v>Adobe,Goldman Sachs,eBay,Oracle,Microsoft,Amazon,Apple</v>
      </c>
      <c r="I280" s="47">
        <f>IFERROR(__xludf.DUMMYFUNCTION("""COMPUTED_VALUE"""),39.84)</f>
        <v>39.84</v>
      </c>
      <c r="J280" s="47" t="str">
        <f>IFERROR(__xludf.DUMMYFUNCTION("""COMPUTED_VALUE"""),"算法")</f>
        <v>算法</v>
      </c>
      <c r="K280" s="47">
        <v>279.0</v>
      </c>
      <c r="L280" s="6">
        <f>COUNTIF('Coder-1'!B:B,A280)</f>
        <v>0</v>
      </c>
      <c r="M280" s="6">
        <f>COUNTIF('Coder-2'!B:B,A280)</f>
        <v>0</v>
      </c>
      <c r="N280" s="6">
        <f>COUNTIF('Coder-3'!B:B,A280)</f>
        <v>0</v>
      </c>
      <c r="O280" s="6">
        <f>COUNTIF('Coder-4'!B:B,A280)</f>
        <v>0</v>
      </c>
    </row>
    <row r="281">
      <c r="A281" s="83">
        <v>148.0</v>
      </c>
      <c r="B281" s="86" t="str">
        <f>IFERROR(__xludf.DUMMYFUNCTION("IF(ISBLANK(A281),,FILTER('Leetcode List'!B:C,'Leetcode List'!A:A = A281))"),"Sort List")</f>
        <v>Sort List</v>
      </c>
      <c r="C281" s="83" t="str">
        <f>IFERROR(__xludf.DUMMYFUNCTION("""COMPUTED_VALUE"""),"Medium")</f>
        <v>Medium</v>
      </c>
      <c r="D281" s="83" t="s">
        <v>4975</v>
      </c>
      <c r="E281" s="87" t="str">
        <f>IFERROR(__xludf.DUMMYFUNCTION("IF(ISBLANK(A281),,FILTER('Leetcode List'!E:J,'Leetcode List'!A:A = A281))"),"ByteDance,Apple,Yahoo,Bloomberg,VMware,Baidu,Adobe,Facebook,Amazon,Microsoft,Google")</f>
        <v>ByteDance,Apple,Yahoo,Bloomberg,VMware,Baidu,Adobe,Facebook,Amazon,Microsoft,Google</v>
      </c>
      <c r="F281" s="47" t="str">
        <f>IFERROR(__xludf.DUMMYFUNCTION("""COMPUTED_VALUE"""),"Facebook,Microsoft,Amazon,Google,ByteDance")</f>
        <v>Facebook,Microsoft,Amazon,Google,ByteDance</v>
      </c>
      <c r="G281" s="47" t="str">
        <f>IFERROR(__xludf.DUMMYFUNCTION("""COMPUTED_VALUE"""),"Yahoo,Facebook,Microsoft,Amazon,Google,ByteDance")</f>
        <v>Yahoo,Facebook,Microsoft,Amazon,Google,ByteDance</v>
      </c>
      <c r="H281" s="47" t="str">
        <f>IFERROR(__xludf.DUMMYFUNCTION("""COMPUTED_VALUE"""),"Adobe,Bloomberg,Apple,Yahoo,Facebook,Microsoft,Amazon,Google,ByteDance")</f>
        <v>Adobe,Bloomberg,Apple,Yahoo,Facebook,Microsoft,Amazon,Google,ByteDance</v>
      </c>
      <c r="I281" s="47">
        <f>IFERROR(__xludf.DUMMYFUNCTION("""COMPUTED_VALUE"""),46.46)</f>
        <v>46.46</v>
      </c>
      <c r="J281" s="47" t="str">
        <f>IFERROR(__xludf.DUMMYFUNCTION("""COMPUTED_VALUE"""),"算法")</f>
        <v>算法</v>
      </c>
      <c r="K281" s="47">
        <v>280.0</v>
      </c>
      <c r="L281" s="6">
        <f>COUNTIF('Coder-1'!B:B,A281)</f>
        <v>0</v>
      </c>
      <c r="M281" s="6">
        <f>COUNTIF('Coder-2'!B:B,A281)</f>
        <v>0</v>
      </c>
      <c r="N281" s="6">
        <f>COUNTIF('Coder-3'!B:B,A281)</f>
        <v>0</v>
      </c>
      <c r="O281" s="6">
        <f>COUNTIF('Coder-4'!B:B,A281)</f>
        <v>0</v>
      </c>
    </row>
    <row r="282">
      <c r="A282" s="83">
        <v>25.0</v>
      </c>
      <c r="B282" s="86" t="str">
        <f>IFERROR(__xludf.DUMMYFUNCTION("IF(ISBLANK(A282),,FILTER('Leetcode List'!B:C,'Leetcode List'!A:A = A282))"),"Reverse Nodes in k-Group")</f>
        <v>Reverse Nodes in k-Group</v>
      </c>
      <c r="C282" s="83" t="str">
        <f>IFERROR(__xludf.DUMMYFUNCTION("""COMPUTED_VALUE"""),"Hard")</f>
        <v>Hard</v>
      </c>
      <c r="D282" s="83" t="s">
        <v>4975</v>
      </c>
      <c r="E282" s="87" t="str">
        <f>IFERROR(__xludf.DUMMYFUNCTION("IF(ISBLANK(A282),,FILTER('Leetcode List'!E:J,'Leetcode List'!A:A = A282))"),"Snapchat,Tencent,Goo,Cohesity,ByteDance,VMware,Paypal,Cisco,Mathworks,EBay,Apple,Adobe,Facebook,Amazon,Microsoft,Google")</f>
        <v>Snapchat,Tencent,Goo,Cohesity,ByteDance,VMware,Paypal,Cisco,Mathworks,EBay,Apple,Adobe,Facebook,Amazon,Microsoft,Google</v>
      </c>
      <c r="F282" s="47" t="str">
        <f>IFERROR(__xludf.DUMMYFUNCTION("""COMPUTED_VALUE"""),"Amazon,Microsoft,ByteDance,Apple,Facebook,Tencent")</f>
        <v>Amazon,Microsoft,ByteDance,Apple,Facebook,Tencent</v>
      </c>
      <c r="G282" s="47" t="str">
        <f>IFERROR(__xludf.DUMMYFUNCTION("""COMPUTED_VALUE"""),"Adobe,Google,Amazon,Microsoft,ByteDance,Apple,Facebook,Tencent")</f>
        <v>Adobe,Google,Amazon,Microsoft,ByteDance,Apple,Facebook,Tencent</v>
      </c>
      <c r="H282" s="47" t="str">
        <f>IFERROR(__xludf.DUMMYFUNCTION("""COMPUTED_VALUE"""),"Mathworks,Cisco,Snapchat,Cohesity,Adobe,Google,Amazon,Microsoft,ByteDance,Apple,Facebook,Tencent")</f>
        <v>Mathworks,Cisco,Snapchat,Cohesity,Adobe,Google,Amazon,Microsoft,ByteDance,Apple,Facebook,Tencent</v>
      </c>
      <c r="I282" s="47">
        <f>IFERROR(__xludf.DUMMYFUNCTION("""COMPUTED_VALUE"""),45.12)</f>
        <v>45.12</v>
      </c>
      <c r="J282" s="47" t="str">
        <f>IFERROR(__xludf.DUMMYFUNCTION("""COMPUTED_VALUE"""),"算法")</f>
        <v>算法</v>
      </c>
      <c r="K282" s="47">
        <v>281.0</v>
      </c>
      <c r="L282" s="6">
        <f>COUNTIF('Coder-1'!B:B,A282)</f>
        <v>0</v>
      </c>
      <c r="M282" s="6">
        <f>COUNTIF('Coder-2'!B:B,A282)</f>
        <v>0</v>
      </c>
      <c r="N282" s="6">
        <f>COUNTIF('Coder-3'!B:B,A282)</f>
        <v>0</v>
      </c>
      <c r="O282" s="6">
        <f>COUNTIF('Coder-4'!B:B,A282)</f>
        <v>0</v>
      </c>
    </row>
    <row r="283">
      <c r="A283" s="83">
        <v>61.0</v>
      </c>
      <c r="B283" s="86" t="str">
        <f>IFERROR(__xludf.DUMMYFUNCTION("IF(ISBLANK(A283),,FILTER('Leetcode List'!B:C,'Leetcode List'!A:A = A283))"),"Rotate List")</f>
        <v>Rotate List</v>
      </c>
      <c r="C283" s="83" t="str">
        <f>IFERROR(__xludf.DUMMYFUNCTION("""COMPUTED_VALUE"""),"Medium")</f>
        <v>Medium</v>
      </c>
      <c r="D283" s="83" t="s">
        <v>4975</v>
      </c>
      <c r="E283" s="87" t="str">
        <f>IFERROR(__xludf.DUMMYFUNCTION("IF(ISBLANK(A283),,FILTER('Leetcode List'!E:J,'Leetcode List'!A:A = A283))"),"Apple,Yahoo,Samsung,Facebook,Hulu,Bloomberg,Adobe,Amazon,LinkedIn,Microsoft")</f>
        <v>Apple,Yahoo,Samsung,Facebook,Hulu,Bloomberg,Adobe,Amazon,LinkedIn,Microsoft</v>
      </c>
      <c r="F283" s="47" t="str">
        <f>IFERROR(__xludf.DUMMYFUNCTION("""COMPUTED_VALUE"""),"Amazon,Bloomberg,Microsoft")</f>
        <v>Amazon,Bloomberg,Microsoft</v>
      </c>
      <c r="G283" s="47" t="str">
        <f>IFERROR(__xludf.DUMMYFUNCTION("""COMPUTED_VALUE"""),"Adobe,Apple,Amazon,Bloomberg,Microsoft")</f>
        <v>Adobe,Apple,Amazon,Bloomberg,Microsoft</v>
      </c>
      <c r="H283" s="47" t="str">
        <f>IFERROR(__xludf.DUMMYFUNCTION("""COMPUTED_VALUE"""),"LinkedIn,Facebook,Yahoo,Samsung,Adobe,Apple,Amazon,Bloomberg,Microsoft")</f>
        <v>LinkedIn,Facebook,Yahoo,Samsung,Adobe,Apple,Amazon,Bloomberg,Microsoft</v>
      </c>
      <c r="I283" s="47">
        <f>IFERROR(__xludf.DUMMYFUNCTION("""COMPUTED_VALUE"""),31.84)</f>
        <v>31.84</v>
      </c>
      <c r="J283" s="47" t="str">
        <f>IFERROR(__xludf.DUMMYFUNCTION("""COMPUTED_VALUE"""),"算法")</f>
        <v>算法</v>
      </c>
      <c r="K283" s="47">
        <v>282.0</v>
      </c>
      <c r="L283" s="6">
        <f>COUNTIF('Coder-1'!B:B,A283)</f>
        <v>0</v>
      </c>
      <c r="M283" s="6">
        <f>COUNTIF('Coder-2'!B:B,A283)</f>
        <v>0</v>
      </c>
      <c r="N283" s="6">
        <f>COUNTIF('Coder-3'!B:B,A283)</f>
        <v>0</v>
      </c>
      <c r="O283" s="6">
        <f>COUNTIF('Coder-4'!B:B,A283)</f>
        <v>0</v>
      </c>
    </row>
    <row r="284">
      <c r="A284" s="83">
        <v>86.0</v>
      </c>
      <c r="B284" s="86" t="str">
        <f>IFERROR(__xludf.DUMMYFUNCTION("IF(ISBLANK(A284),,FILTER('Leetcode List'!B:C,'Leetcode List'!A:A = A284))"),"Partition List")</f>
        <v>Partition List</v>
      </c>
      <c r="C284" s="83" t="str">
        <f>IFERROR(__xludf.DUMMYFUNCTION("""COMPUTED_VALUE"""),"Medium")</f>
        <v>Medium</v>
      </c>
      <c r="D284" s="83" t="s">
        <v>4975</v>
      </c>
      <c r="E284" s="87" t="str">
        <f>IFERROR(__xludf.DUMMYFUNCTION("IF(ISBLANK(A284),,FILTER('Leetcode List'!E:J,'Leetcode List'!A:A = A284))"),"Bloomberg,Facebook,Apple,Amazon,Microsoft")</f>
        <v>Bloomberg,Facebook,Apple,Amazon,Microsoft</v>
      </c>
      <c r="F284" s="47" t="str">
        <f>IFERROR(__xludf.DUMMYFUNCTION("""COMPUTED_VALUE"""),"Amazon,Microsoft,Apple,Bloomberg,Facebook")</f>
        <v>Amazon,Microsoft,Apple,Bloomberg,Facebook</v>
      </c>
      <c r="G284" s="47" t="str">
        <f>IFERROR(__xludf.DUMMYFUNCTION("""COMPUTED_VALUE"""),"Amazon,Microsoft,Apple,Bloomberg,Facebook")</f>
        <v>Amazon,Microsoft,Apple,Bloomberg,Facebook</v>
      </c>
      <c r="H284" s="47" t="str">
        <f>IFERROR(__xludf.DUMMYFUNCTION("""COMPUTED_VALUE"""),"Amazon,Microsoft,Apple,Bloomberg,Facebook")</f>
        <v>Amazon,Microsoft,Apple,Bloomberg,Facebook</v>
      </c>
      <c r="I284" s="47">
        <f>IFERROR(__xludf.DUMMYFUNCTION("""COMPUTED_VALUE"""),43.58)</f>
        <v>43.58</v>
      </c>
      <c r="J284" s="47" t="str">
        <f>IFERROR(__xludf.DUMMYFUNCTION("""COMPUTED_VALUE"""),"算法")</f>
        <v>算法</v>
      </c>
      <c r="K284" s="47">
        <v>283.0</v>
      </c>
      <c r="L284" s="6">
        <f>COUNTIF('Coder-1'!B:B,A284)</f>
        <v>0</v>
      </c>
      <c r="M284" s="6">
        <f>COUNTIF('Coder-2'!B:B,A284)</f>
        <v>0</v>
      </c>
      <c r="N284" s="6">
        <f>COUNTIF('Coder-3'!B:B,A284)</f>
        <v>0</v>
      </c>
      <c r="O284" s="6">
        <f>COUNTIF('Coder-4'!B:B,A284)</f>
        <v>0</v>
      </c>
    </row>
    <row r="285">
      <c r="A285" s="83">
        <v>23.0</v>
      </c>
      <c r="B285" s="86" t="str">
        <f>IFERROR(__xludf.DUMMYFUNCTION("IF(ISBLANK(A285),,FILTER('Leetcode List'!B:C,'Leetcode List'!A:A = A285))"),"Merge k Sorted Lists")</f>
        <v>Merge k Sorted Lists</v>
      </c>
      <c r="C285" s="83" t="str">
        <f>IFERROR(__xludf.DUMMYFUNCTION("""COMPUTED_VALUE"""),"Hard")</f>
        <v>Hard</v>
      </c>
      <c r="D285" s="83" t="s">
        <v>4975</v>
      </c>
      <c r="E285" s="87" t="str">
        <f>IFERROR(__xludf.DUMMYFUNCTION("IF(ISBLANK(A285),,FILTER('Leetcode List'!E:J,'Leetcode List'!A:A = A285))"),"Palantir Technologies,Tesla,Databricks,Nutanix,Nvidia,Goldman Sachs,Cohesity,IXL,Cruise Automation,Atlassian,Audible,ByteDance,Tableau,Salesforce,VMware,Box,Walmart Labs,Indeed,Zillow,Twitter,Wish,Oracle,Lyft,Cisco,Mathworks,Yandex,EBay,Apple,Airbnb,Uber,"&amp;"Yahoo,Tencent,SAP,Bloomberg,Adobe,Facebook,Amazon,LinkedIn,Microsoft,Alibaba,Google")</f>
        <v>Palantir Technologies,Tesla,Databricks,Nutanix,Nvidia,Goldman Sachs,Cohesity,IXL,Cruise Automation,Atlassian,Audible,ByteDance,Tableau,Salesforce,VMware,Box,Walmart Labs,Indeed,Zillow,Twitter,Wish,Oracle,Lyft,Cisco,Mathworks,Yandex,EBay,Apple,Airbnb,Uber,Yahoo,Tencent,SAP,Bloomberg,Adobe,Facebook,Amazon,LinkedIn,Microsoft,Alibaba,Google</v>
      </c>
      <c r="F285" s="47" t="str">
        <f>IFERROR(__xludf.DUMMYFUNCTION("""COMPUTED_VALUE"""),"Amazon,Facebook,Databricks,Bloomberg,Microsoft,Apple,Oracle,Google,Twitter,Wish,ByteDance,Uber,Adobe,Palantir Technologies,Tesla")</f>
        <v>Amazon,Facebook,Databricks,Bloomberg,Microsoft,Apple,Oracle,Google,Twitter,Wish,ByteDance,Uber,Adobe,Palantir Technologies,Tesla</v>
      </c>
      <c r="G285" s="47" t="str">
        <f>IFERROR(__xludf.DUMMYFUNCTION("""COMPUTED_VALUE"""),"eBay,Walmart Labs,VMware,Lyft,Nutanix,Goldman Sachs,SAP,Amazon,Facebook,Databricks,Bloomberg,Microsoft,Apple,Oracle,Google,Twitter,Wish,ByteDance,Uber,Adobe,Palantir Technologies,Tesla")</f>
        <v>eBay,Walmart Labs,VMware,Lyft,Nutanix,Goldman Sachs,SAP,Amazon,Facebook,Databricks,Bloomberg,Microsoft,Apple,Oracle,Google,Twitter,Wish,ByteDance,Uber,Adobe,Palantir Technologies,Tesla</v>
      </c>
      <c r="H285" s="47" t="str">
        <f>IFERROR(__xludf.DUMMYFUNCTION("""COMPUTED_VALUE"""),"IXL,Yahoo,Yandex,Indeed,Atlassian,LinkedIn,Cohesity,Cisco,Zillow,Box,Salesforce,Cruise Automation,Nvidia,Airbnb,eBay,Walmart Labs,VMware,Lyft,Nutanix,Goldman Sachs,SAP,Amazon,Facebook,Databricks,Bloomberg,Microsoft,Apple,Oracle,Google,Twitter,Wish,ByteDan"&amp;"ce,Uber,Adobe,Palantir Technologies,Tesla")</f>
        <v>IXL,Yahoo,Yandex,Indeed,Atlassian,LinkedIn,Cohesity,Cisco,Zillow,Box,Salesforce,Cruise Automation,Nvidia,Airbnb,eBay,Walmart Labs,VMware,Lyft,Nutanix,Goldman Sachs,SAP,Amazon,Facebook,Databricks,Bloomberg,Microsoft,Apple,Oracle,Google,Twitter,Wish,ByteDance,Uber,Adobe,Palantir Technologies,Tesla</v>
      </c>
      <c r="I285" s="47">
        <f>IFERROR(__xludf.DUMMYFUNCTION("""COMPUTED_VALUE"""),42.86)</f>
        <v>42.86</v>
      </c>
      <c r="J285" s="47" t="str">
        <f>IFERROR(__xludf.DUMMYFUNCTION("""COMPUTED_VALUE"""),"算法")</f>
        <v>算法</v>
      </c>
      <c r="K285" s="47">
        <v>284.0</v>
      </c>
      <c r="L285" s="6">
        <f>COUNTIF('Coder-1'!B:B,A285)</f>
        <v>0</v>
      </c>
      <c r="M285" s="6">
        <f>COUNTIF('Coder-2'!B:B,A285)</f>
        <v>0</v>
      </c>
      <c r="N285" s="6">
        <f>COUNTIF('Coder-3'!B:B,A285)</f>
        <v>0</v>
      </c>
      <c r="O285" s="6">
        <f>COUNTIF('Coder-4'!B:B,A285)</f>
        <v>0</v>
      </c>
    </row>
    <row r="286">
      <c r="A286" s="83">
        <v>147.0</v>
      </c>
      <c r="B286" s="86" t="str">
        <f>IFERROR(__xludf.DUMMYFUNCTION("IF(ISBLANK(A286),,FILTER('Leetcode List'!B:C,'Leetcode List'!A:A = A286))"),"Insertion Sort List")</f>
        <v>Insertion Sort List</v>
      </c>
      <c r="C286" s="83" t="str">
        <f>IFERROR(__xludf.DUMMYFUNCTION("""COMPUTED_VALUE"""),"Medium")</f>
        <v>Medium</v>
      </c>
      <c r="D286" s="83" t="s">
        <v>4975</v>
      </c>
      <c r="E286" s="87" t="str">
        <f>IFERROR(__xludf.DUMMYFUNCTION("IF(ISBLANK(A286),,FILTER('Leetcode List'!E:J,'Leetcode List'!A:A = A286))"),"Apple,Bloomberg,Microsoft")</f>
        <v>Apple,Bloomberg,Microsoft</v>
      </c>
      <c r="F286" s="47"/>
      <c r="G286" s="47" t="str">
        <f>IFERROR(__xludf.DUMMYFUNCTION("""COMPUTED_VALUE"""),"Apple,Microsoft")</f>
        <v>Apple,Microsoft</v>
      </c>
      <c r="H286" s="47" t="str">
        <f>IFERROR(__xludf.DUMMYFUNCTION("""COMPUTED_VALUE"""),"Apple,Microsoft")</f>
        <v>Apple,Microsoft</v>
      </c>
      <c r="I286" s="47">
        <f>IFERROR(__xludf.DUMMYFUNCTION("""COMPUTED_VALUE"""),44.51)</f>
        <v>44.51</v>
      </c>
      <c r="J286" s="47" t="str">
        <f>IFERROR(__xludf.DUMMYFUNCTION("""COMPUTED_VALUE"""),"算法")</f>
        <v>算法</v>
      </c>
      <c r="K286" s="47">
        <v>285.0</v>
      </c>
      <c r="L286" s="6">
        <f>COUNTIF('Coder-1'!B:B,A286)</f>
        <v>0</v>
      </c>
      <c r="M286" s="6">
        <f>COUNTIF('Coder-2'!B:B,A286)</f>
        <v>0</v>
      </c>
      <c r="N286" s="6">
        <f>COUNTIF('Coder-3'!B:B,A286)</f>
        <v>0</v>
      </c>
      <c r="O286" s="6">
        <f>COUNTIF('Coder-4'!B:B,A286)</f>
        <v>0</v>
      </c>
    </row>
    <row r="287">
      <c r="A287" s="83">
        <v>278.0</v>
      </c>
      <c r="B287" s="86" t="str">
        <f>IFERROR(__xludf.DUMMYFUNCTION("IF(ISBLANK(A287),,FILTER('Leetcode List'!B:C,'Leetcode List'!A:A = A287))"),"First Bad Version")</f>
        <v>First Bad Version</v>
      </c>
      <c r="C287" s="83" t="str">
        <f>IFERROR(__xludf.DUMMYFUNCTION("""COMPUTED_VALUE"""),"Easy")</f>
        <v>Easy</v>
      </c>
      <c r="D287" s="83" t="s">
        <v>502</v>
      </c>
      <c r="E287" s="87" t="str">
        <f>IFERROR(__xludf.DUMMYFUNCTION("IF(ISBLANK(A287),,FILTER('Leetcode List'!E:J,'Leetcode List'!A:A = A287))"),"Salesforce,Cisco,EBay,Uber,Bloomberg,Adobe,Facebook,Amazon,Microsoft,Google")</f>
        <v>Salesforce,Cisco,EBay,Uber,Bloomberg,Adobe,Facebook,Amazon,Microsoft,Google</v>
      </c>
      <c r="F287" s="47" t="str">
        <f>IFERROR(__xludf.DUMMYFUNCTION("""COMPUTED_VALUE"""),"Facebook")</f>
        <v>Facebook</v>
      </c>
      <c r="G287" s="47" t="str">
        <f>IFERROR(__xludf.DUMMYFUNCTION("""COMPUTED_VALUE"""),"Google,eBay,Amazon,Adobe,Salesforce,Cisco,Facebook")</f>
        <v>Google,eBay,Amazon,Adobe,Salesforce,Cisco,Facebook</v>
      </c>
      <c r="H287" s="47" t="str">
        <f>IFERROR(__xludf.DUMMYFUNCTION("""COMPUTED_VALUE"""),"Microsoft,Google,eBay,Amazon,Adobe,Salesforce,Cisco,Facebook")</f>
        <v>Microsoft,Google,eBay,Amazon,Adobe,Salesforce,Cisco,Facebook</v>
      </c>
      <c r="I287" s="47">
        <f>IFERROR(__xludf.DUMMYFUNCTION("""COMPUTED_VALUE"""),37.61)</f>
        <v>37.61</v>
      </c>
      <c r="J287" s="47" t="str">
        <f>IFERROR(__xludf.DUMMYFUNCTION("""COMPUTED_VALUE"""),"算法")</f>
        <v>算法</v>
      </c>
      <c r="K287" s="47">
        <v>286.0</v>
      </c>
      <c r="L287" s="6">
        <f>COUNTIF('Coder-1'!B:B,A287)</f>
        <v>0</v>
      </c>
      <c r="M287" s="6">
        <f>COUNTIF('Coder-2'!B:B,A287)</f>
        <v>0</v>
      </c>
      <c r="N287" s="6">
        <f>COUNTIF('Coder-3'!B:B,A287)</f>
        <v>0</v>
      </c>
      <c r="O287" s="6">
        <f>COUNTIF('Coder-4'!B:B,A287)</f>
        <v>0</v>
      </c>
    </row>
    <row r="288">
      <c r="A288" s="83">
        <v>35.0</v>
      </c>
      <c r="B288" s="86" t="str">
        <f>IFERROR(__xludf.DUMMYFUNCTION("IF(ISBLANK(A288),,FILTER('Leetcode List'!B:C,'Leetcode List'!A:A = A288))"),"Search Insert Position")</f>
        <v>Search Insert Position</v>
      </c>
      <c r="C288" s="83" t="str">
        <f>IFERROR(__xludf.DUMMYFUNCTION("""COMPUTED_VALUE"""),"Easy")</f>
        <v>Easy</v>
      </c>
      <c r="D288" s="83" t="s">
        <v>502</v>
      </c>
      <c r="E288" s="87" t="str">
        <f>IFERROR(__xludf.DUMMYFUNCTION("IF(ISBLANK(A288),,FILTER('Leetcode List'!E:J,'Leetcode List'!A:A = A288))"),"Facebook,Apple,SAP,Bloomberg,Adobe,Amazon,Microsoft,Google")</f>
        <v>Facebook,Apple,SAP,Bloomberg,Adobe,Amazon,Microsoft,Google</v>
      </c>
      <c r="F288" s="47" t="str">
        <f>IFERROR(__xludf.DUMMYFUNCTION("""COMPUTED_VALUE"""),"Amazon,Apple")</f>
        <v>Amazon,Apple</v>
      </c>
      <c r="G288" s="47" t="str">
        <f>IFERROR(__xludf.DUMMYFUNCTION("""COMPUTED_VALUE"""),"Adobe,Amazon,Apple")</f>
        <v>Adobe,Amazon,Apple</v>
      </c>
      <c r="H288" s="47" t="str">
        <f>IFERROR(__xludf.DUMMYFUNCTION("""COMPUTED_VALUE"""),"Google,Microsoft,Bloomberg,Facebook,Adobe,Amazon,Apple")</f>
        <v>Google,Microsoft,Bloomberg,Facebook,Adobe,Amazon,Apple</v>
      </c>
      <c r="I288" s="47">
        <f>IFERROR(__xludf.DUMMYFUNCTION("""COMPUTED_VALUE"""),42.81)</f>
        <v>42.81</v>
      </c>
      <c r="J288" s="47" t="str">
        <f>IFERROR(__xludf.DUMMYFUNCTION("""COMPUTED_VALUE"""),"算法")</f>
        <v>算法</v>
      </c>
      <c r="K288" s="47">
        <v>287.0</v>
      </c>
      <c r="L288" s="6">
        <f>COUNTIF('Coder-1'!B:B,A288)</f>
        <v>0</v>
      </c>
      <c r="M288" s="6">
        <f>COUNTIF('Coder-2'!B:B,A288)</f>
        <v>0</v>
      </c>
      <c r="N288" s="6">
        <f>COUNTIF('Coder-3'!B:B,A288)</f>
        <v>0</v>
      </c>
      <c r="O288" s="6">
        <f>COUNTIF('Coder-4'!B:B,A288)</f>
        <v>0</v>
      </c>
    </row>
    <row r="289">
      <c r="A289" s="83">
        <v>33.0</v>
      </c>
      <c r="B289" s="86" t="str">
        <f>IFERROR(__xludf.DUMMYFUNCTION("IF(ISBLANK(A289),,FILTER('Leetcode List'!B:C,'Leetcode List'!A:A = A289))"),"Search in Rotated Sorted Array")</f>
        <v>Search in Rotated Sorted Array</v>
      </c>
      <c r="C289" s="83" t="str">
        <f>IFERROR(__xludf.DUMMYFUNCTION("""COMPUTED_VALUE"""),"Medium")</f>
        <v>Medium</v>
      </c>
      <c r="D289" s="83" t="s">
        <v>502</v>
      </c>
      <c r="E289" s="87" t="str">
        <f>IFERROR(__xludf.DUMMYFUNCTION("IF(ISBLANK(A289),,FILTER('Leetcode List'!E:J,'Leetcode List'!A:A = A289))"),"PayTM,Paypal,ServiceNow,TripAdvisor,Tesla,Nutanix,Zulily,Twitch,ByteDance,Salesforce,Visa,VMware,Walmart Labs,Snapchat,JPMorgan,Zillow,Expedia,Nvidia,Oracle,NetEase,Cisco,Yandex,EBay,Baidu,Apple,Uber,Yahoo,Samsung,Tencent,Bloomberg,Adobe,Facebook,Amazon,L"&amp;"inkedIn,Microsoft,Alibaba,Goldman Sachs,Google")</f>
        <v>PayTM,Paypal,ServiceNow,TripAdvisor,Tesla,Nutanix,Zulily,Twitch,ByteDance,Salesforce,Visa,VMware,Walmart Labs,Snapchat,JPMorgan,Zillow,Expedia,Nvidia,Oracle,NetEase,Cisco,Yandex,EBay,Baidu,Apple,Uber,Yahoo,Samsung,Tencent,Bloomberg,Adobe,Facebook,Amazon,LinkedIn,Microsoft,Alibaba,Goldman Sachs,Google</v>
      </c>
      <c r="F289" s="47" t="str">
        <f>IFERROR(__xludf.DUMMYFUNCTION("""COMPUTED_VALUE"""),"Amazon,Facebook,Microsoft,LinkedIn,Bloomberg,Oracle,Apple,ByteDance,Expedia,Google,Nvidia,Zillow,eBay,Adobe,Cisco,ServiceNow")</f>
        <v>Amazon,Facebook,Microsoft,LinkedIn,Bloomberg,Oracle,Apple,ByteDance,Expedia,Google,Nvidia,Zillow,eBay,Adobe,Cisco,ServiceNow</v>
      </c>
      <c r="G289" s="47" t="str">
        <f>IFERROR(__xludf.DUMMYFUNCTION("""COMPUTED_VALUE"""),"VMware,Goldman Sachs,Walmart Labs,Paypal,PayTM,Amazon,Facebook,Microsoft,LinkedIn,Bloomberg,Oracle,Apple,ByteDance,Expedia,Google,Nvidia,Zillow,eBay,Adobe,Cisco,ServiceNow")</f>
        <v>VMware,Goldman Sachs,Walmart Labs,Paypal,PayTM,Amazon,Facebook,Microsoft,LinkedIn,Bloomberg,Oracle,Apple,ByteDance,Expedia,Google,Nvidia,Zillow,eBay,Adobe,Cisco,ServiceNow</v>
      </c>
      <c r="H289" s="47" t="str">
        <f>IFERROR(__xludf.DUMMYFUNCTION("""COMPUTED_VALUE"""),"Yahoo,Nutanix,Yandex,Alibaba,Samsung,Uber,Tencent,Salesforce,Zulily,Twitch,JPMorgan,Tesla,VMware,Goldman Sachs,Walmart Labs,Paypal,PayTM,Amazon,Facebook,Microsoft,LinkedIn,Bloomberg,Oracle,Apple,ByteDance,Expedia,Google,Nvidia,Zillow,eBay,Adobe,Cisco,Serv"&amp;"iceNow")</f>
        <v>Yahoo,Nutanix,Yandex,Alibaba,Samsung,Uber,Tencent,Salesforce,Zulily,Twitch,JPMorgan,Tesla,VMware,Goldman Sachs,Walmart Labs,Paypal,PayTM,Amazon,Facebook,Microsoft,LinkedIn,Bloomberg,Oracle,Apple,ByteDance,Expedia,Google,Nvidia,Zillow,eBay,Adobe,Cisco,ServiceNow</v>
      </c>
      <c r="I289" s="47">
        <f>IFERROR(__xludf.DUMMYFUNCTION("""COMPUTED_VALUE"""),35.99)</f>
        <v>35.99</v>
      </c>
      <c r="J289" s="47" t="str">
        <f>IFERROR(__xludf.DUMMYFUNCTION("""COMPUTED_VALUE"""),"算法")</f>
        <v>算法</v>
      </c>
      <c r="K289" s="47">
        <v>288.0</v>
      </c>
      <c r="L289" s="6">
        <f>COUNTIF('Coder-1'!B:B,A289)</f>
        <v>0</v>
      </c>
      <c r="M289" s="6">
        <f>COUNTIF('Coder-2'!B:B,A289)</f>
        <v>0</v>
      </c>
      <c r="N289" s="6">
        <f>COUNTIF('Coder-3'!B:B,A289)</f>
        <v>0</v>
      </c>
      <c r="O289" s="6">
        <f>COUNTIF('Coder-4'!B:B,A289)</f>
        <v>0</v>
      </c>
    </row>
    <row r="290">
      <c r="A290" s="83">
        <v>81.0</v>
      </c>
      <c r="B290" s="86" t="str">
        <f>IFERROR(__xludf.DUMMYFUNCTION("IF(ISBLANK(A290),,FILTER('Leetcode List'!B:C,'Leetcode List'!A:A = A290))"),"Search in Rotated Sorted Array II")</f>
        <v>Search in Rotated Sorted Array II</v>
      </c>
      <c r="C290" s="83" t="str">
        <f>IFERROR(__xludf.DUMMYFUNCTION("""COMPUTED_VALUE"""),"Medium")</f>
        <v>Medium</v>
      </c>
      <c r="D290" s="83" t="s">
        <v>502</v>
      </c>
      <c r="E290" s="87" t="str">
        <f>IFERROR(__xludf.DUMMYFUNCTION("IF(ISBLANK(A290),,FILTER('Leetcode List'!E:J,'Leetcode List'!A:A = A290))"),"Bloomberg,Adobe,Facebook,Amazon,Microsoft,Google")</f>
        <v>Bloomberg,Adobe,Facebook,Amazon,Microsoft,Google</v>
      </c>
      <c r="F290" s="47" t="str">
        <f>IFERROR(__xludf.DUMMYFUNCTION("""COMPUTED_VALUE"""),"Amazon")</f>
        <v>Amazon</v>
      </c>
      <c r="G290" s="47" t="str">
        <f>IFERROR(__xludf.DUMMYFUNCTION("""COMPUTED_VALUE"""),"Facebook,Adobe,Amazon")</f>
        <v>Facebook,Adobe,Amazon</v>
      </c>
      <c r="H290" s="47" t="str">
        <f>IFERROR(__xludf.DUMMYFUNCTION("""COMPUTED_VALUE"""),"Microsoft,Google,Bloomberg,Facebook,Adobe,Amazon")</f>
        <v>Microsoft,Google,Bloomberg,Facebook,Adobe,Amazon</v>
      </c>
      <c r="I290" s="47">
        <f>IFERROR(__xludf.DUMMYFUNCTION("""COMPUTED_VALUE"""),33.61)</f>
        <v>33.61</v>
      </c>
      <c r="J290" s="47" t="str">
        <f>IFERROR(__xludf.DUMMYFUNCTION("""COMPUTED_VALUE"""),"算法")</f>
        <v>算法</v>
      </c>
      <c r="K290" s="47">
        <v>289.0</v>
      </c>
      <c r="L290" s="6">
        <f>COUNTIF('Coder-1'!B:B,A290)</f>
        <v>0</v>
      </c>
      <c r="M290" s="6">
        <f>COUNTIF('Coder-2'!B:B,A290)</f>
        <v>0</v>
      </c>
      <c r="N290" s="6">
        <f>COUNTIF('Coder-3'!B:B,A290)</f>
        <v>0</v>
      </c>
      <c r="O290" s="6">
        <f>COUNTIF('Coder-4'!B:B,A290)</f>
        <v>0</v>
      </c>
    </row>
    <row r="291">
      <c r="A291" s="83">
        <v>153.0</v>
      </c>
      <c r="B291" s="86" t="str">
        <f>IFERROR(__xludf.DUMMYFUNCTION("IF(ISBLANK(A291),,FILTER('Leetcode List'!B:C,'Leetcode List'!A:A = A291))"),"Find Minimum in Rotated Sorted Array")</f>
        <v>Find Minimum in Rotated Sorted Array</v>
      </c>
      <c r="C291" s="83" t="str">
        <f>IFERROR(__xludf.DUMMYFUNCTION("""COMPUTED_VALUE"""),"Medium")</f>
        <v>Medium</v>
      </c>
      <c r="D291" s="83" t="s">
        <v>502</v>
      </c>
      <c r="E291" s="87" t="str">
        <f>IFERROR(__xludf.DUMMYFUNCTION("IF(ISBLANK(A291),,FILTER('Leetcode List'!E:J,'Leetcode List'!A:A = A291))"),"Snapchat,Wish,Atlassian,ByteDance,Salesforce,VMware,Walmart Labs,Oracle,EBay,Apple,Uber,Bloomberg,Facebook,Amazon,Microsoft,Goldman Sachs,Google")</f>
        <v>Snapchat,Wish,Atlassian,ByteDance,Salesforce,VMware,Walmart Labs,Oracle,EBay,Apple,Uber,Bloomberg,Facebook,Amazon,Microsoft,Goldman Sachs,Google</v>
      </c>
      <c r="F291" s="47" t="str">
        <f>IFERROR(__xludf.DUMMYFUNCTION("""COMPUTED_VALUE"""),"Facebook,Amazon,Oracle,Bloomberg,Goldman Sachs,Microsoft")</f>
        <v>Facebook,Amazon,Oracle,Bloomberg,Goldman Sachs,Microsoft</v>
      </c>
      <c r="G291" s="47" t="str">
        <f>IFERROR(__xludf.DUMMYFUNCTION("""COMPUTED_VALUE"""),"eBay,Apple,Google,Wish,ByteDance,Facebook,Amazon,Oracle,Bloomberg,Goldman Sachs,Microsoft")</f>
        <v>eBay,Apple,Google,Wish,ByteDance,Facebook,Amazon,Oracle,Bloomberg,Goldman Sachs,Microsoft</v>
      </c>
      <c r="H291" s="47" t="str">
        <f>IFERROR(__xludf.DUMMYFUNCTION("""COMPUTED_VALUE"""),"Uber,Snapchat,Walmart Labs,Salesforce,Atlassian,eBay,Apple,Google,Wish,ByteDance,Facebook,Amazon,Oracle,Bloomberg,Goldman Sachs,Microsoft")</f>
        <v>Uber,Snapchat,Walmart Labs,Salesforce,Atlassian,eBay,Apple,Google,Wish,ByteDance,Facebook,Amazon,Oracle,Bloomberg,Goldman Sachs,Microsoft</v>
      </c>
      <c r="I291" s="47">
        <f>IFERROR(__xludf.DUMMYFUNCTION("""COMPUTED_VALUE"""),46.25)</f>
        <v>46.25</v>
      </c>
      <c r="J291" s="47" t="str">
        <f>IFERROR(__xludf.DUMMYFUNCTION("""COMPUTED_VALUE"""),"算法")</f>
        <v>算法</v>
      </c>
      <c r="K291" s="47">
        <v>290.0</v>
      </c>
      <c r="L291" s="6">
        <f>COUNTIF('Coder-1'!B:B,A291)</f>
        <v>0</v>
      </c>
      <c r="M291" s="6">
        <f>COUNTIF('Coder-2'!B:B,A291)</f>
        <v>0</v>
      </c>
      <c r="N291" s="6">
        <f>COUNTIF('Coder-3'!B:B,A291)</f>
        <v>0</v>
      </c>
      <c r="O291" s="6">
        <f>COUNTIF('Coder-4'!B:B,A291)</f>
        <v>0</v>
      </c>
    </row>
    <row r="292">
      <c r="A292" s="83">
        <v>154.0</v>
      </c>
      <c r="B292" s="86" t="str">
        <f>IFERROR(__xludf.DUMMYFUNCTION("IF(ISBLANK(A292),,FILTER('Leetcode List'!B:C,'Leetcode List'!A:A = A292))"),"Find Minimum in Rotated Sorted Array II")</f>
        <v>Find Minimum in Rotated Sorted Array II</v>
      </c>
      <c r="C292" s="83" t="str">
        <f>IFERROR(__xludf.DUMMYFUNCTION("""COMPUTED_VALUE"""),"Hard")</f>
        <v>Hard</v>
      </c>
      <c r="D292" s="83" t="s">
        <v>502</v>
      </c>
      <c r="E292" s="87" t="str">
        <f>IFERROR(__xludf.DUMMYFUNCTION("IF(ISBLANK(A292),,FILTER('Leetcode List'!E:J,'Leetcode List'!A:A = A292))"),"Wish,Oracle,Microsoft,Uber,Adobe,Facebook,Amazon,Google")</f>
        <v>Wish,Oracle,Microsoft,Uber,Adobe,Facebook,Amazon,Google</v>
      </c>
      <c r="F292" s="47" t="str">
        <f>IFERROR(__xludf.DUMMYFUNCTION("""COMPUTED_VALUE"""),"Google,Amazon,Oracle")</f>
        <v>Google,Amazon,Oracle</v>
      </c>
      <c r="G292" s="47" t="str">
        <f>IFERROR(__xludf.DUMMYFUNCTION("""COMPUTED_VALUE"""),"Facebook,Google,Amazon,Oracle")</f>
        <v>Facebook,Google,Amazon,Oracle</v>
      </c>
      <c r="H292" s="47" t="str">
        <f>IFERROR(__xludf.DUMMYFUNCTION("""COMPUTED_VALUE"""),"Uber,Microsoft,Wish,Facebook,Google,Amazon,Oracle")</f>
        <v>Uber,Microsoft,Wish,Facebook,Google,Amazon,Oracle</v>
      </c>
      <c r="I292" s="47">
        <f>IFERROR(__xludf.DUMMYFUNCTION("""COMPUTED_VALUE"""),42.07)</f>
        <v>42.07</v>
      </c>
      <c r="J292" s="47" t="str">
        <f>IFERROR(__xludf.DUMMYFUNCTION("""COMPUTED_VALUE"""),"算法")</f>
        <v>算法</v>
      </c>
      <c r="K292" s="47">
        <v>291.0</v>
      </c>
      <c r="L292" s="6">
        <f>COUNTIF('Coder-1'!B:B,A292)</f>
        <v>0</v>
      </c>
      <c r="M292" s="6">
        <f>COUNTIF('Coder-2'!B:B,A292)</f>
        <v>0</v>
      </c>
      <c r="N292" s="6">
        <f>COUNTIF('Coder-3'!B:B,A292)</f>
        <v>0</v>
      </c>
      <c r="O292" s="6">
        <f>COUNTIF('Coder-4'!B:B,A292)</f>
        <v>0</v>
      </c>
    </row>
    <row r="293">
      <c r="A293" s="83">
        <v>162.0</v>
      </c>
      <c r="B293" s="86" t="str">
        <f>IFERROR(__xludf.DUMMYFUNCTION("IF(ISBLANK(A293),,FILTER('Leetcode List'!B:C,'Leetcode List'!A:A = A293))"),"Find Peak Element")</f>
        <v>Find Peak Element</v>
      </c>
      <c r="C293" s="83" t="str">
        <f>IFERROR(__xludf.DUMMYFUNCTION("""COMPUTED_VALUE"""),"Medium")</f>
        <v>Medium</v>
      </c>
      <c r="D293" s="83" t="s">
        <v>502</v>
      </c>
      <c r="E293" s="87" t="str">
        <f>IFERROR(__xludf.DUMMYFUNCTION("IF(ISBLANK(A293),,FILTER('Leetcode List'!E:J,'Leetcode List'!A:A = A293))"),"DE Shaw,Duolingo,ByteDance,IXL,VMware,Quora,Walmart Labs,Lyft,Apple,Uber,Yahoo,Bloomberg,Facebook,Amazon,Microsoft,Google")</f>
        <v>DE Shaw,Duolingo,ByteDance,IXL,VMware,Quora,Walmart Labs,Lyft,Apple,Uber,Yahoo,Bloomberg,Facebook,Amazon,Microsoft,Google</v>
      </c>
      <c r="F293" s="47" t="str">
        <f>IFERROR(__xludf.DUMMYFUNCTION("""COMPUTED_VALUE"""),"Facebook,Amazon,Quora,Bloomberg,Google")</f>
        <v>Facebook,Amazon,Quora,Bloomberg,Google</v>
      </c>
      <c r="G293" s="47" t="str">
        <f>IFERROR(__xludf.DUMMYFUNCTION("""COMPUTED_VALUE"""),"Apple,Microsoft,Uber,ByteDance,Facebook,Amazon,Quora,Bloomberg,Google")</f>
        <v>Apple,Microsoft,Uber,ByteDance,Facebook,Amazon,Quora,Bloomberg,Google</v>
      </c>
      <c r="H293" s="47" t="str">
        <f>IFERROR(__xludf.DUMMYFUNCTION("""COMPUTED_VALUE"""),"DE Shaw,Walmart Labs,Duolingo,Apple,Microsoft,Uber,ByteDance,Facebook,Amazon,Quora,Bloomberg,Google")</f>
        <v>DE Shaw,Walmart Labs,Duolingo,Apple,Microsoft,Uber,ByteDance,Facebook,Amazon,Quora,Bloomberg,Google</v>
      </c>
      <c r="I293" s="47">
        <f>IFERROR(__xludf.DUMMYFUNCTION("""COMPUTED_VALUE"""),44.02)</f>
        <v>44.02</v>
      </c>
      <c r="J293" s="47" t="str">
        <f>IFERROR(__xludf.DUMMYFUNCTION("""COMPUTED_VALUE"""),"算法")</f>
        <v>算法</v>
      </c>
      <c r="K293" s="47">
        <v>292.0</v>
      </c>
      <c r="L293" s="6">
        <f>COUNTIF('Coder-1'!B:B,A293)</f>
        <v>0</v>
      </c>
      <c r="M293" s="6">
        <f>COUNTIF('Coder-2'!B:B,A293)</f>
        <v>0</v>
      </c>
      <c r="N293" s="6">
        <f>COUNTIF('Coder-3'!B:B,A293)</f>
        <v>0</v>
      </c>
      <c r="O293" s="6">
        <f>COUNTIF('Coder-4'!B:B,A293)</f>
        <v>0</v>
      </c>
    </row>
    <row r="294">
      <c r="A294" s="83">
        <v>374.0</v>
      </c>
      <c r="B294" s="86" t="str">
        <f>IFERROR(__xludf.DUMMYFUNCTION("IF(ISBLANK(A294),,FILTER('Leetcode List'!B:C,'Leetcode List'!A:A = A294))"),"Guess Number Higher or Lower")</f>
        <v>Guess Number Higher or Lower</v>
      </c>
      <c r="C294" s="83" t="str">
        <f>IFERROR(__xludf.DUMMYFUNCTION("""COMPUTED_VALUE"""),"Easy")</f>
        <v>Easy</v>
      </c>
      <c r="D294" s="83" t="s">
        <v>502</v>
      </c>
      <c r="E294" s="87" t="str">
        <f>IFERROR(__xludf.DUMMYFUNCTION("IF(ISBLANK(A294),,FILTER('Leetcode List'!E:J,'Leetcode List'!A:A = A294))"),"Apple,Google")</f>
        <v>Apple,Google</v>
      </c>
      <c r="F294" s="47"/>
      <c r="G294" s="47" t="str">
        <f>IFERROR(__xludf.DUMMYFUNCTION("""COMPUTED_VALUE"""),"Apple")</f>
        <v>Apple</v>
      </c>
      <c r="H294" s="47" t="str">
        <f>IFERROR(__xludf.DUMMYFUNCTION("""COMPUTED_VALUE"""),"Google,Apple")</f>
        <v>Google,Apple</v>
      </c>
      <c r="I294" s="47">
        <f>IFERROR(__xludf.DUMMYFUNCTION("""COMPUTED_VALUE"""),44.78)</f>
        <v>44.78</v>
      </c>
      <c r="J294" s="47" t="str">
        <f>IFERROR(__xludf.DUMMYFUNCTION("""COMPUTED_VALUE"""),"算法")</f>
        <v>算法</v>
      </c>
      <c r="K294" s="47">
        <v>293.0</v>
      </c>
      <c r="L294" s="6">
        <f>COUNTIF('Coder-1'!B:B,A294)</f>
        <v>0</v>
      </c>
      <c r="M294" s="6">
        <f>COUNTIF('Coder-2'!B:B,A294)</f>
        <v>0</v>
      </c>
      <c r="N294" s="6">
        <f>COUNTIF('Coder-3'!B:B,A294)</f>
        <v>0</v>
      </c>
      <c r="O294" s="6">
        <f>COUNTIF('Coder-4'!B:B,A294)</f>
        <v>0</v>
      </c>
    </row>
    <row r="295">
      <c r="A295" s="83">
        <v>34.0</v>
      </c>
      <c r="B295" s="86" t="str">
        <f>IFERROR(__xludf.DUMMYFUNCTION("IF(ISBLANK(A295),,FILTER('Leetcode List'!B:C,'Leetcode List'!A:A = A295))"),"Find First and Last Position of Element in Sorted Array")</f>
        <v>Find First and Last Position of Element in Sorted Array</v>
      </c>
      <c r="C295" s="83" t="str">
        <f>IFERROR(__xludf.DUMMYFUNCTION("""COMPUTED_VALUE"""),"Medium")</f>
        <v>Medium</v>
      </c>
      <c r="D295" s="83" t="s">
        <v>502</v>
      </c>
      <c r="E295" s="87" t="str">
        <f>IFERROR(__xludf.DUMMYFUNCTION("IF(ISBLANK(A295),,FILTER('Leetcode List'!E:J,'Leetcode List'!A:A = A295))"),"Flipkart,Twitter,Netflix,Quip (Salesforce),Qualtrics,ByteDance,Visa,Oracle,Yandex,Apple,Airbnb,Uber,Yahoo,Bloomberg,Facebook,Amazon,LinkedIn,Microsoft,Google")</f>
        <v>Flipkart,Twitter,Netflix,Quip (Salesforce),Qualtrics,ByteDance,Visa,Oracle,Yandex,Apple,Airbnb,Uber,Yahoo,Bloomberg,Facebook,Amazon,LinkedIn,Microsoft,Google</v>
      </c>
      <c r="F295" s="47" t="str">
        <f>IFERROR(__xludf.DUMMYFUNCTION("""COMPUTED_VALUE"""),"Facebook,Amazon,Microsoft,Uber,Google,Bloomberg,Oracle")</f>
        <v>Facebook,Amazon,Microsoft,Uber,Google,Bloomberg,Oracle</v>
      </c>
      <c r="G295" s="47" t="str">
        <f>IFERROR(__xludf.DUMMYFUNCTION("""COMPUTED_VALUE"""),"Apple,ByteDance,LinkedIn,Facebook,Amazon,Microsoft,Uber,Google,Bloomberg,Oracle")</f>
        <v>Apple,ByteDance,LinkedIn,Facebook,Amazon,Microsoft,Uber,Google,Bloomberg,Oracle</v>
      </c>
      <c r="H295" s="47" t="str">
        <f>IFERROR(__xludf.DUMMYFUNCTION("""COMPUTED_VALUE"""),"Yandex,Twitter,Flipkart,Airbnb,Netflix,Quip (Salesforce),Apple,ByteDance,LinkedIn,Facebook,Amazon,Microsoft,Uber,Google,Bloomberg,Oracle")</f>
        <v>Yandex,Twitter,Flipkart,Airbnb,Netflix,Quip (Salesforce),Apple,ByteDance,LinkedIn,Facebook,Amazon,Microsoft,Uber,Google,Bloomberg,Oracle</v>
      </c>
      <c r="I295" s="47">
        <f>IFERROR(__xludf.DUMMYFUNCTION("""COMPUTED_VALUE"""),37.38)</f>
        <v>37.38</v>
      </c>
      <c r="J295" s="47" t="str">
        <f>IFERROR(__xludf.DUMMYFUNCTION("""COMPUTED_VALUE"""),"算法")</f>
        <v>算法</v>
      </c>
      <c r="K295" s="47">
        <v>294.0</v>
      </c>
      <c r="L295" s="6">
        <f>COUNTIF('Coder-1'!B:B,A295)</f>
        <v>0</v>
      </c>
      <c r="M295" s="6">
        <f>COUNTIF('Coder-2'!B:B,A295)</f>
        <v>0</v>
      </c>
      <c r="N295" s="6">
        <f>COUNTIF('Coder-3'!B:B,A295)</f>
        <v>0</v>
      </c>
      <c r="O295" s="6">
        <f>COUNTIF('Coder-4'!B:B,A295)</f>
        <v>0</v>
      </c>
    </row>
    <row r="296">
      <c r="A296" s="83">
        <v>349.0</v>
      </c>
      <c r="B296" s="86" t="str">
        <f>IFERROR(__xludf.DUMMYFUNCTION("IF(ISBLANK(A296),,FILTER('Leetcode List'!B:C,'Leetcode List'!A:A = A296))"),"Intersection of Two Arrays")</f>
        <v>Intersection of Two Arrays</v>
      </c>
      <c r="C296" s="83" t="str">
        <f>IFERROR(__xludf.DUMMYFUNCTION("""COMPUTED_VALUE"""),"Easy")</f>
        <v>Easy</v>
      </c>
      <c r="D296" s="83" t="s">
        <v>502</v>
      </c>
      <c r="E296" s="87" t="str">
        <f>IFERROR(__xludf.DUMMYFUNCTION("IF(ISBLANK(A296),,FILTER('Leetcode List'!E:J,'Leetcode List'!A:A = A296))"),"Yandex,Bloomberg,Two Sigma,ByteDance,Indeed,JPMorgan,Yelp,Oracle,Lyft,Apple,Uber,Facebook,Amazon,LinkedIn,Microsoft,Google")</f>
        <v>Yandex,Bloomberg,Two Sigma,ByteDance,Indeed,JPMorgan,Yelp,Oracle,Lyft,Apple,Uber,Facebook,Amazon,LinkedIn,Microsoft,Google</v>
      </c>
      <c r="F296" s="47" t="str">
        <f>IFERROR(__xludf.DUMMYFUNCTION("""COMPUTED_VALUE"""),"Facebook,ByteDance")</f>
        <v>Facebook,ByteDance</v>
      </c>
      <c r="G296" s="47" t="str">
        <f>IFERROR(__xludf.DUMMYFUNCTION("""COMPUTED_VALUE"""),"Amazon,Microsoft,Facebook,ByteDance")</f>
        <v>Amazon,Microsoft,Facebook,ByteDance</v>
      </c>
      <c r="H296" s="47" t="str">
        <f>IFERROR(__xludf.DUMMYFUNCTION("""COMPUTED_VALUE"""),"Oracle,Lyft,Google,LinkedIn,Apple,Bloomberg,Yandex,Two Sigma,Amazon,Microsoft,Facebook,ByteDance")</f>
        <v>Oracle,Lyft,Google,LinkedIn,Apple,Bloomberg,Yandex,Two Sigma,Amazon,Microsoft,Facebook,ByteDance</v>
      </c>
      <c r="I296" s="47">
        <f>IFERROR(__xludf.DUMMYFUNCTION("""COMPUTED_VALUE"""),65.0)</f>
        <v>65</v>
      </c>
      <c r="J296" s="47" t="str">
        <f>IFERROR(__xludf.DUMMYFUNCTION("""COMPUTED_VALUE"""),"算法")</f>
        <v>算法</v>
      </c>
      <c r="K296" s="47">
        <v>295.0</v>
      </c>
      <c r="L296" s="6">
        <f>COUNTIF('Coder-1'!B:B,A296)</f>
        <v>0</v>
      </c>
      <c r="M296" s="6">
        <f>COUNTIF('Coder-2'!B:B,A296)</f>
        <v>0</v>
      </c>
      <c r="N296" s="6">
        <f>COUNTIF('Coder-3'!B:B,A296)</f>
        <v>0</v>
      </c>
      <c r="O296" s="6">
        <f>COUNTIF('Coder-4'!B:B,A296)</f>
        <v>0</v>
      </c>
    </row>
    <row r="297">
      <c r="A297" s="83">
        <v>350.0</v>
      </c>
      <c r="B297" s="86" t="str">
        <f>IFERROR(__xludf.DUMMYFUNCTION("IF(ISBLANK(A297),,FILTER('Leetcode List'!B:C,'Leetcode List'!A:A = A297))"),"Intersection of Two Arrays II")</f>
        <v>Intersection of Two Arrays II</v>
      </c>
      <c r="C297" s="83" t="str">
        <f>IFERROR(__xludf.DUMMYFUNCTION("""COMPUTED_VALUE"""),"Easy")</f>
        <v>Easy</v>
      </c>
      <c r="D297" s="83" t="s">
        <v>502</v>
      </c>
      <c r="E297" s="87" t="str">
        <f>IFERROR(__xludf.DUMMYFUNCTION("IF(ISBLANK(A297),,FILTER('Leetcode List'!E:J,'Leetcode List'!A:A = A297))"),"Nutanix,Adobe,Databricks,ByteDance,Salesforce,Oracle,Yandex,Apple,Uber,Bloomberg,Facebook,Amazon,LinkedIn,Microsoft,Google")</f>
        <v>Nutanix,Adobe,Databricks,ByteDance,Salesforce,Oracle,Yandex,Apple,Uber,Bloomberg,Facebook,Amazon,LinkedIn,Microsoft,Google</v>
      </c>
      <c r="F297" s="47" t="str">
        <f>IFERROR(__xludf.DUMMYFUNCTION("""COMPUTED_VALUE"""),"Google,Facebook,Amazon,Oracle")</f>
        <v>Google,Facebook,Amazon,Oracle</v>
      </c>
      <c r="G297" s="47" t="str">
        <f>IFERROR(__xludf.DUMMYFUNCTION("""COMPUTED_VALUE"""),"ByteDance,Bloomberg,Microsoft,Google,Facebook,Amazon,Oracle")</f>
        <v>ByteDance,Bloomberg,Microsoft,Google,Facebook,Amazon,Oracle</v>
      </c>
      <c r="H297" s="47" t="str">
        <f>IFERROR(__xludf.DUMMYFUNCTION("""COMPUTED_VALUE"""),"Apple,LinkedIn,Yandex,Adobe,Nutanix,ByteDance,Bloomberg,Microsoft,Google,Facebook,Amazon,Oracle")</f>
        <v>Apple,LinkedIn,Yandex,Adobe,Nutanix,ByteDance,Bloomberg,Microsoft,Google,Facebook,Amazon,Oracle</v>
      </c>
      <c r="I297" s="47">
        <f>IFERROR(__xludf.DUMMYFUNCTION("""COMPUTED_VALUE"""),51.99)</f>
        <v>51.99</v>
      </c>
      <c r="J297" s="47" t="str">
        <f>IFERROR(__xludf.DUMMYFUNCTION("""COMPUTED_VALUE"""),"算法")</f>
        <v>算法</v>
      </c>
      <c r="K297" s="47">
        <v>296.0</v>
      </c>
      <c r="L297" s="6">
        <f>COUNTIF('Coder-1'!B:B,A297)</f>
        <v>0</v>
      </c>
      <c r="M297" s="6">
        <f>COUNTIF('Coder-2'!B:B,A297)</f>
        <v>0</v>
      </c>
      <c r="N297" s="6">
        <f>COUNTIF('Coder-3'!B:B,A297)</f>
        <v>0</v>
      </c>
      <c r="O297" s="6">
        <f>COUNTIF('Coder-4'!B:B,A297)</f>
        <v>0</v>
      </c>
    </row>
    <row r="298">
      <c r="A298" s="83">
        <v>315.0</v>
      </c>
      <c r="B298" s="86" t="str">
        <f>IFERROR(__xludf.DUMMYFUNCTION("IF(ISBLANK(A298),,FILTER('Leetcode List'!B:C,'Leetcode List'!A:A = A298))"),"Count of Smaller Numbers After Self")</f>
        <v>Count of Smaller Numbers After Self</v>
      </c>
      <c r="C298" s="83" t="str">
        <f>IFERROR(__xludf.DUMMYFUNCTION("""COMPUTED_VALUE"""),"Hard")</f>
        <v>Hard</v>
      </c>
      <c r="D298" s="83" t="s">
        <v>502</v>
      </c>
      <c r="E298" s="87" t="str">
        <f>IFERROR(__xludf.DUMMYFUNCTION("IF(ISBLANK(A298),,FILTER('Leetcode List'!E:J,'Leetcode List'!A:A = A298))"),"Adobe,Oracle,Apple,Uber,Bloomberg,Facebook,Amazon,Microsoft,Google")</f>
        <v>Adobe,Oracle,Apple,Uber,Bloomberg,Facebook,Amazon,Microsoft,Google</v>
      </c>
      <c r="F298" s="47" t="str">
        <f>IFERROR(__xludf.DUMMYFUNCTION("""COMPUTED_VALUE"""),"Google,Amazon,Apple,Bloomberg,Uber")</f>
        <v>Google,Amazon,Apple,Bloomberg,Uber</v>
      </c>
      <c r="G298" s="47" t="str">
        <f>IFERROR(__xludf.DUMMYFUNCTION("""COMPUTED_VALUE"""),"Microsoft,Adobe,Google,Amazon,Apple,Bloomberg,Uber")</f>
        <v>Microsoft,Adobe,Google,Amazon,Apple,Bloomberg,Uber</v>
      </c>
      <c r="H298" s="47" t="str">
        <f>IFERROR(__xludf.DUMMYFUNCTION("""COMPUTED_VALUE"""),"Oracle,Microsoft,Adobe,Google,Amazon,Apple,Bloomberg,Uber")</f>
        <v>Oracle,Microsoft,Adobe,Google,Amazon,Apple,Bloomberg,Uber</v>
      </c>
      <c r="I298" s="47">
        <f>IFERROR(__xludf.DUMMYFUNCTION("""COMPUTED_VALUE"""),42.43)</f>
        <v>42.43</v>
      </c>
      <c r="J298" s="47" t="str">
        <f>IFERROR(__xludf.DUMMYFUNCTION("""COMPUTED_VALUE"""),"算法")</f>
        <v>算法</v>
      </c>
      <c r="K298" s="47">
        <v>297.0</v>
      </c>
      <c r="L298" s="6">
        <f>COUNTIF('Coder-1'!B:B,A298)</f>
        <v>0</v>
      </c>
      <c r="M298" s="6">
        <f>COUNTIF('Coder-2'!B:B,A298)</f>
        <v>0</v>
      </c>
      <c r="N298" s="6">
        <f>COUNTIF('Coder-3'!B:B,A298)</f>
        <v>0</v>
      </c>
      <c r="O298" s="6">
        <f>COUNTIF('Coder-4'!B:B,A298)</f>
        <v>0</v>
      </c>
    </row>
    <row r="299">
      <c r="A299" s="83">
        <v>300.0</v>
      </c>
      <c r="B299" s="86" t="str">
        <f>IFERROR(__xludf.DUMMYFUNCTION("IF(ISBLANK(A299),,FILTER('Leetcode List'!B:C,'Leetcode List'!A:A = A299))"),"Longest Increasing Subsequence")</f>
        <v>Longest Increasing Subsequence</v>
      </c>
      <c r="C299" s="83" t="str">
        <f>IFERROR(__xludf.DUMMYFUNCTION("""COMPUTED_VALUE"""),"Medium")</f>
        <v>Medium</v>
      </c>
      <c r="D299" s="83" t="s">
        <v>502</v>
      </c>
      <c r="E299" s="87" t="str">
        <f>IFERROR(__xludf.DUMMYFUNCTION("IF(ISBLANK(A299),,FILTER('Leetcode List'!E:J,'Leetcode List'!A:A = A299))"),"Codenation,Coupang,ByteDance,Citrix,Nagarro,IBM,Yahoo,Bloomberg,Atlassian,Salesforce,VMware,Oracle,EBay,Apple,Uber,Adobe,Facebook,Amazon,Microsoft,Google")</f>
        <v>Codenation,Coupang,ByteDance,Citrix,Nagarro,IBM,Yahoo,Bloomberg,Atlassian,Salesforce,VMware,Oracle,EBay,Apple,Uber,Adobe,Facebook,Amazon,Microsoft,Google</v>
      </c>
      <c r="F299" s="47" t="str">
        <f>IFERROR(__xludf.DUMMYFUNCTION("""COMPUTED_VALUE"""),"Apple,Amazon,Facebook,Google,Citrix,ByteDance,Microsoft,Bloomberg,Nagarro")</f>
        <v>Apple,Amazon,Facebook,Google,Citrix,ByteDance,Microsoft,Bloomberg,Nagarro</v>
      </c>
      <c r="G299" s="47" t="str">
        <f>IFERROR(__xludf.DUMMYFUNCTION("""COMPUTED_VALUE"""),"Adobe,Atlassian,Uber,eBay,Codenation,Apple,Amazon,Facebook,Google,Citrix,ByteDance,Microsoft,Bloomberg,Nagarro")</f>
        <v>Adobe,Atlassian,Uber,eBay,Codenation,Apple,Amazon,Facebook,Google,Citrix,ByteDance,Microsoft,Bloomberg,Nagarro</v>
      </c>
      <c r="H299" s="47" t="str">
        <f>IFERROR(__xludf.DUMMYFUNCTION("""COMPUTED_VALUE"""),"Oracle,Yahoo,IBM,Coupang,Adobe,Atlassian,Uber,eBay,Codenation,Apple,Amazon,Facebook,Google,Citrix,ByteDance,Microsoft,Bloomberg,Nagarro")</f>
        <v>Oracle,Yahoo,IBM,Coupang,Adobe,Atlassian,Uber,eBay,Codenation,Apple,Amazon,Facebook,Google,Citrix,ByteDance,Microsoft,Bloomberg,Nagarro</v>
      </c>
      <c r="I299" s="47">
        <f>IFERROR(__xludf.DUMMYFUNCTION("""COMPUTED_VALUE"""),44.25)</f>
        <v>44.25</v>
      </c>
      <c r="J299" s="47" t="str">
        <f>IFERROR(__xludf.DUMMYFUNCTION("""COMPUTED_VALUE"""),"算法")</f>
        <v>算法</v>
      </c>
      <c r="K299" s="47">
        <v>298.0</v>
      </c>
      <c r="L299" s="6">
        <f>COUNTIF('Coder-1'!B:B,A299)</f>
        <v>0</v>
      </c>
      <c r="M299" s="6">
        <f>COUNTIF('Coder-2'!B:B,A299)</f>
        <v>0</v>
      </c>
      <c r="N299" s="6">
        <f>COUNTIF('Coder-3'!B:B,A299)</f>
        <v>0</v>
      </c>
      <c r="O299" s="6">
        <f>COUNTIF('Coder-4'!B:B,A299)</f>
        <v>0</v>
      </c>
    </row>
    <row r="300">
      <c r="A300" s="83">
        <v>354.0</v>
      </c>
      <c r="B300" s="86" t="str">
        <f>IFERROR(__xludf.DUMMYFUNCTION("IF(ISBLANK(A300),,FILTER('Leetcode List'!B:C,'Leetcode List'!A:A = A300))"),"Russian Doll Envelopes")</f>
        <v>Russian Doll Envelopes</v>
      </c>
      <c r="C300" s="83" t="str">
        <f>IFERROR(__xludf.DUMMYFUNCTION("""COMPUTED_VALUE"""),"Hard")</f>
        <v>Hard</v>
      </c>
      <c r="D300" s="83" t="s">
        <v>502</v>
      </c>
      <c r="E300" s="87" t="str">
        <f>IFERROR(__xludf.DUMMYFUNCTION("IF(ISBLANK(A300),,FILTER('Leetcode List'!E:J,'Leetcode List'!A:A = A300))"),"ByteDance,Uber,Amazon,Microsoft,Google")</f>
        <v>ByteDance,Uber,Amazon,Microsoft,Google</v>
      </c>
      <c r="F300" s="47" t="str">
        <f>IFERROR(__xludf.DUMMYFUNCTION("""COMPUTED_VALUE"""),"Google,Amazon,Uber,ByteDance,Microsoft")</f>
        <v>Google,Amazon,Uber,ByteDance,Microsoft</v>
      </c>
      <c r="G300" s="47" t="str">
        <f>IFERROR(__xludf.DUMMYFUNCTION("""COMPUTED_VALUE"""),"Google,Amazon,Uber,ByteDance,Microsoft")</f>
        <v>Google,Amazon,Uber,ByteDance,Microsoft</v>
      </c>
      <c r="H300" s="47" t="str">
        <f>IFERROR(__xludf.DUMMYFUNCTION("""COMPUTED_VALUE"""),"Google,Amazon,Uber,ByteDance,Microsoft")</f>
        <v>Google,Amazon,Uber,ByteDance,Microsoft</v>
      </c>
      <c r="I300" s="47">
        <f>IFERROR(__xludf.DUMMYFUNCTION("""COMPUTED_VALUE"""),36.44)</f>
        <v>36.44</v>
      </c>
      <c r="J300" s="47" t="str">
        <f>IFERROR(__xludf.DUMMYFUNCTION("""COMPUTED_VALUE"""),"算法")</f>
        <v>算法</v>
      </c>
      <c r="K300" s="47">
        <v>299.0</v>
      </c>
      <c r="L300" s="6">
        <f>COUNTIF('Coder-1'!B:B,A300)</f>
        <v>0</v>
      </c>
      <c r="M300" s="6">
        <f>COUNTIF('Coder-2'!B:B,A300)</f>
        <v>0</v>
      </c>
      <c r="N300" s="6">
        <f>COUNTIF('Coder-3'!B:B,A300)</f>
        <v>0</v>
      </c>
      <c r="O300" s="6">
        <f>COUNTIF('Coder-4'!B:B,A300)</f>
        <v>0</v>
      </c>
    </row>
    <row r="301">
      <c r="A301" s="83">
        <v>48.0</v>
      </c>
      <c r="B301" s="86" t="str">
        <f>IFERROR(__xludf.DUMMYFUNCTION("IF(ISBLANK(A301),,FILTER('Leetcode List'!B:C,'Leetcode List'!A:A = A301))"),"Rotate Image")</f>
        <v>Rotate Image</v>
      </c>
      <c r="C301" s="47" t="str">
        <f>IFERROR(__xludf.DUMMYFUNCTION("""COMPUTED_VALUE"""),"Medium")</f>
        <v>Medium</v>
      </c>
      <c r="D301" s="47" t="s">
        <v>4976</v>
      </c>
      <c r="E301" s="87" t="str">
        <f>IFERROR(__xludf.DUMMYFUNCTION("IF(ISBLANK(A301),,FILTER('Leetcode List'!E:J,'Leetcode List'!A:A = A301))"),"Garena,Rubrik,Databricks,Robinhood,PayTM,Walmart Labs,EBay,Uber,Akuna Capital,Palantir Technologies,Houzz,Salesforce,Groupon,Quora,Wish,Nvidia,Lyft,Cisco,Yandex,Apple,Samsung,Bloomberg,Adobe,Facebook,Amazon,Microsoft,Google")</f>
        <v>Garena,Rubrik,Databricks,Robinhood,PayTM,Walmart Labs,EBay,Uber,Akuna Capital,Palantir Technologies,Houzz,Salesforce,Groupon,Quora,Wish,Nvidia,Lyft,Cisco,Yandex,Apple,Samsung,Bloomberg,Adobe,Facebook,Amazon,Microsoft,Google</v>
      </c>
      <c r="F301" s="47" t="str">
        <f>IFERROR(__xludf.DUMMYFUNCTION("""COMPUTED_VALUE"""),"Amazon,Microsoft,Apple,Uber,Cisco,Facebook,Rubrik,Adobe,Nvidia,Quora,eBay,PayTM")</f>
        <v>Amazon,Microsoft,Apple,Uber,Cisco,Facebook,Rubrik,Adobe,Nvidia,Quora,eBay,PayTM</v>
      </c>
      <c r="G301" s="47" t="str">
        <f>IFERROR(__xludf.DUMMYFUNCTION("""COMPUTED_VALUE"""),"Google,Bloomberg,Akuna Capital,Databricks,Robinhood,Amazon,Microsoft,Apple,Uber,Cisco,Facebook,Rubrik,Adobe,Nvidia,Quora,eBay,PayTM")</f>
        <v>Google,Bloomberg,Akuna Capital,Databricks,Robinhood,Amazon,Microsoft,Apple,Uber,Cisco,Facebook,Rubrik,Adobe,Nvidia,Quora,eBay,PayTM</v>
      </c>
      <c r="H301" s="47" t="str">
        <f>IFERROR(__xludf.DUMMYFUNCTION("""COMPUTED_VALUE"""),"Lyft,Groupon,Salesforce,Yandex,Garena,Walmart Labs,Palantir Technologies,Google,Bloomberg,Akuna Capital,Databricks,Robinhood,Amazon,Microsoft,Apple,Uber,Cisco,Facebook,Rubrik,Adobe,Nvidia,Quora,eBay,PayTM")</f>
        <v>Lyft,Groupon,Salesforce,Yandex,Garena,Walmart Labs,Palantir Technologies,Google,Bloomberg,Akuna Capital,Databricks,Robinhood,Amazon,Microsoft,Apple,Uber,Cisco,Facebook,Rubrik,Adobe,Nvidia,Quora,eBay,PayTM</v>
      </c>
      <c r="I301" s="47">
        <f>IFERROR(__xludf.DUMMYFUNCTION("""COMPUTED_VALUE"""),60.22)</f>
        <v>60.22</v>
      </c>
      <c r="J301" s="47" t="str">
        <f>IFERROR(__xludf.DUMMYFUNCTION("""COMPUTED_VALUE"""),"算法")</f>
        <v>算法</v>
      </c>
      <c r="K301" s="47">
        <v>300.0</v>
      </c>
      <c r="L301" s="6">
        <f>COUNTIF('Coder-1'!B:B,A301)</f>
        <v>0</v>
      </c>
      <c r="M301" s="6">
        <f>COUNTIF('Coder-2'!B:B,A301)</f>
        <v>0</v>
      </c>
      <c r="N301" s="6">
        <f>COUNTIF('Coder-3'!B:B,A301)</f>
        <v>0</v>
      </c>
      <c r="O301" s="6">
        <f>COUNTIF('Coder-4'!B:B,A301)</f>
        <v>0</v>
      </c>
    </row>
    <row r="302">
      <c r="A302" s="83">
        <v>54.0</v>
      </c>
      <c r="B302" s="86" t="str">
        <f>IFERROR(__xludf.DUMMYFUNCTION("IF(ISBLANK(A302),,FILTER('Leetcode List'!B:C,'Leetcode List'!A:A = A302))"),"Spiral Matrix")</f>
        <v>Spiral Matrix</v>
      </c>
      <c r="C302" s="47" t="str">
        <f>IFERROR(__xludf.DUMMYFUNCTION("""COMPUTED_VALUE"""),"Medium")</f>
        <v>Medium</v>
      </c>
      <c r="D302" s="47" t="s">
        <v>4976</v>
      </c>
      <c r="E302" s="87" t="str">
        <f>IFERROR(__xludf.DUMMYFUNCTION("IF(ISBLANK(A302),,FILTER('Leetcode List'!E:J,'Leetcode List'!A:A = A302))"),"DE Shaw,Tesla,Citadel,Expedia,Intuit,Huawei,Robinhood,Hulu,Epic Systems,Quip (Salesforce),Twitch,ByteDance,Drawbridge,Visa,Walmart Labs,Snapchat,Paypal,Oracle,Cisco,EBay,Apple,Uber,Bloomberg,Adobe,Facebook,Amazon,LinkedIn,Microsoft,Goldman Sachs,Google")</f>
        <v>DE Shaw,Tesla,Citadel,Expedia,Intuit,Huawei,Robinhood,Hulu,Epic Systems,Quip (Salesforce),Twitch,ByteDance,Drawbridge,Visa,Walmart Labs,Snapchat,Paypal,Oracle,Cisco,EBay,Apple,Uber,Bloomberg,Adobe,Facebook,Amazon,LinkedIn,Microsoft,Goldman Sachs,Google</v>
      </c>
      <c r="F302" s="47" t="str">
        <f>IFERROR(__xludf.DUMMYFUNCTION("""COMPUTED_VALUE"""),"Microsoft,Amazon,Facebook,Apple,Intuit,Google,Expedia,eBay,Paypal,ByteDance,Bloomberg,Goldman Sachs")</f>
        <v>Microsoft,Amazon,Facebook,Apple,Intuit,Google,Expedia,eBay,Paypal,ByteDance,Bloomberg,Goldman Sachs</v>
      </c>
      <c r="G302" s="47" t="str">
        <f>IFERROR(__xludf.DUMMYFUNCTION("""COMPUTED_VALUE"""),"Oracle,Robinhood,Uber,Cisco,Microsoft,Amazon,Facebook,Apple,Intuit,Google,Expedia,eBay,Paypal,ByteDance,Bloomberg,Goldman Sachs")</f>
        <v>Oracle,Robinhood,Uber,Cisco,Microsoft,Amazon,Facebook,Apple,Intuit,Google,Expedia,eBay,Paypal,ByteDance,Bloomberg,Goldman Sachs</v>
      </c>
      <c r="H302" s="47" t="str">
        <f>IFERROR(__xludf.DUMMYFUNCTION("""COMPUTED_VALUE"""),"Epic Systems,Adobe,Visa,Walmart Labs,Drawbridge,LinkedIn,Snapchat,Twitch,Citadel,Tesla,Huawei,DE Shaw,Oracle,Robinhood,Uber,Cisco,Microsoft,Amazon,Facebook,Apple,Intuit,Google,Expedia,eBay,Paypal,ByteDance,Bloomberg,Goldman Sachs")</f>
        <v>Epic Systems,Adobe,Visa,Walmart Labs,Drawbridge,LinkedIn,Snapchat,Twitch,Citadel,Tesla,Huawei,DE Shaw,Oracle,Robinhood,Uber,Cisco,Microsoft,Amazon,Facebook,Apple,Intuit,Google,Expedia,eBay,Paypal,ByteDance,Bloomberg,Goldman Sachs</v>
      </c>
      <c r="I302" s="47">
        <f>IFERROR(__xludf.DUMMYFUNCTION("""COMPUTED_VALUE"""),36.25)</f>
        <v>36.25</v>
      </c>
      <c r="J302" s="47" t="str">
        <f>IFERROR(__xludf.DUMMYFUNCTION("""COMPUTED_VALUE"""),"算法")</f>
        <v>算法</v>
      </c>
      <c r="K302" s="47">
        <v>301.0</v>
      </c>
      <c r="L302" s="6">
        <f>COUNTIF('Coder-1'!B:B,A302)</f>
        <v>0</v>
      </c>
      <c r="M302" s="6">
        <f>COUNTIF('Coder-2'!B:B,A302)</f>
        <v>0</v>
      </c>
      <c r="N302" s="6">
        <f>COUNTIF('Coder-3'!B:B,A302)</f>
        <v>0</v>
      </c>
      <c r="O302" s="6">
        <f>COUNTIF('Coder-4'!B:B,A302)</f>
        <v>0</v>
      </c>
    </row>
    <row r="303">
      <c r="A303" s="83">
        <v>59.0</v>
      </c>
      <c r="B303" s="86" t="str">
        <f>IFERROR(__xludf.DUMMYFUNCTION("IF(ISBLANK(A303),,FILTER('Leetcode List'!B:C,'Leetcode List'!A:A = A303))"),"Spiral Matrix II")</f>
        <v>Spiral Matrix II</v>
      </c>
      <c r="C303" s="47" t="str">
        <f>IFERROR(__xludf.DUMMYFUNCTION("""COMPUTED_VALUE"""),"Medium")</f>
        <v>Medium</v>
      </c>
      <c r="D303" s="47" t="s">
        <v>4976</v>
      </c>
      <c r="E303" s="87" t="str">
        <f>IFERROR(__xludf.DUMMYFUNCTION("IF(ISBLANK(A303),,FILTER('Leetcode List'!E:J,'Leetcode List'!A:A = A303))"),"Goldman Sachs,Robinhood,Snapchat,Oracle,Yandex,Apple,Uber,Adobe,Facebook,Amazon,Microsoft,Google")</f>
        <v>Goldman Sachs,Robinhood,Snapchat,Oracle,Yandex,Apple,Uber,Adobe,Facebook,Amazon,Microsoft,Google</v>
      </c>
      <c r="F303" s="47" t="str">
        <f>IFERROR(__xludf.DUMMYFUNCTION("""COMPUTED_VALUE"""),"Microsoft")</f>
        <v>Microsoft</v>
      </c>
      <c r="G303" s="47" t="str">
        <f>IFERROR(__xludf.DUMMYFUNCTION("""COMPUTED_VALUE"""),"Google,Apple,Microsoft")</f>
        <v>Google,Apple,Microsoft</v>
      </c>
      <c r="H303" s="47" t="str">
        <f>IFERROR(__xludf.DUMMYFUNCTION("""COMPUTED_VALUE"""),"Amazon,Yandex,Adobe,Facebook,Goldman Sachs,Google,Apple,Microsoft")</f>
        <v>Amazon,Yandex,Adobe,Facebook,Goldman Sachs,Google,Apple,Microsoft</v>
      </c>
      <c r="I303" s="47">
        <f>IFERROR(__xludf.DUMMYFUNCTION("""COMPUTED_VALUE"""),58.03)</f>
        <v>58.03</v>
      </c>
      <c r="J303" s="47" t="str">
        <f>IFERROR(__xludf.DUMMYFUNCTION("""COMPUTED_VALUE"""),"算法")</f>
        <v>算法</v>
      </c>
      <c r="K303" s="47">
        <v>302.0</v>
      </c>
      <c r="L303" s="6">
        <f>COUNTIF('Coder-1'!B:B,A303)</f>
        <v>0</v>
      </c>
      <c r="M303" s="6">
        <f>COUNTIF('Coder-2'!B:B,A303)</f>
        <v>0</v>
      </c>
      <c r="N303" s="6">
        <f>COUNTIF('Coder-3'!B:B,A303)</f>
        <v>0</v>
      </c>
      <c r="O303" s="6">
        <f>COUNTIF('Coder-4'!B:B,A303)</f>
        <v>0</v>
      </c>
    </row>
    <row r="304">
      <c r="A304" s="83">
        <v>73.0</v>
      </c>
      <c r="B304" s="86" t="str">
        <f>IFERROR(__xludf.DUMMYFUNCTION("IF(ISBLANK(A304),,FILTER('Leetcode List'!B:C,'Leetcode List'!A:A = A304))"),"Set Matrix Zeroes")</f>
        <v>Set Matrix Zeroes</v>
      </c>
      <c r="C304" s="47" t="str">
        <f>IFERROR(__xludf.DUMMYFUNCTION("""COMPUTED_VALUE"""),"Medium")</f>
        <v>Medium</v>
      </c>
      <c r="D304" s="47" t="s">
        <v>4976</v>
      </c>
      <c r="E304" s="87" t="str">
        <f>IFERROR(__xludf.DUMMYFUNCTION("IF(ISBLANK(A304),,FILTER('Leetcode List'!E:J,'Leetcode List'!A:A = A304))"),"PayTM,EBay,Samsung,Bloomberg,Adobe,Goldman Sachs,Google,Docusign,TripAdvisor,Audible,Salesforce,Paypal,Expedia,Oracle,Apple,Facebook,Amazon,Microsoft")</f>
        <v>PayTM,EBay,Samsung,Bloomberg,Adobe,Goldman Sachs,Google,Docusign,TripAdvisor,Audible,Salesforce,Paypal,Expedia,Oracle,Apple,Facebook,Amazon,Microsoft</v>
      </c>
      <c r="F304" s="47" t="str">
        <f>IFERROR(__xludf.DUMMYFUNCTION("""COMPUTED_VALUE"""),"Oracle,Facebook,Microsoft,Amazon,Expedia,Bloomberg,Goldman Sachs,Apple")</f>
        <v>Oracle,Facebook,Microsoft,Amazon,Expedia,Bloomberg,Goldman Sachs,Apple</v>
      </c>
      <c r="G304" s="47" t="str">
        <f>IFERROR(__xludf.DUMMYFUNCTION("""COMPUTED_VALUE"""),"PayTM,Samsung,Docusign,Audible,eBay,Oracle,Facebook,Microsoft,Amazon,Expedia,Bloomberg,Goldman Sachs,Apple")</f>
        <v>PayTM,Samsung,Docusign,Audible,eBay,Oracle,Facebook,Microsoft,Amazon,Expedia,Bloomberg,Goldman Sachs,Apple</v>
      </c>
      <c r="H304" s="47" t="str">
        <f>IFERROR(__xludf.DUMMYFUNCTION("""COMPUTED_VALUE"""),"Paypal,Google,Adobe,PayTM,Samsung,Docusign,Audible,eBay,Oracle,Facebook,Microsoft,Amazon,Expedia,Bloomberg,Goldman Sachs,Apple")</f>
        <v>Paypal,Google,Adobe,PayTM,Samsung,Docusign,Audible,eBay,Oracle,Facebook,Microsoft,Amazon,Expedia,Bloomberg,Goldman Sachs,Apple</v>
      </c>
      <c r="I304" s="47">
        <f>IFERROR(__xludf.DUMMYFUNCTION("""COMPUTED_VALUE"""),44.43)</f>
        <v>44.43</v>
      </c>
      <c r="J304" s="47" t="str">
        <f>IFERROR(__xludf.DUMMYFUNCTION("""COMPUTED_VALUE"""),"算法")</f>
        <v>算法</v>
      </c>
      <c r="K304" s="47">
        <v>303.0</v>
      </c>
      <c r="L304" s="6">
        <f>COUNTIF('Coder-1'!B:B,A304)</f>
        <v>0</v>
      </c>
      <c r="M304" s="6">
        <f>COUNTIF('Coder-2'!B:B,A304)</f>
        <v>0</v>
      </c>
      <c r="N304" s="6">
        <f>COUNTIF('Coder-3'!B:B,A304)</f>
        <v>0</v>
      </c>
      <c r="O304" s="6">
        <f>COUNTIF('Coder-4'!B:B,A304)</f>
        <v>0</v>
      </c>
    </row>
    <row r="305">
      <c r="A305" s="83">
        <v>311.0</v>
      </c>
      <c r="B305" s="86" t="str">
        <f>IFERROR(__xludf.DUMMYFUNCTION("IF(ISBLANK(A305),,FILTER('Leetcode List'!B:C,'Leetcode List'!A:A = A305))"),"Sparse Matrix Multiplication")</f>
        <v>Sparse Matrix Multiplication</v>
      </c>
      <c r="C305" s="47" t="str">
        <f>IFERROR(__xludf.DUMMYFUNCTION("""COMPUTED_VALUE"""),"Medium")</f>
        <v>Medium</v>
      </c>
      <c r="D305" s="47" t="s">
        <v>4976</v>
      </c>
      <c r="E305" s="87" t="str">
        <f>IFERROR(__xludf.DUMMYFUNCTION("IF(ISBLANK(A305),,FILTER('Leetcode List'!E:J,'Leetcode List'!A:A = A305))"),"Wish,Snapchat,Apple,Uber,Bloomberg,Facebook,Amazon,LinkedIn,Microsoft,Google")</f>
        <v>Wish,Snapchat,Apple,Uber,Bloomberg,Facebook,Amazon,LinkedIn,Microsoft,Google</v>
      </c>
      <c r="F305" s="47" t="str">
        <f>IFERROR(__xludf.DUMMYFUNCTION("""COMPUTED_VALUE"""),"Facebook,Apple,Wish")</f>
        <v>Facebook,Apple,Wish</v>
      </c>
      <c r="G305" s="47" t="str">
        <f>IFERROR(__xludf.DUMMYFUNCTION("""COMPUTED_VALUE"""),"Google,Bloomberg,Amazon,Facebook,Apple,Wish")</f>
        <v>Google,Bloomberg,Amazon,Facebook,Apple,Wish</v>
      </c>
      <c r="H305" s="47" t="str">
        <f>IFERROR(__xludf.DUMMYFUNCTION("""COMPUTED_VALUE"""),"Snapchat,Uber,Microsoft,LinkedIn,Google,Bloomberg,Amazon,Facebook,Apple,Wish")</f>
        <v>Snapchat,Uber,Microsoft,LinkedIn,Google,Bloomberg,Amazon,Facebook,Apple,Wish</v>
      </c>
      <c r="I305" s="47">
        <f>IFERROR(__xludf.DUMMYFUNCTION("""COMPUTED_VALUE"""),64.05)</f>
        <v>64.05</v>
      </c>
      <c r="J305" s="47" t="str">
        <f>IFERROR(__xludf.DUMMYFUNCTION("""COMPUTED_VALUE"""),"算法")</f>
        <v>算法</v>
      </c>
      <c r="K305" s="47">
        <v>304.0</v>
      </c>
      <c r="L305" s="6">
        <f>COUNTIF('Coder-1'!B:B,A305)</f>
        <v>0</v>
      </c>
      <c r="M305" s="6">
        <f>COUNTIF('Coder-2'!B:B,A305)</f>
        <v>0</v>
      </c>
      <c r="N305" s="6">
        <f>COUNTIF('Coder-3'!B:B,A305)</f>
        <v>0</v>
      </c>
      <c r="O305" s="6">
        <f>COUNTIF('Coder-4'!B:B,A305)</f>
        <v>0</v>
      </c>
    </row>
    <row r="306">
      <c r="A306" s="83">
        <v>329.0</v>
      </c>
      <c r="B306" s="86" t="str">
        <f>IFERROR(__xludf.DUMMYFUNCTION("IF(ISBLANK(A306),,FILTER('Leetcode List'!B:C,'Leetcode List'!A:A = A306))"),"Longest Increasing Path in a Matrix")</f>
        <v>Longest Increasing Path in a Matrix</v>
      </c>
      <c r="C306" s="47" t="str">
        <f>IFERROR(__xludf.DUMMYFUNCTION("""COMPUTED_VALUE"""),"Hard")</f>
        <v>Hard</v>
      </c>
      <c r="D306" s="47" t="s">
        <v>4976</v>
      </c>
      <c r="E306" s="87" t="str">
        <f>IFERROR(__xludf.DUMMYFUNCTION("IF(ISBLANK(A306),,FILTER('Leetcode List'!E:J,'Leetcode List'!A:A = A306))"),"DoorDash,Qualtrics,Oracle,Cisco,ByteDance,Snapchat,Apple,Uber,Bloomberg,Adobe,Facebook,Amazon,Microsoft,Google")</f>
        <v>DoorDash,Qualtrics,Oracle,Cisco,ByteDance,Snapchat,Apple,Uber,Bloomberg,Adobe,Facebook,Amazon,Microsoft,Google</v>
      </c>
      <c r="F306" s="47" t="str">
        <f>IFERROR(__xludf.DUMMYFUNCTION("""COMPUTED_VALUE"""),"Google,Facebook,Bloomberg,ByteDance,Amazon,DoorDash")</f>
        <v>Google,Facebook,Bloomberg,ByteDance,Amazon,DoorDash</v>
      </c>
      <c r="G306" s="47" t="str">
        <f>IFERROR(__xludf.DUMMYFUNCTION("""COMPUTED_VALUE"""),"Apple,Microsoft,Oracle,Snapchat,Cisco,Google,Facebook,Bloomberg,ByteDance,Amazon,DoorDash")</f>
        <v>Apple,Microsoft,Oracle,Snapchat,Cisco,Google,Facebook,Bloomberg,ByteDance,Amazon,DoorDash</v>
      </c>
      <c r="H306" s="47" t="str">
        <f>IFERROR(__xludf.DUMMYFUNCTION("""COMPUTED_VALUE"""),"Uber,Adobe,Qualtrics,Apple,Microsoft,Oracle,Snapchat,Cisco,Google,Facebook,Bloomberg,ByteDance,Amazon,DoorDash")</f>
        <v>Uber,Adobe,Qualtrics,Apple,Microsoft,Oracle,Snapchat,Cisco,Google,Facebook,Bloomberg,ByteDance,Amazon,DoorDash</v>
      </c>
      <c r="I306" s="47">
        <f>IFERROR(__xludf.DUMMYFUNCTION("""COMPUTED_VALUE"""),45.13)</f>
        <v>45.13</v>
      </c>
      <c r="J306" s="47" t="str">
        <f>IFERROR(__xludf.DUMMYFUNCTION("""COMPUTED_VALUE"""),"算法")</f>
        <v>算法</v>
      </c>
      <c r="K306" s="47">
        <v>305.0</v>
      </c>
      <c r="L306" s="6">
        <f>COUNTIF('Coder-1'!B:B,A306)</f>
        <v>0</v>
      </c>
      <c r="M306" s="6">
        <f>COUNTIF('Coder-2'!B:B,A306)</f>
        <v>0</v>
      </c>
      <c r="N306" s="6">
        <f>COUNTIF('Coder-3'!B:B,A306)</f>
        <v>0</v>
      </c>
      <c r="O306" s="6">
        <f>COUNTIF('Coder-4'!B:B,A306)</f>
        <v>0</v>
      </c>
    </row>
    <row r="307">
      <c r="A307" s="83">
        <v>378.0</v>
      </c>
      <c r="B307" s="86" t="str">
        <f>IFERROR(__xludf.DUMMYFUNCTION("IF(ISBLANK(A307),,FILTER('Leetcode List'!B:C,'Leetcode List'!A:A = A307))"),"Kth Smallest Element in a Sorted Matrix")</f>
        <v>Kth Smallest Element in a Sorted Matrix</v>
      </c>
      <c r="C307" s="47" t="str">
        <f>IFERROR(__xludf.DUMMYFUNCTION("""COMPUTED_VALUE"""),"Medium")</f>
        <v>Medium</v>
      </c>
      <c r="D307" s="47" t="s">
        <v>4976</v>
      </c>
      <c r="E307" s="87" t="str">
        <f>IFERROR(__xludf.DUMMYFUNCTION("IF(ISBLANK(A307),,FILTER('Leetcode List'!E:J,'Leetcode List'!A:A = A307))"),"Walmart Labs,Twitter,Apple,Uber,Yahoo,Bloomberg,Adobe,Facebook,Amazon,Microsoft,Google")</f>
        <v>Walmart Labs,Twitter,Apple,Uber,Yahoo,Bloomberg,Adobe,Facebook,Amazon,Microsoft,Google</v>
      </c>
      <c r="F307" s="47" t="str">
        <f>IFERROR(__xludf.DUMMYFUNCTION("""COMPUTED_VALUE"""),"Facebook,Amazon,Google")</f>
        <v>Facebook,Amazon,Google</v>
      </c>
      <c r="G307" s="47" t="str">
        <f>IFERROR(__xludf.DUMMYFUNCTION("""COMPUTED_VALUE"""),"Microsoft,Facebook,Amazon,Google")</f>
        <v>Microsoft,Facebook,Amazon,Google</v>
      </c>
      <c r="H307" s="47" t="str">
        <f>IFERROR(__xludf.DUMMYFUNCTION("""COMPUTED_VALUE"""),"Apple,Adobe,Yahoo,Uber,Walmart Labs,Twitter,Microsoft,Facebook,Amazon,Google")</f>
        <v>Apple,Adobe,Yahoo,Uber,Walmart Labs,Twitter,Microsoft,Facebook,Amazon,Google</v>
      </c>
      <c r="I307" s="47">
        <f>IFERROR(__xludf.DUMMYFUNCTION("""COMPUTED_VALUE"""),56.29)</f>
        <v>56.29</v>
      </c>
      <c r="J307" s="47" t="str">
        <f>IFERROR(__xludf.DUMMYFUNCTION("""COMPUTED_VALUE"""),"算法")</f>
        <v>算法</v>
      </c>
      <c r="K307" s="47">
        <v>306.0</v>
      </c>
      <c r="L307" s="6">
        <f>COUNTIF('Coder-1'!B:B,A307)</f>
        <v>0</v>
      </c>
      <c r="M307" s="6">
        <f>COUNTIF('Coder-2'!B:B,A307)</f>
        <v>0</v>
      </c>
      <c r="N307" s="6">
        <f>COUNTIF('Coder-3'!B:B,A307)</f>
        <v>0</v>
      </c>
      <c r="O307" s="6">
        <f>COUNTIF('Coder-4'!B:B,A307)</f>
        <v>0</v>
      </c>
    </row>
    <row r="308">
      <c r="A308" s="83">
        <v>74.0</v>
      </c>
      <c r="B308" s="86" t="str">
        <f>IFERROR(__xludf.DUMMYFUNCTION("IF(ISBLANK(A308),,FILTER('Leetcode List'!B:C,'Leetcode List'!A:A = A308))"),"Search a 2D Matrix")</f>
        <v>Search a 2D Matrix</v>
      </c>
      <c r="C308" s="47" t="str">
        <f>IFERROR(__xludf.DUMMYFUNCTION("""COMPUTED_VALUE"""),"Medium")</f>
        <v>Medium</v>
      </c>
      <c r="D308" s="47" t="s">
        <v>4976</v>
      </c>
      <c r="E308" s="87" t="str">
        <f>IFERROR(__xludf.DUMMYFUNCTION("IF(ISBLANK(A308),,FILTER('Leetcode List'!E:J,'Leetcode List'!A:A = A308))"),"Nutanix,Cisco,EBay,Apple,Uber,Bloomberg,Adobe,Facebook,Amazon,Microsoft,Goldman Sachs,Google")</f>
        <v>Nutanix,Cisco,EBay,Apple,Uber,Bloomberg,Adobe,Facebook,Amazon,Microsoft,Goldman Sachs,Google</v>
      </c>
      <c r="F308" s="47" t="str">
        <f>IFERROR(__xludf.DUMMYFUNCTION("""COMPUTED_VALUE"""),"Amazon,Facebook,Microsoft,Apple,Nutanix")</f>
        <v>Amazon,Facebook,Microsoft,Apple,Nutanix</v>
      </c>
      <c r="G308" s="47" t="str">
        <f>IFERROR(__xludf.DUMMYFUNCTION("""COMPUTED_VALUE"""),"Bloomberg,Uber,Adobe,Cisco,eBay,Amazon,Facebook,Microsoft,Apple,Nutanix")</f>
        <v>Bloomberg,Uber,Adobe,Cisco,eBay,Amazon,Facebook,Microsoft,Apple,Nutanix</v>
      </c>
      <c r="H308" s="47" t="str">
        <f>IFERROR(__xludf.DUMMYFUNCTION("""COMPUTED_VALUE"""),"Goldman Sachs,Bloomberg,Uber,Adobe,Cisco,eBay,Amazon,Facebook,Microsoft,Apple,Nutanix")</f>
        <v>Goldman Sachs,Bloomberg,Uber,Adobe,Cisco,eBay,Amazon,Facebook,Microsoft,Apple,Nutanix</v>
      </c>
      <c r="I308" s="47">
        <f>IFERROR(__xludf.DUMMYFUNCTION("""COMPUTED_VALUE"""),37.95)</f>
        <v>37.95</v>
      </c>
      <c r="J308" s="47" t="str">
        <f>IFERROR(__xludf.DUMMYFUNCTION("""COMPUTED_VALUE"""),"算法")</f>
        <v>算法</v>
      </c>
      <c r="K308" s="47">
        <v>307.0</v>
      </c>
      <c r="L308" s="6">
        <f>COUNTIF('Coder-1'!B:B,A308)</f>
        <v>0</v>
      </c>
      <c r="M308" s="6">
        <f>COUNTIF('Coder-2'!B:B,A308)</f>
        <v>0</v>
      </c>
      <c r="N308" s="6">
        <f>COUNTIF('Coder-3'!B:B,A308)</f>
        <v>0</v>
      </c>
      <c r="O308" s="6">
        <f>COUNTIF('Coder-4'!B:B,A308)</f>
        <v>0</v>
      </c>
    </row>
    <row r="309">
      <c r="A309" s="83">
        <v>240.0</v>
      </c>
      <c r="B309" s="86" t="str">
        <f>IFERROR(__xludf.DUMMYFUNCTION("IF(ISBLANK(A309),,FILTER('Leetcode List'!B:C,'Leetcode List'!A:A = A309))"),"Search a 2D Matrix II")</f>
        <v>Search a 2D Matrix II</v>
      </c>
      <c r="C309" s="47" t="str">
        <f>IFERROR(__xludf.DUMMYFUNCTION("""COMPUTED_VALUE"""),"Medium")</f>
        <v>Medium</v>
      </c>
      <c r="D309" s="47" t="s">
        <v>4976</v>
      </c>
      <c r="E309" s="87" t="str">
        <f>IFERROR(__xludf.DUMMYFUNCTION("IF(ISBLANK(A309),,FILTER('Leetcode List'!E:J,'Leetcode List'!A:A = A309))"),"Nvidia,Oracle,ByteDance,Salesforce,Citadel,Walmart Labs,Paypal,Expedia,EBay,Baidu,Apple,Yahoo,Tencent,SAP,Bloomberg,Adobe,Facebook,Amazon,LinkedIn,Microsoft,Goldman Sachs,Google")</f>
        <v>Nvidia,Oracle,ByteDance,Salesforce,Citadel,Walmart Labs,Paypal,Expedia,EBay,Baidu,Apple,Yahoo,Tencent,SAP,Bloomberg,Adobe,Facebook,Amazon,LinkedIn,Microsoft,Goldman Sachs,Google</v>
      </c>
      <c r="F309" s="47" t="str">
        <f>IFERROR(__xludf.DUMMYFUNCTION("""COMPUTED_VALUE"""),"Amazon,Microsoft,ByteDance,Bloomberg,Facebook,Nvidia")</f>
        <v>Amazon,Microsoft,ByteDance,Bloomberg,Facebook,Nvidia</v>
      </c>
      <c r="G309" s="47" t="str">
        <f>IFERROR(__xludf.DUMMYFUNCTION("""COMPUTED_VALUE"""),"eBay,Google,Apple,Adobe,Walmart Labs,Citadel,Amazon,Microsoft,ByteDance,Bloomberg,Facebook,Nvidia")</f>
        <v>eBay,Google,Apple,Adobe,Walmart Labs,Citadel,Amazon,Microsoft,ByteDance,Bloomberg,Facebook,Nvidia</v>
      </c>
      <c r="H309" s="47" t="str">
        <f>IFERROR(__xludf.DUMMYFUNCTION("""COMPUTED_VALUE"""),"Paypal,Salesforce,SAP,Expedia,Oracle,eBay,Google,Apple,Adobe,Walmart Labs,Citadel,Amazon,Microsoft,ByteDance,Bloomberg,Facebook,Nvidia")</f>
        <v>Paypal,Salesforce,SAP,Expedia,Oracle,eBay,Google,Apple,Adobe,Walmart Labs,Citadel,Amazon,Microsoft,ByteDance,Bloomberg,Facebook,Nvidia</v>
      </c>
      <c r="I309" s="47">
        <f>IFERROR(__xludf.DUMMYFUNCTION("""COMPUTED_VALUE"""),45.22)</f>
        <v>45.22</v>
      </c>
      <c r="J309" s="47" t="str">
        <f>IFERROR(__xludf.DUMMYFUNCTION("""COMPUTED_VALUE"""),"算法")</f>
        <v>算法</v>
      </c>
      <c r="K309" s="47">
        <v>308.0</v>
      </c>
      <c r="L309" s="6">
        <f>COUNTIF('Coder-1'!B:B,A309)</f>
        <v>0</v>
      </c>
      <c r="M309" s="6">
        <f>COUNTIF('Coder-2'!B:B,A309)</f>
        <v>0</v>
      </c>
      <c r="N309" s="6">
        <f>COUNTIF('Coder-3'!B:B,A309)</f>
        <v>0</v>
      </c>
      <c r="O309" s="6">
        <f>COUNTIF('Coder-4'!B:B,A309)</f>
        <v>0</v>
      </c>
    </row>
    <row r="310">
      <c r="A310" s="83">
        <v>370.0</v>
      </c>
      <c r="B310" s="86" t="str">
        <f>IFERROR(__xludf.DUMMYFUNCTION("IF(ISBLANK(A310),,FILTER('Leetcode List'!B:C,'Leetcode List'!A:A = A310))"),"Range Addition")</f>
        <v>Range Addition</v>
      </c>
      <c r="C310" s="47" t="str">
        <f>IFERROR(__xludf.DUMMYFUNCTION("""COMPUTED_VALUE"""),"Medium")</f>
        <v>Medium</v>
      </c>
      <c r="D310" s="47" t="s">
        <v>4976</v>
      </c>
      <c r="E310" s="87" t="str">
        <f>IFERROR(__xludf.DUMMYFUNCTION("IF(ISBLANK(A310),,FILTER('Leetcode List'!E:J,'Leetcode List'!A:A = A310))"),"Google")</f>
        <v>Google</v>
      </c>
      <c r="F310" s="47"/>
      <c r="G310" s="47"/>
      <c r="H310" s="47" t="str">
        <f>IFERROR(__xludf.DUMMYFUNCTION("""COMPUTED_VALUE"""),"Google")</f>
        <v>Google</v>
      </c>
      <c r="I310" s="47">
        <f>IFERROR(__xludf.DUMMYFUNCTION("""COMPUTED_VALUE"""),63.64)</f>
        <v>63.64</v>
      </c>
      <c r="J310" s="47" t="str">
        <f>IFERROR(__xludf.DUMMYFUNCTION("""COMPUTED_VALUE"""),"算法")</f>
        <v>算法</v>
      </c>
      <c r="K310" s="47">
        <v>309.0</v>
      </c>
      <c r="L310" s="6">
        <f>COUNTIF('Coder-1'!B:B,A310)</f>
        <v>0</v>
      </c>
      <c r="M310" s="6">
        <f>COUNTIF('Coder-2'!B:B,A310)</f>
        <v>0</v>
      </c>
      <c r="N310" s="6">
        <f>COUNTIF('Coder-3'!B:B,A310)</f>
        <v>0</v>
      </c>
      <c r="O310" s="6">
        <f>COUNTIF('Coder-4'!B:B,A310)</f>
        <v>0</v>
      </c>
    </row>
    <row r="311">
      <c r="A311" s="83">
        <v>79.0</v>
      </c>
      <c r="B311" s="86" t="str">
        <f>IFERROR(__xludf.DUMMYFUNCTION("IF(ISBLANK(A311),,FILTER('Leetcode List'!B:C,'Leetcode List'!A:A = A311))"),"Word Search")</f>
        <v>Word Search</v>
      </c>
      <c r="C311" s="47" t="str">
        <f>IFERROR(__xludf.DUMMYFUNCTION("""COMPUTED_VALUE"""),"Medium")</f>
        <v>Medium</v>
      </c>
      <c r="D311" s="47" t="s">
        <v>4976</v>
      </c>
      <c r="E311" s="87" t="str">
        <f>IFERROR(__xludf.DUMMYFUNCTION("IF(ISBLANK(A311),,FILTER('Leetcode List'!E:J,'Leetcode List'!A:A = A311))"),"Houzz,Twitter,ServiceNow,Expedia,Spotify,Cisco,EBay,Quantcast,Docusign,Pinterest,Cruise Automation,Coupang,ByteDance,VMware,Snapchat,JPMorgan,Zillow,Oracle,Intuit,Lyft,Apple,Uber,Yahoo,Aetion,Bloomberg,Adobe,Facebook,Amazon,LinkedIn,Microsoft,Google")</f>
        <v>Houzz,Twitter,ServiceNow,Expedia,Spotify,Cisco,EBay,Quantcast,Docusign,Pinterest,Cruise Automation,Coupang,ByteDance,VMware,Snapchat,JPMorgan,Zillow,Oracle,Intuit,Lyft,Apple,Uber,Yahoo,Aetion,Bloomberg,Adobe,Facebook,Amazon,LinkedIn,Microsoft,Google</v>
      </c>
      <c r="F311" s="47" t="str">
        <f>IFERROR(__xludf.DUMMYFUNCTION("""COMPUTED_VALUE"""),"Amazon,Bloomberg,Intuit,Facebook,Microsoft,Snapchat,Oracle,Apple,eBay,Pinterest,Expedia,ByteDance,ServiceNow")</f>
        <v>Amazon,Bloomberg,Intuit,Facebook,Microsoft,Snapchat,Oracle,Apple,eBay,Pinterest,Expedia,ByteDance,ServiceNow</v>
      </c>
      <c r="G311" s="47" t="str">
        <f>IFERROR(__xludf.DUMMYFUNCTION("""COMPUTED_VALUE"""),"Cisco,Google,Twitter,Adobe,Cruise Automation,Coupang,Amazon,Bloomberg,Intuit,Facebook,Microsoft,Snapchat,Oracle,Apple,eBay,Pinterest,Expedia,ByteDance,ServiceNow")</f>
        <v>Cisco,Google,Twitter,Adobe,Cruise Automation,Coupang,Amazon,Bloomberg,Intuit,Facebook,Microsoft,Snapchat,Oracle,Apple,eBay,Pinterest,Expedia,ByteDance,ServiceNow</v>
      </c>
      <c r="H311" s="47" t="str">
        <f>IFERROR(__xludf.DUMMYFUNCTION("""COMPUTED_VALUE"""),"Uber,Docusign,Yahoo,JPMorgan,Houzz,Spotify,Cisco,Google,Twitter,Adobe,Cruise Automation,Coupang,Amazon,Bloomberg,Intuit,Facebook,Microsoft,Snapchat,Oracle,Apple,eBay,Pinterest,Expedia,ByteDance,ServiceNow")</f>
        <v>Uber,Docusign,Yahoo,JPMorgan,Houzz,Spotify,Cisco,Google,Twitter,Adobe,Cruise Automation,Coupang,Amazon,Bloomberg,Intuit,Facebook,Microsoft,Snapchat,Oracle,Apple,eBay,Pinterest,Expedia,ByteDance,ServiceNow</v>
      </c>
      <c r="I311" s="47">
        <f>IFERROR(__xludf.DUMMYFUNCTION("""COMPUTED_VALUE"""),37.0)</f>
        <v>37</v>
      </c>
      <c r="J311" s="47" t="str">
        <f>IFERROR(__xludf.DUMMYFUNCTION("""COMPUTED_VALUE"""),"算法")</f>
        <v>算法</v>
      </c>
      <c r="K311" s="47">
        <v>310.0</v>
      </c>
      <c r="L311" s="6">
        <f>COUNTIF('Coder-1'!B:B,A311)</f>
        <v>0</v>
      </c>
      <c r="M311" s="6">
        <f>COUNTIF('Coder-2'!B:B,A311)</f>
        <v>0</v>
      </c>
      <c r="N311" s="6">
        <f>COUNTIF('Coder-3'!B:B,A311)</f>
        <v>0</v>
      </c>
      <c r="O311" s="6">
        <f>COUNTIF('Coder-4'!B:B,A311)</f>
        <v>0</v>
      </c>
    </row>
    <row r="312">
      <c r="A312" s="83">
        <v>296.0</v>
      </c>
      <c r="B312" s="86" t="str">
        <f>IFERROR(__xludf.DUMMYFUNCTION("IF(ISBLANK(A312),,FILTER('Leetcode List'!B:C,'Leetcode List'!A:A = A312))"),"Best Meeting Point")</f>
        <v>Best Meeting Point</v>
      </c>
      <c r="C312" s="47" t="str">
        <f>IFERROR(__xludf.DUMMYFUNCTION("""COMPUTED_VALUE"""),"Hard")</f>
        <v>Hard</v>
      </c>
      <c r="D312" s="47" t="s">
        <v>4976</v>
      </c>
      <c r="E312" s="87" t="str">
        <f>IFERROR(__xludf.DUMMYFUNCTION("IF(ISBLANK(A312),,FILTER('Leetcode List'!E:J,'Leetcode List'!A:A = A312))"),"Bloomberg,Microsoft,Snapchat,Twitter,Facebook,Amazon,LinkedIn,Google")</f>
        <v>Bloomberg,Microsoft,Snapchat,Twitter,Facebook,Amazon,LinkedIn,Google</v>
      </c>
      <c r="F312" s="47" t="str">
        <f>IFERROR(__xludf.DUMMYFUNCTION("""COMPUTED_VALUE"""),"Bloomberg,Microsoft")</f>
        <v>Bloomberg,Microsoft</v>
      </c>
      <c r="G312" s="47" t="str">
        <f>IFERROR(__xludf.DUMMYFUNCTION("""COMPUTED_VALUE"""),"Google,Amazon,Bloomberg,Microsoft")</f>
        <v>Google,Amazon,Bloomberg,Microsoft</v>
      </c>
      <c r="H312" s="47" t="str">
        <f>IFERROR(__xludf.DUMMYFUNCTION("""COMPUTED_VALUE"""),"Snapchat,LinkedIn,Twitter,Google,Amazon,Bloomberg,Microsoft")</f>
        <v>Snapchat,LinkedIn,Twitter,Google,Amazon,Bloomberg,Microsoft</v>
      </c>
      <c r="I312" s="47">
        <f>IFERROR(__xludf.DUMMYFUNCTION("""COMPUTED_VALUE"""),58.14)</f>
        <v>58.14</v>
      </c>
      <c r="J312" s="47" t="str">
        <f>IFERROR(__xludf.DUMMYFUNCTION("""COMPUTED_VALUE"""),"算法")</f>
        <v>算法</v>
      </c>
      <c r="K312" s="47">
        <v>311.0</v>
      </c>
      <c r="L312" s="6">
        <f>COUNTIF('Coder-1'!B:B,A312)</f>
        <v>0</v>
      </c>
      <c r="M312" s="6">
        <f>COUNTIF('Coder-2'!B:B,A312)</f>
        <v>0</v>
      </c>
      <c r="N312" s="6">
        <f>COUNTIF('Coder-3'!B:B,A312)</f>
        <v>0</v>
      </c>
      <c r="O312" s="6">
        <f>COUNTIF('Coder-4'!B:B,A312)</f>
        <v>0</v>
      </c>
    </row>
    <row r="313">
      <c r="A313" s="83">
        <v>361.0</v>
      </c>
      <c r="B313" s="86" t="str">
        <f>IFERROR(__xludf.DUMMYFUNCTION("IF(ISBLANK(A313),,FILTER('Leetcode List'!B:C,'Leetcode List'!A:A = A313))"),"Bomb Enemy")</f>
        <v>Bomb Enemy</v>
      </c>
      <c r="C313" s="47" t="str">
        <f>IFERROR(__xludf.DUMMYFUNCTION("""COMPUTED_VALUE"""),"Medium")</f>
        <v>Medium</v>
      </c>
      <c r="D313" s="47" t="s">
        <v>4976</v>
      </c>
      <c r="E313" s="87" t="str">
        <f>IFERROR(__xludf.DUMMYFUNCTION("IF(ISBLANK(A313),,FILTER('Leetcode List'!E:J,'Leetcode List'!A:A = A313))"),"Uber,Amazon,Google")</f>
        <v>Uber,Amazon,Google</v>
      </c>
      <c r="F313" s="47" t="str">
        <f>IFERROR(__xludf.DUMMYFUNCTION("""COMPUTED_VALUE"""),"Google")</f>
        <v>Google</v>
      </c>
      <c r="G313" s="47" t="str">
        <f>IFERROR(__xludf.DUMMYFUNCTION("""COMPUTED_VALUE"""),"Amazon,Google")</f>
        <v>Amazon,Google</v>
      </c>
      <c r="H313" s="47" t="str">
        <f>IFERROR(__xludf.DUMMYFUNCTION("""COMPUTED_VALUE"""),"Uber,Amazon,Google")</f>
        <v>Uber,Amazon,Google</v>
      </c>
      <c r="I313" s="47">
        <f>IFERROR(__xludf.DUMMYFUNCTION("""COMPUTED_VALUE"""),46.75)</f>
        <v>46.75</v>
      </c>
      <c r="J313" s="47" t="str">
        <f>IFERROR(__xludf.DUMMYFUNCTION("""COMPUTED_VALUE"""),"算法")</f>
        <v>算法</v>
      </c>
      <c r="K313" s="47">
        <v>312.0</v>
      </c>
      <c r="L313" s="6">
        <f>COUNTIF('Coder-1'!B:B,A313)</f>
        <v>0</v>
      </c>
      <c r="M313" s="6">
        <f>COUNTIF('Coder-2'!B:B,A313)</f>
        <v>0</v>
      </c>
      <c r="N313" s="6">
        <f>COUNTIF('Coder-3'!B:B,A313)</f>
        <v>0</v>
      </c>
      <c r="O313" s="6">
        <f>COUNTIF('Coder-4'!B:B,A313)</f>
        <v>0</v>
      </c>
    </row>
    <row r="314">
      <c r="A314" s="83">
        <v>317.0</v>
      </c>
      <c r="B314" s="86" t="str">
        <f>IFERROR(__xludf.DUMMYFUNCTION("IF(ISBLANK(A314),,FILTER('Leetcode List'!B:C,'Leetcode List'!A:A = A314))"),"Shortest Distance from All Buildings")</f>
        <v>Shortest Distance from All Buildings</v>
      </c>
      <c r="C314" s="47" t="str">
        <f>IFERROR(__xludf.DUMMYFUNCTION("""COMPUTED_VALUE"""),"Hard")</f>
        <v>Hard</v>
      </c>
      <c r="D314" s="47" t="s">
        <v>4976</v>
      </c>
      <c r="E314" s="87" t="str">
        <f>IFERROR(__xludf.DUMMYFUNCTION("IF(ISBLANK(A314),,FILTER('Leetcode List'!E:J,'Leetcode List'!A:A = A314))"),"Oracle,Zenefits,Splunk,ByteDance,Snapchat,Mathworks,Uber,Facebook,Amazon,Microsoft,Goldman Sachs,Google")</f>
        <v>Oracle,Zenefits,Splunk,ByteDance,Snapchat,Mathworks,Uber,Facebook,Amazon,Microsoft,Goldman Sachs,Google</v>
      </c>
      <c r="F314" s="47" t="str">
        <f>IFERROR(__xludf.DUMMYFUNCTION("""COMPUTED_VALUE"""),"Facebook,Google,Amazon")</f>
        <v>Facebook,Google,Amazon</v>
      </c>
      <c r="G314" s="47" t="str">
        <f>IFERROR(__xludf.DUMMYFUNCTION("""COMPUTED_VALUE"""),"Snapchat,Facebook,Google,Amazon")</f>
        <v>Snapchat,Facebook,Google,Amazon</v>
      </c>
      <c r="H314" s="47" t="str">
        <f>IFERROR(__xludf.DUMMYFUNCTION("""COMPUTED_VALUE"""),"Mathworks,Microsoft,ByteDance,Uber,Splunk,Oracle,Zenefits,Snapchat,Facebook,Google,Amazon")</f>
        <v>Mathworks,Microsoft,ByteDance,Uber,Splunk,Oracle,Zenefits,Snapchat,Facebook,Google,Amazon</v>
      </c>
      <c r="I314" s="47">
        <f>IFERROR(__xludf.DUMMYFUNCTION("""COMPUTED_VALUE"""),42.81)</f>
        <v>42.81</v>
      </c>
      <c r="J314" s="47" t="str">
        <f>IFERROR(__xludf.DUMMYFUNCTION("""COMPUTED_VALUE"""),"算法")</f>
        <v>算法</v>
      </c>
      <c r="K314" s="47">
        <v>313.0</v>
      </c>
      <c r="L314" s="6">
        <f>COUNTIF('Coder-1'!B:B,A314)</f>
        <v>0</v>
      </c>
      <c r="M314" s="6">
        <f>COUNTIF('Coder-2'!B:B,A314)</f>
        <v>0</v>
      </c>
      <c r="N314" s="6">
        <f>COUNTIF('Coder-3'!B:B,A314)</f>
        <v>0</v>
      </c>
      <c r="O314" s="6">
        <f>COUNTIF('Coder-4'!B:B,A314)</f>
        <v>0</v>
      </c>
    </row>
    <row r="315">
      <c r="A315" s="83">
        <v>302.0</v>
      </c>
      <c r="B315" s="86" t="str">
        <f>IFERROR(__xludf.DUMMYFUNCTION("IF(ISBLANK(A315),,FILTER('Leetcode List'!B:C,'Leetcode List'!A:A = A315))"),"Smallest Rectangle Enclosing Black Pixels")</f>
        <v>Smallest Rectangle Enclosing Black Pixels</v>
      </c>
      <c r="C315" s="47" t="str">
        <f>IFERROR(__xludf.DUMMYFUNCTION("""COMPUTED_VALUE"""),"Hard")</f>
        <v>Hard</v>
      </c>
      <c r="D315" s="47" t="s">
        <v>4976</v>
      </c>
      <c r="E315" s="87" t="str">
        <f>IFERROR(__xludf.DUMMYFUNCTION("IF(ISBLANK(A315),,FILTER('Leetcode List'!E:J,'Leetcode List'!A:A = A315))"),"Google")</f>
        <v>Google</v>
      </c>
      <c r="F315" s="47"/>
      <c r="G315" s="47" t="str">
        <f>IFERROR(__xludf.DUMMYFUNCTION("""COMPUTED_VALUE"""),"Google")</f>
        <v>Google</v>
      </c>
      <c r="H315" s="47" t="str">
        <f>IFERROR(__xludf.DUMMYFUNCTION("""COMPUTED_VALUE"""),"Google")</f>
        <v>Google</v>
      </c>
      <c r="I315" s="47">
        <f>IFERROR(__xludf.DUMMYFUNCTION("""COMPUTED_VALUE"""),52.54)</f>
        <v>52.54</v>
      </c>
      <c r="J315" s="47" t="str">
        <f>IFERROR(__xludf.DUMMYFUNCTION("""COMPUTED_VALUE"""),"算法")</f>
        <v>算法</v>
      </c>
      <c r="K315" s="47">
        <v>314.0</v>
      </c>
      <c r="L315" s="6">
        <f>COUNTIF('Coder-1'!B:B,A315)</f>
        <v>0</v>
      </c>
      <c r="M315" s="6">
        <f>COUNTIF('Coder-2'!B:B,A315)</f>
        <v>0</v>
      </c>
      <c r="N315" s="6">
        <f>COUNTIF('Coder-3'!B:B,A315)</f>
        <v>0</v>
      </c>
      <c r="O315" s="6">
        <f>COUNTIF('Coder-4'!B:B,A315)</f>
        <v>0</v>
      </c>
    </row>
    <row r="316">
      <c r="A316" s="83">
        <v>36.0</v>
      </c>
      <c r="B316" s="86" t="str">
        <f>IFERROR(__xludf.DUMMYFUNCTION("IF(ISBLANK(A316),,FILTER('Leetcode List'!B:C,'Leetcode List'!A:A = A316))"),"Valid Sudoku")</f>
        <v>Valid Sudoku</v>
      </c>
      <c r="C316" s="47" t="str">
        <f>IFERROR(__xludf.DUMMYFUNCTION("""COMPUTED_VALUE"""),"Medium")</f>
        <v>Medium</v>
      </c>
      <c r="D316" s="47" t="s">
        <v>4976</v>
      </c>
      <c r="E316" s="87" t="str">
        <f>IFERROR(__xludf.DUMMYFUNCTION("IF(ISBLANK(A316),,FILTER('Leetcode List'!E:J,'Leetcode List'!A:A = A316))"),"Postmates,DoorDash,Pinterest,Cruise Automation,Roblox,Salesforce,VMware,Snapchat,Twitter,Oracle,Apple,Uber,Bloomberg,Adobe,Facebook,Amazon,Microsoft,Google")</f>
        <v>Postmates,DoorDash,Pinterest,Cruise Automation,Roblox,Salesforce,VMware,Snapchat,Twitter,Oracle,Apple,Uber,Bloomberg,Adobe,Facebook,Amazon,Microsoft,Google</v>
      </c>
      <c r="F316" s="47" t="str">
        <f>IFERROR(__xludf.DUMMYFUNCTION("""COMPUTED_VALUE"""),"Amazon,Roblox,Apple,Oracle,Uber,Facebook")</f>
        <v>Amazon,Roblox,Apple,Oracle,Uber,Facebook</v>
      </c>
      <c r="G316" s="47" t="str">
        <f>IFERROR(__xludf.DUMMYFUNCTION("""COMPUTED_VALUE"""),"Google,Microsoft,Pinterest,Bloomberg,Postmates,Amazon,Roblox,Apple,Oracle,Uber,Facebook")</f>
        <v>Google,Microsoft,Pinterest,Bloomberg,Postmates,Amazon,Roblox,Apple,Oracle,Uber,Facebook</v>
      </c>
      <c r="H316" s="47" t="str">
        <f>IFERROR(__xludf.DUMMYFUNCTION("""COMPUTED_VALUE"""),"DoorDash,Cruise Automation,VMware,Snapchat,Google,Microsoft,Pinterest,Bloomberg,Postmates,Amazon,Roblox,Apple,Oracle,Uber,Facebook")</f>
        <v>DoorDash,Cruise Automation,VMware,Snapchat,Google,Microsoft,Pinterest,Bloomberg,Postmates,Amazon,Roblox,Apple,Oracle,Uber,Facebook</v>
      </c>
      <c r="I316" s="47">
        <f>IFERROR(__xludf.DUMMYFUNCTION("""COMPUTED_VALUE"""),50.72)</f>
        <v>50.72</v>
      </c>
      <c r="J316" s="47" t="str">
        <f>IFERROR(__xludf.DUMMYFUNCTION("""COMPUTED_VALUE"""),"算法")</f>
        <v>算法</v>
      </c>
      <c r="K316" s="47">
        <v>315.0</v>
      </c>
      <c r="L316" s="6">
        <f>COUNTIF('Coder-1'!B:B,A316)</f>
        <v>0</v>
      </c>
      <c r="M316" s="6">
        <f>COUNTIF('Coder-2'!B:B,A316)</f>
        <v>0</v>
      </c>
      <c r="N316" s="6">
        <f>COUNTIF('Coder-3'!B:B,A316)</f>
        <v>0</v>
      </c>
      <c r="O316" s="6">
        <f>COUNTIF('Coder-4'!B:B,A316)</f>
        <v>0</v>
      </c>
    </row>
    <row r="317">
      <c r="A317" s="83">
        <v>37.0</v>
      </c>
      <c r="B317" s="86" t="str">
        <f>IFERROR(__xludf.DUMMYFUNCTION("IF(ISBLANK(A317),,FILTER('Leetcode List'!B:C,'Leetcode List'!A:A = A317))"),"Sudoku Solver")</f>
        <v>Sudoku Solver</v>
      </c>
      <c r="C317" s="47" t="str">
        <f>IFERROR(__xludf.DUMMYFUNCTION("""COMPUTED_VALUE"""),"Hard")</f>
        <v>Hard</v>
      </c>
      <c r="D317" s="47" t="s">
        <v>4976</v>
      </c>
      <c r="E317" s="87" t="str">
        <f>IFERROR(__xludf.DUMMYFUNCTION("IF(ISBLANK(A317),,FILTER('Leetcode List'!E:J,'Leetcode List'!A:A = A317))"),"Pinterest,Tesla,Salesforce,JPMorgan,Intuit,Adobe,Arista Networks,Riot Games,DoorDash,Roblox,VMware,Snapchat,Expedia,Wish,Oracle,Apple,Uber,Facebook,Amazon,Microsoft,Google")</f>
        <v>Pinterest,Tesla,Salesforce,JPMorgan,Intuit,Adobe,Arista Networks,Riot Games,DoorDash,Roblox,VMware,Snapchat,Expedia,Wish,Oracle,Apple,Uber,Facebook,Amazon,Microsoft,Google</v>
      </c>
      <c r="F317" s="47" t="str">
        <f>IFERROR(__xludf.DUMMYFUNCTION("""COMPUTED_VALUE"""),"DoorDash,Amazon,Oracle,Pinterest,Apple,Intuit")</f>
        <v>DoorDash,Amazon,Oracle,Pinterest,Apple,Intuit</v>
      </c>
      <c r="G317" s="47" t="str">
        <f>IFERROR(__xludf.DUMMYFUNCTION("""COMPUTED_VALUE"""),"Microsoft,Google,Roblox,Adobe,Salesforce,JPMorgan,Tesla,DoorDash,Amazon,Oracle,Pinterest,Apple,Intuit")</f>
        <v>Microsoft,Google,Roblox,Adobe,Salesforce,JPMorgan,Tesla,DoorDash,Amazon,Oracle,Pinterest,Apple,Intuit</v>
      </c>
      <c r="H317" s="47" t="str">
        <f>IFERROR(__xludf.DUMMYFUNCTION("""COMPUTED_VALUE"""),"Facebook,Wish,Uber,Snapchat,Microsoft,Google,Roblox,Adobe,Salesforce,JPMorgan,Tesla,DoorDash,Amazon,Oracle,Pinterest,Apple,Intuit")</f>
        <v>Facebook,Wish,Uber,Snapchat,Microsoft,Google,Roblox,Adobe,Salesforce,JPMorgan,Tesla,DoorDash,Amazon,Oracle,Pinterest,Apple,Intuit</v>
      </c>
      <c r="I317" s="47">
        <f>IFERROR(__xludf.DUMMYFUNCTION("""COMPUTED_VALUE"""),46.79)</f>
        <v>46.79</v>
      </c>
      <c r="J317" s="47" t="str">
        <f>IFERROR(__xludf.DUMMYFUNCTION("""COMPUTED_VALUE"""),"算法")</f>
        <v>算法</v>
      </c>
      <c r="K317" s="47">
        <v>316.0</v>
      </c>
      <c r="L317" s="6">
        <f>COUNTIF('Coder-1'!B:B,A317)</f>
        <v>0</v>
      </c>
      <c r="M317" s="6">
        <f>COUNTIF('Coder-2'!B:B,A317)</f>
        <v>0</v>
      </c>
      <c r="N317" s="6">
        <f>COUNTIF('Coder-3'!B:B,A317)</f>
        <v>0</v>
      </c>
      <c r="O317" s="6">
        <f>COUNTIF('Coder-4'!B:B,A317)</f>
        <v>0</v>
      </c>
    </row>
    <row r="318">
      <c r="A318" s="83">
        <v>200.0</v>
      </c>
      <c r="B318" s="86" t="str">
        <f>IFERROR(__xludf.DUMMYFUNCTION("IF(ISBLANK(A318),,FILTER('Leetcode List'!B:C,'Leetcode List'!A:A = A318))"),"Number of Islands")</f>
        <v>Number of Islands</v>
      </c>
      <c r="C318" s="83" t="str">
        <f>IFERROR(__xludf.DUMMYFUNCTION("""COMPUTED_VALUE"""),"Medium")</f>
        <v>Medium</v>
      </c>
      <c r="D318" s="83" t="s">
        <v>4977</v>
      </c>
      <c r="E318" s="87" t="str">
        <f>IFERROR(__xludf.DUMMYFUNCTION("IF(ISBLANK(A318),,FILTER('Leetcode List'!E:J,'Leetcode List'!A:A = A318))"),"Pony.ai,Karat,Tesla,Robinhood,PayTM,ByteDance,Intel,Dropbox,ServiceNow,Yandex,Samsung,AppDynamics,Electronic Arts,Sumologic,Hulu,Cohesity,Arista Networks,LiveRamp,Nutanix,DoorDash,Square,Qualtrics,Evernote,Palantir Technologies,Cruise Automation,Citrix,Zu"&amp;"lily,Houzz,Zenefits,Atlassian,Twitch,Roblox,Audible,Splunk,Tableau,Salesforce,Visa,VMware,Citadel,Affirm,Walmart Labs,Snapchat,JPMorgan,Paypal,Twitter,Expedia,Wish,Nvidia,Oracle,Spotify,Lyft,Cisco,Mathworks,EBay,BlackRock,Apple,Uber,Yahoo,SAP,Bloomberg,Ad"&amp;"obe,Facebook,Amazon,LinkedIn,Microsoft,Alibaba,Goldman Sachs,Google")</f>
        <v>Pony.ai,Karat,Tesla,Robinhood,PayTM,ByteDance,Intel,Dropbox,ServiceNow,Yandex,Samsung,AppDynamics,Electronic Arts,Sumologic,Hulu,Cohesity,Arista Networks,LiveRamp,Nutanix,DoorDash,Square,Qualtrics,Evernote,Palantir Technologies,Cruise Automation,Citrix,Zulily,Houzz,Zenefits,Atlassian,Twitch,Roblox,Audible,Splunk,Tableau,Salesforce,Visa,VMware,Citadel,Affirm,Walmart Labs,Snapchat,JPMorgan,Paypal,Twitter,Expedia,Wish,Nvidia,Oracle,Spotify,Lyft,Cisco,Mathworks,EBay,BlackRock,Apple,Uber,Yahoo,SAP,Bloomberg,Adobe,Facebook,Amazon,LinkedIn,Microsoft,Alibaba,Goldman Sachs,Google</v>
      </c>
      <c r="F318" s="47" t="str">
        <f>IFERROR(__xludf.DUMMYFUNCTION("""COMPUTED_VALUE"""),"Amazon,Bloomberg,Microsoft,Oracle,Facebook,Apple,Uber,Google,DoorDash,Qualtrics,LinkedIn,Snapchat,Expedia,Goldman Sachs,Citadel,VMware,Tesla,Karat,ByteDance,Yandex,eBay,Samsung,Yahoo,Nvidia,Splunk,Pony.ai")</f>
        <v>Amazon,Bloomberg,Microsoft,Oracle,Facebook,Apple,Uber,Google,DoorDash,Qualtrics,LinkedIn,Snapchat,Expedia,Goldman Sachs,Citadel,VMware,Tesla,Karat,ByteDance,Yandex,eBay,Samsung,Yahoo,Nvidia,Splunk,Pony.ai</v>
      </c>
      <c r="G318" s="47" t="str">
        <f>IFERROR(__xludf.DUMMYFUNCTION("""COMPUTED_VALUE"""),"Adobe,Wish,Walmart Labs,Roblox,Lyft,Robinhood,Palantir Technologies,Salesforce,Visa,Intel,Audible,PayTM,Amazon,Bloomberg,Microsoft,Oracle,Facebook,Apple,Uber,Google,DoorDash,Qualtrics,LinkedIn,Snapchat,Expedia,Goldman Sachs,Citadel,VMware,Tesla,Karat,Byte"&amp;"Dance,Yandex,eBay,Samsung,Yahoo,Nvidia,Splunk,Pony.ai")</f>
        <v>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H318" s="47" t="str">
        <f>IFERROR(__xludf.DUMMYFUNCTION("""COMPUTED_VALUE"""),"Cruise Automation,Twitch,Atlassian,Tableau,Affirm,Mathworks,JPMorgan,Electronic Arts,Houzz,Nutanix,Evernote,Dropbox,Paypal,SAP,Square,Arista Networks,ServiceNow,Spotify,Zulily,Cohesity,Zenefits,Adobe,Wish,Walmart Labs,Roblox,Lyft,Robinhood,Palantir Techno"&amp;"logies,Salesforce,Visa,Intel,Audible,PayTM,Amazon,Bloomberg,Microsoft,Oracle,Facebook,Apple,Uber,Google,DoorDash,Qualtrics,LinkedIn,Snapchat,Expedia,Goldman Sachs,Citadel,VMware,Tesla,Karat,ByteDance,Yandex,eBay,Samsung,Yahoo,Nvidia,Splunk,Pony.ai")</f>
        <v>Cruise Automation,Twitch,Atlassian,Tableau,Affirm,Mathworks,JPMorgan,Electronic Arts,Houzz,Nutanix,Evernote,Dropbox,Paypal,SAP,Square,Arista Networks,ServiceNow,Spotify,Zulily,Cohesity,Zenefits,Adobe,Wish,Walmart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I318" s="47">
        <f>IFERROR(__xludf.DUMMYFUNCTION("""COMPUTED_VALUE"""),49.32)</f>
        <v>49.32</v>
      </c>
      <c r="J318" s="47" t="str">
        <f>IFERROR(__xludf.DUMMYFUNCTION("""COMPUTED_VALUE"""),"算法")</f>
        <v>算法</v>
      </c>
      <c r="K318" s="47">
        <v>317.0</v>
      </c>
      <c r="L318" s="6">
        <f>COUNTIF('Coder-1'!B:B,A318)</f>
        <v>0</v>
      </c>
      <c r="M318" s="6">
        <f>COUNTIF('Coder-2'!B:B,A318)</f>
        <v>0</v>
      </c>
      <c r="N318" s="6">
        <f>COUNTIF('Coder-3'!B:B,A318)</f>
        <v>0</v>
      </c>
      <c r="O318" s="6">
        <f>COUNTIF('Coder-4'!B:B,A318)</f>
        <v>0</v>
      </c>
    </row>
    <row r="319">
      <c r="A319" s="83">
        <v>286.0</v>
      </c>
      <c r="B319" s="86" t="str">
        <f>IFERROR(__xludf.DUMMYFUNCTION("IF(ISBLANK(A319),,FILTER('Leetcode List'!B:C,'Leetcode List'!A:A = A319))"),"Walls and Gates")</f>
        <v>Walls and Gates</v>
      </c>
      <c r="C319" s="83" t="str">
        <f>IFERROR(__xludf.DUMMYFUNCTION("""COMPUTED_VALUE"""),"Medium")</f>
        <v>Medium</v>
      </c>
      <c r="D319" s="83" t="s">
        <v>4977</v>
      </c>
      <c r="E319" s="87" t="str">
        <f>IFERROR(__xludf.DUMMYFUNCTION("IF(ISBLANK(A319),,FILTER('Leetcode List'!E:J,'Leetcode List'!A:A = A319))"),"ByteDance,Spotify,Uber,Bloomberg,Facebook,Amazon,Microsoft,Google")</f>
        <v>ByteDance,Spotify,Uber,Bloomberg,Facebook,Amazon,Microsoft,Google</v>
      </c>
      <c r="F319" s="47" t="str">
        <f>IFERROR(__xludf.DUMMYFUNCTION("""COMPUTED_VALUE"""),"ByteDance,Facebook,Amazon,Microsoft")</f>
        <v>ByteDance,Facebook,Amazon,Microsoft</v>
      </c>
      <c r="G319" s="47" t="str">
        <f>IFERROR(__xludf.DUMMYFUNCTION("""COMPUTED_VALUE"""),"Google,Spotify,Bloomberg,ByteDance,Facebook,Amazon,Microsoft")</f>
        <v>Google,Spotify,Bloomberg,ByteDance,Facebook,Amazon,Microsoft</v>
      </c>
      <c r="H319" s="47" t="str">
        <f>IFERROR(__xludf.DUMMYFUNCTION("""COMPUTED_VALUE"""),"Uber,Google,Spotify,Bloomberg,ByteDance,Facebook,Amazon,Microsoft")</f>
        <v>Uber,Google,Spotify,Bloomberg,ByteDance,Facebook,Amazon,Microsoft</v>
      </c>
      <c r="I319" s="47">
        <f>IFERROR(__xludf.DUMMYFUNCTION("""COMPUTED_VALUE"""),56.71)</f>
        <v>56.71</v>
      </c>
      <c r="J319" s="47" t="str">
        <f>IFERROR(__xludf.DUMMYFUNCTION("""COMPUTED_VALUE"""),"算法")</f>
        <v>算法</v>
      </c>
      <c r="K319" s="47">
        <v>318.0</v>
      </c>
      <c r="L319" s="6">
        <f>COUNTIF('Coder-1'!B:B,A319)</f>
        <v>0</v>
      </c>
      <c r="M319" s="6">
        <f>COUNTIF('Coder-2'!B:B,A319)</f>
        <v>0</v>
      </c>
      <c r="N319" s="6">
        <f>COUNTIF('Coder-3'!B:B,A319)</f>
        <v>0</v>
      </c>
      <c r="O319" s="6">
        <f>COUNTIF('Coder-4'!B:B,A319)</f>
        <v>0</v>
      </c>
    </row>
    <row r="320">
      <c r="A320" s="83">
        <v>130.0</v>
      </c>
      <c r="B320" s="86" t="str">
        <f>IFERROR(__xludf.DUMMYFUNCTION("IF(ISBLANK(A320),,FILTER('Leetcode List'!B:C,'Leetcode List'!A:A = A320))"),"Surrounded Regions")</f>
        <v>Surrounded Regions</v>
      </c>
      <c r="C320" s="83" t="str">
        <f>IFERROR(__xludf.DUMMYFUNCTION("""COMPUTED_VALUE"""),"Medium")</f>
        <v>Medium</v>
      </c>
      <c r="D320" s="83" t="s">
        <v>4977</v>
      </c>
      <c r="E320" s="87" t="str">
        <f>IFERROR(__xludf.DUMMYFUNCTION("IF(ISBLANK(A320),,FILTER('Leetcode List'!E:J,'Leetcode List'!A:A = A320))"),"Splunk,EBay,Uber,Facebook,Amazon,Google")</f>
        <v>Splunk,EBay,Uber,Facebook,Amazon,Google</v>
      </c>
      <c r="F320" s="47" t="str">
        <f>IFERROR(__xludf.DUMMYFUNCTION("""COMPUTED_VALUE"""),"Google,Amazon,Uber")</f>
        <v>Google,Amazon,Uber</v>
      </c>
      <c r="G320" s="47" t="str">
        <f>IFERROR(__xludf.DUMMYFUNCTION("""COMPUTED_VALUE"""),"eBay,Google,Amazon,Uber")</f>
        <v>eBay,Google,Amazon,Uber</v>
      </c>
      <c r="H320" s="47" t="str">
        <f>IFERROR(__xludf.DUMMYFUNCTION("""COMPUTED_VALUE"""),"Splunk,Facebook,eBay,Google,Amazon,Uber")</f>
        <v>Splunk,Facebook,eBay,Google,Amazon,Uber</v>
      </c>
      <c r="I320" s="47">
        <f>IFERROR(__xludf.DUMMYFUNCTION("""COMPUTED_VALUE"""),29.58)</f>
        <v>29.58</v>
      </c>
      <c r="J320" s="47" t="str">
        <f>IFERROR(__xludf.DUMMYFUNCTION("""COMPUTED_VALUE"""),"算法")</f>
        <v>算法</v>
      </c>
      <c r="K320" s="47">
        <v>319.0</v>
      </c>
      <c r="L320" s="6">
        <f>COUNTIF('Coder-1'!B:B,A320)</f>
        <v>0</v>
      </c>
      <c r="M320" s="6">
        <f>COUNTIF('Coder-2'!B:B,A320)</f>
        <v>0</v>
      </c>
      <c r="N320" s="6">
        <f>COUNTIF('Coder-3'!B:B,A320)</f>
        <v>0</v>
      </c>
      <c r="O320" s="6">
        <f>COUNTIF('Coder-4'!B:B,A320)</f>
        <v>0</v>
      </c>
    </row>
    <row r="321">
      <c r="A321" s="83">
        <v>339.0</v>
      </c>
      <c r="B321" s="86" t="str">
        <f>IFERROR(__xludf.DUMMYFUNCTION("IF(ISBLANK(A321),,FILTER('Leetcode List'!B:C,'Leetcode List'!A:A = A321))"),"Nested List Weight Sum")</f>
        <v>Nested List Weight Sum</v>
      </c>
      <c r="C321" s="83" t="str">
        <f>IFERROR(__xludf.DUMMYFUNCTION("""COMPUTED_VALUE"""),"Medium")</f>
        <v>Medium</v>
      </c>
      <c r="D321" s="83" t="s">
        <v>4977</v>
      </c>
      <c r="E321" s="87" t="str">
        <f>IFERROR(__xludf.DUMMYFUNCTION("IF(ISBLANK(A321),,FILTER('Leetcode List'!E:J,'Leetcode List'!A:A = A321))"),"EBay,Cloudera,Uber,Facebook,Amazon,LinkedIn")</f>
        <v>EBay,Cloudera,Uber,Facebook,Amazon,LinkedIn</v>
      </c>
      <c r="F321" s="47" t="str">
        <f>IFERROR(__xludf.DUMMYFUNCTION("""COMPUTED_VALUE"""),"Facebook,LinkedIn,Amazon")</f>
        <v>Facebook,LinkedIn,Amazon</v>
      </c>
      <c r="G321" s="47" t="str">
        <f>IFERROR(__xludf.DUMMYFUNCTION("""COMPUTED_VALUE"""),"Facebook,LinkedIn,Amazon")</f>
        <v>Facebook,LinkedIn,Amazon</v>
      </c>
      <c r="H321" s="47" t="str">
        <f>IFERROR(__xludf.DUMMYFUNCTION("""COMPUTED_VALUE"""),"Uber,eBay,Cloudera,Facebook,LinkedIn,Amazon")</f>
        <v>Uber,eBay,Cloudera,Facebook,LinkedIn,Amazon</v>
      </c>
      <c r="I321" s="47">
        <f>IFERROR(__xludf.DUMMYFUNCTION("""COMPUTED_VALUE"""),76.63)</f>
        <v>76.63</v>
      </c>
      <c r="J321" s="47" t="str">
        <f>IFERROR(__xludf.DUMMYFUNCTION("""COMPUTED_VALUE"""),"算法")</f>
        <v>算法</v>
      </c>
      <c r="K321" s="47">
        <v>320.0</v>
      </c>
      <c r="L321" s="6">
        <f>COUNTIF('Coder-1'!B:B,A321)</f>
        <v>0</v>
      </c>
      <c r="M321" s="6">
        <f>COUNTIF('Coder-2'!B:B,A321)</f>
        <v>0</v>
      </c>
      <c r="N321" s="6">
        <f>COUNTIF('Coder-3'!B:B,A321)</f>
        <v>0</v>
      </c>
      <c r="O321" s="6">
        <f>COUNTIF('Coder-4'!B:B,A321)</f>
        <v>0</v>
      </c>
    </row>
    <row r="322">
      <c r="A322" s="83">
        <v>364.0</v>
      </c>
      <c r="B322" s="86" t="str">
        <f>IFERROR(__xludf.DUMMYFUNCTION("IF(ISBLANK(A322),,FILTER('Leetcode List'!B:C,'Leetcode List'!A:A = A322))"),"Nested List Weight Sum II")</f>
        <v>Nested List Weight Sum II</v>
      </c>
      <c r="C322" s="83" t="str">
        <f>IFERROR(__xludf.DUMMYFUNCTION("""COMPUTED_VALUE"""),"Medium")</f>
        <v>Medium</v>
      </c>
      <c r="D322" s="83" t="s">
        <v>4977</v>
      </c>
      <c r="E322" s="87" t="str">
        <f>IFERROR(__xludf.DUMMYFUNCTION("IF(ISBLANK(A322),,FILTER('Leetcode List'!E:J,'Leetcode List'!A:A = A322))"),"Amazon,DiDi,Facebook,LinkedIn")</f>
        <v>Amazon,DiDi,Facebook,LinkedIn</v>
      </c>
      <c r="F322" s="47" t="str">
        <f>IFERROR(__xludf.DUMMYFUNCTION("""COMPUTED_VALUE"""),"LinkedIn")</f>
        <v>LinkedIn</v>
      </c>
      <c r="G322" s="47" t="str">
        <f>IFERROR(__xludf.DUMMYFUNCTION("""COMPUTED_VALUE"""),"Facebook,LinkedIn")</f>
        <v>Facebook,LinkedIn</v>
      </c>
      <c r="H322" s="47" t="str">
        <f>IFERROR(__xludf.DUMMYFUNCTION("""COMPUTED_VALUE"""),"DiDi,Amazon,Facebook,LinkedIn")</f>
        <v>DiDi,Amazon,Facebook,LinkedIn</v>
      </c>
      <c r="I322" s="47">
        <f>IFERROR(__xludf.DUMMYFUNCTION("""COMPUTED_VALUE"""),63.79)</f>
        <v>63.79</v>
      </c>
      <c r="J322" s="47" t="str">
        <f>IFERROR(__xludf.DUMMYFUNCTION("""COMPUTED_VALUE"""),"算法")</f>
        <v>算法</v>
      </c>
      <c r="K322" s="47">
        <v>321.0</v>
      </c>
      <c r="L322" s="6">
        <f>COUNTIF('Coder-1'!B:B,A322)</f>
        <v>0</v>
      </c>
      <c r="M322" s="6">
        <f>COUNTIF('Coder-2'!B:B,A322)</f>
        <v>0</v>
      </c>
      <c r="N322" s="6">
        <f>COUNTIF('Coder-3'!B:B,A322)</f>
        <v>0</v>
      </c>
      <c r="O322" s="6">
        <f>COUNTIF('Coder-4'!B:B,A322)</f>
        <v>0</v>
      </c>
    </row>
    <row r="323">
      <c r="A323" s="83">
        <v>127.0</v>
      </c>
      <c r="B323" s="86" t="str">
        <f>IFERROR(__xludf.DUMMYFUNCTION("IF(ISBLANK(A323),,FILTER('Leetcode List'!B:C,'Leetcode List'!A:A = A323))"),"Word Ladder")</f>
        <v>Word Ladder</v>
      </c>
      <c r="C323" s="83" t="str">
        <f>IFERROR(__xludf.DUMMYFUNCTION("""COMPUTED_VALUE"""),"Hard")</f>
        <v>Hard</v>
      </c>
      <c r="D323" s="83" t="s">
        <v>4977</v>
      </c>
      <c r="E323" s="87" t="str">
        <f>IFERROR(__xludf.DUMMYFUNCTION("IF(ISBLANK(A323),,FILTER('Leetcode List'!E:J,'Leetcode List'!A:A = A323))"),"Citadel,EBay,Yahoo,Cohesity,Tesla,Square,Pinterest,Qualtrics,Audible,Salesforce,VMware,Affirm,Walmart Labs,Snapchat,Zillow,ServiceNow,Expedia,Yelp,Oracle,Spotify,Lyft,Apple,Airbnb,Uber,Samsung,Bloomberg,Facebook,Amazon,LinkedIn,Microsoft,Google")</f>
        <v>Citadel,EBay,Yahoo,Cohesity,Tesla,Square,Pinterest,Qualtrics,Audible,Salesforce,VMware,Affirm,Walmart Labs,Snapchat,Zillow,ServiceNow,Expedia,Yelp,Oracle,Spotify,Lyft,Apple,Airbnb,Uber,Samsung,Bloomberg,Facebook,Amazon,LinkedIn,Microsoft,Google</v>
      </c>
      <c r="F323" s="47" t="str">
        <f>IFERROR(__xludf.DUMMYFUNCTION("""COMPUTED_VALUE"""),"Amazon,Facebook,Lyft,Google,Bloomberg,Uber,Microsoft,Oracle,Apple,Zillow,Snapchat,Yahoo,Qualtrics,Citadel")</f>
        <v>Amazon,Facebook,Lyft,Google,Bloomberg,Uber,Microsoft,Oracle,Apple,Zillow,Snapchat,Yahoo,Qualtrics,Citadel</v>
      </c>
      <c r="G323" s="47" t="str">
        <f>IFERROR(__xludf.DUMMYFUNCTION("""COMPUTED_VALUE"""),"Salesforce,eBay,LinkedIn,ServiceNow,Amazon,Facebook,Lyft,Google,Bloomberg,Uber,Microsoft,Oracle,Apple,Zillow,Snapchat,Yahoo,Qualtrics,Citadel")</f>
        <v>Salesforce,eBay,LinkedIn,ServiceNow,Amazon,Facebook,Lyft,Google,Bloomberg,Uber,Microsoft,Oracle,Apple,Zillow,Snapchat,Yahoo,Qualtrics,Citadel</v>
      </c>
      <c r="H323" s="47" t="str">
        <f>IFERROR(__xludf.DUMMYFUNCTION("""COMPUTED_VALUE"""),"Walmart Labs,VMware,Pinterest,Spotify,Yelp,Salesforce,eBay,LinkedIn,ServiceNow,Amazon,Facebook,Lyft,Google,Bloomberg,Uber,Microsoft,Oracle,Apple,Zillow,Snapchat,Yahoo,Qualtrics,Citadel")</f>
        <v>Walmart Labs,VMware,Pinterest,Spotify,Yelp,Salesforce,eBay,LinkedIn,ServiceNow,Amazon,Facebook,Lyft,Google,Bloomberg,Uber,Microsoft,Oracle,Apple,Zillow,Snapchat,Yahoo,Qualtrics,Citadel</v>
      </c>
      <c r="I323" s="47">
        <f>IFERROR(__xludf.DUMMYFUNCTION("""COMPUTED_VALUE"""),31.97)</f>
        <v>31.97</v>
      </c>
      <c r="J323" s="47" t="str">
        <f>IFERROR(__xludf.DUMMYFUNCTION("""COMPUTED_VALUE"""),"算法")</f>
        <v>算法</v>
      </c>
      <c r="K323" s="47">
        <v>322.0</v>
      </c>
      <c r="L323" s="6">
        <f>COUNTIF('Coder-1'!B:B,A323)</f>
        <v>0</v>
      </c>
      <c r="M323" s="6">
        <f>COUNTIF('Coder-2'!B:B,A323)</f>
        <v>0</v>
      </c>
      <c r="N323" s="6">
        <f>COUNTIF('Coder-3'!B:B,A323)</f>
        <v>0</v>
      </c>
      <c r="O323" s="6">
        <f>COUNTIF('Coder-4'!B:B,A323)</f>
        <v>0</v>
      </c>
    </row>
    <row r="324">
      <c r="A324" s="83">
        <v>51.0</v>
      </c>
      <c r="B324" s="86" t="str">
        <f>IFERROR(__xludf.DUMMYFUNCTION("IF(ISBLANK(A324),,FILTER('Leetcode List'!B:C,'Leetcode List'!A:A = A324))"),"N-Queens")</f>
        <v>N-Queens</v>
      </c>
      <c r="C324" s="83" t="str">
        <f>IFERROR(__xludf.DUMMYFUNCTION("""COMPUTED_VALUE"""),"Hard")</f>
        <v>Hard</v>
      </c>
      <c r="D324" s="83" t="s">
        <v>4977</v>
      </c>
      <c r="E324" s="87" t="str">
        <f>IFERROR(__xludf.DUMMYFUNCTION("IF(ISBLANK(A324),,FILTER('Leetcode List'!E:J,'Leetcode List'!A:A = A324))"),"Rubrik,ByteDance,Tableau,Oracle,EBay,Apple,Uber,Adobe,Facebook,Amazon,Microsoft,Google")</f>
        <v>Rubrik,ByteDance,Tableau,Oracle,EBay,Apple,Uber,Adobe,Facebook,Amazon,Microsoft,Google</v>
      </c>
      <c r="F324" s="47" t="str">
        <f>IFERROR(__xludf.DUMMYFUNCTION("""COMPUTED_VALUE"""),"Facebook,Amazon,ByteDance,Microsoft,Apple,Adobe")</f>
        <v>Facebook,Amazon,ByteDance,Microsoft,Apple,Adobe</v>
      </c>
      <c r="G324" s="47" t="str">
        <f>IFERROR(__xludf.DUMMYFUNCTION("""COMPUTED_VALUE"""),"eBay,Facebook,Amazon,ByteDance,Microsoft,Apple,Adobe")</f>
        <v>eBay,Facebook,Amazon,ByteDance,Microsoft,Apple,Adobe</v>
      </c>
      <c r="H324" s="47" t="str">
        <f>IFERROR(__xludf.DUMMYFUNCTION("""COMPUTED_VALUE"""),"Google,Rubrik,Oracle,Uber,eBay,Facebook,Amazon,ByteDance,Microsoft,Apple,Adobe")</f>
        <v>Google,Rubrik,Oracle,Uber,eBay,Facebook,Amazon,ByteDance,Microsoft,Apple,Adobe</v>
      </c>
      <c r="I324" s="47">
        <f>IFERROR(__xludf.DUMMYFUNCTION("""COMPUTED_VALUE"""),49.9)</f>
        <v>49.9</v>
      </c>
      <c r="J324" s="47" t="str">
        <f>IFERROR(__xludf.DUMMYFUNCTION("""COMPUTED_VALUE"""),"算法")</f>
        <v>算法</v>
      </c>
      <c r="K324" s="47">
        <v>323.0</v>
      </c>
      <c r="L324" s="6">
        <f>COUNTIF('Coder-1'!B:B,A324)</f>
        <v>0</v>
      </c>
      <c r="M324" s="6">
        <f>COUNTIF('Coder-2'!B:B,A324)</f>
        <v>0</v>
      </c>
      <c r="N324" s="6">
        <f>COUNTIF('Coder-3'!B:B,A324)</f>
        <v>0</v>
      </c>
      <c r="O324" s="6">
        <f>COUNTIF('Coder-4'!B:B,A324)</f>
        <v>0</v>
      </c>
    </row>
    <row r="325">
      <c r="A325" s="83">
        <v>52.0</v>
      </c>
      <c r="B325" s="86" t="str">
        <f>IFERROR(__xludf.DUMMYFUNCTION("IF(ISBLANK(A325),,FILTER('Leetcode List'!B:C,'Leetcode List'!A:A = A325))"),"N-Queens II")</f>
        <v>N-Queens II</v>
      </c>
      <c r="C325" s="83" t="str">
        <f>IFERROR(__xludf.DUMMYFUNCTION("""COMPUTED_VALUE"""),"Hard")</f>
        <v>Hard</v>
      </c>
      <c r="D325" s="83" t="s">
        <v>4977</v>
      </c>
      <c r="E325" s="87" t="str">
        <f>IFERROR(__xludf.DUMMYFUNCTION("IF(ISBLANK(A325),,FILTER('Leetcode List'!E:J,'Leetcode List'!A:A = A325))"),"Zenefits,Amazon")</f>
        <v>Zenefits,Amazon</v>
      </c>
      <c r="F325" s="47"/>
      <c r="G325" s="47"/>
      <c r="H325" s="47" t="str">
        <f>IFERROR(__xludf.DUMMYFUNCTION("""COMPUTED_VALUE"""),"Amazon,Zenefits")</f>
        <v>Amazon,Zenefits</v>
      </c>
      <c r="I325" s="47">
        <f>IFERROR(__xludf.DUMMYFUNCTION("""COMPUTED_VALUE"""),60.36)</f>
        <v>60.36</v>
      </c>
      <c r="J325" s="47" t="str">
        <f>IFERROR(__xludf.DUMMYFUNCTION("""COMPUTED_VALUE"""),"算法")</f>
        <v>算法</v>
      </c>
      <c r="K325" s="47">
        <v>324.0</v>
      </c>
      <c r="L325" s="6">
        <f>COUNTIF('Coder-1'!B:B,A325)</f>
        <v>0</v>
      </c>
      <c r="M325" s="6">
        <f>COUNTIF('Coder-2'!B:B,A325)</f>
        <v>0</v>
      </c>
      <c r="N325" s="6">
        <f>COUNTIF('Coder-3'!B:B,A325)</f>
        <v>0</v>
      </c>
      <c r="O325" s="6">
        <f>COUNTIF('Coder-4'!B:B,A325)</f>
        <v>0</v>
      </c>
    </row>
    <row r="326">
      <c r="A326" s="83">
        <v>126.0</v>
      </c>
      <c r="B326" s="86" t="str">
        <f>IFERROR(__xludf.DUMMYFUNCTION("IF(ISBLANK(A326),,FILTER('Leetcode List'!B:C,'Leetcode List'!A:A = A326))"),"Word Ladder II")</f>
        <v>Word Ladder II</v>
      </c>
      <c r="C326" s="83" t="str">
        <f>IFERROR(__xludf.DUMMYFUNCTION("""COMPUTED_VALUE"""),"Hard")</f>
        <v>Hard</v>
      </c>
      <c r="D326" s="83" t="s">
        <v>4977</v>
      </c>
      <c r="E326" s="87" t="str">
        <f>IFERROR(__xludf.DUMMYFUNCTION("IF(ISBLANK(A326),,FILTER('Leetcode List'!E:J,'Leetcode List'!A:A = A326))"),"Snapchat,Bloomberg,Pinterest,Box,Yelp,Oracle,Lyft,Apple,Uber,Yahoo,Facebook,Amazon,LinkedIn,Microsoft,Google")</f>
        <v>Snapchat,Bloomberg,Pinterest,Box,Yelp,Oracle,Lyft,Apple,Uber,Yahoo,Facebook,Amazon,LinkedIn,Microsoft,Google</v>
      </c>
      <c r="F326" s="47" t="str">
        <f>IFERROR(__xludf.DUMMYFUNCTION("""COMPUTED_VALUE"""),"Amazon,Bloomberg,Uber,Facebook,Box,Lyft,Microsoft,Google")</f>
        <v>Amazon,Bloomberg,Uber,Facebook,Box,Lyft,Microsoft,Google</v>
      </c>
      <c r="G326" s="47" t="str">
        <f>IFERROR(__xludf.DUMMYFUNCTION("""COMPUTED_VALUE"""),"Apple,Amazon,Bloomberg,Uber,Facebook,Box,Lyft,Microsoft,Google")</f>
        <v>Apple,Amazon,Bloomberg,Uber,Facebook,Box,Lyft,Microsoft,Google</v>
      </c>
      <c r="H326" s="47" t="str">
        <f>IFERROR(__xludf.DUMMYFUNCTION("""COMPUTED_VALUE"""),"Oracle,Pinterest,LinkedIn,Snapchat,Yahoo,Yelp,Apple,Amazon,Bloomberg,Uber,Facebook,Box,Lyft,Microsoft,Google")</f>
        <v>Oracle,Pinterest,LinkedIn,Snapchat,Yahoo,Yelp,Apple,Amazon,Bloomberg,Uber,Facebook,Box,Lyft,Microsoft,Google</v>
      </c>
      <c r="I326" s="47">
        <f>IFERROR(__xludf.DUMMYFUNCTION("""COMPUTED_VALUE"""),23.85)</f>
        <v>23.85</v>
      </c>
      <c r="J326" s="47" t="str">
        <f>IFERROR(__xludf.DUMMYFUNCTION("""COMPUTED_VALUE"""),"算法")</f>
        <v>算法</v>
      </c>
      <c r="K326" s="47">
        <v>325.0</v>
      </c>
      <c r="L326" s="6">
        <f>COUNTIF('Coder-1'!B:B,A326)</f>
        <v>0</v>
      </c>
      <c r="M326" s="6">
        <f>COUNTIF('Coder-2'!B:B,A326)</f>
        <v>0</v>
      </c>
      <c r="N326" s="6">
        <f>COUNTIF('Coder-3'!B:B,A326)</f>
        <v>0</v>
      </c>
      <c r="O326" s="6">
        <f>COUNTIF('Coder-4'!B:B,A326)</f>
        <v>0</v>
      </c>
    </row>
    <row r="327">
      <c r="A327" s="83">
        <v>155.0</v>
      </c>
      <c r="B327" s="86" t="str">
        <f>IFERROR(__xludf.DUMMYFUNCTION("IF(ISBLANK(A327),,FILTER('Leetcode List'!B:C,'Leetcode List'!A:A = A327))"),"Min Stack")</f>
        <v>Min Stack</v>
      </c>
      <c r="C327" s="83" t="str">
        <f>IFERROR(__xludf.DUMMYFUNCTION("""COMPUTED_VALUE"""),"Easy")</f>
        <v>Easy</v>
      </c>
      <c r="D327" s="83" t="s">
        <v>240</v>
      </c>
      <c r="E327" s="87" t="str">
        <f>IFERROR(__xludf.DUMMYFUNCTION("IF(ISBLANK(A327),,FILTER('Leetcode List'!E:J,'Leetcode List'!A:A = A327))"),"Deutsche Bank,Capital One,Groupon,VMware,Twitter,Cisco,Netflix,Pure Storage,Zenefits,Flipkart,Visa,Walmart Labs,Snapchat,ServiceNow,Wish,Oracle,Intuit,Lyft,EBay,Apple,Uber,Bloomberg,Adobe,Facebook,Amazon,LinkedIn,Microsoft,Goldman Sachs,Google")</f>
        <v>Deutsche Bank,Capital One,Groupon,VMware,Twitter,Cisco,Netflix,Pure Storage,Zenefits,Flipkart,Visa,Walmart Labs,Snapchat,ServiceNow,Wish,Oracle,Intuit,Lyft,EBay,Apple,Uber,Bloomberg,Adobe,Facebook,Amazon,LinkedIn,Microsoft,Goldman Sachs,Google</v>
      </c>
      <c r="F327" s="47" t="str">
        <f>IFERROR(__xludf.DUMMYFUNCTION("""COMPUTED_VALUE"""),"Capital One,Amazon,Bloomberg,Microsoft,Oracle,eBay,Apple")</f>
        <v>Capital One,Amazon,Bloomberg,Microsoft,Oracle,eBay,Apple</v>
      </c>
      <c r="G327" s="47" t="str">
        <f>IFERROR(__xludf.DUMMYFUNCTION("""COMPUTED_VALUE"""),"Goldman Sachs,Google,Facebook,Walmart Labs,Netflix,Deutsche Bank,Capital One,Amazon,Bloomberg,Microsoft,Oracle,eBay,Apple")</f>
        <v>Goldman Sachs,Google,Facebook,Walmart Labs,Netflix,Deutsche Bank,Capital One,Amazon,Bloomberg,Microsoft,Oracle,eBay,Apple</v>
      </c>
      <c r="H327" s="47" t="str">
        <f>IFERROR(__xludf.DUMMYFUNCTION("""COMPUTED_VALUE"""),"Adobe,Wish,Pure Storage,Lyft,Cisco,Uber,VMware,Visa,Intuit,ServiceNow,Flipkart,Groupon,Twitter,Snapchat,Zenefits,Goldman Sachs,Google,Facebook,Walmart Labs,Netflix,Deutsche Bank,Capital One,Amazon,Bloomberg,Microsoft,Oracle,eBay,Apple")</f>
        <v>Adobe,Wish,Pure Storage,Lyft,Cisco,Uber,VMware,Visa,Intuit,ServiceNow,Flipkart,Groupon,Twitter,Snapchat,Zenefits,Goldman Sachs,Google,Facebook,Walmart Labs,Netflix,Deutsche Bank,Capital One,Amazon,Bloomberg,Microsoft,Oracle,eBay,Apple</v>
      </c>
      <c r="I327" s="47">
        <f>IFERROR(__xludf.DUMMYFUNCTION("""COMPUTED_VALUE"""),46.6)</f>
        <v>46.6</v>
      </c>
      <c r="J327" s="47" t="str">
        <f>IFERROR(__xludf.DUMMYFUNCTION("""COMPUTED_VALUE"""),"算法")</f>
        <v>算法</v>
      </c>
      <c r="K327" s="47">
        <v>326.0</v>
      </c>
      <c r="L327" s="6">
        <f>COUNTIF('Coder-1'!B:B,A327)</f>
        <v>0</v>
      </c>
      <c r="M327" s="6">
        <f>COUNTIF('Coder-2'!B:B,A327)</f>
        <v>0</v>
      </c>
      <c r="N327" s="6">
        <f>COUNTIF('Coder-3'!B:B,A327)</f>
        <v>0</v>
      </c>
      <c r="O327" s="6">
        <f>COUNTIF('Coder-4'!B:B,A327)</f>
        <v>0</v>
      </c>
    </row>
    <row r="328">
      <c r="A328" s="83">
        <v>232.0</v>
      </c>
      <c r="B328" s="86" t="str">
        <f>IFERROR(__xludf.DUMMYFUNCTION("IF(ISBLANK(A328),,FILTER('Leetcode List'!B:C,'Leetcode List'!A:A = A328))"),"Implement Queue using Stacks")</f>
        <v>Implement Queue using Stacks</v>
      </c>
      <c r="C328" s="83" t="str">
        <f>IFERROR(__xludf.DUMMYFUNCTION("""COMPUTED_VALUE"""),"Easy")</f>
        <v>Easy</v>
      </c>
      <c r="D328" s="83" t="s">
        <v>240</v>
      </c>
      <c r="E328" s="87" t="str">
        <f>IFERROR(__xludf.DUMMYFUNCTION("IF(ISBLANK(A328),,FILTER('Leetcode List'!E:J,'Leetcode List'!A:A = A328))"),"Twilio,Poshmark,ByteDance,Citrix,Morgan Stanley,Facebook,Salesforce,Citadel,Oracle,Mathworks,Yandex,EBay,Apple,Uber,Yahoo,Bloomberg,Amazon,Microsoft,Google")</f>
        <v>Twilio,Poshmark,ByteDance,Citrix,Morgan Stanley,Facebook,Salesforce,Citadel,Oracle,Mathworks,Yandex,EBay,Apple,Uber,Yahoo,Bloomberg,Amazon,Microsoft,Google</v>
      </c>
      <c r="F328" s="47" t="str">
        <f>IFERROR(__xludf.DUMMYFUNCTION("""COMPUTED_VALUE"""),"Amazon,Microsoft,Apple,Facebook,Citrix,Morgan Stanley")</f>
        <v>Amazon,Microsoft,Apple,Facebook,Citrix,Morgan Stanley</v>
      </c>
      <c r="G328" s="47" t="str">
        <f>IFERROR(__xludf.DUMMYFUNCTION("""COMPUTED_VALUE"""),"Citadel,Amazon,Microsoft,Apple,Facebook,Citrix,Morgan Stanley")</f>
        <v>Citadel,Amazon,Microsoft,Apple,Facebook,Citrix,Morgan Stanley</v>
      </c>
      <c r="H328" s="47" t="str">
        <f>IFERROR(__xludf.DUMMYFUNCTION("""COMPUTED_VALUE"""),"Oracle,Mathworks,Yandex,ByteDance,Salesforce,Bloomberg,Google,Twilio,Poshmark,Citadel,Amazon,Microsoft,Apple,Facebook,Citrix,Morgan Stanley")</f>
        <v>Oracle,Mathworks,Yandex,ByteDance,Salesforce,Bloomberg,Google,Twilio,Poshmark,Citadel,Amazon,Microsoft,Apple,Facebook,Citrix,Morgan Stanley</v>
      </c>
      <c r="I328" s="47">
        <f>IFERROR(__xludf.DUMMYFUNCTION("""COMPUTED_VALUE"""),52.47)</f>
        <v>52.47</v>
      </c>
      <c r="J328" s="47" t="str">
        <f>IFERROR(__xludf.DUMMYFUNCTION("""COMPUTED_VALUE"""),"算法")</f>
        <v>算法</v>
      </c>
      <c r="K328" s="47">
        <v>327.0</v>
      </c>
      <c r="L328" s="6">
        <f>COUNTIF('Coder-1'!B:B,A328)</f>
        <v>0</v>
      </c>
      <c r="M328" s="6">
        <f>COUNTIF('Coder-2'!B:B,A328)</f>
        <v>0</v>
      </c>
      <c r="N328" s="6">
        <f>COUNTIF('Coder-3'!B:B,A328)</f>
        <v>0</v>
      </c>
      <c r="O328" s="6">
        <f>COUNTIF('Coder-4'!B:B,A328)</f>
        <v>0</v>
      </c>
    </row>
    <row r="329">
      <c r="A329" s="83">
        <v>225.0</v>
      </c>
      <c r="B329" s="86" t="str">
        <f>IFERROR(__xludf.DUMMYFUNCTION("IF(ISBLANK(A329),,FILTER('Leetcode List'!B:C,'Leetcode List'!A:A = A329))"),"Implement Stack using Queues")</f>
        <v>Implement Stack using Queues</v>
      </c>
      <c r="C329" s="83" t="str">
        <f>IFERROR(__xludf.DUMMYFUNCTION("""COMPUTED_VALUE"""),"Easy")</f>
        <v>Easy</v>
      </c>
      <c r="D329" s="83" t="s">
        <v>240</v>
      </c>
      <c r="E329" s="87" t="str">
        <f>IFERROR(__xludf.DUMMYFUNCTION("IF(ISBLANK(A329),,FILTER('Leetcode List'!E:J,'Leetcode List'!A:A = A329))"),"Paypal,Twilio,Citadel,Mathworks,Yahoo,Bloomberg,Amazon,Microsoft")</f>
        <v>Paypal,Twilio,Citadel,Mathworks,Yahoo,Bloomberg,Amazon,Microsoft</v>
      </c>
      <c r="F329" s="47" t="str">
        <f>IFERROR(__xludf.DUMMYFUNCTION("""COMPUTED_VALUE"""),"Twilio,Paypal")</f>
        <v>Twilio,Paypal</v>
      </c>
      <c r="G329" s="47" t="str">
        <f>IFERROR(__xludf.DUMMYFUNCTION("""COMPUTED_VALUE"""),"Amazon,Twilio,Paypal")</f>
        <v>Amazon,Twilio,Paypal</v>
      </c>
      <c r="H329" s="47" t="str">
        <f>IFERROR(__xludf.DUMMYFUNCTION("""COMPUTED_VALUE"""),"Microsoft,Mathworks,Citadel,Bloomberg,Amazon,Twilio,Paypal")</f>
        <v>Microsoft,Mathworks,Citadel,Bloomberg,Amazon,Twilio,Paypal</v>
      </c>
      <c r="I329" s="47">
        <f>IFERROR(__xludf.DUMMYFUNCTION("""COMPUTED_VALUE"""),47.66)</f>
        <v>47.66</v>
      </c>
      <c r="J329" s="47" t="str">
        <f>IFERROR(__xludf.DUMMYFUNCTION("""COMPUTED_VALUE"""),"算法")</f>
        <v>算法</v>
      </c>
      <c r="K329" s="47">
        <v>328.0</v>
      </c>
      <c r="L329" s="6">
        <f>COUNTIF('Coder-1'!B:B,A329)</f>
        <v>0</v>
      </c>
      <c r="M329" s="6">
        <f>COUNTIF('Coder-2'!B:B,A329)</f>
        <v>0</v>
      </c>
      <c r="N329" s="6">
        <f>COUNTIF('Coder-3'!B:B,A329)</f>
        <v>0</v>
      </c>
      <c r="O329" s="6">
        <f>COUNTIF('Coder-4'!B:B,A329)</f>
        <v>0</v>
      </c>
    </row>
    <row r="330">
      <c r="A330" s="83">
        <v>150.0</v>
      </c>
      <c r="B330" s="86" t="str">
        <f>IFERROR(__xludf.DUMMYFUNCTION("IF(ISBLANK(A330),,FILTER('Leetcode List'!B:C,'Leetcode List'!A:A = A330))"),"Evaluate Reverse Polish Notation")</f>
        <v>Evaluate Reverse Polish Notation</v>
      </c>
      <c r="C330" s="83" t="str">
        <f>IFERROR(__xludf.DUMMYFUNCTION("""COMPUTED_VALUE"""),"Medium")</f>
        <v>Medium</v>
      </c>
      <c r="D330" s="83" t="s">
        <v>240</v>
      </c>
      <c r="E330" s="87" t="str">
        <f>IFERROR(__xludf.DUMMYFUNCTION("IF(ISBLANK(A330),,FILTER('Leetcode List'!E:J,'Leetcode List'!A:A = A330))"),"Toptal,Oracle,Adobe,Opendoor,Atlassian,VMware,Zillow,Yandex,Uber,Facebook,Amazon,LinkedIn,Microsoft,Google")</f>
        <v>Toptal,Oracle,Adobe,Opendoor,Atlassian,VMware,Zillow,Yandex,Uber,Facebook,Amazon,LinkedIn,Microsoft,Google</v>
      </c>
      <c r="F330" s="47" t="str">
        <f>IFERROR(__xludf.DUMMYFUNCTION("""COMPUTED_VALUE"""),"Amazon,Oracle,LinkedIn,Google,Microsoft")</f>
        <v>Amazon,Oracle,LinkedIn,Google,Microsoft</v>
      </c>
      <c r="G330" s="47" t="str">
        <f>IFERROR(__xludf.DUMMYFUNCTION("""COMPUTED_VALUE"""),"Facebook,Atlassian,VMware,Adobe,Yandex,Toptal,Amazon,Oracle,LinkedIn,Google,Microsoft")</f>
        <v>Facebook,Atlassian,VMware,Adobe,Yandex,Toptal,Amazon,Oracle,LinkedIn,Google,Microsoft</v>
      </c>
      <c r="H330" s="47" t="str">
        <f>IFERROR(__xludf.DUMMYFUNCTION("""COMPUTED_VALUE"""),"Opendoor,Zillow,Facebook,Atlassian,VMware,Adobe,Yandex,Toptal,Amazon,Oracle,LinkedIn,Google,Microsoft")</f>
        <v>Opendoor,Zillow,Facebook,Atlassian,VMware,Adobe,Yandex,Toptal,Amazon,Oracle,LinkedIn,Google,Microsoft</v>
      </c>
      <c r="I330" s="47">
        <f>IFERROR(__xludf.DUMMYFUNCTION("""COMPUTED_VALUE"""),38.06)</f>
        <v>38.06</v>
      </c>
      <c r="J330" s="47" t="str">
        <f>IFERROR(__xludf.DUMMYFUNCTION("""COMPUTED_VALUE"""),"算法")</f>
        <v>算法</v>
      </c>
      <c r="K330" s="47">
        <v>329.0</v>
      </c>
      <c r="L330" s="6">
        <f>COUNTIF('Coder-1'!B:B,A330)</f>
        <v>0</v>
      </c>
      <c r="M330" s="6">
        <f>COUNTIF('Coder-2'!B:B,A330)</f>
        <v>0</v>
      </c>
      <c r="N330" s="6">
        <f>COUNTIF('Coder-3'!B:B,A330)</f>
        <v>0</v>
      </c>
      <c r="O330" s="6">
        <f>COUNTIF('Coder-4'!B:B,A330)</f>
        <v>0</v>
      </c>
    </row>
    <row r="331">
      <c r="A331" s="83">
        <v>71.0</v>
      </c>
      <c r="B331" s="86" t="str">
        <f>IFERROR(__xludf.DUMMYFUNCTION("IF(ISBLANK(A331),,FILTER('Leetcode List'!B:C,'Leetcode List'!A:A = A331))"),"Simplify Path")</f>
        <v>Simplify Path</v>
      </c>
      <c r="C331" s="83" t="str">
        <f>IFERROR(__xludf.DUMMYFUNCTION("""COMPUTED_VALUE"""),"Medium")</f>
        <v>Medium</v>
      </c>
      <c r="D331" s="83" t="s">
        <v>240</v>
      </c>
      <c r="E331" s="87" t="str">
        <f>IFERROR(__xludf.DUMMYFUNCTION("IF(ISBLANK(A331),,FILTER('Leetcode List'!E:J,'Leetcode List'!A:A = A331))"),"Qualtrics,Adobe,Google,Docusign,ByteDance,Salesforce,Oracle,Yandex,Bloomberg,Facebook,Amazon,Microsoft")</f>
        <v>Qualtrics,Adobe,Google,Docusign,ByteDance,Salesforce,Oracle,Yandex,Bloomberg,Facebook,Amazon,Microsoft</v>
      </c>
      <c r="F331" s="47" t="str">
        <f>IFERROR(__xludf.DUMMYFUNCTION("""COMPUTED_VALUE"""),"Facebook,Amazon,Microsoft,Google")</f>
        <v>Facebook,Amazon,Microsoft,Google</v>
      </c>
      <c r="G331" s="47" t="str">
        <f>IFERROR(__xludf.DUMMYFUNCTION("""COMPUTED_VALUE"""),"Adobe,Bloomberg,Oracle,Facebook,Amazon,Microsoft,Google")</f>
        <v>Adobe,Bloomberg,Oracle,Facebook,Amazon,Microsoft,Google</v>
      </c>
      <c r="H331" s="47" t="str">
        <f>IFERROR(__xludf.DUMMYFUNCTION("""COMPUTED_VALUE"""),"Yandex,Qualtrics,Docusign,Adobe,Bloomberg,Oracle,Facebook,Amazon,Microsoft,Google")</f>
        <v>Yandex,Qualtrics,Docusign,Adobe,Bloomberg,Oracle,Facebook,Amazon,Microsoft,Google</v>
      </c>
      <c r="I331" s="47">
        <f>IFERROR(__xludf.DUMMYFUNCTION("""COMPUTED_VALUE"""),34.8)</f>
        <v>34.8</v>
      </c>
      <c r="J331" s="47" t="str">
        <f>IFERROR(__xludf.DUMMYFUNCTION("""COMPUTED_VALUE"""),"算法")</f>
        <v>算法</v>
      </c>
      <c r="K331" s="47">
        <v>330.0</v>
      </c>
      <c r="L331" s="6">
        <f>COUNTIF('Coder-1'!B:B,A331)</f>
        <v>0</v>
      </c>
      <c r="M331" s="6">
        <f>COUNTIF('Coder-2'!B:B,A331)</f>
        <v>0</v>
      </c>
      <c r="N331" s="6">
        <f>COUNTIF('Coder-3'!B:B,A331)</f>
        <v>0</v>
      </c>
      <c r="O331" s="6">
        <f>COUNTIF('Coder-4'!B:B,A331)</f>
        <v>0</v>
      </c>
    </row>
    <row r="332">
      <c r="A332" s="83">
        <v>388.0</v>
      </c>
      <c r="B332" s="86" t="str">
        <f>IFERROR(__xludf.DUMMYFUNCTION("IF(ISBLANK(A332),,FILTER('Leetcode List'!B:C,'Leetcode List'!A:A = A332))"),"Longest Absolute File Path")</f>
        <v>Longest Absolute File Path</v>
      </c>
      <c r="C332" s="83" t="str">
        <f>IFERROR(__xludf.DUMMYFUNCTION("""COMPUTED_VALUE"""),"Medium")</f>
        <v>Medium</v>
      </c>
      <c r="D332" s="83" t="s">
        <v>240</v>
      </c>
      <c r="E332" s="87" t="str">
        <f>IFERROR(__xludf.DUMMYFUNCTION("IF(ISBLANK(A332),,FILTER('Leetcode List'!E:J,'Leetcode List'!A:A = A332))"),"Square,Nvidia,Bloomberg,Wish,Apple,Uber,Facebook,Amazon,Google")</f>
        <v>Square,Nvidia,Bloomberg,Wish,Apple,Uber,Facebook,Amazon,Google</v>
      </c>
      <c r="F332" s="47" t="str">
        <f>IFERROR(__xludf.DUMMYFUNCTION("""COMPUTED_VALUE"""),"Amazon,Facebook,Google")</f>
        <v>Amazon,Facebook,Google</v>
      </c>
      <c r="G332" s="47" t="str">
        <f>IFERROR(__xludf.DUMMYFUNCTION("""COMPUTED_VALUE"""),"Square,Apple,Bloomberg,Nvidia,Amazon,Facebook,Google")</f>
        <v>Square,Apple,Bloomberg,Nvidia,Amazon,Facebook,Google</v>
      </c>
      <c r="H332" s="47" t="str">
        <f>IFERROR(__xludf.DUMMYFUNCTION("""COMPUTED_VALUE"""),"Wish,Square,Apple,Bloomberg,Nvidia,Amazon,Facebook,Google")</f>
        <v>Wish,Square,Apple,Bloomberg,Nvidia,Amazon,Facebook,Google</v>
      </c>
      <c r="I332" s="47">
        <f>IFERROR(__xludf.DUMMYFUNCTION("""COMPUTED_VALUE"""),43.0)</f>
        <v>43</v>
      </c>
      <c r="J332" s="47" t="str">
        <f>IFERROR(__xludf.DUMMYFUNCTION("""COMPUTED_VALUE"""),"算法")</f>
        <v>算法</v>
      </c>
      <c r="K332" s="47">
        <v>331.0</v>
      </c>
      <c r="L332" s="6">
        <f>COUNTIF('Coder-1'!B:B,A332)</f>
        <v>0</v>
      </c>
      <c r="M332" s="6">
        <f>COUNTIF('Coder-2'!B:B,A332)</f>
        <v>0</v>
      </c>
      <c r="N332" s="6">
        <f>COUNTIF('Coder-3'!B:B,A332)</f>
        <v>0</v>
      </c>
      <c r="O332" s="6">
        <f>COUNTIF('Coder-4'!B:B,A332)</f>
        <v>0</v>
      </c>
    </row>
    <row r="333">
      <c r="A333" s="83">
        <v>394.0</v>
      </c>
      <c r="B333" s="86" t="str">
        <f>IFERROR(__xludf.DUMMYFUNCTION("IF(ISBLANK(A333),,FILTER('Leetcode List'!B:C,'Leetcode List'!A:A = A333))"),"Decode String")</f>
        <v>Decode String</v>
      </c>
      <c r="C333" s="83" t="str">
        <f>IFERROR(__xludf.DUMMYFUNCTION("""COMPUTED_VALUE"""),"Medium")</f>
        <v>Medium</v>
      </c>
      <c r="D333" s="83" t="s">
        <v>240</v>
      </c>
      <c r="E333" s="87" t="str">
        <f>IFERROR(__xludf.DUMMYFUNCTION("IF(ISBLANK(A333),,FILTER('Leetcode List'!E:J,'Leetcode List'!A:A = A333))"),"Splunk,Walmart Labs,Citrix,Alibaba,AppDynamics,Hulu,Cruise Automation,Coupang,Atlassian,ByteDance,Salesforce,VMware,Snapchat,Yelp,Oracle,Cisco,Huawei,EBay,Apple,Yahoo,Tencent,Bloomberg,Facebook,Amazon,Microsoft,Google")</f>
        <v>Splunk,Walmart Labs,Citrix,Alibaba,AppDynamics,Hulu,Cruise Automation,Coupang,Atlassian,ByteDance,Salesforce,VMware,Snapchat,Yelp,Oracle,Cisco,Huawei,EBay,Apple,Yahoo,Tencent,Bloomberg,Facebook,Amazon,Microsoft,Google</v>
      </c>
      <c r="F333" s="47" t="str">
        <f>IFERROR(__xludf.DUMMYFUNCTION("""COMPUTED_VALUE"""),"Bloomberg,Amazon,Google,Oracle,Apple,ByteDance,Walmart Labs,VMware,Cisco")</f>
        <v>Bloomberg,Amazon,Google,Oracle,Apple,ByteDance,Walmart Labs,VMware,Cisco</v>
      </c>
      <c r="G333" s="47" t="str">
        <f>IFERROR(__xludf.DUMMYFUNCTION("""COMPUTED_VALUE"""),"Microsoft,eBay,Coupang,Facebook,Tencent,Hulu,Citrix,Bloomberg,Amazon,Google,Oracle,Apple,ByteDance,Walmart Labs,VMware,Cisco")</f>
        <v>Microsoft,eBay,Coupang,Facebook,Tencent,Hulu,Citrix,Bloomberg,Amazon,Google,Oracle,Apple,ByteDance,Walmart Labs,VMware,Cisco</v>
      </c>
      <c r="H333" s="47" t="str">
        <f>IFERROR(__xludf.DUMMYFUNCTION("""COMPUTED_VALUE"""),"Huawei,Atlassian,Snapchat,Salesforce,Alibaba,Splunk,Yelp,Microsoft,eBay,Coupang,Facebook,Tencent,Hulu,Citrix,Bloomberg,Amazon,Google,Oracle,Apple,ByteDance,Walmart Labs,VMware,Cisco")</f>
        <v>Huawei,Atlassian,Snapchat,Salesforce,Alibaba,Splunk,Yelp,Microsoft,eBay,Coupang,Facebook,Tencent,Hulu,Citrix,Bloomberg,Amazon,Google,Oracle,Apple,ByteDance,Walmart Labs,VMware,Cisco</v>
      </c>
      <c r="I333" s="47">
        <f>IFERROR(__xludf.DUMMYFUNCTION("""COMPUTED_VALUE"""),52.8)</f>
        <v>52.8</v>
      </c>
      <c r="J333" s="47" t="str">
        <f>IFERROR(__xludf.DUMMYFUNCTION("""COMPUTED_VALUE"""),"算法")</f>
        <v>算法</v>
      </c>
      <c r="K333" s="47">
        <v>332.0</v>
      </c>
      <c r="L333" s="6">
        <f>COUNTIF('Coder-1'!B:B,A333)</f>
        <v>0</v>
      </c>
      <c r="M333" s="6">
        <f>COUNTIF('Coder-2'!B:B,A333)</f>
        <v>0</v>
      </c>
      <c r="N333" s="6">
        <f>COUNTIF('Coder-3'!B:B,A333)</f>
        <v>0</v>
      </c>
      <c r="O333" s="6">
        <f>COUNTIF('Coder-4'!B:B,A333)</f>
        <v>0</v>
      </c>
    </row>
    <row r="334">
      <c r="A334" s="83">
        <v>224.0</v>
      </c>
      <c r="B334" s="86" t="str">
        <f>IFERROR(__xludf.DUMMYFUNCTION("IF(ISBLANK(A334),,FILTER('Leetcode List'!B:C,'Leetcode List'!A:A = A334))"),"Basic Calculator")</f>
        <v>Basic Calculator</v>
      </c>
      <c r="C334" s="83" t="str">
        <f>IFERROR(__xludf.DUMMYFUNCTION("""COMPUTED_VALUE"""),"Hard")</f>
        <v>Hard</v>
      </c>
      <c r="D334" s="83" t="s">
        <v>240</v>
      </c>
      <c r="E334" s="87" t="str">
        <f>IFERROR(__xludf.DUMMYFUNCTION("IF(ISBLANK(A334),,FILTER('Leetcode List'!E:J,'Leetcode List'!A:A = A334))"),"Wayfair,Wish,ByteDance,Salesforce,Oracle,Apple,Jump Trading,Karat,Robinhood,Pinterest,Roblox,Snapchat,Indeed,Paypal,Intuit,Uber,Bloomberg,Adobe,Facebook,Amazon,Microsoft,Google")</f>
        <v>Wayfair,Wish,ByteDance,Salesforce,Oracle,Apple,Jump Trading,Karat,Robinhood,Pinterest,Roblox,Snapchat,Indeed,Paypal,Intuit,Uber,Bloomberg,Adobe,Facebook,Amazon,Microsoft,Google</v>
      </c>
      <c r="F334" s="47" t="str">
        <f>IFERROR(__xludf.DUMMYFUNCTION("""COMPUTED_VALUE"""),"Amazon,Indeed,Roblox,Facebook,Karat,Google,Uber,Microsoft,ByteDance,Wish")</f>
        <v>Amazon,Indeed,Roblox,Facebook,Karat,Google,Uber,Microsoft,ByteDance,Wish</v>
      </c>
      <c r="G334" s="47" t="str">
        <f>IFERROR(__xludf.DUMMYFUNCTION("""COMPUTED_VALUE"""),"Paypal,Robinhood,Wayfair,Amazon,Indeed,Roblox,Facebook,Karat,Google,Uber,Microsoft,ByteDance,Wish")</f>
        <v>Paypal,Robinhood,Wayfair,Amazon,Indeed,Roblox,Facebook,Karat,Google,Uber,Microsoft,ByteDance,Wish</v>
      </c>
      <c r="H334" s="47" t="str">
        <f>IFERROR(__xludf.DUMMYFUNCTION("""COMPUTED_VALUE"""),"Snapchat,Apple,Oracle,Salesforce,Paypal,Robinhood,Wayfair,Amazon,Indeed,Roblox,Facebook,Karat,Google,Uber,Microsoft,ByteDance,Wish")</f>
        <v>Snapchat,Apple,Oracle,Salesforce,Paypal,Robinhood,Wayfair,Amazon,Indeed,Roblox,Facebook,Karat,Google,Uber,Microsoft,ByteDance,Wish</v>
      </c>
      <c r="I334" s="47">
        <f>IFERROR(__xludf.DUMMYFUNCTION("""COMPUTED_VALUE"""),38.21)</f>
        <v>38.21</v>
      </c>
      <c r="J334" s="47" t="str">
        <f>IFERROR(__xludf.DUMMYFUNCTION("""COMPUTED_VALUE"""),"算法")</f>
        <v>算法</v>
      </c>
      <c r="K334" s="47">
        <v>333.0</v>
      </c>
      <c r="L334" s="6">
        <f>COUNTIF('Coder-1'!B:B,A334)</f>
        <v>0</v>
      </c>
      <c r="M334" s="6">
        <f>COUNTIF('Coder-2'!B:B,A334)</f>
        <v>0</v>
      </c>
      <c r="N334" s="6">
        <f>COUNTIF('Coder-3'!B:B,A334)</f>
        <v>0</v>
      </c>
      <c r="O334" s="6">
        <f>COUNTIF('Coder-4'!B:B,A334)</f>
        <v>0</v>
      </c>
    </row>
    <row r="335">
      <c r="A335" s="83">
        <v>227.0</v>
      </c>
      <c r="B335" s="86" t="str">
        <f>IFERROR(__xludf.DUMMYFUNCTION("IF(ISBLANK(A335),,FILTER('Leetcode List'!B:C,'Leetcode List'!A:A = A335))"),"Basic Calculator II")</f>
        <v>Basic Calculator II</v>
      </c>
      <c r="C335" s="83" t="str">
        <f>IFERROR(__xludf.DUMMYFUNCTION("""COMPUTED_VALUE"""),"Medium")</f>
        <v>Medium</v>
      </c>
      <c r="D335" s="83" t="s">
        <v>240</v>
      </c>
      <c r="E335" s="87" t="str">
        <f>IFERROR(__xludf.DUMMYFUNCTION("IF(ISBLANK(A335),,FILTER('Leetcode List'!E:J,'Leetcode List'!A:A = A335))"),"Postmates,Grab,Roblox,ByteDance,Reddit,DoorDash,IXL,Houzz,Atlassian,Tableau,Walmart Labs,Snapchat,Indeed,Paypal,Yelp,Oracle,Intuit,EBay,Apple,Airbnb,Uber,Tencent,Facebook,Amazon,Microsoft,Google")</f>
        <v>Postmates,Grab,Roblox,ByteDance,Reddit,DoorDash,IXL,Houzz,Atlassian,Tableau,Walmart Labs,Snapchat,Indeed,Paypal,Yelp,Oracle,Intuit,EBay,Apple,Airbnb,Uber,Tencent,Facebook,Amazon,Microsoft,Google</v>
      </c>
      <c r="F335" s="47" t="str">
        <f>IFERROR(__xludf.DUMMYFUNCTION("""COMPUTED_VALUE"""),"Amazon,Facebook,Microsoft,Roblox,Snapchat,Uber,Apple,Oracle")</f>
        <v>Amazon,Facebook,Microsoft,Roblox,Snapchat,Uber,Apple,Oracle</v>
      </c>
      <c r="G335" s="47" t="str">
        <f>IFERROR(__xludf.DUMMYFUNCTION("""COMPUTED_VALUE"""),"eBay,Google,Postmates,ByteDance,Grab,Amazon,Facebook,Microsoft,Roblox,Snapchat,Uber,Apple,Oracle")</f>
        <v>eBay,Google,Postmates,ByteDance,Grab,Amazon,Facebook,Microsoft,Roblox,Snapchat,Uber,Apple,Oracle</v>
      </c>
      <c r="H335" s="47" t="str">
        <f>IFERROR(__xludf.DUMMYFUNCTION("""COMPUTED_VALUE"""),"Houzz,Indeed,Reddit,DoorDash,Tableau,Walmart Labs,Paypal,Airbnb,eBay,Google,Postmates,ByteDance,Grab,Amazon,Facebook,Microsoft,Roblox,Snapchat,Uber,Apple,Oracle")</f>
        <v>Houzz,Indeed,Reddit,DoorDash,Tableau,Walmart Labs,Paypal,Airbnb,eBay,Google,Postmates,ByteDance,Grab,Amazon,Facebook,Microsoft,Roblox,Snapchat,Uber,Apple,Oracle</v>
      </c>
      <c r="I335" s="47">
        <f>IFERROR(__xludf.DUMMYFUNCTION("""COMPUTED_VALUE"""),38.63)</f>
        <v>38.63</v>
      </c>
      <c r="J335" s="47" t="str">
        <f>IFERROR(__xludf.DUMMYFUNCTION("""COMPUTED_VALUE"""),"算法")</f>
        <v>算法</v>
      </c>
      <c r="K335" s="47">
        <v>334.0</v>
      </c>
      <c r="L335" s="6">
        <f>COUNTIF('Coder-1'!B:B,A335)</f>
        <v>0</v>
      </c>
      <c r="M335" s="6">
        <f>COUNTIF('Coder-2'!B:B,A335)</f>
        <v>0</v>
      </c>
      <c r="N335" s="6">
        <f>COUNTIF('Coder-3'!B:B,A335)</f>
        <v>0</v>
      </c>
      <c r="O335" s="6">
        <f>COUNTIF('Coder-4'!B:B,A335)</f>
        <v>0</v>
      </c>
    </row>
    <row r="336">
      <c r="A336" s="83">
        <v>385.0</v>
      </c>
      <c r="B336" s="86" t="str">
        <f>IFERROR(__xludf.DUMMYFUNCTION("IF(ISBLANK(A336),,FILTER('Leetcode List'!B:C,'Leetcode List'!A:A = A336))"),"Mini Parser")</f>
        <v>Mini Parser</v>
      </c>
      <c r="C336" s="83" t="str">
        <f>IFERROR(__xludf.DUMMYFUNCTION("""COMPUTED_VALUE"""),"Medium")</f>
        <v>Medium</v>
      </c>
      <c r="D336" s="83" t="s">
        <v>240</v>
      </c>
      <c r="E336" s="87" t="str">
        <f>IFERROR(__xludf.DUMMYFUNCTION("IF(ISBLANK(A336),,FILTER('Leetcode List'!E:J,'Leetcode List'!A:A = A336))"),"Airbnb,Google")</f>
        <v>Airbnb,Google</v>
      </c>
      <c r="F336" s="47"/>
      <c r="G336" s="47"/>
      <c r="H336" s="47" t="str">
        <f>IFERROR(__xludf.DUMMYFUNCTION("""COMPUTED_VALUE"""),"Google,Airbnb")</f>
        <v>Google,Airbnb</v>
      </c>
      <c r="I336" s="47">
        <f>IFERROR(__xludf.DUMMYFUNCTION("""COMPUTED_VALUE"""),34.53)</f>
        <v>34.53</v>
      </c>
      <c r="J336" s="47" t="str">
        <f>IFERROR(__xludf.DUMMYFUNCTION("""COMPUTED_VALUE"""),"算法")</f>
        <v>算法</v>
      </c>
      <c r="K336" s="47">
        <v>335.0</v>
      </c>
      <c r="L336" s="6">
        <f>COUNTIF('Coder-1'!B:B,A336)</f>
        <v>0</v>
      </c>
      <c r="M336" s="6">
        <f>COUNTIF('Coder-2'!B:B,A336)</f>
        <v>0</v>
      </c>
      <c r="N336" s="6">
        <f>COUNTIF('Coder-3'!B:B,A336)</f>
        <v>0</v>
      </c>
      <c r="O336" s="6">
        <f>COUNTIF('Coder-4'!B:B,A336)</f>
        <v>0</v>
      </c>
    </row>
    <row r="337">
      <c r="A337" s="83">
        <v>84.0</v>
      </c>
      <c r="B337" s="86" t="str">
        <f>IFERROR(__xludf.DUMMYFUNCTION("IF(ISBLANK(A337),,FILTER('Leetcode List'!B:C,'Leetcode List'!A:A = A337))"),"Largest Rectangle in Histogram")</f>
        <v>Largest Rectangle in Histogram</v>
      </c>
      <c r="C337" s="83" t="str">
        <f>IFERROR(__xludf.DUMMYFUNCTION("""COMPUTED_VALUE"""),"Hard")</f>
        <v>Hard</v>
      </c>
      <c r="D337" s="83" t="s">
        <v>240</v>
      </c>
      <c r="E337" s="87" t="str">
        <f>IFERROR(__xludf.DUMMYFUNCTION("IF(ISBLANK(A337),,FILTER('Leetcode List'!E:J,'Leetcode List'!A:A = A337))"),"MAQ Software,Lyft,Tcs,ByteDance,Huawei,Uber,Flipkart,Walmart Labs,Twitter,Bloomberg,Adobe,Facebook,Amazon,Microsoft,Google")</f>
        <v>MAQ Software,Lyft,Tcs,ByteDance,Huawei,Uber,Flipkart,Walmart Labs,Twitter,Bloomberg,Adobe,Facebook,Amazon,Microsoft,Google</v>
      </c>
      <c r="F337" s="47" t="str">
        <f>IFERROR(__xludf.DUMMYFUNCTION("""COMPUTED_VALUE"""),"Amazon,ByteDance,Google,Adobe,Microsoft,Uber,Lyft,MAQ Software")</f>
        <v>Amazon,ByteDance,Google,Adobe,Microsoft,Uber,Lyft,MAQ Software</v>
      </c>
      <c r="G337" s="47" t="str">
        <f>IFERROR(__xludf.DUMMYFUNCTION("""COMPUTED_VALUE"""),"Bloomberg,Huawei,tcs,Amazon,ByteDance,Google,Adobe,Microsoft,Uber,Lyft,MAQ Software")</f>
        <v>Bloomberg,Huawei,tcs,Amazon,ByteDance,Google,Adobe,Microsoft,Uber,Lyft,MAQ Software</v>
      </c>
      <c r="H337" s="47" t="str">
        <f>IFERROR(__xludf.DUMMYFUNCTION("""COMPUTED_VALUE"""),"Flipkart,Facebook,Twitter,Bloomberg,Huawei,tcs,Amazon,ByteDance,Google,Adobe,Microsoft,Uber,Lyft,MAQ Software")</f>
        <v>Flipkart,Facebook,Twitter,Bloomberg,Huawei,tcs,Amazon,ByteDance,Google,Adobe,Microsoft,Uber,Lyft,MAQ Software</v>
      </c>
      <c r="I337" s="47">
        <f>IFERROR(__xludf.DUMMYFUNCTION("""COMPUTED_VALUE"""),37.28)</f>
        <v>37.28</v>
      </c>
      <c r="J337" s="47" t="str">
        <f>IFERROR(__xludf.DUMMYFUNCTION("""COMPUTED_VALUE"""),"算法")</f>
        <v>算法</v>
      </c>
      <c r="K337" s="47">
        <v>336.0</v>
      </c>
      <c r="L337" s="6">
        <f>COUNTIF('Coder-1'!B:B,A337)</f>
        <v>0</v>
      </c>
      <c r="M337" s="6">
        <f>COUNTIF('Coder-2'!B:B,A337)</f>
        <v>0</v>
      </c>
      <c r="N337" s="6">
        <f>COUNTIF('Coder-3'!B:B,A337)</f>
        <v>0</v>
      </c>
      <c r="O337" s="6">
        <f>COUNTIF('Coder-4'!B:B,A337)</f>
        <v>0</v>
      </c>
    </row>
    <row r="338">
      <c r="A338" s="83">
        <v>215.0</v>
      </c>
      <c r="B338" s="86" t="str">
        <f>IFERROR(__xludf.DUMMYFUNCTION("IF(ISBLANK(A338),,FILTER('Leetcode List'!B:C,'Leetcode List'!A:A = A338))"),"Kth Largest Element in an Array")</f>
        <v>Kth Largest Element in an Array</v>
      </c>
      <c r="C338" s="88" t="str">
        <f>IFERROR(__xludf.DUMMYFUNCTION("""COMPUTED_VALUE"""),"Medium")</f>
        <v>Medium</v>
      </c>
      <c r="D338" s="88" t="s">
        <v>4978</v>
      </c>
      <c r="E338" s="87" t="str">
        <f>IFERROR(__xludf.DUMMYFUNCTION("IF(ISBLANK(A338),,FILTER('Leetcode List'!E:J,'Leetcode List'!A:A = A338))"),"Accolite,Roblox,Zillow,Paypal,Cisco,Pocket Gems,Atlassian,Grab,ByteDance,Salesforce,VMware,Walmart Labs,Snapchat,JPMorgan,Expedia,Oracle,Spotify,EBay,Baidu,Apple,Airbnb,Uber,Yahoo,Tencent,Bloomberg,Adobe,Facebook,Amazon,LinkedIn,Microsoft,Alibaba,Goldman "&amp;"Sachs,Google")</f>
        <v>Accolite,Roblox,Zillow,Paypal,Cisco,Pocket Gems,Atlassian,Grab,ByteDance,Salesforce,VMware,Walmart Labs,Snapchat,JPMorgan,Expedia,Oracle,Spotify,EBay,Baidu,Apple,Airbnb,Uber,Yahoo,Tencent,Bloomberg,Adobe,Facebook,Amazon,LinkedIn,Microsoft,Alibaba,Goldman Sachs,Google</v>
      </c>
      <c r="F338" s="47" t="str">
        <f>IFERROR(__xludf.DUMMYFUNCTION("""COMPUTED_VALUE"""),"Facebook,Amazon,Walmart Labs,Apple,ByteDance,LinkedIn,Microsoft,Bloomberg,Adobe,Oracle,Salesforce,Google,Goldman Sachs,Spotify,Zillow")</f>
        <v>Facebook,Amazon,Walmart Labs,Apple,ByteDance,LinkedIn,Microsoft,Bloomberg,Adobe,Oracle,Salesforce,Google,Goldman Sachs,Spotify,Zillow</v>
      </c>
      <c r="G338" s="47" t="str">
        <f>IFERROR(__xludf.DUMMYFUNCTION("""COMPUTED_VALUE"""),"eBay,Uber,Expedia,Facebook,Amazon,Walmart Labs,Apple,ByteDance,LinkedIn,Microsoft,Bloomberg,Adobe,Oracle,Salesforce,Google,Goldman Sachs,Spotify,Zillow")</f>
        <v>eBay,Uber,Expedia,Facebook,Amazon,Walmart Labs,Apple,ByteDance,LinkedIn,Microsoft,Bloomberg,Adobe,Oracle,Salesforce,Google,Goldman Sachs,Spotify,Zillow</v>
      </c>
      <c r="H338" s="47" t="str">
        <f>IFERROR(__xludf.DUMMYFUNCTION("""COMPUTED_VALUE"""),"Yahoo,Alibaba,Tencent,VMware,Paypal,Atlassian,Roblox,Grab,Cisco,JPMorgan,Accolite,Pocket Gems,eBay,Uber,Expedia,Facebook,Amazon,Walmart Labs,Apple,ByteDance,LinkedIn,Microsoft,Bloomberg,Adobe,Oracle,Salesforce,Google,Goldman Sachs,Spotify,Zillow")</f>
        <v>Yahoo,Alibaba,Tencent,VMware,Paypal,Atlassian,Roblox,Grab,Cisco,JPMorgan,Accolite,Pocket Gems,eBay,Uber,Expedia,Facebook,Amazon,Walmart Labs,Apple,ByteDance,LinkedIn,Microsoft,Bloomberg,Adobe,Oracle,Salesforce,Google,Goldman Sachs,Spotify,Zillow</v>
      </c>
      <c r="I338" s="47">
        <f>IFERROR(__xludf.DUMMYFUNCTION("""COMPUTED_VALUE"""),58.66)</f>
        <v>58.66</v>
      </c>
      <c r="J338" s="47" t="str">
        <f>IFERROR(__xludf.DUMMYFUNCTION("""COMPUTED_VALUE"""),"算法")</f>
        <v>算法</v>
      </c>
      <c r="K338" s="47">
        <v>337.0</v>
      </c>
      <c r="L338" s="6">
        <f>COUNTIF('Coder-1'!B:B,A338)</f>
        <v>0</v>
      </c>
      <c r="M338" s="6">
        <f>COUNTIF('Coder-2'!B:B,A338)</f>
        <v>0</v>
      </c>
      <c r="N338" s="6">
        <f>COUNTIF('Coder-3'!B:B,A338)</f>
        <v>0</v>
      </c>
      <c r="O338" s="6">
        <f>COUNTIF('Coder-4'!B:B,A338)</f>
        <v>0</v>
      </c>
    </row>
    <row r="339">
      <c r="A339" s="83">
        <v>347.0</v>
      </c>
      <c r="B339" s="86" t="str">
        <f>IFERROR(__xludf.DUMMYFUNCTION("IF(ISBLANK(A339),,FILTER('Leetcode List'!B:C,'Leetcode List'!A:A = A339))"),"Top K Frequent Elements")</f>
        <v>Top K Frequent Elements</v>
      </c>
      <c r="C339" s="88" t="str">
        <f>IFERROR(__xludf.DUMMYFUNCTION("""COMPUTED_VALUE"""),"Medium")</f>
        <v>Medium</v>
      </c>
      <c r="D339" s="88" t="s">
        <v>4978</v>
      </c>
      <c r="E339" s="87" t="str">
        <f>IFERROR(__xludf.DUMMYFUNCTION("IF(ISBLANK(A339),,FILTER('Leetcode List'!E:J,'Leetcode List'!A:A = A339))"),"Booking.com,Capital One,Infosys,Hulu,Pocket Gems,ByteDance,Salesforce,VMware,Walmart Labs,Snapchat,Yelp,Oracle,Spotify,EBay,Apple,Uber,Yahoo,Bloomberg,Facebook,Amazon,LinkedIn,Microsoft,Goldman Sachs,Google")</f>
        <v>Booking.com,Capital One,Infosys,Hulu,Pocket Gems,ByteDance,Salesforce,VMware,Walmart Labs,Snapchat,Yelp,Oracle,Spotify,EBay,Apple,Uber,Yahoo,Bloomberg,Facebook,Amazon,LinkedIn,Microsoft,Goldman Sachs,Google</v>
      </c>
      <c r="F339" s="47" t="str">
        <f>IFERROR(__xludf.DUMMYFUNCTION("""COMPUTED_VALUE"""),"Capital One,Facebook,Amazon,Oracle,Apple,Bloomberg,Google,ByteDance,Walmart Labs,Yelp,Microsoft,eBay")</f>
        <v>Capital One,Facebook,Amazon,Oracle,Apple,Bloomberg,Google,ByteDance,Walmart Labs,Yelp,Microsoft,eBay</v>
      </c>
      <c r="G339" s="47" t="str">
        <f>IFERROR(__xludf.DUMMYFUNCTION("""COMPUTED_VALUE"""),"Pocket Gems,Goldman Sachs,Capital One,Facebook,Amazon,Oracle,Apple,Bloomberg,Google,ByteDance,Walmart Labs,Yelp,Microsoft,eBay")</f>
        <v>Pocket Gems,Goldman Sachs,Capital One,Facebook,Amazon,Oracle,Apple,Bloomberg,Google,ByteDance,Walmart Labs,Yelp,Microsoft,eBay</v>
      </c>
      <c r="H339" s="47" t="str">
        <f>IFERROR(__xludf.DUMMYFUNCTION("""COMPUTED_VALUE"""),"Uber,Snapchat,Spotify,VMware,Yahoo,Hulu,Booking.com,Infosys,Pocket Gems,Goldman Sachs,Capital One,Facebook,Amazon,Oracle,Apple,Bloomberg,Google,ByteDance,Walmart Labs,Yelp,Microsoft,eBay")</f>
        <v>Uber,Snapchat,Spotify,VMware,Yahoo,Hulu,Booking.com,Infosys,Pocket Gems,Goldman Sachs,Capital One,Facebook,Amazon,Oracle,Apple,Bloomberg,Google,ByteDance,Walmart Labs,Yelp,Microsoft,eBay</v>
      </c>
      <c r="I339" s="47">
        <f>IFERROR(__xludf.DUMMYFUNCTION("""COMPUTED_VALUE"""),62.5)</f>
        <v>62.5</v>
      </c>
      <c r="J339" s="47" t="str">
        <f>IFERROR(__xludf.DUMMYFUNCTION("""COMPUTED_VALUE"""),"算法")</f>
        <v>算法</v>
      </c>
      <c r="K339" s="47">
        <v>338.0</v>
      </c>
      <c r="L339" s="6">
        <f>COUNTIF('Coder-1'!B:B,A339)</f>
        <v>0</v>
      </c>
      <c r="M339" s="6">
        <f>COUNTIF('Coder-2'!B:B,A339)</f>
        <v>0</v>
      </c>
      <c r="N339" s="6">
        <f>COUNTIF('Coder-3'!B:B,A339)</f>
        <v>0</v>
      </c>
      <c r="O339" s="6">
        <f>COUNTIF('Coder-4'!B:B,A339)</f>
        <v>0</v>
      </c>
    </row>
    <row r="340">
      <c r="A340" s="83">
        <v>313.0</v>
      </c>
      <c r="B340" s="86" t="str">
        <f>IFERROR(__xludf.DUMMYFUNCTION("IF(ISBLANK(A340),,FILTER('Leetcode List'!B:C,'Leetcode List'!A:A = A340))"),"Super Ugly Number")</f>
        <v>Super Ugly Number</v>
      </c>
      <c r="C340" s="88" t="str">
        <f>IFERROR(__xludf.DUMMYFUNCTION("""COMPUTED_VALUE"""),"Medium")</f>
        <v>Medium</v>
      </c>
      <c r="D340" s="88" t="s">
        <v>4978</v>
      </c>
      <c r="E340" s="87" t="str">
        <f>IFERROR(__xludf.DUMMYFUNCTION("IF(ISBLANK(A340),,FILTER('Leetcode List'!E:J,'Leetcode List'!A:A = A340))"),"Amazon,Google")</f>
        <v>Amazon,Google</v>
      </c>
      <c r="F340" s="47"/>
      <c r="G340" s="47"/>
      <c r="H340" s="47" t="str">
        <f>IFERROR(__xludf.DUMMYFUNCTION("""COMPUTED_VALUE"""),"Amazon,Google")</f>
        <v>Amazon,Google</v>
      </c>
      <c r="I340" s="47">
        <f>IFERROR(__xludf.DUMMYFUNCTION("""COMPUTED_VALUE"""),46.25)</f>
        <v>46.25</v>
      </c>
      <c r="J340" s="47" t="str">
        <f>IFERROR(__xludf.DUMMYFUNCTION("""COMPUTED_VALUE"""),"算法")</f>
        <v>算法</v>
      </c>
      <c r="K340" s="47">
        <v>339.0</v>
      </c>
      <c r="L340" s="6">
        <f>COUNTIF('Coder-1'!B:B,A340)</f>
        <v>0</v>
      </c>
      <c r="M340" s="6">
        <f>COUNTIF('Coder-2'!B:B,A340)</f>
        <v>0</v>
      </c>
      <c r="N340" s="6">
        <f>COUNTIF('Coder-3'!B:B,A340)</f>
        <v>0</v>
      </c>
      <c r="O340" s="6">
        <f>COUNTIF('Coder-4'!B:B,A340)</f>
        <v>0</v>
      </c>
    </row>
    <row r="341">
      <c r="A341" s="83">
        <v>373.0</v>
      </c>
      <c r="B341" s="86" t="str">
        <f>IFERROR(__xludf.DUMMYFUNCTION("IF(ISBLANK(A341),,FILTER('Leetcode List'!B:C,'Leetcode List'!A:A = A341))"),"Find K Pairs with Smallest Sums")</f>
        <v>Find K Pairs with Smallest Sums</v>
      </c>
      <c r="C341" s="88" t="str">
        <f>IFERROR(__xludf.DUMMYFUNCTION("""COMPUTED_VALUE"""),"Medium")</f>
        <v>Medium</v>
      </c>
      <c r="D341" s="88" t="s">
        <v>4978</v>
      </c>
      <c r="E341" s="87" t="str">
        <f>IFERROR(__xludf.DUMMYFUNCTION("IF(ISBLANK(A341),,FILTER('Leetcode List'!E:J,'Leetcode List'!A:A = A341))"),"Pinterest,Walmart Labs,Apple,Uber,Facebook,Amazon,LinkedIn,Microsoft,Google")</f>
        <v>Pinterest,Walmart Labs,Apple,Uber,Facebook,Amazon,LinkedIn,Microsoft,Google</v>
      </c>
      <c r="F341" s="47" t="str">
        <f>IFERROR(__xludf.DUMMYFUNCTION("""COMPUTED_VALUE"""),"Amazon,Walmart Labs")</f>
        <v>Amazon,Walmart Labs</v>
      </c>
      <c r="G341" s="47" t="str">
        <f>IFERROR(__xludf.DUMMYFUNCTION("""COMPUTED_VALUE"""),"Facebook,Amazon,Walmart Labs")</f>
        <v>Facebook,Amazon,Walmart Labs</v>
      </c>
      <c r="H341" s="47" t="str">
        <f>IFERROR(__xludf.DUMMYFUNCTION("""COMPUTED_VALUE"""),"LinkedIn,Google,Pinterest,Uber,Facebook,Amazon,Walmart Labs")</f>
        <v>LinkedIn,Google,Pinterest,Uber,Facebook,Amazon,Walmart Labs</v>
      </c>
      <c r="I341" s="47">
        <f>IFERROR(__xludf.DUMMYFUNCTION("""COMPUTED_VALUE"""),37.81)</f>
        <v>37.81</v>
      </c>
      <c r="J341" s="47" t="str">
        <f>IFERROR(__xludf.DUMMYFUNCTION("""COMPUTED_VALUE"""),"算法")</f>
        <v>算法</v>
      </c>
      <c r="K341" s="47">
        <v>340.0</v>
      </c>
      <c r="L341" s="6">
        <f>COUNTIF('Coder-1'!B:B,A341)</f>
        <v>0</v>
      </c>
      <c r="M341" s="6">
        <f>COUNTIF('Coder-2'!B:B,A341)</f>
        <v>0</v>
      </c>
      <c r="N341" s="6">
        <f>COUNTIF('Coder-3'!B:B,A341)</f>
        <v>0</v>
      </c>
      <c r="O341" s="6">
        <f>COUNTIF('Coder-4'!B:B,A341)</f>
        <v>0</v>
      </c>
    </row>
    <row r="342">
      <c r="A342" s="83">
        <v>218.0</v>
      </c>
      <c r="B342" s="86" t="str">
        <f>IFERROR(__xludf.DUMMYFUNCTION("IF(ISBLANK(A342),,FILTER('Leetcode List'!B:C,'Leetcode List'!A:A = A342))"),"The Skyline Problem")</f>
        <v>The Skyline Problem</v>
      </c>
      <c r="C342" s="88" t="str">
        <f>IFERROR(__xludf.DUMMYFUNCTION("""COMPUTED_VALUE"""),"Hard")</f>
        <v>Hard</v>
      </c>
      <c r="D342" s="88" t="s">
        <v>4978</v>
      </c>
      <c r="E342" s="87" t="str">
        <f>IFERROR(__xludf.DUMMYFUNCTION("IF(ISBLANK(A342),,FILTER('Leetcode List'!E:J,'Leetcode List'!A:A = A342))"),"Databricks,Houzz,Tableau,Salesforce,Twitter,Yelp,Apple,Uber,Adobe,Facebook,Amazon,Microsoft,Goldman Sachs,Google")</f>
        <v>Databricks,Houzz,Tableau,Salesforce,Twitter,Yelp,Apple,Uber,Adobe,Facebook,Amazon,Microsoft,Goldman Sachs,Google</v>
      </c>
      <c r="F342" s="47" t="str">
        <f>IFERROR(__xludf.DUMMYFUNCTION("""COMPUTED_VALUE"""),"Microsoft,Amazon,Google,Twitter")</f>
        <v>Microsoft,Amazon,Google,Twitter</v>
      </c>
      <c r="G342" s="47" t="str">
        <f>IFERROR(__xludf.DUMMYFUNCTION("""COMPUTED_VALUE"""),"Facebook,Adobe,Microsoft,Amazon,Google,Twitter")</f>
        <v>Facebook,Adobe,Microsoft,Amazon,Google,Twitter</v>
      </c>
      <c r="H342" s="47" t="str">
        <f>IFERROR(__xludf.DUMMYFUNCTION("""COMPUTED_VALUE"""),"Databricks,Uber,Apple,Goldman Sachs,Salesforce,Tableau,Yelp,Facebook,Adobe,Microsoft,Amazon,Google,Twitter")</f>
        <v>Databricks,Uber,Apple,Goldman Sachs,Salesforce,Tableau,Yelp,Facebook,Adobe,Microsoft,Amazon,Google,Twitter</v>
      </c>
      <c r="I342" s="47">
        <f>IFERROR(__xludf.DUMMYFUNCTION("""COMPUTED_VALUE"""),36.44)</f>
        <v>36.44</v>
      </c>
      <c r="J342" s="47" t="str">
        <f>IFERROR(__xludf.DUMMYFUNCTION("""COMPUTED_VALUE"""),"算法")</f>
        <v>算法</v>
      </c>
      <c r="K342" s="47">
        <v>341.0</v>
      </c>
      <c r="L342" s="6">
        <f>COUNTIF('Coder-1'!B:B,A342)</f>
        <v>0</v>
      </c>
      <c r="M342" s="6">
        <f>COUNTIF('Coder-2'!B:B,A342)</f>
        <v>0</v>
      </c>
      <c r="N342" s="6">
        <f>COUNTIF('Coder-3'!B:B,A342)</f>
        <v>0</v>
      </c>
      <c r="O342" s="6">
        <f>COUNTIF('Coder-4'!B:B,A342)</f>
        <v>0</v>
      </c>
    </row>
    <row r="343">
      <c r="A343" s="83">
        <v>332.0</v>
      </c>
      <c r="B343" s="86" t="str">
        <f>IFERROR(__xludf.DUMMYFUNCTION("IF(ISBLANK(A343),,FILTER('Leetcode List'!B:C,'Leetcode List'!A:A = A343))"),"Reconstruct Itinerary")</f>
        <v>Reconstruct Itinerary</v>
      </c>
      <c r="C343" s="88" t="str">
        <f>IFERROR(__xludf.DUMMYFUNCTION("""COMPUTED_VALUE"""),"Medium")</f>
        <v>Medium</v>
      </c>
      <c r="D343" s="88" t="s">
        <v>4978</v>
      </c>
      <c r="E343" s="87" t="str">
        <f>IFERROR(__xludf.DUMMYFUNCTION("IF(ISBLANK(A343),,FILTER('Leetcode List'!E:J,'Leetcode List'!A:A = A343))"),"Akuna Capital,Square,VMware,Twitter,Expedia,Intuit,EBay,Qualtrics,Twilio,Citadel,Snapchat,Yelp,Yandex,Apple,Uber,Bloomberg,Facebook,Amazon,Microsoft,Goldman Sachs,Google")</f>
        <v>Akuna Capital,Square,VMware,Twitter,Expedia,Intuit,EBay,Qualtrics,Twilio,Citadel,Snapchat,Yelp,Yandex,Apple,Uber,Bloomberg,Facebook,Amazon,Microsoft,Goldman Sachs,Google</v>
      </c>
      <c r="F343" s="47" t="str">
        <f>IFERROR(__xludf.DUMMYFUNCTION("""COMPUTED_VALUE"""),"Uber,Amazon,Twilio,Bloomberg,Facebook,Intuit,Microsoft,Twitter,Google,eBay,Expedia,Qualtrics,VMware")</f>
        <v>Uber,Amazon,Twilio,Bloomberg,Facebook,Intuit,Microsoft,Twitter,Google,eBay,Expedia,Qualtrics,VMware</v>
      </c>
      <c r="G343" s="47" t="str">
        <f>IFERROR(__xludf.DUMMYFUNCTION("""COMPUTED_VALUE"""),"Apple,Akuna Capital,Uber,Amazon,Twilio,Bloomberg,Facebook,Intuit,Microsoft,Twitter,Google,eBay,Expedia,Qualtrics,VMware")</f>
        <v>Apple,Akuna Capital,Uber,Amazon,Twilio,Bloomberg,Facebook,Intuit,Microsoft,Twitter,Google,eBay,Expedia,Qualtrics,VMware</v>
      </c>
      <c r="H343" s="47" t="str">
        <f>IFERROR(__xludf.DUMMYFUNCTION("""COMPUTED_VALUE"""),"Goldman Sachs,Yelp,Snapchat,Yandex,Citadel,Square,Apple,Akuna Capital,Uber,Amazon,Twilio,Bloomberg,Facebook,Intuit,Microsoft,Twitter,Google,eBay,Expedia,Qualtrics,VMware")</f>
        <v>Goldman Sachs,Yelp,Snapchat,Yandex,Citadel,Square,Apple,Akuna Capital,Uber,Amazon,Twilio,Bloomberg,Facebook,Intuit,Microsoft,Twitter,Google,eBay,Expedia,Qualtrics,VMware</v>
      </c>
      <c r="I343" s="47">
        <f>IFERROR(__xludf.DUMMYFUNCTION("""COMPUTED_VALUE"""),37.99)</f>
        <v>37.99</v>
      </c>
      <c r="J343" s="47" t="str">
        <f>IFERROR(__xludf.DUMMYFUNCTION("""COMPUTED_VALUE"""),"算法")</f>
        <v>算法</v>
      </c>
      <c r="K343" s="47">
        <v>342.0</v>
      </c>
      <c r="L343" s="6">
        <f>COUNTIF('Coder-1'!B:B,A343)</f>
        <v>0</v>
      </c>
      <c r="M343" s="6">
        <f>COUNTIF('Coder-2'!B:B,A343)</f>
        <v>0</v>
      </c>
      <c r="N343" s="6">
        <f>COUNTIF('Coder-3'!B:B,A343)</f>
        <v>0</v>
      </c>
      <c r="O343" s="6">
        <f>COUNTIF('Coder-4'!B:B,A343)</f>
        <v>0</v>
      </c>
    </row>
    <row r="344">
      <c r="A344" s="83">
        <v>341.0</v>
      </c>
      <c r="B344" s="86" t="str">
        <f>IFERROR(__xludf.DUMMYFUNCTION("IF(ISBLANK(A344),,FILTER('Leetcode List'!B:C,'Leetcode List'!A:A = A344))"),"Flatten Nested List Iterator")</f>
        <v>Flatten Nested List Iterator</v>
      </c>
      <c r="C344" s="88" t="str">
        <f>IFERROR(__xludf.DUMMYFUNCTION("""COMPUTED_VALUE"""),"Medium")</f>
        <v>Medium</v>
      </c>
      <c r="D344" s="88" t="s">
        <v>4978</v>
      </c>
      <c r="E344" s="87" t="str">
        <f>IFERROR(__xludf.DUMMYFUNCTION("IF(ISBLANK(A344),,FILTER('Leetcode List'!E:J,'Leetcode List'!A:A = A344))"),"EBay,Pinterest,Atlassian,Splunk,VMware,Snapchat,Twitter,Oracle,Lyft,Apple,Airbnb,Uber,Bloomberg,Facebook,Amazon,LinkedIn,Microsoft,Google")</f>
        <v>EBay,Pinterest,Atlassian,Splunk,VMware,Snapchat,Twitter,Oracle,Lyft,Apple,Airbnb,Uber,Bloomberg,Facebook,Amazon,LinkedIn,Microsoft,Google</v>
      </c>
      <c r="F344" s="47" t="str">
        <f>IFERROR(__xludf.DUMMYFUNCTION("""COMPUTED_VALUE"""),"Facebook,Amazon,Apple,Airbnb,Oracle,LinkedIn")</f>
        <v>Facebook,Amazon,Apple,Airbnb,Oracle,LinkedIn</v>
      </c>
      <c r="G344" s="47" t="str">
        <f>IFERROR(__xludf.DUMMYFUNCTION("""COMPUTED_VALUE"""),"Uber,Twitter,Google,eBay,Facebook,Amazon,Apple,Airbnb,Oracle,LinkedIn")</f>
        <v>Uber,Twitter,Google,eBay,Facebook,Amazon,Apple,Airbnb,Oracle,LinkedIn</v>
      </c>
      <c r="H344" s="47" t="str">
        <f>IFERROR(__xludf.DUMMYFUNCTION("""COMPUTED_VALUE"""),"Lyft,Bloomberg,Microsoft,VMware,Uber,Twitter,Google,eBay,Facebook,Amazon,Apple,Airbnb,Oracle,LinkedIn")</f>
        <v>Lyft,Bloomberg,Microsoft,VMware,Uber,Twitter,Google,eBay,Facebook,Amazon,Apple,Airbnb,Oracle,LinkedIn</v>
      </c>
      <c r="I344" s="47">
        <f>IFERROR(__xludf.DUMMYFUNCTION("""COMPUTED_VALUE"""),54.68)</f>
        <v>54.68</v>
      </c>
      <c r="J344" s="47" t="str">
        <f>IFERROR(__xludf.DUMMYFUNCTION("""COMPUTED_VALUE"""),"算法")</f>
        <v>算法</v>
      </c>
      <c r="K344" s="47">
        <v>343.0</v>
      </c>
      <c r="L344" s="6">
        <f>COUNTIF('Coder-1'!B:B,A344)</f>
        <v>0</v>
      </c>
      <c r="M344" s="6">
        <f>COUNTIF('Coder-2'!B:B,A344)</f>
        <v>0</v>
      </c>
      <c r="N344" s="6">
        <f>COUNTIF('Coder-3'!B:B,A344)</f>
        <v>0</v>
      </c>
      <c r="O344" s="6">
        <f>COUNTIF('Coder-4'!B:B,A344)</f>
        <v>0</v>
      </c>
    </row>
    <row r="345">
      <c r="A345" s="83">
        <v>389.0</v>
      </c>
      <c r="B345" s="86" t="str">
        <f>IFERROR(__xludf.DUMMYFUNCTION("IF(ISBLANK(A345),,FILTER('Leetcode List'!B:C,'Leetcode List'!A:A = A345))"),"Find the Difference")</f>
        <v>Find the Difference</v>
      </c>
      <c r="C345" s="83" t="str">
        <f>IFERROR(__xludf.DUMMYFUNCTION("""COMPUTED_VALUE"""),"Easy")</f>
        <v>Easy</v>
      </c>
      <c r="D345" s="83" t="s">
        <v>182</v>
      </c>
      <c r="E345" s="87" t="str">
        <f>IFERROR(__xludf.DUMMYFUNCTION("IF(ISBLANK(A345),,FILTER('Leetcode List'!E:J,'Leetcode List'!A:A = A345))"),"Amazon,Adobe,Google")</f>
        <v>Amazon,Adobe,Google</v>
      </c>
      <c r="F345" s="47"/>
      <c r="G345" s="47" t="str">
        <f>IFERROR(__xludf.DUMMYFUNCTION("""COMPUTED_VALUE"""),"Google,Amazon")</f>
        <v>Google,Amazon</v>
      </c>
      <c r="H345" s="47" t="str">
        <f>IFERROR(__xludf.DUMMYFUNCTION("""COMPUTED_VALUE"""),"Adobe,Google,Amazon")</f>
        <v>Adobe,Google,Amazon</v>
      </c>
      <c r="I345" s="47">
        <f>IFERROR(__xludf.DUMMYFUNCTION("""COMPUTED_VALUE"""),57.86)</f>
        <v>57.86</v>
      </c>
      <c r="J345" s="47" t="str">
        <f>IFERROR(__xludf.DUMMYFUNCTION("""COMPUTED_VALUE"""),"算法")</f>
        <v>算法</v>
      </c>
      <c r="K345" s="47">
        <v>344.0</v>
      </c>
      <c r="L345" s="6">
        <f>COUNTIF('Coder-1'!B:B,A345)</f>
        <v>0</v>
      </c>
      <c r="M345" s="6">
        <f>COUNTIF('Coder-2'!B:B,A345)</f>
        <v>0</v>
      </c>
      <c r="N345" s="6">
        <f>COUNTIF('Coder-3'!B:B,A345)</f>
        <v>0</v>
      </c>
      <c r="O345" s="6">
        <f>COUNTIF('Coder-4'!B:B,A345)</f>
        <v>0</v>
      </c>
    </row>
    <row r="346">
      <c r="A346" s="83">
        <v>136.0</v>
      </c>
      <c r="B346" s="86" t="str">
        <f>IFERROR(__xludf.DUMMYFUNCTION("IF(ISBLANK(A346),,FILTER('Leetcode List'!B:C,'Leetcode List'!A:A = A346))"),"Single Number")</f>
        <v>Single Number</v>
      </c>
      <c r="C346" s="83" t="str">
        <f>IFERROR(__xludf.DUMMYFUNCTION("""COMPUTED_VALUE"""),"Easy")</f>
        <v>Easy</v>
      </c>
      <c r="D346" s="83" t="s">
        <v>182</v>
      </c>
      <c r="E346" s="87" t="str">
        <f>IFERROR(__xludf.DUMMYFUNCTION("IF(ISBLANK(A346),,FILTER('Leetcode List'!E:J,'Leetcode List'!A:A = A346))"),"Palantir Technologies,Atlassian,Oracle,Apple,Airbnb,Tencent,SAP,Bloomberg,Adobe,Facebook,Amazon,Microsoft,Google")</f>
        <v>Palantir Technologies,Atlassian,Oracle,Apple,Airbnb,Tencent,SAP,Bloomberg,Adobe,Facebook,Amazon,Microsoft,Google</v>
      </c>
      <c r="F346" s="47" t="str">
        <f>IFERROR(__xludf.DUMMYFUNCTION("""COMPUTED_VALUE"""),"Google,Facebook,Microsoft,Amazon")</f>
        <v>Google,Facebook,Microsoft,Amazon</v>
      </c>
      <c r="G346" s="47" t="str">
        <f>IFERROR(__xludf.DUMMYFUNCTION("""COMPUTED_VALUE"""),"Apple,Bloomberg,Adobe,Google,Facebook,Microsoft,Amazon")</f>
        <v>Apple,Bloomberg,Adobe,Google,Facebook,Microsoft,Amazon</v>
      </c>
      <c r="H346" s="47" t="str">
        <f>IFERROR(__xludf.DUMMYFUNCTION("""COMPUTED_VALUE"""),"Tencent,Oracle,Atlassian,Airbnb,Palantir Technologies,Apple,Bloomberg,Adobe,Google,Facebook,Microsoft,Amazon")</f>
        <v>Tencent,Oracle,Atlassian,Airbnb,Palantir Technologies,Apple,Bloomberg,Adobe,Google,Facebook,Microsoft,Amazon</v>
      </c>
      <c r="I346" s="47">
        <f>IFERROR(__xludf.DUMMYFUNCTION("""COMPUTED_VALUE"""),66.61)</f>
        <v>66.61</v>
      </c>
      <c r="J346" s="47" t="str">
        <f>IFERROR(__xludf.DUMMYFUNCTION("""COMPUTED_VALUE"""),"算法")</f>
        <v>算法</v>
      </c>
      <c r="K346" s="47">
        <v>345.0</v>
      </c>
      <c r="L346" s="6">
        <f>COUNTIF('Coder-1'!B:B,A346)</f>
        <v>0</v>
      </c>
      <c r="M346" s="6">
        <f>COUNTIF('Coder-2'!B:B,A346)</f>
        <v>0</v>
      </c>
      <c r="N346" s="6">
        <f>COUNTIF('Coder-3'!B:B,A346)</f>
        <v>0</v>
      </c>
      <c r="O346" s="6">
        <f>COUNTIF('Coder-4'!B:B,A346)</f>
        <v>0</v>
      </c>
    </row>
    <row r="347">
      <c r="A347" s="83">
        <v>318.0</v>
      </c>
      <c r="B347" s="86" t="str">
        <f>IFERROR(__xludf.DUMMYFUNCTION("IF(ISBLANK(A347),,FILTER('Leetcode List'!B:C,'Leetcode List'!A:A = A347))"),"Maximum Product of Word Lengths")</f>
        <v>Maximum Product of Word Lengths</v>
      </c>
      <c r="C347" s="83" t="str">
        <f>IFERROR(__xludf.DUMMYFUNCTION("""COMPUTED_VALUE"""),"Medium")</f>
        <v>Medium</v>
      </c>
      <c r="D347" s="83" t="s">
        <v>182</v>
      </c>
      <c r="E347" s="87" t="str">
        <f>IFERROR(__xludf.DUMMYFUNCTION("IF(ISBLANK(A347),,FILTER('Leetcode List'!E:J,'Leetcode List'!A:A = A347))"),"Google")</f>
        <v>Google</v>
      </c>
      <c r="F347" s="47"/>
      <c r="G347" s="47"/>
      <c r="H347" s="47" t="str">
        <f>IFERROR(__xludf.DUMMYFUNCTION("""COMPUTED_VALUE"""),"Google")</f>
        <v>Google</v>
      </c>
      <c r="I347" s="47">
        <f>IFERROR(__xludf.DUMMYFUNCTION("""COMPUTED_VALUE"""),52.34)</f>
        <v>52.34</v>
      </c>
      <c r="J347" s="47" t="str">
        <f>IFERROR(__xludf.DUMMYFUNCTION("""COMPUTED_VALUE"""),"算法")</f>
        <v>算法</v>
      </c>
      <c r="K347" s="47">
        <v>346.0</v>
      </c>
      <c r="L347" s="6">
        <f>COUNTIF('Coder-1'!B:B,A347)</f>
        <v>0</v>
      </c>
      <c r="M347" s="6">
        <f>COUNTIF('Coder-2'!B:B,A347)</f>
        <v>0</v>
      </c>
      <c r="N347" s="6">
        <f>COUNTIF('Coder-3'!B:B,A347)</f>
        <v>0</v>
      </c>
      <c r="O347" s="6">
        <f>COUNTIF('Coder-4'!B:B,A347)</f>
        <v>0</v>
      </c>
    </row>
    <row r="348">
      <c r="A348" s="83">
        <v>393.0</v>
      </c>
      <c r="B348" s="86" t="str">
        <f>IFERROR(__xludf.DUMMYFUNCTION("IF(ISBLANK(A348),,FILTER('Leetcode List'!B:C,'Leetcode List'!A:A = A348))"),"UTF-8 Validation")</f>
        <v>UTF-8 Validation</v>
      </c>
      <c r="C348" s="83" t="str">
        <f>IFERROR(__xludf.DUMMYFUNCTION("""COMPUTED_VALUE"""),"Medium")</f>
        <v>Medium</v>
      </c>
      <c r="D348" s="83" t="s">
        <v>182</v>
      </c>
      <c r="E348" s="87" t="str">
        <f>IFERROR(__xludf.DUMMYFUNCTION("IF(ISBLANK(A348),,FILTER('Leetcode List'!E:J,'Leetcode List'!A:A = A348))"),"Microsoft,Palantir Technologies,Apple,Facebook,Amazon,Google")</f>
        <v>Microsoft,Palantir Technologies,Apple,Facebook,Amazon,Google</v>
      </c>
      <c r="F348" s="47" t="str">
        <f>IFERROR(__xludf.DUMMYFUNCTION("""COMPUTED_VALUE"""),"Palantir Technologies,Facebook,Amazon")</f>
        <v>Palantir Technologies,Facebook,Amazon</v>
      </c>
      <c r="G348" s="47" t="str">
        <f>IFERROR(__xludf.DUMMYFUNCTION("""COMPUTED_VALUE"""),"Microsoft,Google,Palantir Technologies,Facebook,Amazon")</f>
        <v>Microsoft,Google,Palantir Technologies,Facebook,Amazon</v>
      </c>
      <c r="H348" s="47" t="str">
        <f>IFERROR(__xludf.DUMMYFUNCTION("""COMPUTED_VALUE"""),"Apple,Microsoft,Google,Palantir Technologies,Facebook,Amazon")</f>
        <v>Apple,Microsoft,Google,Palantir Technologies,Facebook,Amazon</v>
      </c>
      <c r="I348" s="47">
        <f>IFERROR(__xludf.DUMMYFUNCTION("""COMPUTED_VALUE"""),38.07)</f>
        <v>38.07</v>
      </c>
      <c r="J348" s="47" t="str">
        <f>IFERROR(__xludf.DUMMYFUNCTION("""COMPUTED_VALUE"""),"算法")</f>
        <v>算法</v>
      </c>
      <c r="K348" s="47">
        <v>347.0</v>
      </c>
      <c r="L348" s="6">
        <f>COUNTIF('Coder-1'!B:B,A348)</f>
        <v>0</v>
      </c>
      <c r="M348" s="6">
        <f>COUNTIF('Coder-2'!B:B,A348)</f>
        <v>0</v>
      </c>
      <c r="N348" s="6">
        <f>COUNTIF('Coder-3'!B:B,A348)</f>
        <v>0</v>
      </c>
      <c r="O348" s="6">
        <f>COUNTIF('Coder-4'!B:B,A348)</f>
        <v>0</v>
      </c>
    </row>
    <row r="349">
      <c r="A349" s="83">
        <v>201.0</v>
      </c>
      <c r="B349" s="86" t="str">
        <f>IFERROR(__xludf.DUMMYFUNCTION("IF(ISBLANK(A349),,FILTER('Leetcode List'!B:C,'Leetcode List'!A:A = A349))"),"Bitwise AND of Numbers Range")</f>
        <v>Bitwise AND of Numbers Range</v>
      </c>
      <c r="C349" s="83" t="str">
        <f>IFERROR(__xludf.DUMMYFUNCTION("""COMPUTED_VALUE"""),"Medium")</f>
        <v>Medium</v>
      </c>
      <c r="D349" s="83" t="s">
        <v>182</v>
      </c>
      <c r="E349" s="87" t="str">
        <f>IFERROR(__xludf.DUMMYFUNCTION("IF(ISBLANK(A349),,FILTER('Leetcode List'!E:J,'Leetcode List'!A:A = A349))"),"Amazon,Adobe")</f>
        <v>Amazon,Adobe</v>
      </c>
      <c r="F349" s="47" t="str">
        <f>IFERROR(__xludf.DUMMYFUNCTION("""COMPUTED_VALUE"""),"Adobe")</f>
        <v>Adobe</v>
      </c>
      <c r="G349" s="47" t="str">
        <f>IFERROR(__xludf.DUMMYFUNCTION("""COMPUTED_VALUE"""),"Amazon,Adobe")</f>
        <v>Amazon,Adobe</v>
      </c>
      <c r="H349" s="47" t="str">
        <f>IFERROR(__xludf.DUMMYFUNCTION("""COMPUTED_VALUE"""),"Amazon,Adobe")</f>
        <v>Amazon,Adobe</v>
      </c>
      <c r="I349" s="47">
        <f>IFERROR(__xludf.DUMMYFUNCTION("""COMPUTED_VALUE"""),39.65)</f>
        <v>39.65</v>
      </c>
      <c r="J349" s="47" t="str">
        <f>IFERROR(__xludf.DUMMYFUNCTION("""COMPUTED_VALUE"""),"算法")</f>
        <v>算法</v>
      </c>
      <c r="K349" s="47">
        <v>348.0</v>
      </c>
      <c r="L349" s="6">
        <f>COUNTIF('Coder-1'!B:B,A349)</f>
        <v>0</v>
      </c>
      <c r="M349" s="6">
        <f>COUNTIF('Coder-2'!B:B,A349)</f>
        <v>0</v>
      </c>
      <c r="N349" s="6">
        <f>COUNTIF('Coder-3'!B:B,A349)</f>
        <v>0</v>
      </c>
      <c r="O349" s="6">
        <f>COUNTIF('Coder-4'!B:B,A349)</f>
        <v>0</v>
      </c>
    </row>
    <row r="350">
      <c r="A350" s="83">
        <v>371.0</v>
      </c>
      <c r="B350" s="86" t="str">
        <f>IFERROR(__xludf.DUMMYFUNCTION("IF(ISBLANK(A350),,FILTER('Leetcode List'!B:C,'Leetcode List'!A:A = A350))"),"Sum of Two Integers")</f>
        <v>Sum of Two Integers</v>
      </c>
      <c r="C350" s="83" t="str">
        <f>IFERROR(__xludf.DUMMYFUNCTION("""COMPUTED_VALUE"""),"Medium")</f>
        <v>Medium</v>
      </c>
      <c r="D350" s="83" t="s">
        <v>182</v>
      </c>
      <c r="E350" s="87" t="str">
        <f>IFERROR(__xludf.DUMMYFUNCTION("IF(ISBLANK(A350),,FILTER('Leetcode List'!E:J,'Leetcode List'!A:A = A350))"),"Apple,Yahoo,Bloomberg,Google,Hulu,Facebook,Amazon")</f>
        <v>Apple,Yahoo,Bloomberg,Google,Hulu,Facebook,Amazon</v>
      </c>
      <c r="F350" s="47" t="str">
        <f>IFERROR(__xludf.DUMMYFUNCTION("""COMPUTED_VALUE"""),"Facebook")</f>
        <v>Facebook</v>
      </c>
      <c r="G350" s="47" t="str">
        <f>IFERROR(__xludf.DUMMYFUNCTION("""COMPUTED_VALUE"""),"Apple,Yahoo,Bloomberg,Facebook")</f>
        <v>Apple,Yahoo,Bloomberg,Facebook</v>
      </c>
      <c r="H350" s="47" t="str">
        <f>IFERROR(__xludf.DUMMYFUNCTION("""COMPUTED_VALUE"""),"Google,Hulu,Apple,Yahoo,Bloomberg,Facebook")</f>
        <v>Google,Hulu,Apple,Yahoo,Bloomberg,Facebook</v>
      </c>
      <c r="I350" s="47">
        <f>IFERROR(__xludf.DUMMYFUNCTION("""COMPUTED_VALUE"""),50.6)</f>
        <v>50.6</v>
      </c>
      <c r="J350" s="47" t="str">
        <f>IFERROR(__xludf.DUMMYFUNCTION("""COMPUTED_VALUE"""),"算法")</f>
        <v>算法</v>
      </c>
      <c r="K350" s="47">
        <v>349.0</v>
      </c>
      <c r="L350" s="6">
        <f>COUNTIF('Coder-1'!B:B,A350)</f>
        <v>0</v>
      </c>
      <c r="M350" s="6">
        <f>COUNTIF('Coder-2'!B:B,A350)</f>
        <v>0</v>
      </c>
      <c r="N350" s="6">
        <f>COUNTIF('Coder-3'!B:B,A350)</f>
        <v>0</v>
      </c>
      <c r="O350" s="6">
        <f>COUNTIF('Coder-4'!B:B,A350)</f>
        <v>0</v>
      </c>
    </row>
    <row r="351">
      <c r="A351" s="83">
        <v>338.0</v>
      </c>
      <c r="B351" s="86" t="str">
        <f>IFERROR(__xludf.DUMMYFUNCTION("IF(ISBLANK(A351),,FILTER('Leetcode List'!B:C,'Leetcode List'!A:A = A351))"),"Counting Bits")</f>
        <v>Counting Bits</v>
      </c>
      <c r="C351" s="83" t="str">
        <f>IFERROR(__xludf.DUMMYFUNCTION("""COMPUTED_VALUE"""),"Medium")</f>
        <v>Medium</v>
      </c>
      <c r="D351" s="83" t="s">
        <v>182</v>
      </c>
      <c r="E351" s="87" t="str">
        <f>IFERROR(__xludf.DUMMYFUNCTION("IF(ISBLANK(A351),,FILTER('Leetcode List'!E:J,'Leetcode List'!A:A = A351))"),"Blizzard,Mathworks,Apple,Uber,Bloomberg,Facebook,Amazon,Microsoft")</f>
        <v>Blizzard,Mathworks,Apple,Uber,Bloomberg,Facebook,Amazon,Microsoft</v>
      </c>
      <c r="F351" s="47" t="str">
        <f>IFERROR(__xludf.DUMMYFUNCTION("""COMPUTED_VALUE"""),"Amazon,Blizzard")</f>
        <v>Amazon,Blizzard</v>
      </c>
      <c r="G351" s="47" t="str">
        <f>IFERROR(__xludf.DUMMYFUNCTION("""COMPUTED_VALUE"""),"Apple,Uber,Bloomberg,Mathworks,Facebook,Amazon,Blizzard")</f>
        <v>Apple,Uber,Bloomberg,Mathworks,Facebook,Amazon,Blizzard</v>
      </c>
      <c r="H351" s="47" t="str">
        <f>IFERROR(__xludf.DUMMYFUNCTION("""COMPUTED_VALUE"""),"Microsoft,Apple,Uber,Bloomberg,Mathworks,Facebook,Amazon,Blizzard")</f>
        <v>Microsoft,Apple,Uber,Bloomberg,Mathworks,Facebook,Amazon,Blizzard</v>
      </c>
      <c r="I351" s="47">
        <f>IFERROR(__xludf.DUMMYFUNCTION("""COMPUTED_VALUE"""),70.49)</f>
        <v>70.49</v>
      </c>
      <c r="J351" s="47" t="str">
        <f>IFERROR(__xludf.DUMMYFUNCTION("""COMPUTED_VALUE"""),"算法")</f>
        <v>算法</v>
      </c>
      <c r="K351" s="47">
        <v>350.0</v>
      </c>
      <c r="L351" s="6">
        <f>COUNTIF('Coder-1'!B:B,A351)</f>
        <v>0</v>
      </c>
      <c r="M351" s="6">
        <f>COUNTIF('Coder-2'!B:B,A351)</f>
        <v>0</v>
      </c>
      <c r="N351" s="6">
        <f>COUNTIF('Coder-3'!B:B,A351)</f>
        <v>0</v>
      </c>
      <c r="O351" s="6">
        <f>COUNTIF('Coder-4'!B:B,A351)</f>
        <v>0</v>
      </c>
    </row>
    <row r="352">
      <c r="A352" s="83">
        <v>89.0</v>
      </c>
      <c r="B352" s="86" t="str">
        <f>IFERROR(__xludf.DUMMYFUNCTION("IF(ISBLANK(A352),,FILTER('Leetcode List'!B:C,'Leetcode List'!A:A = A352))"),"Gray Code")</f>
        <v>Gray Code</v>
      </c>
      <c r="C352" s="83" t="str">
        <f>IFERROR(__xludf.DUMMYFUNCTION("""COMPUTED_VALUE"""),"Medium")</f>
        <v>Medium</v>
      </c>
      <c r="D352" s="83" t="s">
        <v>182</v>
      </c>
      <c r="E352" s="87" t="str">
        <f>IFERROR(__xludf.DUMMYFUNCTION("IF(ISBLANK(A352),,FILTER('Leetcode List'!E:J,'Leetcode List'!A:A = A352))"),"Amazon,Microsoft")</f>
        <v>Amazon,Microsoft</v>
      </c>
      <c r="F352" s="47"/>
      <c r="G352" s="47" t="str">
        <f>IFERROR(__xludf.DUMMYFUNCTION("""COMPUTED_VALUE"""),"Microsoft")</f>
        <v>Microsoft</v>
      </c>
      <c r="H352" s="47" t="str">
        <f>IFERROR(__xludf.DUMMYFUNCTION("""COMPUTED_VALUE"""),"Amazon,Microsoft")</f>
        <v>Amazon,Microsoft</v>
      </c>
      <c r="I352" s="47">
        <f>IFERROR(__xludf.DUMMYFUNCTION("""COMPUTED_VALUE"""),50.54)</f>
        <v>50.54</v>
      </c>
      <c r="J352" s="47" t="str">
        <f>IFERROR(__xludf.DUMMYFUNCTION("""COMPUTED_VALUE"""),"算法")</f>
        <v>算法</v>
      </c>
      <c r="K352" s="47">
        <v>351.0</v>
      </c>
      <c r="L352" s="6">
        <f>COUNTIF('Coder-1'!B:B,A352)</f>
        <v>0</v>
      </c>
      <c r="M352" s="6">
        <f>COUNTIF('Coder-2'!B:B,A352)</f>
        <v>0</v>
      </c>
      <c r="N352" s="6">
        <f>COUNTIF('Coder-3'!B:B,A352)</f>
        <v>0</v>
      </c>
      <c r="O352" s="6">
        <f>COUNTIF('Coder-4'!B:B,A352)</f>
        <v>0</v>
      </c>
    </row>
    <row r="353">
      <c r="A353" s="83">
        <v>268.0</v>
      </c>
      <c r="B353" s="86" t="str">
        <f>IFERROR(__xludf.DUMMYFUNCTION("IF(ISBLANK(A353),,FILTER('Leetcode List'!B:C,'Leetcode List'!A:A = A353))"),"Missing Number")</f>
        <v>Missing Number</v>
      </c>
      <c r="C353" s="83" t="str">
        <f>IFERROR(__xludf.DUMMYFUNCTION("""COMPUTED_VALUE"""),"Easy")</f>
        <v>Easy</v>
      </c>
      <c r="D353" s="83" t="s">
        <v>182</v>
      </c>
      <c r="E353" s="87" t="str">
        <f>IFERROR(__xludf.DUMMYFUNCTION("IF(ISBLANK(A353),,FILTER('Leetcode List'!E:J,'Leetcode List'!A:A = A353))"),"Capital One,JPMorgan,Paypal,Nvidia,Cisco,Yandex,EBay,Goldman Sachs,Arista Networks,VMware,Zillow,ServiceNow,Oracle,IBM,Apple,Bloomberg,Adobe,Facebook,Amazon,Microsoft,Google")</f>
        <v>Capital One,JPMorgan,Paypal,Nvidia,Cisco,Yandex,EBay,Goldman Sachs,Arista Networks,VMware,Zillow,ServiceNow,Oracle,IBM,Apple,Bloomberg,Adobe,Facebook,Amazon,Microsoft,Google</v>
      </c>
      <c r="F353" s="47" t="str">
        <f>IFERROR(__xludf.DUMMYFUNCTION("""COMPUTED_VALUE"""),"Capital One,Facebook,Amazon,Apple,Oracle,Microsoft,Goldman Sachs,Cisco,Arista Networks")</f>
        <v>Capital One,Facebook,Amazon,Apple,Oracle,Microsoft,Goldman Sachs,Cisco,Arista Networks</v>
      </c>
      <c r="G353" s="47" t="str">
        <f>IFERROR(__xludf.DUMMYFUNCTION("""COMPUTED_VALUE"""),"Adobe,Capital One,Facebook,Amazon,Apple,Oracle,Microsoft,Goldman Sachs,Cisco,Arista Networks")</f>
        <v>Adobe,Capital One,Facebook,Amazon,Apple,Oracle,Microsoft,Goldman Sachs,Cisco,Arista Networks</v>
      </c>
      <c r="H353" s="47" t="str">
        <f>IFERROR(__xludf.DUMMYFUNCTION("""COMPUTED_VALUE"""),"Google,Bloomberg,JPMorgan,Paypal,IBM,Yandex,ServiceNow,Nvidia,eBay,Adobe,Capital One,Facebook,Amazon,Apple,Oracle,Microsoft,Goldman Sachs,Cisco,Arista Networks")</f>
        <v>Google,Bloomberg,JPMorgan,Paypal,IBM,Yandex,ServiceNow,Nvidia,eBay,Adobe,Capital One,Facebook,Amazon,Apple,Oracle,Microsoft,Goldman Sachs,Cisco,Arista Networks</v>
      </c>
      <c r="I353" s="47">
        <f>IFERROR(__xludf.DUMMYFUNCTION("""COMPUTED_VALUE"""),55.03)</f>
        <v>55.03</v>
      </c>
      <c r="J353" s="47" t="str">
        <f>IFERROR(__xludf.DUMMYFUNCTION("""COMPUTED_VALUE"""),"算法")</f>
        <v>算法</v>
      </c>
      <c r="K353" s="47">
        <v>352.0</v>
      </c>
      <c r="L353" s="6">
        <f>COUNTIF('Coder-1'!B:B,A353)</f>
        <v>0</v>
      </c>
      <c r="M353" s="6">
        <f>COUNTIF('Coder-2'!B:B,A353)</f>
        <v>0</v>
      </c>
      <c r="N353" s="6">
        <f>COUNTIF('Coder-3'!B:B,A353)</f>
        <v>0</v>
      </c>
      <c r="O353" s="6">
        <f>COUNTIF('Coder-4'!B:B,A353)</f>
        <v>0</v>
      </c>
    </row>
    <row r="354">
      <c r="A354" s="83">
        <v>191.0</v>
      </c>
      <c r="B354" s="86" t="str">
        <f>IFERROR(__xludf.DUMMYFUNCTION("IF(ISBLANK(A354),,FILTER('Leetcode List'!B:C,'Leetcode List'!A:A = A354))"),"Number of 1 Bits")</f>
        <v>Number of 1 Bits</v>
      </c>
      <c r="C354" s="83" t="str">
        <f>IFERROR(__xludf.DUMMYFUNCTION("""COMPUTED_VALUE"""),"Easy")</f>
        <v>Easy</v>
      </c>
      <c r="D354" s="83" t="s">
        <v>182</v>
      </c>
      <c r="E354" s="87" t="str">
        <f>IFERROR(__xludf.DUMMYFUNCTION("IF(ISBLANK(A354),,FILTER('Leetcode List'!E:J,'Leetcode List'!A:A = A354))"),"Qualcomm,Cisco,Box,Apple,Adobe,Facebook,Amazon,Microsoft,Google")</f>
        <v>Qualcomm,Cisco,Box,Apple,Adobe,Facebook,Amazon,Microsoft,Google</v>
      </c>
      <c r="F354" s="47" t="str">
        <f>IFERROR(__xludf.DUMMYFUNCTION("""COMPUTED_VALUE"""),"Box,Cisco,Qualcomm")</f>
        <v>Box,Cisco,Qualcomm</v>
      </c>
      <c r="G354" s="47" t="str">
        <f>IFERROR(__xludf.DUMMYFUNCTION("""COMPUTED_VALUE"""),"Facebook,Apple,Microsoft,Adobe,Box,Cisco,Qualcomm")</f>
        <v>Facebook,Apple,Microsoft,Adobe,Box,Cisco,Qualcomm</v>
      </c>
      <c r="H354" s="47" t="str">
        <f>IFERROR(__xludf.DUMMYFUNCTION("""COMPUTED_VALUE"""),"Amazon,Facebook,Apple,Microsoft,Adobe,Box,Cisco,Qualcomm")</f>
        <v>Amazon,Facebook,Apple,Microsoft,Adobe,Box,Cisco,Qualcomm</v>
      </c>
      <c r="I354" s="47">
        <f>IFERROR(__xludf.DUMMYFUNCTION("""COMPUTED_VALUE"""),54.03)</f>
        <v>54.03</v>
      </c>
      <c r="J354" s="47" t="str">
        <f>IFERROR(__xludf.DUMMYFUNCTION("""COMPUTED_VALUE"""),"算法")</f>
        <v>算法</v>
      </c>
      <c r="K354" s="47">
        <v>353.0</v>
      </c>
      <c r="L354" s="6">
        <f>COUNTIF('Coder-1'!B:B,A354)</f>
        <v>0</v>
      </c>
      <c r="M354" s="6">
        <f>COUNTIF('Coder-2'!B:B,A354)</f>
        <v>0</v>
      </c>
      <c r="N354" s="6">
        <f>COUNTIF('Coder-3'!B:B,A354)</f>
        <v>0</v>
      </c>
      <c r="O354" s="6">
        <f>COUNTIF('Coder-4'!B:B,A354)</f>
        <v>0</v>
      </c>
    </row>
    <row r="355">
      <c r="A355" s="83">
        <v>190.0</v>
      </c>
      <c r="B355" s="86" t="str">
        <f>IFERROR(__xludf.DUMMYFUNCTION("IF(ISBLANK(A355),,FILTER('Leetcode List'!B:C,'Leetcode List'!A:A = A355))"),"Reverse Bits")</f>
        <v>Reverse Bits</v>
      </c>
      <c r="C355" s="83" t="str">
        <f>IFERROR(__xludf.DUMMYFUNCTION("""COMPUTED_VALUE"""),"Easy")</f>
        <v>Easy</v>
      </c>
      <c r="D355" s="83" t="s">
        <v>182</v>
      </c>
      <c r="E355" s="87" t="str">
        <f>IFERROR(__xludf.DUMMYFUNCTION("IF(ISBLANK(A355),,FILTER('Leetcode List'!E:J,'Leetcode List'!A:A = A355))"),"Apple,Airbnb,Samsung,Tencent,Amazon,Google")</f>
        <v>Apple,Airbnb,Samsung,Tencent,Amazon,Google</v>
      </c>
      <c r="F355" s="47"/>
      <c r="G355" s="47" t="str">
        <f>IFERROR(__xludf.DUMMYFUNCTION("""COMPUTED_VALUE"""),"Apple")</f>
        <v>Apple</v>
      </c>
      <c r="H355" s="47" t="str">
        <f>IFERROR(__xludf.DUMMYFUNCTION("""COMPUTED_VALUE"""),"Google,Amazon,Samsung,Tencent,Airbnb,Apple")</f>
        <v>Google,Amazon,Samsung,Tencent,Airbnb,Apple</v>
      </c>
      <c r="I355" s="47">
        <f>IFERROR(__xludf.DUMMYFUNCTION("""COMPUTED_VALUE"""),42.38)</f>
        <v>42.38</v>
      </c>
      <c r="J355" s="47" t="str">
        <f>IFERROR(__xludf.DUMMYFUNCTION("""COMPUTED_VALUE"""),"算法")</f>
        <v>算法</v>
      </c>
      <c r="K355" s="47">
        <v>354.0</v>
      </c>
      <c r="L355" s="6">
        <f>COUNTIF('Coder-1'!B:B,A355)</f>
        <v>0</v>
      </c>
      <c r="M355" s="6">
        <f>COUNTIF('Coder-2'!B:B,A355)</f>
        <v>0</v>
      </c>
      <c r="N355" s="6">
        <f>COUNTIF('Coder-3'!B:B,A355)</f>
        <v>0</v>
      </c>
      <c r="O355" s="6">
        <f>COUNTIF('Coder-4'!B:B,A355)</f>
        <v>0</v>
      </c>
    </row>
    <row r="356">
      <c r="A356" s="83">
        <v>137.0</v>
      </c>
      <c r="B356" s="86" t="str">
        <f>IFERROR(__xludf.DUMMYFUNCTION("IF(ISBLANK(A356),,FILTER('Leetcode List'!B:C,'Leetcode List'!A:A = A356))"),"Single Number II")</f>
        <v>Single Number II</v>
      </c>
      <c r="C356" s="83" t="str">
        <f>IFERROR(__xludf.DUMMYFUNCTION("""COMPUTED_VALUE"""),"Medium")</f>
        <v>Medium</v>
      </c>
      <c r="D356" s="83" t="s">
        <v>182</v>
      </c>
      <c r="E356" s="87" t="str">
        <f>IFERROR(__xludf.DUMMYFUNCTION("IF(ISBLANK(A356),,FILTER('Leetcode List'!E:J,'Leetcode List'!A:A = A356))"),"Apple,Adobe,Facebook,Amazon,Google")</f>
        <v>Apple,Adobe,Facebook,Amazon,Google</v>
      </c>
      <c r="F356" s="47" t="str">
        <f>IFERROR(__xludf.DUMMYFUNCTION("""COMPUTED_VALUE"""),"Amazon,Adobe")</f>
        <v>Amazon,Adobe</v>
      </c>
      <c r="G356" s="47" t="str">
        <f>IFERROR(__xludf.DUMMYFUNCTION("""COMPUTED_VALUE"""),"Facebook,Google,Amazon,Adobe")</f>
        <v>Facebook,Google,Amazon,Adobe</v>
      </c>
      <c r="H356" s="47" t="str">
        <f>IFERROR(__xludf.DUMMYFUNCTION("""COMPUTED_VALUE"""),"Apple,Facebook,Google,Amazon,Adobe")</f>
        <v>Apple,Facebook,Google,Amazon,Adobe</v>
      </c>
      <c r="I356" s="47">
        <f>IFERROR(__xludf.DUMMYFUNCTION("""COMPUTED_VALUE"""),53.96)</f>
        <v>53.96</v>
      </c>
      <c r="J356" s="47" t="str">
        <f>IFERROR(__xludf.DUMMYFUNCTION("""COMPUTED_VALUE"""),"算法")</f>
        <v>算法</v>
      </c>
      <c r="K356" s="47">
        <v>355.0</v>
      </c>
      <c r="L356" s="6">
        <f>COUNTIF('Coder-1'!B:B,A356)</f>
        <v>0</v>
      </c>
      <c r="M356" s="6">
        <f>COUNTIF('Coder-2'!B:B,A356)</f>
        <v>0</v>
      </c>
      <c r="N356" s="6">
        <f>COUNTIF('Coder-3'!B:B,A356)</f>
        <v>0</v>
      </c>
      <c r="O356" s="6">
        <f>COUNTIF('Coder-4'!B:B,A356)</f>
        <v>0</v>
      </c>
    </row>
    <row r="357">
      <c r="A357" s="83">
        <v>260.0</v>
      </c>
      <c r="B357" s="86" t="str">
        <f>IFERROR(__xludf.DUMMYFUNCTION("IF(ISBLANK(A357),,FILTER('Leetcode List'!B:C,'Leetcode List'!A:A = A357))"),"Single Number III")</f>
        <v>Single Number III</v>
      </c>
      <c r="C357" s="83" t="str">
        <f>IFERROR(__xludf.DUMMYFUNCTION("""COMPUTED_VALUE"""),"Medium")</f>
        <v>Medium</v>
      </c>
      <c r="D357" s="83" t="s">
        <v>182</v>
      </c>
      <c r="E357" s="87" t="str">
        <f>IFERROR(__xludf.DUMMYFUNCTION("IF(ISBLANK(A357),,FILTER('Leetcode List'!E:J,'Leetcode List'!A:A = A357))"),"Microsoft,Apple,Yahoo,Facebook,Amazon")</f>
        <v>Microsoft,Apple,Yahoo,Facebook,Amazon</v>
      </c>
      <c r="F357" s="47" t="str">
        <f>IFERROR(__xludf.DUMMYFUNCTION("""COMPUTED_VALUE"""),"Microsoft")</f>
        <v>Microsoft</v>
      </c>
      <c r="G357" s="47" t="str">
        <f>IFERROR(__xludf.DUMMYFUNCTION("""COMPUTED_VALUE"""),"Apple,Yahoo,Amazon,Microsoft")</f>
        <v>Apple,Yahoo,Amazon,Microsoft</v>
      </c>
      <c r="H357" s="47" t="str">
        <f>IFERROR(__xludf.DUMMYFUNCTION("""COMPUTED_VALUE"""),"Facebook,Apple,Yahoo,Amazon,Microsoft")</f>
        <v>Facebook,Apple,Yahoo,Amazon,Microsoft</v>
      </c>
      <c r="I357" s="47">
        <f>IFERROR(__xludf.DUMMYFUNCTION("""COMPUTED_VALUE"""),65.39)</f>
        <v>65.39</v>
      </c>
      <c r="J357" s="47" t="str">
        <f>IFERROR(__xludf.DUMMYFUNCTION("""COMPUTED_VALUE"""),"算法")</f>
        <v>算法</v>
      </c>
      <c r="K357" s="47">
        <v>356.0</v>
      </c>
      <c r="L357" s="6">
        <f>COUNTIF('Coder-1'!B:B,A357)</f>
        <v>0</v>
      </c>
      <c r="M357" s="6">
        <f>COUNTIF('Coder-2'!B:B,A357)</f>
        <v>0</v>
      </c>
      <c r="N357" s="6">
        <f>COUNTIF('Coder-3'!B:B,A357)</f>
        <v>0</v>
      </c>
      <c r="O357" s="6">
        <f>COUNTIF('Coder-4'!B:B,A357)</f>
        <v>0</v>
      </c>
    </row>
    <row r="358">
      <c r="A358" s="83">
        <v>207.0</v>
      </c>
      <c r="B358" s="86" t="str">
        <f>IFERROR(__xludf.DUMMYFUNCTION("IF(ISBLANK(A358),,FILTER('Leetcode List'!B:C,'Leetcode List'!A:A = A358))"),"Course Schedule")</f>
        <v>Course Schedule</v>
      </c>
      <c r="C358" s="83" t="str">
        <f>IFERROR(__xludf.DUMMYFUNCTION("""COMPUTED_VALUE"""),"Medium")</f>
        <v>Medium</v>
      </c>
      <c r="D358" s="83" t="s">
        <v>4979</v>
      </c>
      <c r="E358" s="87" t="str">
        <f>IFERROR(__xludf.DUMMYFUNCTION("IF(ISBLANK(A358),,FILTER('Leetcode List'!E:J,'Leetcode List'!A:A = A358))"),"Karat,Wish,Roblox,Cisco,Cohesity,Nutanix,Zenefits,ByteDance,Salesforce,Paypal,Yelp,Oracle,Intuit,EBay,Apple,Uber,Yahoo,Bloomberg,Facebook,Amazon,LinkedIn,Microsoft,Goldman Sachs,Google")</f>
        <v>Karat,Wish,Roblox,Cisco,Cohesity,Nutanix,Zenefits,ByteDance,Salesforce,Paypal,Yelp,Oracle,Intuit,EBay,Apple,Uber,Yahoo,Bloomberg,Facebook,Amazon,LinkedIn,Microsoft,Goldman Sachs,Google</v>
      </c>
      <c r="F358" s="47" t="str">
        <f>IFERROR(__xludf.DUMMYFUNCTION("""COMPUTED_VALUE"""),"Amazon,Facebook,Intuit,Karat,ByteDance,Microsoft,Bloomberg,Uber")</f>
        <v>Amazon,Facebook,Intuit,Karat,ByteDance,Microsoft,Bloomberg,Uber</v>
      </c>
      <c r="G358" s="47" t="str">
        <f>IFERROR(__xludf.DUMMYFUNCTION("""COMPUTED_VALUE"""),"Roblox,Wish,Apple,Cisco,eBay,Amazon,Facebook,Intuit,Karat,ByteDance,Microsoft,Bloomberg,Uber")</f>
        <v>Roblox,Wish,Apple,Cisco,eBay,Amazon,Facebook,Intuit,Karat,ByteDance,Microsoft,Bloomberg,Uber</v>
      </c>
      <c r="H358" s="47" t="str">
        <f>IFERROR(__xludf.DUMMYFUNCTION("""COMPUTED_VALUE"""),"Google,Oracle,Yahoo,Cohesity,LinkedIn,Salesforce,Yelp,Zenefits,Roblox,Wish,Apple,Cisco,eBay,Amazon,Facebook,Intuit,Karat,ByteDance,Microsoft,Bloomberg,Uber")</f>
        <v>Google,Oracle,Yahoo,Cohesity,LinkedIn,Salesforce,Yelp,Zenefits,Roblox,Wish,Apple,Cisco,eBay,Amazon,Facebook,Intuit,Karat,ByteDance,Microsoft,Bloomberg,Uber</v>
      </c>
      <c r="I358" s="47">
        <f>IFERROR(__xludf.DUMMYFUNCTION("""COMPUTED_VALUE"""),44.3)</f>
        <v>44.3</v>
      </c>
      <c r="J358" s="47" t="str">
        <f>IFERROR(__xludf.DUMMYFUNCTION("""COMPUTED_VALUE"""),"算法")</f>
        <v>算法</v>
      </c>
      <c r="K358" s="47">
        <v>357.0</v>
      </c>
      <c r="L358" s="6">
        <f>COUNTIF('Coder-1'!B:B,A358)</f>
        <v>0</v>
      </c>
      <c r="M358" s="6">
        <f>COUNTIF('Coder-2'!B:B,A358)</f>
        <v>0</v>
      </c>
      <c r="N358" s="6">
        <f>COUNTIF('Coder-3'!B:B,A358)</f>
        <v>0</v>
      </c>
      <c r="O358" s="6">
        <f>COUNTIF('Coder-4'!B:B,A358)</f>
        <v>0</v>
      </c>
    </row>
    <row r="359">
      <c r="A359" s="83">
        <v>210.0</v>
      </c>
      <c r="B359" s="86" t="str">
        <f>IFERROR(__xludf.DUMMYFUNCTION("IF(ISBLANK(A359),,FILTER('Leetcode List'!B:C,'Leetcode List'!A:A = A359))"),"Course Schedule II")</f>
        <v>Course Schedule II</v>
      </c>
      <c r="C359" s="83" t="str">
        <f>IFERROR(__xludf.DUMMYFUNCTION("""COMPUTED_VALUE"""),"Medium")</f>
        <v>Medium</v>
      </c>
      <c r="D359" s="83" t="s">
        <v>4979</v>
      </c>
      <c r="E359" s="87" t="str">
        <f>IFERROR(__xludf.DUMMYFUNCTION("IF(ISBLANK(A359),,FILTER('Leetcode List'!E:J,'Leetcode List'!A:A = A359))"),"Karat,Snapchat,Robinhood,Roblox,EBay,Goldman Sachs,Nutanix,DoorDash,Pinterest,Palantir Technologies,Wayfair,Zenefits,Walmart Labs,Twitter,Oracle,Intuit,Apple,Uber,Bloomberg,Facebook,Amazon,Microsoft,Google")</f>
        <v>Karat,Snapchat,Robinhood,Roblox,EBay,Goldman Sachs,Nutanix,DoorDash,Pinterest,Palantir Technologies,Wayfair,Zenefits,Walmart Labs,Twitter,Oracle,Intuit,Apple,Uber,Bloomberg,Facebook,Amazon,Microsoft,Google</v>
      </c>
      <c r="F359" s="47" t="str">
        <f>IFERROR(__xludf.DUMMYFUNCTION("""COMPUTED_VALUE"""),"Amazon,DoorDash,Microsoft,Google,Oracle,Snapchat,Facebook,Intuit,Pinterest,Wayfair,Karat")</f>
        <v>Amazon,DoorDash,Microsoft,Google,Oracle,Snapchat,Facebook,Intuit,Pinterest,Wayfair,Karat</v>
      </c>
      <c r="G359" s="47" t="str">
        <f>IFERROR(__xludf.DUMMYFUNCTION("""COMPUTED_VALUE"""),"Apple,eBay,Roblox,Walmart Labs,Robinhood,Amazon,DoorDash,Microsoft,Google,Oracle,Snapchat,Facebook,Intuit,Pinterest,Wayfair,Karat")</f>
        <v>Apple,eBay,Roblox,Walmart Labs,Robinhood,Amazon,DoorDash,Microsoft,Google,Oracle,Snapchat,Facebook,Intuit,Pinterest,Wayfair,Karat</v>
      </c>
      <c r="H359" s="47" t="str">
        <f>IFERROR(__xludf.DUMMYFUNCTION("""COMPUTED_VALUE"""),"Uber,Twitter,Bloomberg,Goldman Sachs,Zenefits,Apple,eBay,Roblox,Walmart Labs,Robinhood,Amazon,DoorDash,Microsoft,Google,Oracle,Snapchat,Facebook,Intuit,Pinterest,Wayfair,Karat")</f>
        <v>Uber,Twitter,Bloomberg,Goldman Sachs,Zenefits,Apple,eBay,Roblox,Walmart Labs,Robinhood,Amazon,DoorDash,Microsoft,Google,Oracle,Snapchat,Facebook,Intuit,Pinterest,Wayfair,Karat</v>
      </c>
      <c r="I359" s="47">
        <f>IFERROR(__xludf.DUMMYFUNCTION("""COMPUTED_VALUE"""),42.78)</f>
        <v>42.78</v>
      </c>
      <c r="J359" s="47" t="str">
        <f>IFERROR(__xludf.DUMMYFUNCTION("""COMPUTED_VALUE"""),"算法")</f>
        <v>算法</v>
      </c>
      <c r="K359" s="47">
        <v>358.0</v>
      </c>
      <c r="L359" s="6">
        <f>COUNTIF('Coder-1'!B:B,A359)</f>
        <v>0</v>
      </c>
      <c r="M359" s="6">
        <f>COUNTIF('Coder-2'!B:B,A359)</f>
        <v>0</v>
      </c>
      <c r="N359" s="6">
        <f>COUNTIF('Coder-3'!B:B,A359)</f>
        <v>0</v>
      </c>
      <c r="O359" s="6">
        <f>COUNTIF('Coder-4'!B:B,A359)</f>
        <v>0</v>
      </c>
    </row>
    <row r="360">
      <c r="A360" s="83">
        <v>269.0</v>
      </c>
      <c r="B360" s="86" t="str">
        <f>IFERROR(__xludf.DUMMYFUNCTION("IF(ISBLANK(A360),,FILTER('Leetcode List'!B:C,'Leetcode List'!A:A = A360))"),"Alien Dictionary")</f>
        <v>Alien Dictionary</v>
      </c>
      <c r="C360" s="83" t="str">
        <f>IFERROR(__xludf.DUMMYFUNCTION("""COMPUTED_VALUE"""),"Hard")</f>
        <v>Hard</v>
      </c>
      <c r="D360" s="83" t="s">
        <v>4979</v>
      </c>
      <c r="E360" s="87" t="str">
        <f>IFERROR(__xludf.DUMMYFUNCTION("IF(ISBLANK(A360),,FILTER('Leetcode List'!E:J,'Leetcode List'!A:A = A360))"),"ByteDance,EBay,Cohesity,DoorDash,Square,Pinterest,Pocket Gems,Flipkart,VMware,Walmart Labs,Snapchat,Twitter,Apple,Airbnb,Uber,Bloomberg,Facebook,Amazon,Microsoft,Google")</f>
        <v>ByteDance,EBay,Cohesity,DoorDash,Square,Pinterest,Pocket Gems,Flipkart,VMware,Walmart Labs,Snapchat,Twitter,Apple,Airbnb,Uber,Bloomberg,Facebook,Amazon,Microsoft,Google</v>
      </c>
      <c r="F360" s="47" t="str">
        <f>IFERROR(__xludf.DUMMYFUNCTION("""COMPUTED_VALUE"""),"Facebook,Amazon,Pinterest,Microsoft,Google,Airbnb")</f>
        <v>Facebook,Amazon,Pinterest,Microsoft,Google,Airbnb</v>
      </c>
      <c r="G360" s="47" t="str">
        <f>IFERROR(__xludf.DUMMYFUNCTION("""COMPUTED_VALUE"""),"Apple,Uber,Bloomberg,Facebook,Amazon,Pinterest,Microsoft,Google,Airbnb")</f>
        <v>Apple,Uber,Bloomberg,Facebook,Amazon,Pinterest,Microsoft,Google,Airbnb</v>
      </c>
      <c r="H360" s="47" t="str">
        <f>IFERROR(__xludf.DUMMYFUNCTION("""COMPUTED_VALUE"""),"VMware,Twitter,Snapchat,Walmart Labs,Flipkart,eBay,ByteDance,Pocket Gems,Apple,Uber,Bloomberg,Facebook,Amazon,Pinterest,Microsoft,Google,Airbnb")</f>
        <v>VMware,Twitter,Snapchat,Walmart Labs,Flipkart,eBay,ByteDance,Pocket Gems,Apple,Uber,Bloomberg,Facebook,Amazon,Pinterest,Microsoft,Google,Airbnb</v>
      </c>
      <c r="I360" s="47">
        <f>IFERROR(__xludf.DUMMYFUNCTION("""COMPUTED_VALUE"""),33.75)</f>
        <v>33.75</v>
      </c>
      <c r="J360" s="47" t="str">
        <f>IFERROR(__xludf.DUMMYFUNCTION("""COMPUTED_VALUE"""),"算法")</f>
        <v>算法</v>
      </c>
      <c r="K360" s="47">
        <v>359.0</v>
      </c>
      <c r="L360" s="6">
        <f>COUNTIF('Coder-1'!B:B,A360)</f>
        <v>0</v>
      </c>
      <c r="M360" s="6">
        <f>COUNTIF('Coder-2'!B:B,A360)</f>
        <v>0</v>
      </c>
      <c r="N360" s="6">
        <f>COUNTIF('Coder-3'!B:B,A360)</f>
        <v>0</v>
      </c>
      <c r="O360" s="6">
        <f>COUNTIF('Coder-4'!B:B,A360)</f>
        <v>0</v>
      </c>
    </row>
    <row r="361">
      <c r="A361" s="83">
        <v>384.0</v>
      </c>
      <c r="B361" s="86" t="str">
        <f>IFERROR(__xludf.DUMMYFUNCTION("IF(ISBLANK(A361),,FILTER('Leetcode List'!B:C,'Leetcode List'!A:A = A361))"),"Shuffle an Array")</f>
        <v>Shuffle an Array</v>
      </c>
      <c r="C361" s="47" t="str">
        <f>IFERROR(__xludf.DUMMYFUNCTION("""COMPUTED_VALUE"""),"Medium")</f>
        <v>Medium</v>
      </c>
      <c r="D361" s="47" t="s">
        <v>2965</v>
      </c>
      <c r="E361" s="87" t="str">
        <f>IFERROR(__xludf.DUMMYFUNCTION("IF(ISBLANK(A361),,FILTER('Leetcode List'!E:J,'Leetcode List'!A:A = A361))"),"Oracle,TripAdvisor,Two Sigma,Salesforce,Cisco,Apple,Yahoo,Bloomberg,Facebook,Amazon,LinkedIn,Microsoft,Google")</f>
        <v>Oracle,TripAdvisor,Two Sigma,Salesforce,Cisco,Apple,Yahoo,Bloomberg,Facebook,Amazon,LinkedIn,Microsoft,Google</v>
      </c>
      <c r="F361" s="47" t="str">
        <f>IFERROR(__xludf.DUMMYFUNCTION("""COMPUTED_VALUE"""),"Amazon,Microsoft,Google,Apple")</f>
        <v>Amazon,Microsoft,Google,Apple</v>
      </c>
      <c r="G361" s="47" t="str">
        <f>IFERROR(__xludf.DUMMYFUNCTION("""COMPUTED_VALUE"""),"Bloomberg,Facebook,Oracle,Amazon,Microsoft,Google,Apple")</f>
        <v>Bloomberg,Facebook,Oracle,Amazon,Microsoft,Google,Apple</v>
      </c>
      <c r="H361" s="47" t="str">
        <f>IFERROR(__xludf.DUMMYFUNCTION("""COMPUTED_VALUE"""),"Yahoo,Two Sigma,Bloomberg,Facebook,Oracle,Amazon,Microsoft,Google,Apple")</f>
        <v>Yahoo,Two Sigma,Bloomberg,Facebook,Oracle,Amazon,Microsoft,Google,Apple</v>
      </c>
      <c r="I361" s="47">
        <f>IFERROR(__xludf.DUMMYFUNCTION("""COMPUTED_VALUE"""),54.07)</f>
        <v>54.07</v>
      </c>
      <c r="J361" s="47" t="str">
        <f>IFERROR(__xludf.DUMMYFUNCTION("""COMPUTED_VALUE"""),"算法")</f>
        <v>算法</v>
      </c>
      <c r="K361" s="47">
        <v>360.0</v>
      </c>
      <c r="L361" s="6">
        <f>COUNTIF('Coder-1'!B:B,A361)</f>
        <v>0</v>
      </c>
      <c r="M361" s="6">
        <f>COUNTIF('Coder-2'!B:B,A361)</f>
        <v>0</v>
      </c>
      <c r="N361" s="6">
        <f>COUNTIF('Coder-3'!B:B,A361)</f>
        <v>0</v>
      </c>
      <c r="O361" s="6">
        <f>COUNTIF('Coder-4'!B:B,A361)</f>
        <v>0</v>
      </c>
    </row>
    <row r="362">
      <c r="A362" s="83">
        <v>398.0</v>
      </c>
      <c r="B362" s="86" t="str">
        <f>IFERROR(__xludf.DUMMYFUNCTION("IF(ISBLANK(A362),,FILTER('Leetcode List'!B:C,'Leetcode List'!A:A = A362))"),"Random Pick Index")</f>
        <v>Random Pick Index</v>
      </c>
      <c r="C362" s="47" t="str">
        <f>IFERROR(__xludf.DUMMYFUNCTION("""COMPUTED_VALUE"""),"Medium")</f>
        <v>Medium</v>
      </c>
      <c r="D362" s="47" t="s">
        <v>2965</v>
      </c>
      <c r="E362" s="87" t="str">
        <f>IFERROR(__xludf.DUMMYFUNCTION("IF(ISBLANK(A362),,FILTER('Leetcode List'!E:J,'Leetcode List'!A:A = A362))"),"Uber,Facebook,Google")</f>
        <v>Uber,Facebook,Google</v>
      </c>
      <c r="F362" s="47" t="str">
        <f>IFERROR(__xludf.DUMMYFUNCTION("""COMPUTED_VALUE"""),"Facebook,Google")</f>
        <v>Facebook,Google</v>
      </c>
      <c r="G362" s="47" t="str">
        <f>IFERROR(__xludf.DUMMYFUNCTION("""COMPUTED_VALUE"""),"Facebook,Google")</f>
        <v>Facebook,Google</v>
      </c>
      <c r="H362" s="47" t="str">
        <f>IFERROR(__xludf.DUMMYFUNCTION("""COMPUTED_VALUE"""),"Facebook,Google")</f>
        <v>Facebook,Google</v>
      </c>
      <c r="I362" s="47">
        <f>IFERROR(__xludf.DUMMYFUNCTION("""COMPUTED_VALUE"""),58.1)</f>
        <v>58.1</v>
      </c>
      <c r="J362" s="47" t="str">
        <f>IFERROR(__xludf.DUMMYFUNCTION("""COMPUTED_VALUE"""),"算法")</f>
        <v>算法</v>
      </c>
      <c r="K362" s="47">
        <v>361.0</v>
      </c>
      <c r="L362" s="6">
        <f>COUNTIF('Coder-1'!B:B,A362)</f>
        <v>0</v>
      </c>
      <c r="M362" s="6">
        <f>COUNTIF('Coder-2'!B:B,A362)</f>
        <v>0</v>
      </c>
      <c r="N362" s="6">
        <f>COUNTIF('Coder-3'!B:B,A362)</f>
        <v>0</v>
      </c>
      <c r="O362" s="6">
        <f>COUNTIF('Coder-4'!B:B,A362)</f>
        <v>0</v>
      </c>
    </row>
    <row r="363">
      <c r="A363" s="83">
        <v>382.0</v>
      </c>
      <c r="B363" s="86" t="str">
        <f>IFERROR(__xludf.DUMMYFUNCTION("IF(ISBLANK(A363),,FILTER('Leetcode List'!B:C,'Leetcode List'!A:A = A363))"),"Linked List Random Node")</f>
        <v>Linked List Random Node</v>
      </c>
      <c r="C363" s="47" t="str">
        <f>IFERROR(__xludf.DUMMYFUNCTION("""COMPUTED_VALUE"""),"Medium")</f>
        <v>Medium</v>
      </c>
      <c r="D363" s="47" t="s">
        <v>2965</v>
      </c>
      <c r="E363" s="87" t="str">
        <f>IFERROR(__xludf.DUMMYFUNCTION("IF(ISBLANK(A363),,FILTER('Leetcode List'!E:J,'Leetcode List'!A:A = A363))"),"Amazon,Apple,Facebook,Google")</f>
        <v>Amazon,Apple,Facebook,Google</v>
      </c>
      <c r="F363" s="47"/>
      <c r="G363" s="47" t="str">
        <f>IFERROR(__xludf.DUMMYFUNCTION("""COMPUTED_VALUE"""),"Amazon")</f>
        <v>Amazon</v>
      </c>
      <c r="H363" s="47" t="str">
        <f>IFERROR(__xludf.DUMMYFUNCTION("""COMPUTED_VALUE"""),"Google,Facebook,Amazon")</f>
        <v>Google,Facebook,Amazon</v>
      </c>
      <c r="I363" s="47">
        <f>IFERROR(__xludf.DUMMYFUNCTION("""COMPUTED_VALUE"""),54.2)</f>
        <v>54.2</v>
      </c>
      <c r="J363" s="47" t="str">
        <f>IFERROR(__xludf.DUMMYFUNCTION("""COMPUTED_VALUE"""),"算法")</f>
        <v>算法</v>
      </c>
      <c r="K363" s="47">
        <v>362.0</v>
      </c>
      <c r="L363" s="6">
        <f>COUNTIF('Coder-1'!B:B,A363)</f>
        <v>0</v>
      </c>
      <c r="M363" s="6">
        <f>COUNTIF('Coder-2'!B:B,A363)</f>
        <v>0</v>
      </c>
      <c r="N363" s="6">
        <f>COUNTIF('Coder-3'!B:B,A363)</f>
        <v>0</v>
      </c>
      <c r="O363" s="6">
        <f>COUNTIF('Coder-4'!B:B,A363)</f>
        <v>0</v>
      </c>
    </row>
    <row r="364">
      <c r="A364" s="83">
        <v>380.0</v>
      </c>
      <c r="B364" s="86" t="str">
        <f>IFERROR(__xludf.DUMMYFUNCTION("IF(ISBLANK(A364),,FILTER('Leetcode List'!B:C,'Leetcode List'!A:A = A364))"),"Insert Delete GetRandom O(1)")</f>
        <v>Insert Delete GetRandom O(1)</v>
      </c>
      <c r="C364" s="47" t="str">
        <f>IFERROR(__xludf.DUMMYFUNCTION("""COMPUTED_VALUE"""),"Medium")</f>
        <v>Medium</v>
      </c>
      <c r="D364" s="47" t="s">
        <v>2965</v>
      </c>
      <c r="E364" s="87" t="str">
        <f>IFERROR(__xludf.DUMMYFUNCTION("IF(ISBLANK(A364),,FILTER('Leetcode List'!E:J,'Leetcode List'!A:A = A364))"),"HRT,AppDynamics,Snapchat,ByteDance,Visa,Citadel,Zillow,Nvidia,Pinterest,Databricks,Pocket Gems,Pure Storage,Two Sigma,Flipkart,Twilio,Salesforce,VMware,Quora,Affirm,Walmart Labs,Indeed,Twitter,Yelp,Oracle,Yandex,Apple,Uber,Bloomberg,Adobe,Facebook,Amazon,"&amp;"LinkedIn,Microsoft,Goldman Sachs,Google")</f>
        <v>HRT,AppDynamics,Snapchat,ByteDance,Visa,Citadel,Zillow,Nvidia,Pinterest,Databricks,Pocket Gems,Pure Storage,Two Sigma,Flipkart,Twilio,Salesforce,VMware,Quora,Affirm,Walmart Labs,Indeed,Twitter,Yelp,Oracle,Yandex,Apple,Uber,Bloomberg,Adobe,Facebook,Amazon,LinkedIn,Microsoft,Goldman Sachs,Google</v>
      </c>
      <c r="F364" s="47" t="str">
        <f>IFERROR(__xludf.DUMMYFUNCTION("""COMPUTED_VALUE"""),"Amazon,Bloomberg,Twitter,Facebook,Microsoft,Affirm,Oracle,Two Sigma,Yandex,Nvidia,LinkedIn,Google,Apple,Snapchat,Databricks,Quora,Adobe,Citadel,Zillow,HRT")</f>
        <v>Amazon,Bloomberg,Twitter,Facebook,Microsoft,Affirm,Oracle,Two Sigma,Yandex,Nvidia,LinkedIn,Google,Apple,Snapchat,Databricks,Quora,Adobe,Citadel,Zillow,HRT</v>
      </c>
      <c r="G364" s="47" t="str">
        <f>IFERROR(__xludf.DUMMYFUNCTION("""COMPUTED_VALUE"""),"AppDynamics,Amazon,Bloomberg,Twitter,Facebook,Microsoft,Affirm,Oracle,Two Sigma,Yandex,Nvidia,LinkedIn,Google,Apple,Snapchat,Databricks,Quora,Adobe,Citadel,Zillow,HRT")</f>
        <v>AppDynamics,Amazon,Bloomberg,Twitter,Facebook,Microsoft,Affirm,Oracle,Two Sigma,Yandex,Nvidia,LinkedIn,Google,Apple,Snapchat,Databricks,Quora,Adobe,Citadel,Zillow,HRT</v>
      </c>
      <c r="H364" s="47" t="str">
        <f>IFERROR(__xludf.DUMMYFUNCTION("""COMPUTED_VALUE"""),"Uber,VMware,Indeed,Goldman Sachs,Salesforce,Walmart Labs,Flipkart,ByteDance,Twilio,Visa,Yelp,Pocket Gems,AppDynamics,Amazon,Bloomberg,Twitter,Facebook,Microsoft,Affirm,Oracle,Two Sigma,Yandex,Nvidia,LinkedIn,Google,Apple,Snapchat,Databricks,Quora,Adobe,Ci"&amp;"tadel,Zillow,HRT")</f>
        <v>Uber,VMware,Indeed,Goldman Sachs,Salesforce,Walmart Labs,Flipkart,ByteDance,Twilio,Visa,Yelp,Pocket Gems,AppDynamics,Amazon,Bloomberg,Twitter,Facebook,Microsoft,Affirm,Oracle,Two Sigma,Yandex,Nvidia,LinkedIn,Google,Apple,Snapchat,Databricks,Quora,Adobe,Citadel,Zillow,HRT</v>
      </c>
      <c r="I364" s="47">
        <f>IFERROR(__xludf.DUMMYFUNCTION("""COMPUTED_VALUE"""),48.95)</f>
        <v>48.95</v>
      </c>
      <c r="J364" s="47" t="str">
        <f>IFERROR(__xludf.DUMMYFUNCTION("""COMPUTED_VALUE"""),"算法")</f>
        <v>算法</v>
      </c>
      <c r="K364" s="47">
        <v>363.0</v>
      </c>
      <c r="L364" s="6">
        <f>COUNTIF('Coder-1'!B:B,A364)</f>
        <v>0</v>
      </c>
      <c r="M364" s="6">
        <f>COUNTIF('Coder-2'!B:B,A364)</f>
        <v>0</v>
      </c>
      <c r="N364" s="6">
        <f>COUNTIF('Coder-3'!B:B,A364)</f>
        <v>0</v>
      </c>
      <c r="O364" s="6">
        <f>COUNTIF('Coder-4'!B:B,A364)</f>
        <v>0</v>
      </c>
    </row>
    <row r="365">
      <c r="A365" s="83">
        <v>381.0</v>
      </c>
      <c r="B365" s="86" t="str">
        <f>IFERROR(__xludf.DUMMYFUNCTION("IF(ISBLANK(A365),,FILTER('Leetcode List'!B:C,'Leetcode List'!A:A = A365))"),"Insert Delete GetRandom O(1) - Duplicates allowed")</f>
        <v>Insert Delete GetRandom O(1) - Duplicates allowed</v>
      </c>
      <c r="C365" s="47" t="str">
        <f>IFERROR(__xludf.DUMMYFUNCTION("""COMPUTED_VALUE"""),"Hard")</f>
        <v>Hard</v>
      </c>
      <c r="D365" s="47" t="s">
        <v>2965</v>
      </c>
      <c r="E365" s="87" t="str">
        <f>IFERROR(__xludf.DUMMYFUNCTION("IF(ISBLANK(A365),,FILTER('Leetcode List'!E:J,'Leetcode List'!A:A = A365))"),"Quora,Wish,Bloomberg,Databricks,Affirm,Walmart Labs,Yelp,Apple,Uber,Facebook,Amazon,LinkedIn,Microsoft,Google")</f>
        <v>Quora,Wish,Bloomberg,Databricks,Affirm,Walmart Labs,Yelp,Apple,Uber,Facebook,Amazon,LinkedIn,Microsoft,Google</v>
      </c>
      <c r="F365" s="47" t="str">
        <f>IFERROR(__xludf.DUMMYFUNCTION("""COMPUTED_VALUE"""),"Facebook,Affirm")</f>
        <v>Facebook,Affirm</v>
      </c>
      <c r="G365" s="47" t="str">
        <f>IFERROR(__xludf.DUMMYFUNCTION("""COMPUTED_VALUE"""),"LinkedIn,Facebook,Affirm")</f>
        <v>LinkedIn,Facebook,Affirm</v>
      </c>
      <c r="H365" s="47" t="str">
        <f>IFERROR(__xludf.DUMMYFUNCTION("""COMPUTED_VALUE"""),"Apple,Amazon,Microsoft,Uber,Bloomberg,Walmart Labs,Databricks,Wish,Quora,Yelp,LinkedIn,Facebook,Affirm")</f>
        <v>Apple,Amazon,Microsoft,Uber,Bloomberg,Walmart Labs,Databricks,Wish,Quora,Yelp,LinkedIn,Facebook,Affirm</v>
      </c>
      <c r="I365" s="47">
        <f>IFERROR(__xludf.DUMMYFUNCTION("""COMPUTED_VALUE"""),34.92)</f>
        <v>34.92</v>
      </c>
      <c r="J365" s="47" t="str">
        <f>IFERROR(__xludf.DUMMYFUNCTION("""COMPUTED_VALUE"""),"算法")</f>
        <v>算法</v>
      </c>
      <c r="K365" s="47">
        <v>364.0</v>
      </c>
      <c r="L365" s="6">
        <f>COUNTIF('Coder-1'!B:B,A365)</f>
        <v>0</v>
      </c>
      <c r="M365" s="6">
        <f>COUNTIF('Coder-2'!B:B,A365)</f>
        <v>0</v>
      </c>
      <c r="N365" s="6">
        <f>COUNTIF('Coder-3'!B:B,A365)</f>
        <v>0</v>
      </c>
      <c r="O365" s="6">
        <f>COUNTIF('Coder-4'!B:B,A365)</f>
        <v>0</v>
      </c>
    </row>
    <row r="366">
      <c r="A366" s="83">
        <v>138.0</v>
      </c>
      <c r="B366" s="86" t="str">
        <f>IFERROR(__xludf.DUMMYFUNCTION("IF(ISBLANK(A366),,FILTER('Leetcode List'!B:C,'Leetcode List'!A:A = A366))"),"Copy List with Random Pointer")</f>
        <v>Copy List with Random Pointer</v>
      </c>
      <c r="C366" s="47" t="str">
        <f>IFERROR(__xludf.DUMMYFUNCTION("""COMPUTED_VALUE"""),"Medium")</f>
        <v>Medium</v>
      </c>
      <c r="D366" s="47" t="s">
        <v>2965</v>
      </c>
      <c r="E366" s="87" t="str">
        <f>IFERROR(__xludf.DUMMYFUNCTION("IF(ISBLANK(A366),,FILTER('Leetcode List'!E:J,'Leetcode List'!A:A = A366))"),"ByteDance,Qualcomm,Salesforce,Citadel,Nutanix,Qualtrics,Capital One,Visa,Expedia,Oracle,EBay,Apple,Uber,Yahoo,Bloomberg,Adobe,Facebook,Amazon,Microsoft,Google")</f>
        <v>ByteDance,Qualcomm,Salesforce,Citadel,Nutanix,Qualtrics,Capital One,Visa,Expedia,Oracle,EBay,Apple,Uber,Yahoo,Bloomberg,Adobe,Facebook,Amazon,Microsoft,Google</v>
      </c>
      <c r="F366" s="47" t="str">
        <f>IFERROR(__xludf.DUMMYFUNCTION("""COMPUTED_VALUE"""),"Amazon,Facebook,Microsoft,Bloomberg,eBay,Oracle,Yahoo")</f>
        <v>Amazon,Facebook,Microsoft,Bloomberg,eBay,Oracle,Yahoo</v>
      </c>
      <c r="G366" s="47" t="str">
        <f>IFERROR(__xludf.DUMMYFUNCTION("""COMPUTED_VALUE"""),"Qualtrics,Capital One,ByteDance,Qualcomm,Amazon,Facebook,Microsoft,Bloomberg,eBay,Oracle,Yahoo")</f>
        <v>Qualtrics,Capital One,ByteDance,Qualcomm,Amazon,Facebook,Microsoft,Bloomberg,eBay,Oracle,Yahoo</v>
      </c>
      <c r="H366" s="47" t="str">
        <f>IFERROR(__xludf.DUMMYFUNCTION("""COMPUTED_VALUE"""),"Apple,Google,Salesforce,Nutanix,Citadel,Uber,Qualtrics,Capital One,ByteDance,Qualcomm,Amazon,Facebook,Microsoft,Bloomberg,eBay,Oracle,Yahoo")</f>
        <v>Apple,Google,Salesforce,Nutanix,Citadel,Uber,Qualtrics,Capital One,ByteDance,Qualcomm,Amazon,Facebook,Microsoft,Bloomberg,eBay,Oracle,Yahoo</v>
      </c>
      <c r="I366" s="47">
        <f>IFERROR(__xludf.DUMMYFUNCTION("""COMPUTED_VALUE"""),41.17)</f>
        <v>41.17</v>
      </c>
      <c r="J366" s="47" t="str">
        <f>IFERROR(__xludf.DUMMYFUNCTION("""COMPUTED_VALUE"""),"算法")</f>
        <v>算法</v>
      </c>
      <c r="K366" s="47">
        <v>365.0</v>
      </c>
      <c r="L366" s="6">
        <f>COUNTIF('Coder-1'!B:B,A366)</f>
        <v>0</v>
      </c>
      <c r="M366" s="6">
        <f>COUNTIF('Coder-2'!B:B,A366)</f>
        <v>0</v>
      </c>
      <c r="N366" s="6">
        <f>COUNTIF('Coder-3'!B:B,A366)</f>
        <v>0</v>
      </c>
      <c r="O366" s="6">
        <f>COUNTIF('Coder-4'!B:B,A366)</f>
        <v>0</v>
      </c>
    </row>
    <row r="367">
      <c r="A367" s="83">
        <v>133.0</v>
      </c>
      <c r="B367" s="86" t="str">
        <f>IFERROR(__xludf.DUMMYFUNCTION("IF(ISBLANK(A367),,FILTER('Leetcode List'!B:C,'Leetcode List'!A:A = A367))"),"Clone Graph")</f>
        <v>Clone Graph</v>
      </c>
      <c r="C367" s="47" t="str">
        <f>IFERROR(__xludf.DUMMYFUNCTION("""COMPUTED_VALUE"""),"Medium")</f>
        <v>Medium</v>
      </c>
      <c r="D367" s="47" t="s">
        <v>66</v>
      </c>
      <c r="E367" s="87" t="str">
        <f>IFERROR(__xludf.DUMMYFUNCTION("IF(ISBLANK(A367),,FILTER('Leetcode List'!E:J,'Leetcode List'!A:A = A367))"),"DiDi,Qualtrics,Docusign,VMware,Pocket Gems,Splunk,Walmart Labs,Twitter,Mathworks,Apple,Uber,Bloomberg,Facebook,Amazon,LinkedIn,Microsoft,Google")</f>
        <v>DiDi,Qualtrics,Docusign,VMware,Pocket Gems,Splunk,Walmart Labs,Twitter,Mathworks,Apple,Uber,Bloomberg,Facebook,Amazon,LinkedIn,Microsoft,Google</v>
      </c>
      <c r="F367" s="47" t="str">
        <f>IFERROR(__xludf.DUMMYFUNCTION("""COMPUTED_VALUE"""),"Facebook,Amazon,Microsoft,Bloomberg,Apple,Google,Twitter,Uber,Qualtrics")</f>
        <v>Facebook,Amazon,Microsoft,Bloomberg,Apple,Google,Twitter,Uber,Qualtrics</v>
      </c>
      <c r="G367" s="47" t="str">
        <f>IFERROR(__xludf.DUMMYFUNCTION("""COMPUTED_VALUE"""),"DiDi,Docusign,Facebook,Amazon,Microsoft,Bloomberg,Apple,Google,Twitter,Uber,Qualtrics")</f>
        <v>DiDi,Docusign,Facebook,Amazon,Microsoft,Bloomberg,Apple,Google,Twitter,Uber,Qualtrics</v>
      </c>
      <c r="H367" s="47" t="str">
        <f>IFERROR(__xludf.DUMMYFUNCTION("""COMPUTED_VALUE"""),"Mathworks,Walmart Labs,Splunk,VMware,Pocket Gems,DiDi,Docusign,Facebook,Amazon,Microsoft,Bloomberg,Apple,Google,Twitter,Uber,Qualtrics")</f>
        <v>Mathworks,Walmart Labs,Splunk,VMware,Pocket Gems,DiDi,Docusign,Facebook,Amazon,Microsoft,Bloomberg,Apple,Google,Twitter,Uber,Qualtrics</v>
      </c>
      <c r="I367" s="47">
        <f>IFERROR(__xludf.DUMMYFUNCTION("""COMPUTED_VALUE"""),39.51)</f>
        <v>39.51</v>
      </c>
      <c r="J367" s="47" t="str">
        <f>IFERROR(__xludf.DUMMYFUNCTION("""COMPUTED_VALUE"""),"算法")</f>
        <v>算法</v>
      </c>
      <c r="K367" s="47">
        <v>366.0</v>
      </c>
      <c r="L367" s="6">
        <f>COUNTIF('Coder-1'!B:B,A367)</f>
        <v>0</v>
      </c>
      <c r="M367" s="6">
        <f>COUNTIF('Coder-2'!B:B,A367)</f>
        <v>0</v>
      </c>
      <c r="N367" s="6">
        <f>COUNTIF('Coder-3'!B:B,A367)</f>
        <v>0</v>
      </c>
      <c r="O367" s="6">
        <f>COUNTIF('Coder-4'!B:B,A367)</f>
        <v>0</v>
      </c>
    </row>
    <row r="368">
      <c r="A368" s="47">
        <v>399.0</v>
      </c>
      <c r="B368" s="86" t="str">
        <f>IFERROR(__xludf.DUMMYFUNCTION("IF(ISBLANK(A368),,FILTER('Leetcode List'!B:C,'Leetcode List'!A:A = A368))"),"Evaluate Division")</f>
        <v>Evaluate Division</v>
      </c>
      <c r="C368" s="47" t="str">
        <f>IFERROR(__xludf.DUMMYFUNCTION("""COMPUTED_VALUE"""),"Medium")</f>
        <v>Medium</v>
      </c>
      <c r="D368" s="47" t="s">
        <v>66</v>
      </c>
      <c r="E368" s="87" t="str">
        <f>IFERROR(__xludf.DUMMYFUNCTION("IF(ISBLANK(A368),,FILTER('Leetcode List'!E:J,'Leetcode List'!A:A = A368))"),"Apple,Microsoft,Uber,Bloomberg,Adobe,Facebook,Amazon,Google")</f>
        <v>Apple,Microsoft,Uber,Bloomberg,Adobe,Facebook,Amazon,Google</v>
      </c>
      <c r="F368" s="47" t="str">
        <f>IFERROR(__xludf.DUMMYFUNCTION("""COMPUTED_VALUE"""),"Bloomberg,Amazon,Uber,Facebook,Google,Microsoft,Apple")</f>
        <v>Bloomberg,Amazon,Uber,Facebook,Google,Microsoft,Apple</v>
      </c>
      <c r="G368" s="47" t="str">
        <f>IFERROR(__xludf.DUMMYFUNCTION("""COMPUTED_VALUE"""),"Bloomberg,Amazon,Uber,Facebook,Google,Microsoft,Apple")</f>
        <v>Bloomberg,Amazon,Uber,Facebook,Google,Microsoft,Apple</v>
      </c>
      <c r="H368" s="47" t="str">
        <f>IFERROR(__xludf.DUMMYFUNCTION("""COMPUTED_VALUE"""),"Bloomberg,Amazon,Uber,Facebook,Google,Microsoft,Apple")</f>
        <v>Bloomberg,Amazon,Uber,Facebook,Google,Microsoft,Apple</v>
      </c>
      <c r="I368" s="47">
        <f>IFERROR(__xludf.DUMMYFUNCTION("""COMPUTED_VALUE"""),54.47)</f>
        <v>54.47</v>
      </c>
      <c r="J368" s="47" t="str">
        <f>IFERROR(__xludf.DUMMYFUNCTION("""COMPUTED_VALUE"""),"算法")</f>
        <v>算法</v>
      </c>
      <c r="K368" s="47">
        <v>367.0</v>
      </c>
      <c r="L368" s="6">
        <f>COUNTIF('Coder-1'!B:B,A368)</f>
        <v>0</v>
      </c>
      <c r="M368" s="6">
        <f>COUNTIF('Coder-2'!B:B,A368)</f>
        <v>0</v>
      </c>
      <c r="N368" s="6">
        <f>COUNTIF('Coder-3'!B:B,A368)</f>
        <v>0</v>
      </c>
      <c r="O368" s="6">
        <f>COUNTIF('Coder-4'!B:B,A368)</f>
        <v>0</v>
      </c>
    </row>
    <row r="369">
      <c r="A369" s="47">
        <v>310.0</v>
      </c>
      <c r="B369" s="86" t="str">
        <f>IFERROR(__xludf.DUMMYFUNCTION("IF(ISBLANK(A369),,FILTER('Leetcode List'!B:C,'Leetcode List'!A:A = A369))"),"Minimum Height Trees")</f>
        <v>Minimum Height Trees</v>
      </c>
      <c r="C369" s="47" t="str">
        <f>IFERROR(__xludf.DUMMYFUNCTION("""COMPUTED_VALUE"""),"Medium")</f>
        <v>Medium</v>
      </c>
      <c r="D369" s="47" t="s">
        <v>66</v>
      </c>
      <c r="E369" s="87" t="str">
        <f>IFERROR(__xludf.DUMMYFUNCTION("IF(ISBLANK(A369),,FILTER('Leetcode List'!E:J,'Leetcode List'!A:A = A369))"),"Apple,Snapchat,Bloomberg,Facebook,Amazon,Google")</f>
        <v>Apple,Snapchat,Bloomberg,Facebook,Amazon,Google</v>
      </c>
      <c r="F369" s="47" t="str">
        <f>IFERROR(__xludf.DUMMYFUNCTION("""COMPUTED_VALUE"""),"Facebook")</f>
        <v>Facebook</v>
      </c>
      <c r="G369" s="47" t="str">
        <f>IFERROR(__xludf.DUMMYFUNCTION("""COMPUTED_VALUE"""),"Amazon,Google,Bloomberg,Facebook")</f>
        <v>Amazon,Google,Bloomberg,Facebook</v>
      </c>
      <c r="H369" s="47" t="str">
        <f>IFERROR(__xludf.DUMMYFUNCTION("""COMPUTED_VALUE"""),"Snapchat,Apple,Amazon,Google,Bloomberg,Facebook")</f>
        <v>Snapchat,Apple,Amazon,Google,Bloomberg,Facebook</v>
      </c>
      <c r="I369" s="47">
        <f>IFERROR(__xludf.DUMMYFUNCTION("""COMPUTED_VALUE"""),34.77)</f>
        <v>34.77</v>
      </c>
      <c r="J369" s="47" t="str">
        <f>IFERROR(__xludf.DUMMYFUNCTION("""COMPUTED_VALUE"""),"算法")</f>
        <v>算法</v>
      </c>
      <c r="K369" s="47">
        <v>368.0</v>
      </c>
      <c r="L369" s="6">
        <f>COUNTIF('Coder-1'!B:B,A369)</f>
        <v>0</v>
      </c>
      <c r="M369" s="6">
        <f>COUNTIF('Coder-2'!B:B,A369)</f>
        <v>0</v>
      </c>
      <c r="N369" s="6">
        <f>COUNTIF('Coder-3'!B:B,A369)</f>
        <v>0</v>
      </c>
      <c r="O369" s="6">
        <f>COUNTIF('Coder-4'!B:B,A369)</f>
        <v>0</v>
      </c>
    </row>
    <row r="370">
      <c r="A370" s="47">
        <v>149.0</v>
      </c>
      <c r="B370" s="86" t="str">
        <f>IFERROR(__xludf.DUMMYFUNCTION("IF(ISBLANK(A370),,FILTER('Leetcode List'!B:C,'Leetcode List'!A:A = A370))"),"Max Points on a Line")</f>
        <v>Max Points on a Line</v>
      </c>
      <c r="C370" s="47" t="str">
        <f>IFERROR(__xludf.DUMMYFUNCTION("""COMPUTED_VALUE"""),"Hard")</f>
        <v>Hard</v>
      </c>
      <c r="D370" s="47" t="s">
        <v>66</v>
      </c>
      <c r="E370" s="87" t="str">
        <f>IFERROR(__xludf.DUMMYFUNCTION("IF(ISBLANK(A370),,FILTER('Leetcode List'!E:J,'Leetcode List'!A:A = A370))"),"Paypal,Yahoo,Adobe,TripAdvisor,Twitter,Apple,Uber,Bloomberg,Amazon,LinkedIn,Microsoft,Alibaba,Google")</f>
        <v>Paypal,Yahoo,Adobe,TripAdvisor,Twitter,Apple,Uber,Bloomberg,Amazon,LinkedIn,Microsoft,Alibaba,Google</v>
      </c>
      <c r="F370" s="47" t="str">
        <f>IFERROR(__xludf.DUMMYFUNCTION("""COMPUTED_VALUE"""),"Apple,Google,LinkedIn,Amazon,Paypal")</f>
        <v>Apple,Google,LinkedIn,Amazon,Paypal</v>
      </c>
      <c r="G370" s="47" t="str">
        <f>IFERROR(__xludf.DUMMYFUNCTION("""COMPUTED_VALUE"""),"Adobe,Microsoft,Uber,Apple,Google,LinkedIn,Amazon,Paypal")</f>
        <v>Adobe,Microsoft,Uber,Apple,Google,LinkedIn,Amazon,Paypal</v>
      </c>
      <c r="H370" s="47" t="str">
        <f>IFERROR(__xludf.DUMMYFUNCTION("""COMPUTED_VALUE"""),"Bloomberg,TripAdvisor,Yahoo,Twitter,Adobe,Microsoft,Uber,Apple,Google,LinkedIn,Amazon,Paypal")</f>
        <v>Bloomberg,TripAdvisor,Yahoo,Twitter,Adobe,Microsoft,Uber,Apple,Google,LinkedIn,Amazon,Paypal</v>
      </c>
      <c r="I370" s="47">
        <f>IFERROR(__xludf.DUMMYFUNCTION("""COMPUTED_VALUE"""),17.51)</f>
        <v>17.51</v>
      </c>
      <c r="J370" s="47" t="str">
        <f>IFERROR(__xludf.DUMMYFUNCTION("""COMPUTED_VALUE"""),"算法")</f>
        <v>算法</v>
      </c>
      <c r="K370" s="47">
        <v>369.0</v>
      </c>
      <c r="L370" s="6">
        <f>COUNTIF('Coder-1'!B:B,A370)</f>
        <v>0</v>
      </c>
      <c r="M370" s="6">
        <f>COUNTIF('Coder-2'!B:B,A370)</f>
        <v>0</v>
      </c>
      <c r="N370" s="6">
        <f>COUNTIF('Coder-3'!B:B,A370)</f>
        <v>0</v>
      </c>
      <c r="O370" s="6">
        <f>COUNTIF('Coder-4'!B:B,A370)</f>
        <v>0</v>
      </c>
    </row>
    <row r="371">
      <c r="A371" s="47">
        <v>335.0</v>
      </c>
      <c r="B371" s="86" t="str">
        <f>IFERROR(__xludf.DUMMYFUNCTION("IF(ISBLANK(A371),,FILTER('Leetcode List'!B:C,'Leetcode List'!A:A = A371))"),"Self Crossing")</f>
        <v>Self Crossing</v>
      </c>
      <c r="C371" s="47" t="str">
        <f>IFERROR(__xludf.DUMMYFUNCTION("""COMPUTED_VALUE"""),"Hard")</f>
        <v>Hard</v>
      </c>
      <c r="D371" s="47" t="s">
        <v>66</v>
      </c>
      <c r="E371" s="87" t="str">
        <f>IFERROR(__xludf.DUMMYFUNCTION("IF(ISBLANK(A371),,FILTER('Leetcode List'!E:J,'Leetcode List'!A:A = A371))"),"Amazon,Google")</f>
        <v>Amazon,Google</v>
      </c>
      <c r="F371" s="47"/>
      <c r="G371" s="47" t="str">
        <f>IFERROR(__xludf.DUMMYFUNCTION("""COMPUTED_VALUE"""),"Google,Amazon")</f>
        <v>Google,Amazon</v>
      </c>
      <c r="H371" s="47" t="str">
        <f>IFERROR(__xludf.DUMMYFUNCTION("""COMPUTED_VALUE"""),"Google,Amazon")</f>
        <v>Google,Amazon</v>
      </c>
      <c r="I371" s="47">
        <f>IFERROR(__xludf.DUMMYFUNCTION("""COMPUTED_VALUE"""),28.69)</f>
        <v>28.69</v>
      </c>
      <c r="J371" s="47" t="str">
        <f>IFERROR(__xludf.DUMMYFUNCTION("""COMPUTED_VALUE"""),"算法")</f>
        <v>算法</v>
      </c>
      <c r="K371" s="47">
        <v>370.0</v>
      </c>
      <c r="L371" s="6">
        <f>COUNTIF('Coder-1'!B:B,A371)</f>
        <v>0</v>
      </c>
      <c r="M371" s="6">
        <f>COUNTIF('Coder-2'!B:B,A371)</f>
        <v>0</v>
      </c>
      <c r="N371" s="6">
        <f>COUNTIF('Coder-3'!B:B,A371)</f>
        <v>0</v>
      </c>
      <c r="O371" s="6">
        <f>COUNTIF('Coder-4'!B:B,A371)</f>
        <v>0</v>
      </c>
    </row>
    <row r="372">
      <c r="A372" s="47">
        <v>356.0</v>
      </c>
      <c r="B372" s="86" t="str">
        <f>IFERROR(__xludf.DUMMYFUNCTION("IF(ISBLANK(A372),,FILTER('Leetcode List'!B:C,'Leetcode List'!A:A = A372))"),"Line Reflection")</f>
        <v>Line Reflection</v>
      </c>
      <c r="C372" s="47" t="str">
        <f>IFERROR(__xludf.DUMMYFUNCTION("""COMPUTED_VALUE"""),"Medium")</f>
        <v>Medium</v>
      </c>
      <c r="D372" s="47" t="s">
        <v>66</v>
      </c>
      <c r="E372" s="87" t="str">
        <f>IFERROR(__xludf.DUMMYFUNCTION("IF(ISBLANK(A372),,FILTER('Leetcode List'!E:J,'Leetcode List'!A:A = A372))"),"Yandex,Amazon,Google")</f>
        <v>Yandex,Amazon,Google</v>
      </c>
      <c r="F372" s="47" t="str">
        <f>IFERROR(__xludf.DUMMYFUNCTION("""COMPUTED_VALUE"""),"Yandex")</f>
        <v>Yandex</v>
      </c>
      <c r="G372" s="47" t="str">
        <f>IFERROR(__xludf.DUMMYFUNCTION("""COMPUTED_VALUE"""),"Amazon,Yandex")</f>
        <v>Amazon,Yandex</v>
      </c>
      <c r="H372" s="47" t="str">
        <f>IFERROR(__xludf.DUMMYFUNCTION("""COMPUTED_VALUE"""),"Google,Amazon,Yandex")</f>
        <v>Google,Amazon,Yandex</v>
      </c>
      <c r="I372" s="47">
        <f>IFERROR(__xludf.DUMMYFUNCTION("""COMPUTED_VALUE"""),32.98)</f>
        <v>32.98</v>
      </c>
      <c r="J372" s="47" t="str">
        <f>IFERROR(__xludf.DUMMYFUNCTION("""COMPUTED_VALUE"""),"算法")</f>
        <v>算法</v>
      </c>
      <c r="K372" s="47">
        <v>371.0</v>
      </c>
      <c r="L372" s="6">
        <f>COUNTIF('Coder-1'!B:B,A372)</f>
        <v>0</v>
      </c>
      <c r="M372" s="6">
        <f>COUNTIF('Coder-2'!B:B,A372)</f>
        <v>0</v>
      </c>
      <c r="N372" s="6">
        <f>COUNTIF('Coder-3'!B:B,A372)</f>
        <v>0</v>
      </c>
      <c r="O372" s="6">
        <f>COUNTIF('Coder-4'!B:B,A372)</f>
        <v>0</v>
      </c>
    </row>
    <row r="373">
      <c r="A373" s="47">
        <v>391.0</v>
      </c>
      <c r="B373" s="86" t="str">
        <f>IFERROR(__xludf.DUMMYFUNCTION("IF(ISBLANK(A373),,FILTER('Leetcode List'!B:C,'Leetcode List'!A:A = A373))"),"Perfect Rectangle")</f>
        <v>Perfect Rectangle</v>
      </c>
      <c r="C373" s="47" t="str">
        <f>IFERROR(__xludf.DUMMYFUNCTION("""COMPUTED_VALUE"""),"Hard")</f>
        <v>Hard</v>
      </c>
      <c r="D373" s="47" t="s">
        <v>66</v>
      </c>
      <c r="E373" s="87" t="str">
        <f>IFERROR(__xludf.DUMMYFUNCTION("IF(ISBLANK(A373),,FILTER('Leetcode List'!E:J,'Leetcode List'!A:A = A373))"),"Apple,Uber,Google")</f>
        <v>Apple,Uber,Google</v>
      </c>
      <c r="F373" s="47"/>
      <c r="G373" s="47" t="str">
        <f>IFERROR(__xludf.DUMMYFUNCTION("""COMPUTED_VALUE"""),"Apple")</f>
        <v>Apple</v>
      </c>
      <c r="H373" s="47" t="str">
        <f>IFERROR(__xludf.DUMMYFUNCTION("""COMPUTED_VALUE"""),"Uber,Google,Apple")</f>
        <v>Uber,Google,Apple</v>
      </c>
      <c r="I373" s="47">
        <f>IFERROR(__xludf.DUMMYFUNCTION("""COMPUTED_VALUE"""),31.23)</f>
        <v>31.23</v>
      </c>
      <c r="J373" s="47" t="str">
        <f>IFERROR(__xludf.DUMMYFUNCTION("""COMPUTED_VALUE"""),"算法")</f>
        <v>算法</v>
      </c>
      <c r="K373" s="47">
        <v>372.0</v>
      </c>
      <c r="L373" s="6">
        <f>COUNTIF('Coder-1'!B:B,A373)</f>
        <v>0</v>
      </c>
      <c r="M373" s="6">
        <f>COUNTIF('Coder-2'!B:B,A373)</f>
        <v>0</v>
      </c>
      <c r="N373" s="6">
        <f>COUNTIF('Coder-3'!B:B,A373)</f>
        <v>0</v>
      </c>
      <c r="O373" s="6">
        <f>COUNTIF('Coder-4'!B:B,A373)</f>
        <v>0</v>
      </c>
    </row>
    <row r="374">
      <c r="A374" s="47">
        <v>223.0</v>
      </c>
      <c r="B374" s="86" t="str">
        <f>IFERROR(__xludf.DUMMYFUNCTION("IF(ISBLANK(A374),,FILTER('Leetcode List'!B:C,'Leetcode List'!A:A = A374))"),"Rectangle Area")</f>
        <v>Rectangle Area</v>
      </c>
      <c r="C374" s="47" t="str">
        <f>IFERROR(__xludf.DUMMYFUNCTION("""COMPUTED_VALUE"""),"Medium")</f>
        <v>Medium</v>
      </c>
      <c r="D374" s="47" t="s">
        <v>66</v>
      </c>
      <c r="E374" s="87" t="str">
        <f>IFERROR(__xludf.DUMMYFUNCTION("IF(ISBLANK(A374),,FILTER('Leetcode List'!E:J,'Leetcode List'!A:A = A374))"),"Zillow,Amazon,Nvidia,Apple,Facebook,Microsoft")</f>
        <v>Zillow,Amazon,Nvidia,Apple,Facebook,Microsoft</v>
      </c>
      <c r="F374" s="47" t="str">
        <f>IFERROR(__xludf.DUMMYFUNCTION("""COMPUTED_VALUE"""),"Zillow")</f>
        <v>Zillow</v>
      </c>
      <c r="G374" s="47" t="str">
        <f>IFERROR(__xludf.DUMMYFUNCTION("""COMPUTED_VALUE"""),"Apple,Zillow")</f>
        <v>Apple,Zillow</v>
      </c>
      <c r="H374" s="47" t="str">
        <f>IFERROR(__xludf.DUMMYFUNCTION("""COMPUTED_VALUE"""),"Facebook,Amazon,Apple,Zillow")</f>
        <v>Facebook,Amazon,Apple,Zillow</v>
      </c>
      <c r="I374" s="47">
        <f>IFERROR(__xludf.DUMMYFUNCTION("""COMPUTED_VALUE"""),38.28)</f>
        <v>38.28</v>
      </c>
      <c r="J374" s="47" t="str">
        <f>IFERROR(__xludf.DUMMYFUNCTION("""COMPUTED_VALUE"""),"算法")</f>
        <v>算法</v>
      </c>
      <c r="K374" s="47">
        <v>373.0</v>
      </c>
      <c r="L374" s="6">
        <f>COUNTIF('Coder-1'!B:B,A374)</f>
        <v>0</v>
      </c>
      <c r="M374" s="6">
        <f>COUNTIF('Coder-2'!B:B,A374)</f>
        <v>0</v>
      </c>
      <c r="N374" s="6">
        <f>COUNTIF('Coder-3'!B:B,A374)</f>
        <v>0</v>
      </c>
      <c r="O374" s="6">
        <f>COUNTIF('Coder-4'!B:B,A374)</f>
        <v>0</v>
      </c>
    </row>
    <row r="375">
      <c r="A375" s="83">
        <v>261.0</v>
      </c>
      <c r="B375" s="86" t="str">
        <f>IFERROR(__xludf.DUMMYFUNCTION("IF(ISBLANK(A375),,FILTER('Leetcode List'!B:C,'Leetcode List'!A:A = A375))"),"Graph Valid Tree")</f>
        <v>Graph Valid Tree</v>
      </c>
      <c r="C375" s="47" t="str">
        <f>IFERROR(__xludf.DUMMYFUNCTION("""COMPUTED_VALUE"""),"Medium")</f>
        <v>Medium</v>
      </c>
      <c r="D375" s="47" t="s">
        <v>467</v>
      </c>
      <c r="E375" s="87" t="str">
        <f>IFERROR(__xludf.DUMMYFUNCTION("IF(ISBLANK(A375),,FILTER('Leetcode List'!E:J,'Leetcode List'!A:A = A375))"),"Qualtrics,Apple,Bloomberg,Microsoft,Pinterest,Zenefits,Salesforce,Adobe,Facebook,Amazon,LinkedIn,Google")</f>
        <v>Qualtrics,Apple,Bloomberg,Microsoft,Pinterest,Zenefits,Salesforce,Adobe,Facebook,Amazon,LinkedIn,Google</v>
      </c>
      <c r="F375" s="47" t="str">
        <f>IFERROR(__xludf.DUMMYFUNCTION("""COMPUTED_VALUE"""),"Amazon,Qualtrics,Microsoft")</f>
        <v>Amazon,Qualtrics,Microsoft</v>
      </c>
      <c r="G375" s="47" t="str">
        <f>IFERROR(__xludf.DUMMYFUNCTION("""COMPUTED_VALUE"""),"LinkedIn,Amazon,Qualtrics,Microsoft")</f>
        <v>LinkedIn,Amazon,Qualtrics,Microsoft</v>
      </c>
      <c r="H375" s="47" t="str">
        <f>IFERROR(__xludf.DUMMYFUNCTION("""COMPUTED_VALUE"""),"Apple,Google,Bloomberg,Facebook,Zenefits,LinkedIn,Amazon,Qualtrics,Microsoft")</f>
        <v>Apple,Google,Bloomberg,Facebook,Zenefits,LinkedIn,Amazon,Qualtrics,Microsoft</v>
      </c>
      <c r="I375" s="47">
        <f>IFERROR(__xludf.DUMMYFUNCTION("""COMPUTED_VALUE"""),43.29)</f>
        <v>43.29</v>
      </c>
      <c r="J375" s="47" t="str">
        <f>IFERROR(__xludf.DUMMYFUNCTION("""COMPUTED_VALUE"""),"算法")</f>
        <v>算法</v>
      </c>
      <c r="K375" s="47">
        <v>374.0</v>
      </c>
      <c r="L375" s="6">
        <f>COUNTIF('Coder-1'!B:B,A375)</f>
        <v>0</v>
      </c>
      <c r="M375" s="6">
        <f>COUNTIF('Coder-2'!B:B,A375)</f>
        <v>0</v>
      </c>
      <c r="N375" s="6">
        <f>COUNTIF('Coder-3'!B:B,A375)</f>
        <v>0</v>
      </c>
      <c r="O375" s="6">
        <f>COUNTIF('Coder-4'!B:B,A375)</f>
        <v>0</v>
      </c>
    </row>
    <row r="376">
      <c r="A376" s="83">
        <v>323.0</v>
      </c>
      <c r="B376" s="86" t="str">
        <f>IFERROR(__xludf.DUMMYFUNCTION("IF(ISBLANK(A376),,FILTER('Leetcode List'!B:C,'Leetcode List'!A:A = A376))"),"Number of Connected Components in an Undirected Graph")</f>
        <v>Number of Connected Components in an Undirected Graph</v>
      </c>
      <c r="C376" s="47" t="str">
        <f>IFERROR(__xludf.DUMMYFUNCTION("""COMPUTED_VALUE"""),"Medium")</f>
        <v>Medium</v>
      </c>
      <c r="D376" s="47" t="s">
        <v>467</v>
      </c>
      <c r="E376" s="87" t="str">
        <f>IFERROR(__xludf.DUMMYFUNCTION("IF(ISBLANK(A376),,FILTER('Leetcode List'!E:J,'Leetcode List'!A:A = A376))"),"Apple,Twitter,Facebook,Amazon,LinkedIn,Microsoft,Google")</f>
        <v>Apple,Twitter,Facebook,Amazon,LinkedIn,Microsoft,Google</v>
      </c>
      <c r="F376" s="47" t="str">
        <f>IFERROR(__xludf.DUMMYFUNCTION("""COMPUTED_VALUE"""),"Amazon,Facebook,Microsoft,LinkedIn,Google,Apple")</f>
        <v>Amazon,Facebook,Microsoft,LinkedIn,Google,Apple</v>
      </c>
      <c r="G376" s="47" t="str">
        <f>IFERROR(__xludf.DUMMYFUNCTION("""COMPUTED_VALUE"""),"Amazon,Facebook,Microsoft,LinkedIn,Google,Apple")</f>
        <v>Amazon,Facebook,Microsoft,LinkedIn,Google,Apple</v>
      </c>
      <c r="H376" s="47" t="str">
        <f>IFERROR(__xludf.DUMMYFUNCTION("""COMPUTED_VALUE"""),"Twitter,Amazon,Facebook,Microsoft,LinkedIn,Google,Apple")</f>
        <v>Twitter,Amazon,Facebook,Microsoft,LinkedIn,Google,Apple</v>
      </c>
      <c r="I376" s="47">
        <f>IFERROR(__xludf.DUMMYFUNCTION("""COMPUTED_VALUE"""),57.95)</f>
        <v>57.95</v>
      </c>
      <c r="J376" s="47" t="str">
        <f>IFERROR(__xludf.DUMMYFUNCTION("""COMPUTED_VALUE"""),"算法")</f>
        <v>算法</v>
      </c>
      <c r="K376" s="47">
        <v>375.0</v>
      </c>
      <c r="L376" s="6">
        <f>COUNTIF('Coder-1'!B:B,A376)</f>
        <v>0</v>
      </c>
      <c r="M376" s="6">
        <f>COUNTIF('Coder-2'!B:B,A376)</f>
        <v>0</v>
      </c>
      <c r="N376" s="6">
        <f>COUNTIF('Coder-3'!B:B,A376)</f>
        <v>0</v>
      </c>
      <c r="O376" s="6">
        <f>COUNTIF('Coder-4'!B:B,A376)</f>
        <v>0</v>
      </c>
    </row>
    <row r="377">
      <c r="A377" s="83">
        <v>305.0</v>
      </c>
      <c r="B377" s="86" t="str">
        <f>IFERROR(__xludf.DUMMYFUNCTION("IF(ISBLANK(A377),,FILTER('Leetcode List'!B:C,'Leetcode List'!A:A = A377))"),"Number of Islands II")</f>
        <v>Number of Islands II</v>
      </c>
      <c r="C377" s="47" t="str">
        <f>IFERROR(__xludf.DUMMYFUNCTION("""COMPUTED_VALUE"""),"Hard")</f>
        <v>Hard</v>
      </c>
      <c r="D377" s="47" t="s">
        <v>467</v>
      </c>
      <c r="E377" s="87" t="str">
        <f>IFERROR(__xludf.DUMMYFUNCTION("IF(ISBLANK(A377),,FILTER('Leetcode List'!E:J,'Leetcode List'!A:A = A377))"),"Bloomberg,Snapchat,Oracle,Uber,Facebook,Amazon,Microsoft,Google")</f>
        <v>Bloomberg,Snapchat,Oracle,Uber,Facebook,Amazon,Microsoft,Google</v>
      </c>
      <c r="F377" s="47" t="str">
        <f>IFERROR(__xludf.DUMMYFUNCTION("""COMPUTED_VALUE"""),"Amazon")</f>
        <v>Amazon</v>
      </c>
      <c r="G377" s="47" t="str">
        <f>IFERROR(__xludf.DUMMYFUNCTION("""COMPUTED_VALUE"""),"Amazon")</f>
        <v>Amazon</v>
      </c>
      <c r="H377" s="47" t="str">
        <f>IFERROR(__xludf.DUMMYFUNCTION("""COMPUTED_VALUE"""),"Uber,Facebook,Bloomberg,Microsoft,Oracle,Google,Amazon")</f>
        <v>Uber,Facebook,Bloomberg,Microsoft,Oracle,Google,Amazon</v>
      </c>
      <c r="I377" s="47">
        <f>IFERROR(__xludf.DUMMYFUNCTION("""COMPUTED_VALUE"""),39.62)</f>
        <v>39.62</v>
      </c>
      <c r="J377" s="47" t="str">
        <f>IFERROR(__xludf.DUMMYFUNCTION("""COMPUTED_VALUE"""),"算法")</f>
        <v>算法</v>
      </c>
      <c r="K377" s="47">
        <v>376.0</v>
      </c>
      <c r="L377" s="6">
        <f>COUNTIF('Coder-1'!B:B,A377)</f>
        <v>0</v>
      </c>
      <c r="M377" s="6">
        <f>COUNTIF('Coder-2'!B:B,A377)</f>
        <v>0</v>
      </c>
      <c r="N377" s="6">
        <f>COUNTIF('Coder-3'!B:B,A377)</f>
        <v>0</v>
      </c>
      <c r="O377" s="6">
        <f>COUNTIF('Coder-4'!B:B,A377)</f>
        <v>0</v>
      </c>
    </row>
    <row r="378">
      <c r="A378" s="83">
        <v>211.0</v>
      </c>
      <c r="B378" s="86" t="str">
        <f>IFERROR(__xludf.DUMMYFUNCTION("IF(ISBLANK(A378),,FILTER('Leetcode List'!B:C,'Leetcode List'!A:A = A378))"),"Design Add and Search Words Data Structure")</f>
        <v>Design Add and Search Words Data Structure</v>
      </c>
      <c r="C378" s="83" t="str">
        <f>IFERROR(__xludf.DUMMYFUNCTION("""COMPUTED_VALUE"""),"Medium")</f>
        <v>Medium</v>
      </c>
      <c r="D378" s="83" t="s">
        <v>1606</v>
      </c>
      <c r="E378" s="87" t="str">
        <f>IFERROR(__xludf.DUMMYFUNCTION("IF(ISBLANK(A378),,FILTER('Leetcode List'!E:J,'Leetcode List'!A:A = A378))"),"Oracle,Bloomberg,Adobe,Salesforce,EBay,Apple,Airbnb,Uber,Facebook,Amazon,Microsoft,Google")</f>
        <v>Oracle,Bloomberg,Adobe,Salesforce,EBay,Apple,Airbnb,Uber,Facebook,Amazon,Microsoft,Google</v>
      </c>
      <c r="F378" s="47" t="str">
        <f>IFERROR(__xludf.DUMMYFUNCTION("""COMPUTED_VALUE"""),"Facebook,Google,Amazon,Oracle,Adobe")</f>
        <v>Facebook,Google,Amazon,Oracle,Adobe</v>
      </c>
      <c r="G378" s="47" t="str">
        <f>IFERROR(__xludf.DUMMYFUNCTION("""COMPUTED_VALUE"""),"Apple,eBay,Facebook,Google,Amazon,Oracle,Adobe")</f>
        <v>Apple,eBay,Facebook,Google,Amazon,Oracle,Adobe</v>
      </c>
      <c r="H378" s="47" t="str">
        <f>IFERROR(__xludf.DUMMYFUNCTION("""COMPUTED_VALUE"""),"Uber,Bloomberg,Salesforce,Microsoft,Apple,eBay,Facebook,Google,Amazon,Oracle,Adobe")</f>
        <v>Uber,Bloomberg,Salesforce,Microsoft,Apple,eBay,Facebook,Google,Amazon,Oracle,Adobe</v>
      </c>
      <c r="I378" s="47">
        <f>IFERROR(__xludf.DUMMYFUNCTION("""COMPUTED_VALUE"""),40.37)</f>
        <v>40.37</v>
      </c>
      <c r="J378" s="47" t="str">
        <f>IFERROR(__xludf.DUMMYFUNCTION("""COMPUTED_VALUE"""),"算法")</f>
        <v>算法</v>
      </c>
      <c r="K378" s="47">
        <v>377.0</v>
      </c>
      <c r="L378" s="6">
        <f>COUNTIF('Coder-1'!B:B,A378)</f>
        <v>0</v>
      </c>
      <c r="M378" s="6">
        <f>COUNTIF('Coder-2'!B:B,A378)</f>
        <v>0</v>
      </c>
      <c r="N378" s="6">
        <f>COUNTIF('Coder-3'!B:B,A378)</f>
        <v>0</v>
      </c>
      <c r="O378" s="6">
        <f>COUNTIF('Coder-4'!B:B,A378)</f>
        <v>0</v>
      </c>
    </row>
    <row r="379">
      <c r="A379" s="83">
        <v>208.0</v>
      </c>
      <c r="B379" s="86" t="str">
        <f>IFERROR(__xludf.DUMMYFUNCTION("IF(ISBLANK(A379),,FILTER('Leetcode List'!B:C,'Leetcode List'!A:A = A379))"),"Implement Trie (Prefix Tree)")</f>
        <v>Implement Trie (Prefix Tree)</v>
      </c>
      <c r="C379" s="83" t="str">
        <f>IFERROR(__xludf.DUMMYFUNCTION("""COMPUTED_VALUE"""),"Medium")</f>
        <v>Medium</v>
      </c>
      <c r="D379" s="83" t="s">
        <v>1606</v>
      </c>
      <c r="E379" s="87" t="str">
        <f>IFERROR(__xludf.DUMMYFUNCTION("IF(ISBLANK(A379),,FILTER('Leetcode List'!E:J,'Leetcode List'!A:A = A379))"),"Audible,Citadel,Adobe,Goldman Sachs,Nutanix,Quip (Salesforce),Square,Pinterest,Qualtrics,Walmart Labs,Twitter,Oracle,EBay,Apple,Uber,Bloomberg,Facebook,Amazon,Microsoft,Google")</f>
        <v>Audible,Citadel,Adobe,Goldman Sachs,Nutanix,Quip (Salesforce),Square,Pinterest,Qualtrics,Walmart Labs,Twitter,Oracle,EBay,Apple,Uber,Bloomberg,Facebook,Amazon,Microsoft,Google</v>
      </c>
      <c r="F379" s="47" t="str">
        <f>IFERROR(__xludf.DUMMYFUNCTION("""COMPUTED_VALUE"""),"Amazon,Pinterest,Google,Oracle,Apple,Facebook,Microsoft,Twitter,Goldman Sachs")</f>
        <v>Amazon,Pinterest,Google,Oracle,Apple,Facebook,Microsoft,Twitter,Goldman Sachs</v>
      </c>
      <c r="G379" s="47" t="str">
        <f>IFERROR(__xludf.DUMMYFUNCTION("""COMPUTED_VALUE"""),"Uber,Audible,Citadel,Amazon,Pinterest,Google,Oracle,Apple,Facebook,Microsoft,Twitter,Goldman Sachs")</f>
        <v>Uber,Audible,Citadel,Amazon,Pinterest,Google,Oracle,Apple,Facebook,Microsoft,Twitter,Goldman Sachs</v>
      </c>
      <c r="H379" s="47" t="str">
        <f>IFERROR(__xludf.DUMMYFUNCTION("""COMPUTED_VALUE"""),"eBay,Qualtrics,Square,Adobe,Walmart Labs,Quip (Salesforce),Bloomberg,Uber,Audible,Citadel,Amazon,Pinterest,Google,Oracle,Apple,Facebook,Microsoft,Twitter,Goldman Sachs")</f>
        <v>eBay,Qualtrics,Square,Adobe,Walmart Labs,Quip (Salesforce),Bloomberg,Uber,Audible,Citadel,Amazon,Pinterest,Google,Oracle,Apple,Facebook,Microsoft,Twitter,Goldman Sachs</v>
      </c>
      <c r="I379" s="47">
        <f>IFERROR(__xludf.DUMMYFUNCTION("""COMPUTED_VALUE"""),52.31)</f>
        <v>52.31</v>
      </c>
      <c r="J379" s="47" t="str">
        <f>IFERROR(__xludf.DUMMYFUNCTION("""COMPUTED_VALUE"""),"算法")</f>
        <v>算法</v>
      </c>
      <c r="K379" s="47">
        <v>378.0</v>
      </c>
      <c r="L379" s="6">
        <f>COUNTIF('Coder-1'!B:B,A379)</f>
        <v>0</v>
      </c>
      <c r="M379" s="6">
        <f>COUNTIF('Coder-2'!B:B,A379)</f>
        <v>0</v>
      </c>
      <c r="N379" s="6">
        <f>COUNTIF('Coder-3'!B:B,A379)</f>
        <v>0</v>
      </c>
      <c r="O379" s="6">
        <f>COUNTIF('Coder-4'!B:B,A379)</f>
        <v>0</v>
      </c>
    </row>
    <row r="380">
      <c r="A380" s="83">
        <v>212.0</v>
      </c>
      <c r="B380" s="86" t="str">
        <f>IFERROR(__xludf.DUMMYFUNCTION("IF(ISBLANK(A380),,FILTER('Leetcode List'!B:C,'Leetcode List'!A:A = A380))"),"Word Search II")</f>
        <v>Word Search II</v>
      </c>
      <c r="C380" s="83" t="str">
        <f>IFERROR(__xludf.DUMMYFUNCTION("""COMPUTED_VALUE"""),"Hard")</f>
        <v>Hard</v>
      </c>
      <c r="D380" s="83" t="s">
        <v>1606</v>
      </c>
      <c r="E380" s="87" t="str">
        <f>IFERROR(__xludf.DUMMYFUNCTION("IF(ISBLANK(A380),,FILTER('Leetcode List'!E:J,'Leetcode List'!A:A = A380))"),"Twitter,Cisco,EBay,Houzz,Roblox,Salesforce,Citadel,Snapchat,Zillow,Oracle,Apple,Airbnb,Uber,Yahoo,Bloomberg,Facebook,Amazon,Microsoft,Google")</f>
        <v>Twitter,Cisco,EBay,Houzz,Roblox,Salesforce,Citadel,Snapchat,Zillow,Oracle,Apple,Airbnb,Uber,Yahoo,Bloomberg,Facebook,Amazon,Microsoft,Google</v>
      </c>
      <c r="F380" s="47" t="str">
        <f>IFERROR(__xludf.DUMMYFUNCTION("""COMPUTED_VALUE"""),"Amazon,Microsoft,Uber,Apple,Google,Twitter,Snapchat")</f>
        <v>Amazon,Microsoft,Uber,Apple,Google,Twitter,Snapchat</v>
      </c>
      <c r="G380" s="47" t="str">
        <f>IFERROR(__xludf.DUMMYFUNCTION("""COMPUTED_VALUE"""),"Oracle,Cisco,Facebook,Bloomberg,Zillow,Amazon,Microsoft,Uber,Apple,Google,Twitter,Snapchat")</f>
        <v>Oracle,Cisco,Facebook,Bloomberg,Zillow,Amazon,Microsoft,Uber,Apple,Google,Twitter,Snapchat</v>
      </c>
      <c r="H380" s="47" t="str">
        <f>IFERROR(__xludf.DUMMYFUNCTION("""COMPUTED_VALUE"""),"Airbnb,Yahoo,eBay,Salesforce,Citadel,Oracle,Cisco,Facebook,Bloomberg,Zillow,Amazon,Microsoft,Uber,Apple,Google,Twitter,Snapchat")</f>
        <v>Airbnb,Yahoo,eBay,Salesforce,Citadel,Oracle,Cisco,Facebook,Bloomberg,Zillow,Amazon,Microsoft,Uber,Apple,Google,Twitter,Snapchat</v>
      </c>
      <c r="I380" s="47">
        <f>IFERROR(__xludf.DUMMYFUNCTION("""COMPUTED_VALUE"""),37.29)</f>
        <v>37.29</v>
      </c>
      <c r="J380" s="47" t="str">
        <f>IFERROR(__xludf.DUMMYFUNCTION("""COMPUTED_VALUE"""),"算法")</f>
        <v>算法</v>
      </c>
      <c r="K380" s="47">
        <v>379.0</v>
      </c>
      <c r="L380" s="6">
        <f>COUNTIF('Coder-1'!B:B,A380)</f>
        <v>0</v>
      </c>
      <c r="M380" s="6">
        <f>COUNTIF('Coder-2'!B:B,A380)</f>
        <v>0</v>
      </c>
      <c r="N380" s="6">
        <f>COUNTIF('Coder-3'!B:B,A380)</f>
        <v>0</v>
      </c>
      <c r="O380" s="6">
        <f>COUNTIF('Coder-4'!B:B,A380)</f>
        <v>0</v>
      </c>
    </row>
    <row r="381">
      <c r="A381" s="83">
        <v>359.0</v>
      </c>
      <c r="B381" s="86" t="str">
        <f>IFERROR(__xludf.DUMMYFUNCTION("IF(ISBLANK(A381),,FILTER('Leetcode List'!B:C,'Leetcode List'!A:A = A381))"),"Logger Rate Limiter")</f>
        <v>Logger Rate Limiter</v>
      </c>
      <c r="C381" s="83" t="str">
        <f>IFERROR(__xludf.DUMMYFUNCTION("""COMPUTED_VALUE"""),"Easy")</f>
        <v>Easy</v>
      </c>
      <c r="D381" s="83" t="s">
        <v>440</v>
      </c>
      <c r="E381" s="87" t="str">
        <f>IFERROR(__xludf.DUMMYFUNCTION("IF(ISBLANK(A381),,FILTER('Leetcode List'!E:J,'Leetcode List'!A:A = A381))"),"Citadel,Oracle,Microsoft,Atlassian,Apple,Uber,Bloomberg,Amazon,LinkedIn,Google")</f>
        <v>Citadel,Oracle,Microsoft,Atlassian,Apple,Uber,Bloomberg,Amazon,LinkedIn,Google</v>
      </c>
      <c r="F381" s="47" t="str">
        <f>IFERROR(__xludf.DUMMYFUNCTION("""COMPUTED_VALUE"""),"Google,Apple,Amazon,Microsoft,Oracle")</f>
        <v>Google,Apple,Amazon,Microsoft,Oracle</v>
      </c>
      <c r="G381" s="47" t="str">
        <f>IFERROR(__xludf.DUMMYFUNCTION("""COMPUTED_VALUE"""),"Atlassian,Bloomberg,Citadel,Google,Apple,Amazon,Microsoft,Oracle")</f>
        <v>Atlassian,Bloomberg,Citadel,Google,Apple,Amazon,Microsoft,Oracle</v>
      </c>
      <c r="H381" s="47" t="str">
        <f>IFERROR(__xludf.DUMMYFUNCTION("""COMPUTED_VALUE"""),"Uber,Atlassian,Bloomberg,Citadel,Google,Apple,Amazon,Microsoft,Oracle")</f>
        <v>Uber,Atlassian,Bloomberg,Citadel,Google,Apple,Amazon,Microsoft,Oracle</v>
      </c>
      <c r="I381" s="47">
        <f>IFERROR(__xludf.DUMMYFUNCTION("""COMPUTED_VALUE"""),72.4)</f>
        <v>72.4</v>
      </c>
      <c r="J381" s="47" t="str">
        <f>IFERROR(__xludf.DUMMYFUNCTION("""COMPUTED_VALUE"""),"算法")</f>
        <v>算法</v>
      </c>
      <c r="K381" s="47">
        <v>380.0</v>
      </c>
      <c r="L381" s="6">
        <f>COUNTIF('Coder-1'!B:B,A381)</f>
        <v>0</v>
      </c>
      <c r="M381" s="6">
        <f>COUNTIF('Coder-2'!B:B,A381)</f>
        <v>0</v>
      </c>
      <c r="N381" s="6">
        <f>COUNTIF('Coder-3'!B:B,A381)</f>
        <v>0</v>
      </c>
      <c r="O381" s="6">
        <f>COUNTIF('Coder-4'!B:B,A381)</f>
        <v>0</v>
      </c>
    </row>
    <row r="382">
      <c r="A382" s="83">
        <v>346.0</v>
      </c>
      <c r="B382" s="86" t="str">
        <f>IFERROR(__xludf.DUMMYFUNCTION("IF(ISBLANK(A382),,FILTER('Leetcode List'!B:C,'Leetcode List'!A:A = A382))"),"Moving Average from Data Stream")</f>
        <v>Moving Average from Data Stream</v>
      </c>
      <c r="C382" s="83" t="str">
        <f>IFERROR(__xludf.DUMMYFUNCTION("""COMPUTED_VALUE"""),"Easy")</f>
        <v>Easy</v>
      </c>
      <c r="D382" s="83" t="s">
        <v>440</v>
      </c>
      <c r="E382" s="87" t="str">
        <f>IFERROR(__xludf.DUMMYFUNCTION("IF(ISBLANK(A382),,FILTER('Leetcode List'!E:J,'Leetcode List'!A:A = A382))"),"Paypal,Spotify,Apple,AppDynamics,Indeed,Twitter,Uber,Bloomberg,Facebook,Amazon,Microsoft,Google")</f>
        <v>Paypal,Spotify,Apple,AppDynamics,Indeed,Twitter,Uber,Bloomberg,Facebook,Amazon,Microsoft,Google</v>
      </c>
      <c r="F382" s="47" t="str">
        <f>IFERROR(__xludf.DUMMYFUNCTION("""COMPUTED_VALUE"""),"Google,Apple,Spotify,Amazon,Indeed,Facebook")</f>
        <v>Google,Apple,Spotify,Amazon,Indeed,Facebook</v>
      </c>
      <c r="G382" s="47" t="str">
        <f>IFERROR(__xludf.DUMMYFUNCTION("""COMPUTED_VALUE"""),"Microsoft,AppDynamics,Paypal,Google,Apple,Spotify,Amazon,Indeed,Facebook")</f>
        <v>Microsoft,AppDynamics,Paypal,Google,Apple,Spotify,Amazon,Indeed,Facebook</v>
      </c>
      <c r="H382" s="47" t="str">
        <f>IFERROR(__xludf.DUMMYFUNCTION("""COMPUTED_VALUE"""),"Uber,Microsoft,AppDynamics,Paypal,Google,Apple,Spotify,Amazon,Indeed,Facebook")</f>
        <v>Uber,Microsoft,AppDynamics,Paypal,Google,Apple,Spotify,Amazon,Indeed,Facebook</v>
      </c>
      <c r="I382" s="47">
        <f>IFERROR(__xludf.DUMMYFUNCTION("""COMPUTED_VALUE"""),73.43)</f>
        <v>73.43</v>
      </c>
      <c r="J382" s="47" t="str">
        <f>IFERROR(__xludf.DUMMYFUNCTION("""COMPUTED_VALUE"""),"算法")</f>
        <v>算法</v>
      </c>
      <c r="K382" s="47">
        <v>381.0</v>
      </c>
      <c r="L382" s="6">
        <f>COUNTIF('Coder-1'!B:B,A382)</f>
        <v>0</v>
      </c>
      <c r="M382" s="6">
        <f>COUNTIF('Coder-2'!B:B,A382)</f>
        <v>0</v>
      </c>
      <c r="N382" s="6">
        <f>COUNTIF('Coder-3'!B:B,A382)</f>
        <v>0</v>
      </c>
      <c r="O382" s="6">
        <f>COUNTIF('Coder-4'!B:B,A382)</f>
        <v>0</v>
      </c>
    </row>
    <row r="383">
      <c r="A383" s="83">
        <v>362.0</v>
      </c>
      <c r="B383" s="86" t="str">
        <f>IFERROR(__xludf.DUMMYFUNCTION("IF(ISBLANK(A383),,FILTER('Leetcode List'!B:C,'Leetcode List'!A:A = A383))"),"Design Hit Counter")</f>
        <v>Design Hit Counter</v>
      </c>
      <c r="C383" s="83" t="str">
        <f>IFERROR(__xludf.DUMMYFUNCTION("""COMPUTED_VALUE"""),"Medium")</f>
        <v>Medium</v>
      </c>
      <c r="D383" s="83" t="s">
        <v>440</v>
      </c>
      <c r="E383" s="87" t="str">
        <f>IFERROR(__xludf.DUMMYFUNCTION("IF(ISBLANK(A383),,FILTER('Leetcode List'!E:J,'Leetcode List'!A:A = A383))"),"Citadel,Cisco,Yandex,Netflix,Quip (Salesforce),Pinterest,Atlassian,Booking.com,Visa,Affirm,Dropbox,Snapchat,Indeed,Zillow,Oracle,Apple,Uber,Yahoo,Bloomberg,Amazon,LinkedIn,Microsoft,Google")</f>
        <v>Citadel,Cisco,Yandex,Netflix,Quip (Salesforce),Pinterest,Atlassian,Booking.com,Visa,Affirm,Dropbox,Snapchat,Indeed,Zillow,Oracle,Apple,Uber,Yahoo,Bloomberg,Amazon,LinkedIn,Microsoft,Google</v>
      </c>
      <c r="F383" s="47" t="str">
        <f>IFERROR(__xludf.DUMMYFUNCTION("""COMPUTED_VALUE"""),"Amazon,Microsoft,Apple,Bloomberg,Oracle,Google,Yandex")</f>
        <v>Amazon,Microsoft,Apple,Bloomberg,Oracle,Google,Yandex</v>
      </c>
      <c r="G383" s="47" t="str">
        <f>IFERROR(__xludf.DUMMYFUNCTION("""COMPUTED_VALUE"""),"Atlassian,Dropbox,Pinterest,Cisco,Netflix,Citadel,Amazon,Microsoft,Apple,Bloomberg,Oracle,Google,Yandex")</f>
        <v>Atlassian,Dropbox,Pinterest,Cisco,Netflix,Citadel,Amazon,Microsoft,Apple,Bloomberg,Oracle,Google,Yandex</v>
      </c>
      <c r="H383" s="47" t="str">
        <f>IFERROR(__xludf.DUMMYFUNCTION("""COMPUTED_VALUE"""),"Quip (Salesforce),Indeed,Affirm,Visa,Snapchat,LinkedIn,Booking.com,Atlassian,Dropbox,Pinterest,Cisco,Netflix,Citadel,Amazon,Microsoft,Apple,Bloomberg,Oracle,Google,Yandex")</f>
        <v>Quip (Salesforce),Indeed,Affirm,Visa,Snapchat,LinkedIn,Booking.com,Atlassian,Dropbox,Pinterest,Cisco,Netflix,Citadel,Amazon,Microsoft,Apple,Bloomberg,Oracle,Google,Yandex</v>
      </c>
      <c r="I383" s="47">
        <f>IFERROR(__xludf.DUMMYFUNCTION("""COMPUTED_VALUE"""),65.38)</f>
        <v>65.38</v>
      </c>
      <c r="J383" s="47" t="str">
        <f>IFERROR(__xludf.DUMMYFUNCTION("""COMPUTED_VALUE"""),"算法")</f>
        <v>算法</v>
      </c>
      <c r="K383" s="47">
        <v>382.0</v>
      </c>
      <c r="L383" s="6">
        <f>COUNTIF('Coder-1'!B:B,A383)</f>
        <v>0</v>
      </c>
      <c r="M383" s="6">
        <f>COUNTIF('Coder-2'!B:B,A383)</f>
        <v>0</v>
      </c>
      <c r="N383" s="6">
        <f>COUNTIF('Coder-3'!B:B,A383)</f>
        <v>0</v>
      </c>
      <c r="O383" s="6">
        <f>COUNTIF('Coder-4'!B:B,A383)</f>
        <v>0</v>
      </c>
    </row>
    <row r="384">
      <c r="A384" s="83">
        <v>281.0</v>
      </c>
      <c r="B384" s="86" t="str">
        <f>IFERROR(__xludf.DUMMYFUNCTION("IF(ISBLANK(A384),,FILTER('Leetcode List'!B:C,'Leetcode List'!A:A = A384))"),"Zigzag Iterator")</f>
        <v>Zigzag Iterator</v>
      </c>
      <c r="C384" s="83" t="str">
        <f>IFERROR(__xludf.DUMMYFUNCTION("""COMPUTED_VALUE"""),"Medium")</f>
        <v>Medium</v>
      </c>
      <c r="D384" s="83" t="s">
        <v>440</v>
      </c>
      <c r="E384" s="87" t="str">
        <f>IFERROR(__xludf.DUMMYFUNCTION("IF(ISBLANK(A384),,FILTER('Leetcode List'!E:J,'Leetcode List'!A:A = A384))"),"Cruise Automation,Yandex,Apple,Facebook,Amazon,Microsoft,Google")</f>
        <v>Cruise Automation,Yandex,Apple,Facebook,Amazon,Microsoft,Google</v>
      </c>
      <c r="F384" s="47" t="str">
        <f>IFERROR(__xludf.DUMMYFUNCTION("""COMPUTED_VALUE"""),"Yandex")</f>
        <v>Yandex</v>
      </c>
      <c r="G384" s="47" t="str">
        <f>IFERROR(__xludf.DUMMYFUNCTION("""COMPUTED_VALUE"""),"Apple,Yandex")</f>
        <v>Apple,Yandex</v>
      </c>
      <c r="H384" s="47" t="str">
        <f>IFERROR(__xludf.DUMMYFUNCTION("""COMPUTED_VALUE"""),"Microsoft,Google,Apple,Yandex")</f>
        <v>Microsoft,Google,Apple,Yandex</v>
      </c>
      <c r="I384" s="47">
        <f>IFERROR(__xludf.DUMMYFUNCTION("""COMPUTED_VALUE"""),59.51)</f>
        <v>59.51</v>
      </c>
      <c r="J384" s="47" t="str">
        <f>IFERROR(__xludf.DUMMYFUNCTION("""COMPUTED_VALUE"""),"算法")</f>
        <v>算法</v>
      </c>
      <c r="K384" s="47">
        <v>383.0</v>
      </c>
      <c r="L384" s="6">
        <f>COUNTIF('Coder-1'!B:B,A384)</f>
        <v>0</v>
      </c>
      <c r="M384" s="6">
        <f>COUNTIF('Coder-2'!B:B,A384)</f>
        <v>0</v>
      </c>
      <c r="N384" s="6">
        <f>COUNTIF('Coder-3'!B:B,A384)</f>
        <v>0</v>
      </c>
      <c r="O384" s="6">
        <f>COUNTIF('Coder-4'!B:B,A384)</f>
        <v>0</v>
      </c>
    </row>
    <row r="385">
      <c r="A385" s="83">
        <v>284.0</v>
      </c>
      <c r="B385" s="86" t="str">
        <f>IFERROR(__xludf.DUMMYFUNCTION("IF(ISBLANK(A385),,FILTER('Leetcode List'!B:C,'Leetcode List'!A:A = A385))"),"Peeking Iterator")</f>
        <v>Peeking Iterator</v>
      </c>
      <c r="C385" s="83" t="str">
        <f>IFERROR(__xludf.DUMMYFUNCTION("""COMPUTED_VALUE"""),"Medium")</f>
        <v>Medium</v>
      </c>
      <c r="D385" s="83" t="s">
        <v>440</v>
      </c>
      <c r="E385" s="87" t="str">
        <f>IFERROR(__xludf.DUMMYFUNCTION("IF(ISBLANK(A385),,FILTER('Leetcode List'!E:J,'Leetcode List'!A:A = A385))"),"Atlassian,Walmart Labs,Oracle,EBay,Apple,Yahoo,Facebook,Amazon,Microsoft,Google")</f>
        <v>Atlassian,Walmart Labs,Oracle,EBay,Apple,Yahoo,Facebook,Amazon,Microsoft,Google</v>
      </c>
      <c r="F385" s="47" t="str">
        <f>IFERROR(__xludf.DUMMYFUNCTION("""COMPUTED_VALUE"""),"Google,Apple,Amazon")</f>
        <v>Google,Apple,Amazon</v>
      </c>
      <c r="G385" s="47" t="str">
        <f>IFERROR(__xludf.DUMMYFUNCTION("""COMPUTED_VALUE"""),"Facebook,eBay,Atlassian,Google,Apple,Amazon")</f>
        <v>Facebook,eBay,Atlassian,Google,Apple,Amazon</v>
      </c>
      <c r="H385" s="47" t="str">
        <f>IFERROR(__xludf.DUMMYFUNCTION("""COMPUTED_VALUE"""),"Microsoft,Oracle,Yahoo,Facebook,eBay,Atlassian,Google,Apple,Amazon")</f>
        <v>Microsoft,Oracle,Yahoo,Facebook,eBay,Atlassian,Google,Apple,Amazon</v>
      </c>
      <c r="I385" s="47">
        <f>IFERROR(__xludf.DUMMYFUNCTION("""COMPUTED_VALUE"""),50.76)</f>
        <v>50.76</v>
      </c>
      <c r="J385" s="47" t="str">
        <f>IFERROR(__xludf.DUMMYFUNCTION("""COMPUTED_VALUE"""),"算法")</f>
        <v>算法</v>
      </c>
      <c r="K385" s="47">
        <v>384.0</v>
      </c>
      <c r="L385" s="6">
        <f>COUNTIF('Coder-1'!B:B,A385)</f>
        <v>0</v>
      </c>
      <c r="M385" s="6">
        <f>COUNTIF('Coder-2'!B:B,A385)</f>
        <v>0</v>
      </c>
      <c r="N385" s="6">
        <f>COUNTIF('Coder-3'!B:B,A385)</f>
        <v>0</v>
      </c>
      <c r="O385" s="6">
        <f>COUNTIF('Coder-4'!B:B,A385)</f>
        <v>0</v>
      </c>
    </row>
    <row r="386">
      <c r="A386" s="83">
        <v>251.0</v>
      </c>
      <c r="B386" s="86" t="str">
        <f>IFERROR(__xludf.DUMMYFUNCTION("IF(ISBLANK(A386),,FILTER('Leetcode List'!B:C,'Leetcode List'!A:A = A386))"),"Flatten 2D Vector")</f>
        <v>Flatten 2D Vector</v>
      </c>
      <c r="C386" s="83" t="str">
        <f>IFERROR(__xludf.DUMMYFUNCTION("""COMPUTED_VALUE"""),"Medium")</f>
        <v>Medium</v>
      </c>
      <c r="D386" s="83" t="s">
        <v>440</v>
      </c>
      <c r="E386" s="87" t="str">
        <f>IFERROR(__xludf.DUMMYFUNCTION("IF(ISBLANK(A386),,FILTER('Leetcode List'!E:J,'Leetcode List'!A:A = A386))"),"Zenefits,Salesforce,Twitter,Lyft,Apple,Airbnb,Uber,Facebook,Google")</f>
        <v>Zenefits,Salesforce,Twitter,Lyft,Apple,Airbnb,Uber,Facebook,Google</v>
      </c>
      <c r="F386" s="47" t="str">
        <f>IFERROR(__xludf.DUMMYFUNCTION("""COMPUTED_VALUE"""),"Airbnb")</f>
        <v>Airbnb</v>
      </c>
      <c r="G386" s="47" t="str">
        <f>IFERROR(__xludf.DUMMYFUNCTION("""COMPUTED_VALUE"""),"Apple,Airbnb")</f>
        <v>Apple,Airbnb</v>
      </c>
      <c r="H386" s="47" t="str">
        <f>IFERROR(__xludf.DUMMYFUNCTION("""COMPUTED_VALUE"""),"Uber,Twitter,Google,Zenefits,Apple,Airbnb")</f>
        <v>Uber,Twitter,Google,Zenefits,Apple,Airbnb</v>
      </c>
      <c r="I386" s="47">
        <f>IFERROR(__xludf.DUMMYFUNCTION("""COMPUTED_VALUE"""),46.38)</f>
        <v>46.38</v>
      </c>
      <c r="J386" s="47" t="str">
        <f>IFERROR(__xludf.DUMMYFUNCTION("""COMPUTED_VALUE"""),"算法")</f>
        <v>算法</v>
      </c>
      <c r="K386" s="47">
        <v>385.0</v>
      </c>
      <c r="L386" s="6">
        <f>COUNTIF('Coder-1'!B:B,A386)</f>
        <v>0</v>
      </c>
      <c r="M386" s="6">
        <f>COUNTIF('Coder-2'!B:B,A386)</f>
        <v>0</v>
      </c>
      <c r="N386" s="6">
        <f>COUNTIF('Coder-3'!B:B,A386)</f>
        <v>0</v>
      </c>
      <c r="O386" s="6">
        <f>COUNTIF('Coder-4'!B:B,A386)</f>
        <v>0</v>
      </c>
    </row>
    <row r="387">
      <c r="A387" s="83">
        <v>288.0</v>
      </c>
      <c r="B387" s="86" t="str">
        <f>IFERROR(__xludf.DUMMYFUNCTION("IF(ISBLANK(A387),,FILTER('Leetcode List'!B:C,'Leetcode List'!A:A = A387))"),"Unique Word Abbreviation")</f>
        <v>Unique Word Abbreviation</v>
      </c>
      <c r="C387" s="83" t="str">
        <f>IFERROR(__xludf.DUMMYFUNCTION("""COMPUTED_VALUE"""),"Medium")</f>
        <v>Medium</v>
      </c>
      <c r="D387" s="83" t="s">
        <v>440</v>
      </c>
      <c r="E387" s="87" t="str">
        <f>IFERROR(__xludf.DUMMYFUNCTION("IF(ISBLANK(A387),,FILTER('Leetcode List'!E:J,'Leetcode List'!A:A = A387))"),"Facebook,Google")</f>
        <v>Facebook,Google</v>
      </c>
      <c r="F387" s="47"/>
      <c r="G387" s="47" t="str">
        <f>IFERROR(__xludf.DUMMYFUNCTION("""COMPUTED_VALUE"""),"Facebook")</f>
        <v>Facebook</v>
      </c>
      <c r="H387" s="47" t="str">
        <f>IFERROR(__xludf.DUMMYFUNCTION("""COMPUTED_VALUE"""),"Google,Facebook")</f>
        <v>Google,Facebook</v>
      </c>
      <c r="I387" s="47">
        <f>IFERROR(__xludf.DUMMYFUNCTION("""COMPUTED_VALUE"""),23.14)</f>
        <v>23.14</v>
      </c>
      <c r="J387" s="47" t="str">
        <f>IFERROR(__xludf.DUMMYFUNCTION("""COMPUTED_VALUE"""),"算法")</f>
        <v>算法</v>
      </c>
      <c r="K387" s="47">
        <v>386.0</v>
      </c>
      <c r="L387" s="6">
        <f>COUNTIF('Coder-1'!B:B,A387)</f>
        <v>0</v>
      </c>
      <c r="M387" s="6">
        <f>COUNTIF('Coder-2'!B:B,A387)</f>
        <v>0</v>
      </c>
      <c r="N387" s="6">
        <f>COUNTIF('Coder-3'!B:B,A387)</f>
        <v>0</v>
      </c>
      <c r="O387" s="6">
        <f>COUNTIF('Coder-4'!B:B,A387)</f>
        <v>0</v>
      </c>
    </row>
    <row r="388">
      <c r="A388" s="83">
        <v>170.0</v>
      </c>
      <c r="B388" s="86" t="str">
        <f>IFERROR(__xludf.DUMMYFUNCTION("IF(ISBLANK(A388),,FILTER('Leetcode List'!B:C,'Leetcode List'!A:A = A388))"),"Two Sum III - Data structure design")</f>
        <v>Two Sum III - Data structure design</v>
      </c>
      <c r="C388" s="83" t="str">
        <f>IFERROR(__xludf.DUMMYFUNCTION("""COMPUTED_VALUE"""),"Easy")</f>
        <v>Easy</v>
      </c>
      <c r="D388" s="83" t="s">
        <v>440</v>
      </c>
      <c r="E388" s="87" t="str">
        <f>IFERROR(__xludf.DUMMYFUNCTION("IF(ISBLANK(A388),,FILTER('Leetcode List'!E:J,'Leetcode List'!A:A = A388))"),"Facebook,LinkedIn")</f>
        <v>Facebook,LinkedIn</v>
      </c>
      <c r="F388" s="47"/>
      <c r="G388" s="47"/>
      <c r="H388" s="47" t="str">
        <f>IFERROR(__xludf.DUMMYFUNCTION("""COMPUTED_VALUE"""),"LinkedIn")</f>
        <v>LinkedIn</v>
      </c>
      <c r="I388" s="47">
        <f>IFERROR(__xludf.DUMMYFUNCTION("""COMPUTED_VALUE"""),34.95)</f>
        <v>34.95</v>
      </c>
      <c r="J388" s="47" t="str">
        <f>IFERROR(__xludf.DUMMYFUNCTION("""COMPUTED_VALUE"""),"算法")</f>
        <v>算法</v>
      </c>
      <c r="K388" s="47">
        <v>387.0</v>
      </c>
      <c r="L388" s="6">
        <f>COUNTIF('Coder-1'!B:B,A388)</f>
        <v>0</v>
      </c>
      <c r="M388" s="6">
        <f>COUNTIF('Coder-2'!B:B,A388)</f>
        <v>0</v>
      </c>
      <c r="N388" s="6">
        <f>COUNTIF('Coder-3'!B:B,A388)</f>
        <v>0</v>
      </c>
      <c r="O388" s="6">
        <f>COUNTIF('Coder-4'!B:B,A388)</f>
        <v>0</v>
      </c>
    </row>
    <row r="389">
      <c r="A389" s="83">
        <v>348.0</v>
      </c>
      <c r="B389" s="86" t="str">
        <f>IFERROR(__xludf.DUMMYFUNCTION("IF(ISBLANK(A389),,FILTER('Leetcode List'!B:C,'Leetcode List'!A:A = A389))"),"Design Tic-Tac-Toe")</f>
        <v>Design Tic-Tac-Toe</v>
      </c>
      <c r="C389" s="83" t="str">
        <f>IFERROR(__xludf.DUMMYFUNCTION("""COMPUTED_VALUE"""),"Medium")</f>
        <v>Medium</v>
      </c>
      <c r="D389" s="83" t="s">
        <v>440</v>
      </c>
      <c r="E389" s="87" t="str">
        <f>IFERROR(__xludf.DUMMYFUNCTION("IF(ISBLANK(A389),,FILTER('Leetcode List'!E:J,'Leetcode List'!A:A = A389))"),"DiDi,Oracle,Intuit,TripleByte,DoorDash,Salesforce,Apple,Uber,Bloomberg,Facebook,Amazon,Microsoft,Google")</f>
        <v>DiDi,Oracle,Intuit,TripleByte,DoorDash,Salesforce,Apple,Uber,Bloomberg,Facebook,Amazon,Microsoft,Google</v>
      </c>
      <c r="F389" s="47" t="str">
        <f>IFERROR(__xludf.DUMMYFUNCTION("""COMPUTED_VALUE"""),"Amazon,Microsoft,Facebook,Intuit,Apple,Oracle")</f>
        <v>Amazon,Microsoft,Facebook,Intuit,Apple,Oracle</v>
      </c>
      <c r="G389" s="47" t="str">
        <f>IFERROR(__xludf.DUMMYFUNCTION("""COMPUTED_VALUE"""),"Bloomberg,TripleByte,Salesforce,DiDi,Amazon,Microsoft,Facebook,Intuit,Apple,Oracle")</f>
        <v>Bloomberg,TripleByte,Salesforce,DiDi,Amazon,Microsoft,Facebook,Intuit,Apple,Oracle</v>
      </c>
      <c r="H389" s="47" t="str">
        <f>IFERROR(__xludf.DUMMYFUNCTION("""COMPUTED_VALUE"""),"Uber,Google,Bloomberg,TripleByte,Salesforce,DiDi,Amazon,Microsoft,Facebook,Intuit,Apple,Oracle")</f>
        <v>Uber,Google,Bloomberg,TripleByte,Salesforce,DiDi,Amazon,Microsoft,Facebook,Intuit,Apple,Oracle</v>
      </c>
      <c r="I389" s="47">
        <f>IFERROR(__xludf.DUMMYFUNCTION("""COMPUTED_VALUE"""),55.65)</f>
        <v>55.65</v>
      </c>
      <c r="J389" s="47" t="str">
        <f>IFERROR(__xludf.DUMMYFUNCTION("""COMPUTED_VALUE"""),"算法")</f>
        <v>算法</v>
      </c>
      <c r="K389" s="47">
        <v>388.0</v>
      </c>
      <c r="L389" s="6">
        <f>COUNTIF('Coder-1'!B:B,A389)</f>
        <v>0</v>
      </c>
      <c r="M389" s="6">
        <f>COUNTIF('Coder-2'!B:B,A389)</f>
        <v>0</v>
      </c>
      <c r="N389" s="6">
        <f>COUNTIF('Coder-3'!B:B,A389)</f>
        <v>0</v>
      </c>
      <c r="O389" s="6">
        <f>COUNTIF('Coder-4'!B:B,A389)</f>
        <v>0</v>
      </c>
    </row>
    <row r="390">
      <c r="A390" s="83">
        <v>379.0</v>
      </c>
      <c r="B390" s="86" t="str">
        <f>IFERROR(__xludf.DUMMYFUNCTION("IF(ISBLANK(A390),,FILTER('Leetcode List'!B:C,'Leetcode List'!A:A = A390))"),"Design Phone Directory")</f>
        <v>Design Phone Directory</v>
      </c>
      <c r="C390" s="83" t="str">
        <f>IFERROR(__xludf.DUMMYFUNCTION("""COMPUTED_VALUE"""),"Medium")</f>
        <v>Medium</v>
      </c>
      <c r="D390" s="83" t="s">
        <v>440</v>
      </c>
      <c r="E390" s="87" t="str">
        <f>IFERROR(__xludf.DUMMYFUNCTION("IF(ISBLANK(A390),,FILTER('Leetcode List'!E:J,'Leetcode List'!A:A = A390))"),"Dropbox,Microsoft,Google")</f>
        <v>Dropbox,Microsoft,Google</v>
      </c>
      <c r="F390" s="47" t="str">
        <f>IFERROR(__xludf.DUMMYFUNCTION("""COMPUTED_VALUE"""),"Google")</f>
        <v>Google</v>
      </c>
      <c r="G390" s="47" t="str">
        <f>IFERROR(__xludf.DUMMYFUNCTION("""COMPUTED_VALUE"""),"Dropbox,Google")</f>
        <v>Dropbox,Google</v>
      </c>
      <c r="H390" s="47" t="str">
        <f>IFERROR(__xludf.DUMMYFUNCTION("""COMPUTED_VALUE"""),"Microsoft,Dropbox,Google")</f>
        <v>Microsoft,Dropbox,Google</v>
      </c>
      <c r="I390" s="47">
        <f>IFERROR(__xludf.DUMMYFUNCTION("""COMPUTED_VALUE"""),48.35)</f>
        <v>48.35</v>
      </c>
      <c r="J390" s="47" t="str">
        <f>IFERROR(__xludf.DUMMYFUNCTION("""COMPUTED_VALUE"""),"算法")</f>
        <v>算法</v>
      </c>
      <c r="K390" s="47">
        <v>389.0</v>
      </c>
      <c r="L390" s="6">
        <f>COUNTIF('Coder-1'!B:B,A390)</f>
        <v>0</v>
      </c>
      <c r="M390" s="6">
        <f>COUNTIF('Coder-2'!B:B,A390)</f>
        <v>0</v>
      </c>
      <c r="N390" s="6">
        <f>COUNTIF('Coder-3'!B:B,A390)</f>
        <v>0</v>
      </c>
      <c r="O390" s="6">
        <f>COUNTIF('Coder-4'!B:B,A390)</f>
        <v>0</v>
      </c>
    </row>
    <row r="391">
      <c r="A391" s="83">
        <v>353.0</v>
      </c>
      <c r="B391" s="86" t="str">
        <f>IFERROR(__xludf.DUMMYFUNCTION("IF(ISBLANK(A391),,FILTER('Leetcode List'!B:C,'Leetcode List'!A:A = A391))"),"Design Snake Game")</f>
        <v>Design Snake Game</v>
      </c>
      <c r="C391" s="83" t="str">
        <f>IFERROR(__xludf.DUMMYFUNCTION("""COMPUTED_VALUE"""),"Medium")</f>
        <v>Medium</v>
      </c>
      <c r="D391" s="83" t="s">
        <v>440</v>
      </c>
      <c r="E391" s="87" t="str">
        <f>IFERROR(__xludf.DUMMYFUNCTION("IF(ISBLANK(A391),,FILTER('Leetcode List'!E:J,'Leetcode List'!A:A = A391))"),"Apple,Bloomberg,Microsoft,Salesforce,Zillow,Uber,Facebook,Amazon,Google")</f>
        <v>Apple,Bloomberg,Microsoft,Salesforce,Zillow,Uber,Facebook,Amazon,Google</v>
      </c>
      <c r="F391" s="47" t="str">
        <f>IFERROR(__xludf.DUMMYFUNCTION("""COMPUTED_VALUE"""),"Amazon,Microsoft")</f>
        <v>Amazon,Microsoft</v>
      </c>
      <c r="G391" s="47" t="str">
        <f>IFERROR(__xludf.DUMMYFUNCTION("""COMPUTED_VALUE"""),"Apple,Bloomberg,Amazon,Microsoft")</f>
        <v>Apple,Bloomberg,Amazon,Microsoft</v>
      </c>
      <c r="H391" s="47" t="str">
        <f>IFERROR(__xludf.DUMMYFUNCTION("""COMPUTED_VALUE"""),"Google,Uber,Apple,Bloomberg,Amazon,Microsoft")</f>
        <v>Google,Uber,Apple,Bloomberg,Amazon,Microsoft</v>
      </c>
      <c r="I391" s="47">
        <f>IFERROR(__xludf.DUMMYFUNCTION("""COMPUTED_VALUE"""),35.98)</f>
        <v>35.98</v>
      </c>
      <c r="J391" s="47" t="str">
        <f>IFERROR(__xludf.DUMMYFUNCTION("""COMPUTED_VALUE"""),"算法")</f>
        <v>算法</v>
      </c>
      <c r="K391" s="47">
        <v>390.0</v>
      </c>
      <c r="L391" s="6">
        <f>COUNTIF('Coder-1'!B:B,A391)</f>
        <v>0</v>
      </c>
      <c r="M391" s="6">
        <f>COUNTIF('Coder-2'!B:B,A391)</f>
        <v>0</v>
      </c>
      <c r="N391" s="6">
        <f>COUNTIF('Coder-3'!B:B,A391)</f>
        <v>0</v>
      </c>
      <c r="O391" s="6">
        <f>COUNTIF('Coder-4'!B:B,A391)</f>
        <v>0</v>
      </c>
    </row>
    <row r="392">
      <c r="A392" s="83">
        <v>146.0</v>
      </c>
      <c r="B392" s="86" t="str">
        <f>IFERROR(__xludf.DUMMYFUNCTION("IF(ISBLANK(A392),,FILTER('Leetcode List'!B:C,'Leetcode List'!A:A = A392))"),"LRU Cache")</f>
        <v>LRU Cache</v>
      </c>
      <c r="C392" s="83" t="str">
        <f>IFERROR(__xludf.DUMMYFUNCTION("""COMPUTED_VALUE"""),"Medium")</f>
        <v>Medium</v>
      </c>
      <c r="D392" s="83" t="s">
        <v>440</v>
      </c>
      <c r="E392" s="87" t="str">
        <f>IFERROR(__xludf.DUMMYFUNCTION("IF(ISBLANK(A392),,FILTER('Leetcode List'!E:J,'Leetcode List'!A:A = A392))"),"MakeMyTrip,DiDi,Garena,Cohesity,Atlassian,Capital One,PayTM,Infosys,Intel,Cloudera,HBO,Asana,Docusign,TripAdvisor,Tesla,Nutanix,DoorDash,Pinterest,Palantir Technologies,Cruise Automation,Two Sigma,Zenefits,Twitch,Roblox,Splunk,ByteDance,Twilio,Salesforce,"&amp;"Groupon,Zynga,Visa,VMware,Citadel,Walmart Labs,Dropbox,GoDaddy,Snapchat,JPMorgan,Zillow,Paypal,Twitter,Expedia,Wish,Nvidia,Oracle,Spotify,Intuit,Lyft,Cisco,Yandex,EBay,Baidu,Apple,Uber,Yahoo,SAP,Morgan Stanley,Bloomberg,Adobe,Facebook,Amazon,LinkedIn,Micr"&amp;"osoft,Alibaba,Goldman Sachs,Google")</f>
        <v>MakeMyTrip,DiDi,Garena,Cohesity,Atlassian,Capital One,PayTM,Infosys,Intel,Cloudera,HBO,Asana,Docusign,TripAdvisor,Tesla,Nutanix,DoorDash,Pinterest,Palantir Technologies,Cruise Automation,Two Sigma,Zenefits,Twitch,Roblox,Splunk,ByteDance,Twilio,Salesforce,Groupon,Zynga,Visa,VMware,Citadel,Walmart Labs,Dropbox,GoDaddy,Snapchat,JPMorgan,Zillow,Paypal,Twitter,Expedia,Wish,Nvidia,Oracle,Spotify,Intuit,Lyft,Cisco,Yandex,EBay,Baidu,Apple,Uber,Yahoo,SAP,Morgan Stanley,Bloomberg,Adobe,Facebook,Amazon,LinkedIn,Microsoft,Alibaba,Goldman Sachs,Google</v>
      </c>
      <c r="F392" s="47" t="str">
        <f>IFERROR(__xludf.DUMMYFUNCTION("""COMPUTED_VALUE"""),"Amazon,Microsoft,Bloomberg,Facebook,Apple,Capital One,Snapchat,eBay,Oracle,Intuit,Google,ByteDance,Zillow,Uber,Paypal,Twilio,VMware,Dropbox,Adobe,Walmart Labs,Goldman Sachs,Cohesity,Citadel,Salesforce,Tesla,Cruise Automation,Wish,Nutanix,HBO,Morgan Stanle"&amp;"y")</f>
        <v>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G392" s="47" t="str">
        <f>IFERROR(__xludf.DUMMYFUNCTION("""COMPUTED_VALUE"""),"Cisco,Roblox,Pinterest,Nvidia,Yandex,Alibaba,Twitter,Expedia,Zynga,Docusign,Garena,DiDi,Infosys,Amazon,Microsoft,Bloomberg,Facebook,Apple,Capital One,Snapchat,eBay,Oracle,Intuit,Google,ByteDance,Zillow,Uber,Paypal,Twilio,VMware,Dropbox,Adobe,Walmart Labs,"&amp;"Goldman Sachs,Cohesity,Citadel,Salesforce,Tesla,Cruise Automation,Wish,Nutanix,HBO,Morgan Stanley")</f>
        <v>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H392" s="47" t="str">
        <f>IFERROR(__xludf.DUMMYFUNCTION("""COMPUTED_VALUE"""),"Two Sigma,Asana,Yahoo,LinkedIn,Spotify,Cloudera,GoDaddy,Groupon,DoorDash,PayTM,Baidu,Lyft,JPMorgan,TripAdvisor,Intel,Atlassian,Splunk,MakeMyTrip,Palantir Technologies,Zenefits,Cisco,Roblox,Pinterest,Nvidia,Yandex,Alibaba,Twitter,Expedia,Zynga,Docusign,Gar"&amp;"ena,DiDi,Infosys,Amazon,Microsoft,Bloomberg,Facebook,Apple,Capital One,Snapchat,eBay,Oracle,Intuit,Google,ByteDance,Zillow,Uber,Paypal,Twilio,VMware,Dropbox,Adobe,Walmart Labs,Goldman Sachs,Cohesity,Citadel,Salesforce,Tesla,Cruise Automation,Wish,Nutanix,"&amp;"HBO,Morgan Stanley")</f>
        <v>Two Sigma,Asana,Yahoo,LinkedIn,Spotify,Cloudera,GoDaddy,Groupon,DoorDash,PayTM,Baidu,Lyft,JPMorgan,TripAdvisor,Intel,Atlassian,Splunk,MakeMyTrip,Palantir Technologies,Zenefits,Cisco,Roblox,Pinterest,Nvidia,Yandex,Alibaba,Twitter,Expedia,Zynga,Docusign,Garena,DiDi,Infosys,Amazon,Microsoft,Bloomberg,Facebook,Apple,Capital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I392" s="47">
        <f>IFERROR(__xludf.DUMMYFUNCTION("""COMPUTED_VALUE"""),36.03)</f>
        <v>36.03</v>
      </c>
      <c r="J392" s="47" t="str">
        <f>IFERROR(__xludf.DUMMYFUNCTION("""COMPUTED_VALUE"""),"算法")</f>
        <v>算法</v>
      </c>
      <c r="K392" s="47">
        <v>391.0</v>
      </c>
      <c r="L392" s="6">
        <f>COUNTIF('Coder-1'!B:B,A392)</f>
        <v>0</v>
      </c>
      <c r="M392" s="6">
        <f>COUNTIF('Coder-2'!B:B,A392)</f>
        <v>0</v>
      </c>
      <c r="N392" s="6">
        <f>COUNTIF('Coder-3'!B:B,A392)</f>
        <v>0</v>
      </c>
      <c r="O392" s="6">
        <f>COUNTIF('Coder-4'!B:B,A392)</f>
        <v>0</v>
      </c>
    </row>
    <row r="393">
      <c r="A393" s="83">
        <v>355.0</v>
      </c>
      <c r="B393" s="86" t="str">
        <f>IFERROR(__xludf.DUMMYFUNCTION("IF(ISBLANK(A393),,FILTER('Leetcode List'!B:C,'Leetcode List'!A:A = A393))"),"Design Twitter")</f>
        <v>Design Twitter</v>
      </c>
      <c r="C393" s="83" t="str">
        <f>IFERROR(__xludf.DUMMYFUNCTION("""COMPUTED_VALUE"""),"Medium")</f>
        <v>Medium</v>
      </c>
      <c r="D393" s="83" t="s">
        <v>440</v>
      </c>
      <c r="E393" s="87" t="str">
        <f>IFERROR(__xludf.DUMMYFUNCTION("IF(ISBLANK(A393),,FILTER('Leetcode List'!E:J,'Leetcode List'!A:A = A393))"),"Paypal,Oracle,Citrix,Huawei,Microsoft,DoorDash,Twitter,Yelp,Amazon")</f>
        <v>Paypal,Oracle,Citrix,Huawei,Microsoft,DoorDash,Twitter,Yelp,Amazon</v>
      </c>
      <c r="F393" s="47" t="str">
        <f>IFERROR(__xludf.DUMMYFUNCTION("""COMPUTED_VALUE"""),"Yelp,Paypal,Microsoft")</f>
        <v>Yelp,Paypal,Microsoft</v>
      </c>
      <c r="G393" s="47" t="str">
        <f>IFERROR(__xludf.DUMMYFUNCTION("""COMPUTED_VALUE"""),"Huawei,Citrix,Yelp,Paypal,Microsoft")</f>
        <v>Huawei,Citrix,Yelp,Paypal,Microsoft</v>
      </c>
      <c r="H393" s="47" t="str">
        <f>IFERROR(__xludf.DUMMYFUNCTION("""COMPUTED_VALUE"""),"DoorDash,Amazon,Oracle,Twitter,Huawei,Citrix,Yelp,Paypal,Microsoft")</f>
        <v>DoorDash,Amazon,Oracle,Twitter,Huawei,Citrix,Yelp,Paypal,Microsoft</v>
      </c>
      <c r="I393" s="47">
        <f>IFERROR(__xludf.DUMMYFUNCTION("""COMPUTED_VALUE"""),31.48)</f>
        <v>31.48</v>
      </c>
      <c r="J393" s="47" t="str">
        <f>IFERROR(__xludf.DUMMYFUNCTION("""COMPUTED_VALUE"""),"算法")</f>
        <v>算法</v>
      </c>
      <c r="K393" s="47">
        <v>392.0</v>
      </c>
      <c r="L393" s="6">
        <f>COUNTIF('Coder-1'!B:B,A393)</f>
        <v>0</v>
      </c>
      <c r="M393" s="6">
        <f>COUNTIF('Coder-2'!B:B,A393)</f>
        <v>0</v>
      </c>
      <c r="N393" s="6">
        <f>COUNTIF('Coder-3'!B:B,A393)</f>
        <v>0</v>
      </c>
      <c r="O393" s="6">
        <f>COUNTIF('Coder-4'!B:B,A393)</f>
        <v>0</v>
      </c>
    </row>
    <row r="394">
      <c r="A394" s="83">
        <v>303.0</v>
      </c>
      <c r="B394" s="86" t="str">
        <f>IFERROR(__xludf.DUMMYFUNCTION("IF(ISBLANK(A394),,FILTER('Leetcode List'!B:C,'Leetcode List'!A:A = A394))"),"Range Sum Query - Immutable")</f>
        <v>Range Sum Query - Immutable</v>
      </c>
      <c r="C394" s="83" t="str">
        <f>IFERROR(__xludf.DUMMYFUNCTION("""COMPUTED_VALUE"""),"Easy")</f>
        <v>Easy</v>
      </c>
      <c r="D394" s="83" t="s">
        <v>440</v>
      </c>
      <c r="E394" s="87" t="str">
        <f>IFERROR(__xludf.DUMMYFUNCTION("IF(ISBLANK(A394),,FILTER('Leetcode List'!E:J,'Leetcode List'!A:A = A394))"),"Adobe,Amazon,Palantir Technologies,Bloomberg,Facebook,Microsoft,Google")</f>
        <v>Adobe,Amazon,Palantir Technologies,Bloomberg,Facebook,Microsoft,Google</v>
      </c>
      <c r="F394" s="47" t="str">
        <f>IFERROR(__xludf.DUMMYFUNCTION("""COMPUTED_VALUE"""),"Google,Facebook")</f>
        <v>Google,Facebook</v>
      </c>
      <c r="G394" s="47" t="str">
        <f>IFERROR(__xludf.DUMMYFUNCTION("""COMPUTED_VALUE"""),"Adobe,Amazon,Google,Facebook")</f>
        <v>Adobe,Amazon,Google,Facebook</v>
      </c>
      <c r="H394" s="47" t="str">
        <f>IFERROR(__xludf.DUMMYFUNCTION("""COMPUTED_VALUE"""),"Bloomberg,Microsoft,Palantir Technologies,Adobe,Amazon,Google,Facebook")</f>
        <v>Bloomberg,Microsoft,Palantir Technologies,Adobe,Amazon,Google,Facebook</v>
      </c>
      <c r="I394" s="47">
        <f>IFERROR(__xludf.DUMMYFUNCTION("""COMPUTED_VALUE"""),47.92)</f>
        <v>47.92</v>
      </c>
      <c r="J394" s="47" t="str">
        <f>IFERROR(__xludf.DUMMYFUNCTION("""COMPUTED_VALUE"""),"算法")</f>
        <v>算法</v>
      </c>
      <c r="K394" s="47">
        <v>393.0</v>
      </c>
      <c r="L394" s="6">
        <f>COUNTIF('Coder-1'!B:B,A394)</f>
        <v>0</v>
      </c>
      <c r="M394" s="6">
        <f>COUNTIF('Coder-2'!B:B,A394)</f>
        <v>0</v>
      </c>
      <c r="N394" s="6">
        <f>COUNTIF('Coder-3'!B:B,A394)</f>
        <v>0</v>
      </c>
      <c r="O394" s="6">
        <f>COUNTIF('Coder-4'!B:B,A394)</f>
        <v>0</v>
      </c>
    </row>
    <row r="395">
      <c r="A395" s="83">
        <v>304.0</v>
      </c>
      <c r="B395" s="86" t="str">
        <f>IFERROR(__xludf.DUMMYFUNCTION("IF(ISBLANK(A395),,FILTER('Leetcode List'!B:C,'Leetcode List'!A:A = A395))"),"Range Sum Query 2D - Immutable")</f>
        <v>Range Sum Query 2D - Immutable</v>
      </c>
      <c r="C395" s="83" t="str">
        <f>IFERROR(__xludf.DUMMYFUNCTION("""COMPUTED_VALUE"""),"Medium")</f>
        <v>Medium</v>
      </c>
      <c r="D395" s="83" t="s">
        <v>440</v>
      </c>
      <c r="E395" s="87" t="str">
        <f>IFERROR(__xludf.DUMMYFUNCTION("IF(ISBLANK(A395),,FILTER('Leetcode List'!E:J,'Leetcode List'!A:A = A395))"),"Cruise Automation,Houzz,VMware,Lyft,Apple,Facebook,Amazon,Microsoft,Google")</f>
        <v>Cruise Automation,Houzz,VMware,Lyft,Apple,Facebook,Amazon,Microsoft,Google</v>
      </c>
      <c r="F395" s="47" t="str">
        <f>IFERROR(__xludf.DUMMYFUNCTION("""COMPUTED_VALUE"""),"Facebook,Google,Lyft,Amazon")</f>
        <v>Facebook,Google,Lyft,Amazon</v>
      </c>
      <c r="G395" s="47" t="str">
        <f>IFERROR(__xludf.DUMMYFUNCTION("""COMPUTED_VALUE"""),"Cruise Automation,Microsoft,Facebook,Google,Lyft,Amazon")</f>
        <v>Cruise Automation,Microsoft,Facebook,Google,Lyft,Amazon</v>
      </c>
      <c r="H395" s="47" t="str">
        <f>IFERROR(__xludf.DUMMYFUNCTION("""COMPUTED_VALUE"""),"Apple,Houzz,VMware,Cruise Automation,Microsoft,Facebook,Google,Lyft,Amazon")</f>
        <v>Apple,Houzz,VMware,Cruise Automation,Microsoft,Facebook,Google,Lyft,Amazon</v>
      </c>
      <c r="I395" s="47">
        <f>IFERROR(__xludf.DUMMYFUNCTION("""COMPUTED_VALUE"""),40.72)</f>
        <v>40.72</v>
      </c>
      <c r="J395" s="47" t="str">
        <f>IFERROR(__xludf.DUMMYFUNCTION("""COMPUTED_VALUE"""),"算法")</f>
        <v>算法</v>
      </c>
      <c r="K395" s="47">
        <v>394.0</v>
      </c>
      <c r="L395" s="6">
        <f>COUNTIF('Coder-1'!B:B,A395)</f>
        <v>0</v>
      </c>
      <c r="M395" s="6">
        <f>COUNTIF('Coder-2'!B:B,A395)</f>
        <v>0</v>
      </c>
      <c r="N395" s="6">
        <f>COUNTIF('Coder-3'!B:B,A395)</f>
        <v>0</v>
      </c>
      <c r="O395" s="6">
        <f>COUNTIF('Coder-4'!B:B,A395)</f>
        <v>0</v>
      </c>
    </row>
    <row r="396">
      <c r="A396" s="83">
        <v>307.0</v>
      </c>
      <c r="B396" s="86" t="str">
        <f>IFERROR(__xludf.DUMMYFUNCTION("IF(ISBLANK(A396),,FILTER('Leetcode List'!B:C,'Leetcode List'!A:A = A396))"),"Range Sum Query - Mutable")</f>
        <v>Range Sum Query - Mutable</v>
      </c>
      <c r="C396" s="83" t="str">
        <f>IFERROR(__xludf.DUMMYFUNCTION("""COMPUTED_VALUE"""),"Medium")</f>
        <v>Medium</v>
      </c>
      <c r="D396" s="83" t="s">
        <v>440</v>
      </c>
      <c r="E396" s="87" t="str">
        <f>IFERROR(__xludf.DUMMYFUNCTION("IF(ISBLANK(A396),,FILTER('Leetcode List'!E:J,'Leetcode List'!A:A = A396))"),"Adobe,Twitter,Facebook,Amazon,Google")</f>
        <v>Adobe,Twitter,Facebook,Amazon,Google</v>
      </c>
      <c r="F396" s="47" t="str">
        <f>IFERROR(__xludf.DUMMYFUNCTION("""COMPUTED_VALUE"""),"Facebook")</f>
        <v>Facebook</v>
      </c>
      <c r="G396" s="47" t="str">
        <f>IFERROR(__xludf.DUMMYFUNCTION("""COMPUTED_VALUE"""),"Google,Amazon,Adobe,Facebook")</f>
        <v>Google,Amazon,Adobe,Facebook</v>
      </c>
      <c r="H396" s="47" t="str">
        <f>IFERROR(__xludf.DUMMYFUNCTION("""COMPUTED_VALUE"""),"Twitter,Google,Amazon,Adobe,Facebook")</f>
        <v>Twitter,Google,Amazon,Adobe,Facebook</v>
      </c>
      <c r="I396" s="47">
        <f>IFERROR(__xludf.DUMMYFUNCTION("""COMPUTED_VALUE"""),36.82)</f>
        <v>36.82</v>
      </c>
      <c r="J396" s="47" t="str">
        <f>IFERROR(__xludf.DUMMYFUNCTION("""COMPUTED_VALUE"""),"算法")</f>
        <v>算法</v>
      </c>
      <c r="K396" s="47">
        <v>395.0</v>
      </c>
      <c r="L396" s="6">
        <f>COUNTIF('Coder-1'!B:B,A396)</f>
        <v>0</v>
      </c>
      <c r="M396" s="6">
        <f>COUNTIF('Coder-2'!B:B,A396)</f>
        <v>0</v>
      </c>
      <c r="N396" s="6">
        <f>COUNTIF('Coder-3'!B:B,A396)</f>
        <v>0</v>
      </c>
      <c r="O396" s="6">
        <f>COUNTIF('Coder-4'!B:B,A396)</f>
        <v>0</v>
      </c>
    </row>
    <row r="397">
      <c r="A397" s="83">
        <v>308.0</v>
      </c>
      <c r="B397" s="86" t="str">
        <f>IFERROR(__xludf.DUMMYFUNCTION("IF(ISBLANK(A397),,FILTER('Leetcode List'!B:C,'Leetcode List'!A:A = A397))"),"Range Sum Query 2D - Mutable")</f>
        <v>Range Sum Query 2D - Mutable</v>
      </c>
      <c r="C397" s="83" t="str">
        <f>IFERROR(__xludf.DUMMYFUNCTION("""COMPUTED_VALUE"""),"Hard")</f>
        <v>Hard</v>
      </c>
      <c r="D397" s="83" t="s">
        <v>440</v>
      </c>
      <c r="E397" s="87" t="str">
        <f>IFERROR(__xludf.DUMMYFUNCTION("IF(ISBLANK(A397),,FILTER('Leetcode List'!E:J,'Leetcode List'!A:A = A397))"),"Facebook,Microsoft,Google")</f>
        <v>Facebook,Microsoft,Google</v>
      </c>
      <c r="F397" s="47" t="str">
        <f>IFERROR(__xludf.DUMMYFUNCTION("""COMPUTED_VALUE"""),"Google")</f>
        <v>Google</v>
      </c>
      <c r="G397" s="47" t="str">
        <f>IFERROR(__xludf.DUMMYFUNCTION("""COMPUTED_VALUE"""),"Facebook,Google")</f>
        <v>Facebook,Google</v>
      </c>
      <c r="H397" s="47" t="str">
        <f>IFERROR(__xludf.DUMMYFUNCTION("""COMPUTED_VALUE"""),"Microsoft,Facebook,Google")</f>
        <v>Microsoft,Facebook,Google</v>
      </c>
      <c r="I397" s="47">
        <f>IFERROR(__xludf.DUMMYFUNCTION("""COMPUTED_VALUE"""),37.85)</f>
        <v>37.85</v>
      </c>
      <c r="J397" s="47" t="str">
        <f>IFERROR(__xludf.DUMMYFUNCTION("""COMPUTED_VALUE"""),"算法")</f>
        <v>算法</v>
      </c>
      <c r="K397" s="47">
        <v>396.0</v>
      </c>
      <c r="L397" s="6">
        <f>COUNTIF('Coder-1'!B:B,A397)</f>
        <v>0</v>
      </c>
      <c r="M397" s="6">
        <f>COUNTIF('Coder-2'!B:B,A397)</f>
        <v>0</v>
      </c>
      <c r="N397" s="6">
        <f>COUNTIF('Coder-3'!B:B,A397)</f>
        <v>0</v>
      </c>
      <c r="O397" s="6">
        <f>COUNTIF('Coder-4'!B:B,A397)</f>
        <v>0</v>
      </c>
    </row>
    <row r="398">
      <c r="A398" s="47"/>
      <c r="B398" s="85"/>
      <c r="C398" s="85"/>
      <c r="D398" s="85"/>
      <c r="E398" s="89"/>
      <c r="F398" s="85"/>
      <c r="G398" s="85"/>
      <c r="H398" s="85"/>
      <c r="I398" s="85"/>
      <c r="J398" s="85"/>
      <c r="K398" s="85"/>
    </row>
    <row r="399">
      <c r="A399" s="47"/>
      <c r="B399" s="85"/>
      <c r="C399" s="85"/>
      <c r="D399" s="85"/>
      <c r="E399" s="89"/>
      <c r="F399" s="85"/>
      <c r="G399" s="85"/>
      <c r="H399" s="85"/>
      <c r="I399" s="85"/>
      <c r="J399" s="85"/>
      <c r="K399" s="85"/>
    </row>
    <row r="400">
      <c r="A400" s="47"/>
      <c r="B400" s="85"/>
      <c r="C400" s="85"/>
      <c r="D400" s="85"/>
      <c r="E400" s="89"/>
      <c r="F400" s="85"/>
      <c r="G400" s="85"/>
      <c r="H400" s="85"/>
      <c r="I400" s="85"/>
      <c r="J400" s="85"/>
      <c r="K400" s="85"/>
    </row>
    <row r="401">
      <c r="A401" s="47"/>
      <c r="B401" s="85"/>
      <c r="C401" s="85"/>
      <c r="D401" s="85"/>
      <c r="E401" s="89"/>
      <c r="F401" s="85"/>
      <c r="G401" s="85"/>
      <c r="H401" s="85"/>
      <c r="I401" s="85"/>
      <c r="J401" s="85"/>
      <c r="K401" s="85"/>
    </row>
    <row r="402">
      <c r="A402" s="47"/>
      <c r="B402" s="85"/>
      <c r="C402" s="85"/>
      <c r="D402" s="85"/>
      <c r="E402" s="89"/>
      <c r="F402" s="85"/>
      <c r="G402" s="85"/>
      <c r="H402" s="85"/>
      <c r="I402" s="85"/>
      <c r="J402" s="85"/>
      <c r="K402" s="85"/>
    </row>
    <row r="403">
      <c r="A403" s="47"/>
      <c r="B403" s="85"/>
      <c r="C403" s="85"/>
      <c r="D403" s="85"/>
      <c r="E403" s="89"/>
      <c r="F403" s="85"/>
      <c r="G403" s="85"/>
      <c r="H403" s="85"/>
      <c r="I403" s="85"/>
      <c r="J403" s="85"/>
      <c r="K403" s="85"/>
    </row>
    <row r="404">
      <c r="A404" s="47"/>
      <c r="B404" s="85"/>
      <c r="C404" s="85"/>
      <c r="D404" s="85"/>
      <c r="E404" s="89"/>
      <c r="F404" s="85"/>
      <c r="G404" s="85"/>
      <c r="H404" s="85"/>
      <c r="I404" s="85"/>
      <c r="J404" s="85"/>
      <c r="K404" s="85"/>
    </row>
    <row r="405">
      <c r="A405" s="47"/>
      <c r="B405" s="85"/>
      <c r="C405" s="85"/>
      <c r="D405" s="85"/>
      <c r="E405" s="89"/>
      <c r="F405" s="85"/>
      <c r="G405" s="85"/>
      <c r="H405" s="85"/>
      <c r="I405" s="85"/>
      <c r="J405" s="85"/>
      <c r="K405" s="85"/>
    </row>
    <row r="406">
      <c r="A406" s="47"/>
      <c r="B406" s="85"/>
      <c r="C406" s="85"/>
      <c r="D406" s="85"/>
      <c r="E406" s="89"/>
      <c r="F406" s="85"/>
      <c r="G406" s="85"/>
      <c r="H406" s="85"/>
      <c r="I406" s="85"/>
      <c r="J406" s="85"/>
      <c r="K406" s="85"/>
    </row>
    <row r="407">
      <c r="A407" s="47"/>
      <c r="B407" s="85"/>
      <c r="C407" s="85"/>
      <c r="D407" s="85"/>
      <c r="E407" s="89"/>
      <c r="F407" s="85"/>
      <c r="G407" s="85"/>
      <c r="H407" s="85"/>
      <c r="I407" s="85"/>
      <c r="J407" s="85"/>
      <c r="K407" s="85"/>
    </row>
    <row r="408">
      <c r="A408" s="47"/>
      <c r="B408" s="85"/>
      <c r="C408" s="85"/>
      <c r="D408" s="85"/>
      <c r="E408" s="89"/>
      <c r="F408" s="85"/>
      <c r="G408" s="85"/>
      <c r="H408" s="85"/>
      <c r="I408" s="85"/>
      <c r="J408" s="85"/>
      <c r="K408" s="85"/>
    </row>
    <row r="409">
      <c r="A409" s="47"/>
      <c r="B409" s="85"/>
      <c r="C409" s="85"/>
      <c r="D409" s="85"/>
      <c r="E409" s="89"/>
      <c r="F409" s="85"/>
      <c r="G409" s="85"/>
      <c r="H409" s="85"/>
      <c r="I409" s="85"/>
      <c r="J409" s="85"/>
      <c r="K409" s="85"/>
    </row>
    <row r="410">
      <c r="A410" s="47"/>
      <c r="B410" s="85"/>
      <c r="C410" s="85"/>
      <c r="D410" s="85"/>
      <c r="E410" s="89"/>
      <c r="F410" s="85"/>
      <c r="G410" s="85"/>
      <c r="H410" s="85"/>
      <c r="I410" s="85"/>
      <c r="J410" s="85"/>
      <c r="K410" s="85"/>
    </row>
    <row r="411">
      <c r="A411" s="47"/>
      <c r="B411" s="85"/>
      <c r="C411" s="85"/>
      <c r="D411" s="85"/>
      <c r="E411" s="89"/>
      <c r="F411" s="85"/>
      <c r="G411" s="85"/>
      <c r="H411" s="85"/>
      <c r="I411" s="85"/>
      <c r="J411" s="85"/>
      <c r="K411" s="85"/>
    </row>
    <row r="412">
      <c r="A412" s="47"/>
      <c r="B412" s="85"/>
      <c r="C412" s="85"/>
      <c r="D412" s="85"/>
      <c r="E412" s="89"/>
      <c r="F412" s="85"/>
      <c r="G412" s="85"/>
      <c r="H412" s="85"/>
      <c r="I412" s="85"/>
      <c r="J412" s="85"/>
      <c r="K412" s="85"/>
    </row>
    <row r="413">
      <c r="A413" s="47"/>
      <c r="B413" s="85"/>
      <c r="C413" s="85"/>
      <c r="D413" s="85"/>
      <c r="E413" s="89"/>
      <c r="F413" s="85"/>
      <c r="G413" s="85"/>
      <c r="H413" s="85"/>
      <c r="I413" s="85"/>
      <c r="J413" s="85"/>
      <c r="K413" s="85"/>
    </row>
    <row r="414">
      <c r="A414" s="47"/>
      <c r="B414" s="85"/>
      <c r="C414" s="85"/>
      <c r="D414" s="85"/>
      <c r="E414" s="89"/>
      <c r="F414" s="85"/>
      <c r="G414" s="85"/>
      <c r="H414" s="85"/>
      <c r="I414" s="85"/>
      <c r="J414" s="85"/>
      <c r="K414" s="85"/>
    </row>
    <row r="415">
      <c r="A415" s="47"/>
      <c r="B415" s="85"/>
      <c r="C415" s="85"/>
      <c r="D415" s="85"/>
      <c r="E415" s="89"/>
      <c r="F415" s="85"/>
      <c r="G415" s="85"/>
      <c r="H415" s="85"/>
      <c r="I415" s="85"/>
      <c r="J415" s="85"/>
      <c r="K415" s="85"/>
    </row>
    <row r="416">
      <c r="A416" s="47"/>
      <c r="B416" s="85"/>
      <c r="C416" s="85"/>
      <c r="D416" s="85"/>
      <c r="E416" s="89"/>
      <c r="F416" s="85"/>
      <c r="G416" s="85"/>
      <c r="H416" s="85"/>
      <c r="I416" s="85"/>
      <c r="J416" s="85"/>
      <c r="K416" s="85"/>
    </row>
    <row r="417">
      <c r="A417" s="47"/>
      <c r="B417" s="85"/>
      <c r="C417" s="85"/>
      <c r="D417" s="85"/>
      <c r="E417" s="89"/>
      <c r="F417" s="85"/>
      <c r="G417" s="85"/>
      <c r="H417" s="85"/>
      <c r="I417" s="85"/>
      <c r="J417" s="85"/>
      <c r="K417" s="85"/>
    </row>
    <row r="418">
      <c r="A418" s="47"/>
      <c r="B418" s="85"/>
      <c r="C418" s="85"/>
      <c r="D418" s="85"/>
      <c r="E418" s="89"/>
      <c r="F418" s="85"/>
      <c r="G418" s="85"/>
      <c r="H418" s="85"/>
      <c r="I418" s="85"/>
      <c r="J418" s="85"/>
      <c r="K418" s="85"/>
    </row>
    <row r="419">
      <c r="A419" s="47"/>
      <c r="B419" s="85"/>
      <c r="C419" s="85"/>
      <c r="D419" s="85"/>
      <c r="E419" s="89"/>
      <c r="F419" s="85"/>
      <c r="G419" s="85"/>
      <c r="H419" s="85"/>
      <c r="I419" s="85"/>
      <c r="J419" s="85"/>
      <c r="K419" s="85"/>
    </row>
    <row r="420">
      <c r="A420" s="47"/>
      <c r="B420" s="85"/>
      <c r="C420" s="85"/>
      <c r="D420" s="85"/>
      <c r="E420" s="89"/>
      <c r="F420" s="85"/>
      <c r="G420" s="85"/>
      <c r="H420" s="85"/>
      <c r="I420" s="85"/>
      <c r="J420" s="85"/>
      <c r="K420" s="85"/>
    </row>
    <row r="421">
      <c r="A421" s="47"/>
      <c r="B421" s="85"/>
      <c r="C421" s="85"/>
      <c r="D421" s="85"/>
      <c r="E421" s="89"/>
      <c r="F421" s="85"/>
      <c r="G421" s="85"/>
      <c r="H421" s="85"/>
      <c r="I421" s="85"/>
      <c r="J421" s="85"/>
      <c r="K421" s="85"/>
    </row>
    <row r="422">
      <c r="A422" s="47"/>
      <c r="B422" s="85"/>
      <c r="C422" s="85"/>
      <c r="D422" s="85"/>
      <c r="E422" s="89"/>
      <c r="F422" s="85"/>
      <c r="G422" s="85"/>
      <c r="H422" s="85"/>
      <c r="I422" s="85"/>
      <c r="J422" s="85"/>
      <c r="K422" s="85"/>
    </row>
    <row r="423">
      <c r="A423" s="47"/>
      <c r="B423" s="85"/>
      <c r="C423" s="85"/>
      <c r="D423" s="85"/>
      <c r="E423" s="89"/>
      <c r="F423" s="85"/>
      <c r="G423" s="85"/>
      <c r="H423" s="85"/>
      <c r="I423" s="85"/>
      <c r="J423" s="85"/>
      <c r="K423" s="85"/>
    </row>
    <row r="424">
      <c r="A424" s="47"/>
      <c r="B424" s="85"/>
      <c r="C424" s="85"/>
      <c r="D424" s="85"/>
      <c r="E424" s="89"/>
      <c r="F424" s="85"/>
      <c r="G424" s="85"/>
      <c r="H424" s="85"/>
      <c r="I424" s="85"/>
      <c r="J424" s="85"/>
      <c r="K424" s="85"/>
    </row>
    <row r="425">
      <c r="A425" s="47"/>
      <c r="B425" s="85"/>
      <c r="C425" s="85"/>
      <c r="D425" s="85"/>
      <c r="E425" s="89"/>
      <c r="F425" s="85"/>
      <c r="G425" s="85"/>
      <c r="H425" s="85"/>
      <c r="I425" s="85"/>
      <c r="J425" s="85"/>
      <c r="K425" s="85"/>
    </row>
    <row r="426">
      <c r="A426" s="47"/>
      <c r="B426" s="85"/>
      <c r="C426" s="85"/>
      <c r="D426" s="85"/>
      <c r="E426" s="89"/>
      <c r="F426" s="85"/>
      <c r="G426" s="85"/>
      <c r="H426" s="85"/>
      <c r="I426" s="85"/>
      <c r="J426" s="85"/>
      <c r="K426" s="85"/>
    </row>
    <row r="427">
      <c r="A427" s="47"/>
      <c r="B427" s="85"/>
      <c r="C427" s="85"/>
      <c r="D427" s="85"/>
      <c r="E427" s="89"/>
      <c r="F427" s="85"/>
      <c r="G427" s="85"/>
      <c r="H427" s="85"/>
      <c r="I427" s="85"/>
      <c r="J427" s="85"/>
      <c r="K427" s="85"/>
    </row>
    <row r="428">
      <c r="A428" s="47"/>
      <c r="B428" s="85"/>
      <c r="C428" s="85"/>
      <c r="D428" s="85"/>
      <c r="E428" s="89"/>
      <c r="F428" s="85"/>
      <c r="G428" s="85"/>
      <c r="H428" s="85"/>
      <c r="I428" s="85"/>
      <c r="J428" s="85"/>
      <c r="K428" s="85"/>
    </row>
    <row r="429">
      <c r="A429" s="47"/>
      <c r="B429" s="85"/>
      <c r="C429" s="85"/>
      <c r="D429" s="85"/>
      <c r="E429" s="89"/>
      <c r="F429" s="85"/>
      <c r="G429" s="85"/>
      <c r="H429" s="85"/>
      <c r="I429" s="85"/>
      <c r="J429" s="85"/>
      <c r="K429" s="85"/>
    </row>
    <row r="430">
      <c r="A430" s="47"/>
      <c r="B430" s="85"/>
      <c r="C430" s="85"/>
      <c r="D430" s="85"/>
      <c r="E430" s="89"/>
      <c r="F430" s="85"/>
      <c r="G430" s="85"/>
      <c r="H430" s="85"/>
      <c r="I430" s="85"/>
      <c r="J430" s="85"/>
      <c r="K430" s="85"/>
    </row>
    <row r="431">
      <c r="A431" s="47"/>
      <c r="B431" s="85"/>
      <c r="C431" s="85"/>
      <c r="D431" s="85"/>
      <c r="E431" s="89"/>
      <c r="F431" s="85"/>
      <c r="G431" s="85"/>
      <c r="H431" s="85"/>
      <c r="I431" s="85"/>
      <c r="J431" s="85"/>
      <c r="K431" s="85"/>
    </row>
    <row r="432">
      <c r="A432" s="47"/>
      <c r="B432" s="85"/>
      <c r="C432" s="85"/>
      <c r="D432" s="85"/>
      <c r="E432" s="89"/>
      <c r="F432" s="85"/>
      <c r="G432" s="85"/>
      <c r="H432" s="85"/>
      <c r="I432" s="85"/>
      <c r="J432" s="85"/>
      <c r="K432" s="85"/>
    </row>
    <row r="433">
      <c r="A433" s="47"/>
      <c r="B433" s="85"/>
      <c r="C433" s="85"/>
      <c r="D433" s="85"/>
      <c r="E433" s="89"/>
      <c r="F433" s="85"/>
      <c r="G433" s="85"/>
      <c r="H433" s="85"/>
      <c r="I433" s="85"/>
      <c r="J433" s="85"/>
      <c r="K433" s="85"/>
    </row>
    <row r="434">
      <c r="A434" s="47"/>
      <c r="B434" s="85"/>
      <c r="C434" s="85"/>
      <c r="D434" s="85"/>
      <c r="E434" s="89"/>
      <c r="F434" s="85"/>
      <c r="G434" s="85"/>
      <c r="H434" s="85"/>
      <c r="I434" s="85"/>
      <c r="J434" s="85"/>
      <c r="K434" s="85"/>
    </row>
    <row r="435">
      <c r="A435" s="47"/>
      <c r="B435" s="85"/>
      <c r="C435" s="85"/>
      <c r="D435" s="85"/>
      <c r="E435" s="89"/>
      <c r="F435" s="85"/>
      <c r="G435" s="85"/>
      <c r="H435" s="85"/>
      <c r="I435" s="85"/>
      <c r="J435" s="85"/>
      <c r="K435" s="85"/>
    </row>
    <row r="436">
      <c r="A436" s="47"/>
      <c r="B436" s="85"/>
      <c r="C436" s="85"/>
      <c r="D436" s="85"/>
      <c r="E436" s="89"/>
      <c r="F436" s="85"/>
      <c r="G436" s="85"/>
      <c r="H436" s="85"/>
      <c r="I436" s="85"/>
      <c r="J436" s="85"/>
      <c r="K436" s="85"/>
    </row>
    <row r="437">
      <c r="A437" s="47"/>
      <c r="B437" s="85"/>
      <c r="C437" s="85"/>
      <c r="D437" s="85"/>
      <c r="E437" s="89"/>
      <c r="F437" s="85"/>
      <c r="G437" s="85"/>
      <c r="H437" s="85"/>
      <c r="I437" s="85"/>
      <c r="J437" s="85"/>
      <c r="K437" s="85"/>
    </row>
    <row r="438">
      <c r="A438" s="47"/>
      <c r="B438" s="85"/>
      <c r="C438" s="85"/>
      <c r="D438" s="85"/>
      <c r="E438" s="89"/>
      <c r="F438" s="85"/>
      <c r="G438" s="85"/>
      <c r="H438" s="85"/>
      <c r="I438" s="85"/>
      <c r="J438" s="85"/>
      <c r="K438" s="85"/>
    </row>
    <row r="439">
      <c r="A439" s="47"/>
      <c r="B439" s="85"/>
      <c r="C439" s="85"/>
      <c r="D439" s="85"/>
      <c r="E439" s="89"/>
      <c r="F439" s="85"/>
      <c r="G439" s="85"/>
      <c r="H439" s="85"/>
      <c r="I439" s="85"/>
      <c r="J439" s="85"/>
      <c r="K439" s="85"/>
    </row>
    <row r="440">
      <c r="A440" s="47"/>
      <c r="B440" s="85"/>
      <c r="C440" s="85"/>
      <c r="D440" s="85"/>
      <c r="E440" s="89"/>
      <c r="F440" s="85"/>
      <c r="G440" s="85"/>
      <c r="H440" s="85"/>
      <c r="I440" s="85"/>
      <c r="J440" s="85"/>
      <c r="K440" s="85"/>
    </row>
    <row r="441">
      <c r="A441" s="47"/>
      <c r="B441" s="85"/>
      <c r="C441" s="85"/>
      <c r="D441" s="85"/>
      <c r="E441" s="89"/>
      <c r="F441" s="85"/>
      <c r="G441" s="85"/>
      <c r="H441" s="85"/>
      <c r="I441" s="85"/>
      <c r="J441" s="85"/>
      <c r="K441" s="85"/>
    </row>
    <row r="442">
      <c r="A442" s="47"/>
      <c r="B442" s="85"/>
      <c r="C442" s="85"/>
      <c r="D442" s="85"/>
      <c r="E442" s="89"/>
      <c r="F442" s="85"/>
      <c r="G442" s="85"/>
      <c r="H442" s="85"/>
      <c r="I442" s="85"/>
      <c r="J442" s="85"/>
      <c r="K442" s="85"/>
    </row>
    <row r="443">
      <c r="A443" s="47"/>
      <c r="B443" s="85"/>
      <c r="C443" s="85"/>
      <c r="D443" s="85"/>
      <c r="E443" s="89"/>
      <c r="F443" s="85"/>
      <c r="G443" s="85"/>
      <c r="H443" s="85"/>
      <c r="I443" s="85"/>
      <c r="J443" s="85"/>
      <c r="K443" s="85"/>
    </row>
    <row r="444">
      <c r="A444" s="47"/>
      <c r="B444" s="85"/>
      <c r="C444" s="85"/>
      <c r="D444" s="85"/>
      <c r="E444" s="89"/>
      <c r="F444" s="85"/>
      <c r="G444" s="85"/>
      <c r="H444" s="85"/>
      <c r="I444" s="85"/>
      <c r="J444" s="85"/>
      <c r="K444" s="85"/>
    </row>
    <row r="445">
      <c r="A445" s="47"/>
      <c r="B445" s="85"/>
      <c r="C445" s="85"/>
      <c r="D445" s="85"/>
      <c r="E445" s="89"/>
      <c r="F445" s="85"/>
      <c r="G445" s="85"/>
      <c r="H445" s="85"/>
      <c r="I445" s="85"/>
      <c r="J445" s="85"/>
      <c r="K445" s="85"/>
    </row>
    <row r="446">
      <c r="A446" s="47"/>
      <c r="B446" s="85"/>
      <c r="C446" s="85"/>
      <c r="D446" s="85"/>
      <c r="E446" s="89"/>
      <c r="F446" s="85"/>
      <c r="G446" s="85"/>
      <c r="H446" s="85"/>
      <c r="I446" s="85"/>
      <c r="J446" s="85"/>
      <c r="K446" s="85"/>
    </row>
    <row r="447">
      <c r="A447" s="47"/>
      <c r="B447" s="85"/>
      <c r="C447" s="85"/>
      <c r="D447" s="85"/>
      <c r="E447" s="89"/>
      <c r="F447" s="85"/>
      <c r="G447" s="85"/>
      <c r="H447" s="85"/>
      <c r="I447" s="85"/>
      <c r="J447" s="85"/>
      <c r="K447" s="85"/>
    </row>
    <row r="448">
      <c r="A448" s="47"/>
      <c r="B448" s="85"/>
      <c r="C448" s="85"/>
      <c r="D448" s="85"/>
      <c r="E448" s="89"/>
      <c r="F448" s="85"/>
      <c r="G448" s="85"/>
      <c r="H448" s="85"/>
      <c r="I448" s="85"/>
      <c r="J448" s="85"/>
      <c r="K448" s="85"/>
    </row>
    <row r="449">
      <c r="A449" s="47"/>
      <c r="B449" s="85"/>
      <c r="C449" s="85"/>
      <c r="D449" s="85"/>
      <c r="E449" s="89"/>
      <c r="F449" s="85"/>
      <c r="G449" s="85"/>
      <c r="H449" s="85"/>
      <c r="I449" s="85"/>
      <c r="J449" s="85"/>
      <c r="K449" s="85"/>
    </row>
    <row r="450">
      <c r="A450" s="47"/>
      <c r="B450" s="85"/>
      <c r="C450" s="85"/>
      <c r="D450" s="85"/>
      <c r="E450" s="89"/>
      <c r="F450" s="85"/>
      <c r="G450" s="85"/>
      <c r="H450" s="85"/>
      <c r="I450" s="85"/>
      <c r="J450" s="85"/>
      <c r="K450" s="85"/>
    </row>
    <row r="451">
      <c r="A451" s="47"/>
      <c r="B451" s="85"/>
      <c r="C451" s="85"/>
      <c r="D451" s="85"/>
      <c r="E451" s="89"/>
      <c r="F451" s="85"/>
      <c r="G451" s="85"/>
      <c r="H451" s="85"/>
      <c r="I451" s="85"/>
      <c r="J451" s="85"/>
      <c r="K451" s="85"/>
    </row>
    <row r="452">
      <c r="A452" s="47"/>
      <c r="B452" s="85"/>
      <c r="C452" s="85"/>
      <c r="D452" s="85"/>
      <c r="E452" s="89"/>
      <c r="F452" s="85"/>
      <c r="G452" s="85"/>
      <c r="H452" s="85"/>
      <c r="I452" s="85"/>
      <c r="J452" s="85"/>
      <c r="K452" s="85"/>
    </row>
    <row r="453">
      <c r="A453" s="47"/>
      <c r="B453" s="85"/>
      <c r="C453" s="85"/>
      <c r="D453" s="85"/>
      <c r="E453" s="89"/>
      <c r="F453" s="85"/>
      <c r="G453" s="85"/>
      <c r="H453" s="85"/>
      <c r="I453" s="85"/>
      <c r="J453" s="85"/>
      <c r="K453" s="85"/>
    </row>
    <row r="454">
      <c r="A454" s="47"/>
      <c r="B454" s="85"/>
      <c r="C454" s="85"/>
      <c r="D454" s="85"/>
      <c r="E454" s="89"/>
      <c r="F454" s="85"/>
      <c r="G454" s="85"/>
      <c r="H454" s="85"/>
      <c r="I454" s="85"/>
      <c r="J454" s="85"/>
      <c r="K454" s="85"/>
    </row>
    <row r="455">
      <c r="A455" s="47"/>
      <c r="B455" s="85"/>
      <c r="C455" s="85"/>
      <c r="D455" s="85"/>
      <c r="E455" s="89"/>
      <c r="F455" s="85"/>
      <c r="G455" s="85"/>
      <c r="H455" s="85"/>
      <c r="I455" s="85"/>
      <c r="J455" s="85"/>
      <c r="K455" s="85"/>
    </row>
    <row r="456">
      <c r="A456" s="47"/>
      <c r="B456" s="85"/>
      <c r="C456" s="85"/>
      <c r="D456" s="85"/>
      <c r="E456" s="89"/>
      <c r="F456" s="85"/>
      <c r="G456" s="85"/>
      <c r="H456" s="85"/>
      <c r="I456" s="85"/>
      <c r="J456" s="85"/>
      <c r="K456" s="85"/>
    </row>
    <row r="457">
      <c r="A457" s="47"/>
      <c r="B457" s="85"/>
      <c r="C457" s="85"/>
      <c r="D457" s="85"/>
      <c r="E457" s="89"/>
      <c r="F457" s="85"/>
      <c r="G457" s="85"/>
      <c r="H457" s="85"/>
      <c r="I457" s="85"/>
      <c r="J457" s="85"/>
      <c r="K457" s="85"/>
    </row>
    <row r="458">
      <c r="A458" s="47"/>
      <c r="B458" s="85"/>
      <c r="C458" s="85"/>
      <c r="D458" s="85"/>
      <c r="E458" s="89"/>
      <c r="F458" s="85"/>
      <c r="G458" s="85"/>
      <c r="H458" s="85"/>
      <c r="I458" s="85"/>
      <c r="J458" s="85"/>
      <c r="K458" s="85"/>
    </row>
    <row r="459">
      <c r="A459" s="47"/>
      <c r="B459" s="85"/>
      <c r="C459" s="85"/>
      <c r="D459" s="85"/>
      <c r="E459" s="89"/>
      <c r="F459" s="85"/>
      <c r="G459" s="85"/>
      <c r="H459" s="85"/>
      <c r="I459" s="85"/>
      <c r="J459" s="85"/>
      <c r="K459" s="85"/>
    </row>
    <row r="460">
      <c r="A460" s="47"/>
      <c r="B460" s="85"/>
      <c r="C460" s="85"/>
      <c r="D460" s="85"/>
      <c r="E460" s="89"/>
      <c r="F460" s="85"/>
      <c r="G460" s="85"/>
      <c r="H460" s="85"/>
      <c r="I460" s="85"/>
      <c r="J460" s="85"/>
      <c r="K460" s="85"/>
    </row>
    <row r="461">
      <c r="A461" s="47"/>
      <c r="B461" s="85"/>
      <c r="C461" s="85"/>
      <c r="D461" s="85"/>
      <c r="E461" s="89"/>
      <c r="F461" s="85"/>
      <c r="G461" s="85"/>
      <c r="H461" s="85"/>
      <c r="I461" s="85"/>
      <c r="J461" s="85"/>
      <c r="K461" s="85"/>
    </row>
    <row r="462">
      <c r="A462" s="47"/>
      <c r="B462" s="85"/>
      <c r="C462" s="85"/>
      <c r="D462" s="85"/>
      <c r="E462" s="89"/>
      <c r="F462" s="85"/>
      <c r="G462" s="85"/>
      <c r="H462" s="85"/>
      <c r="I462" s="85"/>
      <c r="J462" s="85"/>
      <c r="K462" s="85"/>
    </row>
    <row r="463">
      <c r="A463" s="47"/>
      <c r="B463" s="85"/>
      <c r="C463" s="85"/>
      <c r="D463" s="85"/>
      <c r="E463" s="89"/>
      <c r="F463" s="85"/>
      <c r="G463" s="85"/>
      <c r="H463" s="85"/>
      <c r="I463" s="85"/>
      <c r="J463" s="85"/>
      <c r="K463" s="85"/>
    </row>
    <row r="464">
      <c r="A464" s="47"/>
      <c r="B464" s="85"/>
      <c r="C464" s="85"/>
      <c r="D464" s="85"/>
      <c r="E464" s="89"/>
      <c r="F464" s="85"/>
      <c r="G464" s="85"/>
      <c r="H464" s="85"/>
      <c r="I464" s="85"/>
      <c r="J464" s="85"/>
      <c r="K464" s="85"/>
    </row>
    <row r="465">
      <c r="A465" s="47"/>
      <c r="B465" s="85"/>
      <c r="C465" s="85"/>
      <c r="D465" s="85"/>
      <c r="E465" s="89"/>
      <c r="F465" s="85"/>
      <c r="G465" s="85"/>
      <c r="H465" s="85"/>
      <c r="I465" s="85"/>
      <c r="J465" s="85"/>
      <c r="K465" s="85"/>
    </row>
    <row r="466">
      <c r="A466" s="47"/>
      <c r="B466" s="85"/>
      <c r="C466" s="85"/>
      <c r="D466" s="85"/>
      <c r="E466" s="89"/>
      <c r="F466" s="85"/>
      <c r="G466" s="85"/>
      <c r="H466" s="85"/>
      <c r="I466" s="85"/>
      <c r="J466" s="85"/>
      <c r="K466" s="85"/>
    </row>
    <row r="467">
      <c r="A467" s="47"/>
      <c r="B467" s="85"/>
      <c r="C467" s="85"/>
      <c r="D467" s="85"/>
      <c r="E467" s="89"/>
      <c r="F467" s="85"/>
      <c r="G467" s="85"/>
      <c r="H467" s="85"/>
      <c r="I467" s="85"/>
      <c r="J467" s="85"/>
      <c r="K467" s="85"/>
    </row>
    <row r="468">
      <c r="A468" s="47"/>
      <c r="B468" s="85"/>
      <c r="C468" s="85"/>
      <c r="D468" s="85"/>
      <c r="E468" s="89"/>
      <c r="F468" s="85"/>
      <c r="G468" s="85"/>
      <c r="H468" s="85"/>
      <c r="I468" s="85"/>
      <c r="J468" s="85"/>
      <c r="K468" s="85"/>
    </row>
    <row r="469">
      <c r="A469" s="47"/>
      <c r="B469" s="85"/>
      <c r="C469" s="85"/>
      <c r="D469" s="85"/>
      <c r="E469" s="89"/>
      <c r="F469" s="85"/>
      <c r="G469" s="85"/>
      <c r="H469" s="85"/>
      <c r="I469" s="85"/>
      <c r="J469" s="85"/>
      <c r="K469" s="85"/>
    </row>
    <row r="470">
      <c r="A470" s="47"/>
      <c r="B470" s="85"/>
      <c r="C470" s="85"/>
      <c r="D470" s="85"/>
      <c r="E470" s="89"/>
      <c r="F470" s="85"/>
      <c r="G470" s="85"/>
      <c r="H470" s="85"/>
      <c r="I470" s="85"/>
      <c r="J470" s="85"/>
      <c r="K470" s="85"/>
    </row>
    <row r="471">
      <c r="A471" s="47"/>
      <c r="B471" s="85"/>
      <c r="C471" s="85"/>
      <c r="D471" s="85"/>
      <c r="E471" s="89"/>
      <c r="F471" s="85"/>
      <c r="G471" s="85"/>
      <c r="H471" s="85"/>
      <c r="I471" s="85"/>
      <c r="J471" s="85"/>
      <c r="K471" s="85"/>
    </row>
    <row r="472">
      <c r="A472" s="47"/>
      <c r="B472" s="85"/>
      <c r="C472" s="85"/>
      <c r="D472" s="85"/>
      <c r="E472" s="89"/>
      <c r="F472" s="85"/>
      <c r="G472" s="85"/>
      <c r="H472" s="85"/>
      <c r="I472" s="85"/>
      <c r="J472" s="85"/>
      <c r="K472" s="85"/>
    </row>
    <row r="473">
      <c r="A473" s="47"/>
      <c r="B473" s="85"/>
      <c r="C473" s="85"/>
      <c r="D473" s="85"/>
      <c r="E473" s="89"/>
      <c r="F473" s="85"/>
      <c r="G473" s="85"/>
      <c r="H473" s="85"/>
      <c r="I473" s="85"/>
      <c r="J473" s="85"/>
      <c r="K473" s="85"/>
    </row>
    <row r="474">
      <c r="A474" s="47"/>
      <c r="B474" s="85"/>
      <c r="C474" s="85"/>
      <c r="D474" s="85"/>
      <c r="E474" s="89"/>
      <c r="F474" s="85"/>
      <c r="G474" s="85"/>
      <c r="H474" s="85"/>
      <c r="I474" s="85"/>
      <c r="J474" s="85"/>
      <c r="K474" s="85"/>
    </row>
    <row r="475">
      <c r="A475" s="47"/>
      <c r="B475" s="85"/>
      <c r="C475" s="85"/>
      <c r="D475" s="85"/>
      <c r="E475" s="89"/>
      <c r="F475" s="85"/>
      <c r="G475" s="85"/>
      <c r="H475" s="85"/>
      <c r="I475" s="85"/>
      <c r="J475" s="85"/>
      <c r="K475" s="85"/>
    </row>
    <row r="476">
      <c r="A476" s="47"/>
      <c r="B476" s="85"/>
      <c r="C476" s="85"/>
      <c r="D476" s="85"/>
      <c r="E476" s="89"/>
      <c r="F476" s="85"/>
      <c r="G476" s="85"/>
      <c r="H476" s="85"/>
      <c r="I476" s="85"/>
      <c r="J476" s="85"/>
      <c r="K476" s="85"/>
    </row>
    <row r="477">
      <c r="A477" s="47"/>
      <c r="B477" s="85"/>
      <c r="C477" s="85"/>
      <c r="D477" s="85"/>
      <c r="E477" s="89"/>
      <c r="F477" s="85"/>
      <c r="G477" s="85"/>
      <c r="H477" s="85"/>
      <c r="I477" s="85"/>
      <c r="J477" s="85"/>
      <c r="K477" s="85"/>
    </row>
    <row r="478">
      <c r="A478" s="47"/>
      <c r="B478" s="85"/>
      <c r="C478" s="85"/>
      <c r="D478" s="85"/>
      <c r="E478" s="89"/>
      <c r="F478" s="85"/>
      <c r="G478" s="85"/>
      <c r="H478" s="85"/>
      <c r="I478" s="85"/>
      <c r="J478" s="85"/>
      <c r="K478" s="85"/>
    </row>
    <row r="479">
      <c r="A479" s="47"/>
      <c r="B479" s="85"/>
      <c r="C479" s="85"/>
      <c r="D479" s="85"/>
      <c r="E479" s="89"/>
      <c r="F479" s="85"/>
      <c r="G479" s="85"/>
      <c r="H479" s="85"/>
      <c r="I479" s="85"/>
      <c r="J479" s="85"/>
      <c r="K479" s="85"/>
    </row>
    <row r="480">
      <c r="A480" s="47"/>
      <c r="B480" s="85"/>
      <c r="C480" s="85"/>
      <c r="D480" s="85"/>
      <c r="E480" s="89"/>
      <c r="F480" s="85"/>
      <c r="G480" s="85"/>
      <c r="H480" s="85"/>
      <c r="I480" s="85"/>
      <c r="J480" s="85"/>
      <c r="K480" s="85"/>
    </row>
    <row r="481">
      <c r="A481" s="47"/>
      <c r="B481" s="85"/>
      <c r="C481" s="85"/>
      <c r="D481" s="85"/>
      <c r="E481" s="89"/>
      <c r="F481" s="85"/>
      <c r="G481" s="85"/>
      <c r="H481" s="85"/>
      <c r="I481" s="85"/>
      <c r="J481" s="85"/>
      <c r="K481" s="85"/>
    </row>
    <row r="482">
      <c r="A482" s="47"/>
      <c r="B482" s="85"/>
      <c r="C482" s="85"/>
      <c r="D482" s="85"/>
      <c r="E482" s="89"/>
      <c r="F482" s="85"/>
      <c r="G482" s="85"/>
      <c r="H482" s="85"/>
      <c r="I482" s="85"/>
      <c r="J482" s="85"/>
      <c r="K482" s="85"/>
    </row>
    <row r="483">
      <c r="A483" s="47"/>
      <c r="B483" s="85"/>
      <c r="C483" s="85"/>
      <c r="D483" s="85"/>
      <c r="E483" s="89"/>
      <c r="F483" s="85"/>
      <c r="G483" s="85"/>
      <c r="H483" s="85"/>
      <c r="I483" s="85"/>
      <c r="J483" s="85"/>
      <c r="K483" s="85"/>
    </row>
    <row r="484">
      <c r="A484" s="47"/>
      <c r="B484" s="85"/>
      <c r="C484" s="85"/>
      <c r="D484" s="85"/>
      <c r="E484" s="89"/>
      <c r="F484" s="85"/>
      <c r="G484" s="85"/>
      <c r="H484" s="85"/>
      <c r="I484" s="85"/>
      <c r="J484" s="85"/>
      <c r="K484" s="85"/>
    </row>
    <row r="485">
      <c r="A485" s="47"/>
      <c r="B485" s="85"/>
      <c r="C485" s="85"/>
      <c r="D485" s="85"/>
      <c r="E485" s="89"/>
      <c r="F485" s="85"/>
      <c r="G485" s="85"/>
      <c r="H485" s="85"/>
      <c r="I485" s="85"/>
      <c r="J485" s="85"/>
      <c r="K485" s="85"/>
    </row>
    <row r="486">
      <c r="A486" s="47"/>
      <c r="B486" s="85"/>
      <c r="C486" s="85"/>
      <c r="D486" s="85"/>
      <c r="E486" s="89"/>
      <c r="F486" s="85"/>
      <c r="G486" s="85"/>
      <c r="H486" s="85"/>
      <c r="I486" s="85"/>
      <c r="J486" s="85"/>
      <c r="K486" s="85"/>
    </row>
    <row r="487">
      <c r="A487" s="47"/>
      <c r="B487" s="85"/>
      <c r="C487" s="85"/>
      <c r="D487" s="85"/>
      <c r="E487" s="89"/>
      <c r="F487" s="85"/>
      <c r="G487" s="85"/>
      <c r="H487" s="85"/>
      <c r="I487" s="85"/>
      <c r="J487" s="85"/>
      <c r="K487" s="85"/>
    </row>
    <row r="488">
      <c r="A488" s="47"/>
      <c r="B488" s="85"/>
      <c r="C488" s="85"/>
      <c r="D488" s="85"/>
      <c r="E488" s="89"/>
      <c r="F488" s="85"/>
      <c r="G488" s="85"/>
      <c r="H488" s="85"/>
      <c r="I488" s="85"/>
      <c r="J488" s="85"/>
      <c r="K488" s="85"/>
    </row>
    <row r="489">
      <c r="A489" s="47"/>
      <c r="B489" s="85"/>
      <c r="C489" s="85"/>
      <c r="D489" s="85"/>
      <c r="E489" s="89"/>
      <c r="F489" s="85"/>
      <c r="G489" s="85"/>
      <c r="H489" s="85"/>
      <c r="I489" s="85"/>
      <c r="J489" s="85"/>
      <c r="K489" s="85"/>
    </row>
    <row r="490">
      <c r="A490" s="47"/>
      <c r="B490" s="85"/>
      <c r="C490" s="85"/>
      <c r="D490" s="85"/>
      <c r="E490" s="89"/>
      <c r="F490" s="85"/>
      <c r="G490" s="85"/>
      <c r="H490" s="85"/>
      <c r="I490" s="85"/>
      <c r="J490" s="85"/>
      <c r="K490" s="85"/>
    </row>
    <row r="491">
      <c r="A491" s="47"/>
      <c r="B491" s="85"/>
      <c r="C491" s="85"/>
      <c r="D491" s="85"/>
      <c r="E491" s="89"/>
      <c r="F491" s="85"/>
      <c r="G491" s="85"/>
      <c r="H491" s="85"/>
      <c r="I491" s="85"/>
      <c r="J491" s="85"/>
      <c r="K491" s="85"/>
    </row>
    <row r="492">
      <c r="A492" s="47"/>
      <c r="B492" s="85"/>
      <c r="C492" s="85"/>
      <c r="D492" s="85"/>
      <c r="E492" s="89"/>
      <c r="F492" s="85"/>
      <c r="G492" s="85"/>
      <c r="H492" s="85"/>
      <c r="I492" s="85"/>
      <c r="J492" s="85"/>
      <c r="K492" s="85"/>
    </row>
    <row r="493">
      <c r="A493" s="47"/>
      <c r="B493" s="85"/>
      <c r="C493" s="85"/>
      <c r="D493" s="85"/>
      <c r="E493" s="89"/>
      <c r="F493" s="85"/>
      <c r="G493" s="85"/>
      <c r="H493" s="85"/>
      <c r="I493" s="85"/>
      <c r="J493" s="85"/>
      <c r="K493" s="85"/>
    </row>
    <row r="494">
      <c r="A494" s="47"/>
      <c r="B494" s="85"/>
      <c r="C494" s="85"/>
      <c r="D494" s="85"/>
      <c r="E494" s="89"/>
      <c r="F494" s="85"/>
      <c r="G494" s="85"/>
      <c r="H494" s="85"/>
      <c r="I494" s="85"/>
      <c r="J494" s="85"/>
      <c r="K494" s="85"/>
    </row>
    <row r="495">
      <c r="A495" s="47"/>
      <c r="B495" s="85"/>
      <c r="C495" s="85"/>
      <c r="D495" s="85"/>
      <c r="E495" s="89"/>
      <c r="F495" s="85"/>
      <c r="G495" s="85"/>
      <c r="H495" s="85"/>
      <c r="I495" s="85"/>
      <c r="J495" s="85"/>
      <c r="K495" s="85"/>
    </row>
    <row r="496">
      <c r="A496" s="47"/>
      <c r="B496" s="85"/>
      <c r="C496" s="85"/>
      <c r="D496" s="85"/>
      <c r="E496" s="89"/>
      <c r="F496" s="85"/>
      <c r="G496" s="85"/>
      <c r="H496" s="85"/>
      <c r="I496" s="85"/>
      <c r="J496" s="85"/>
      <c r="K496" s="85"/>
    </row>
    <row r="497">
      <c r="A497" s="47"/>
      <c r="B497" s="85"/>
      <c r="C497" s="85"/>
      <c r="D497" s="85"/>
      <c r="E497" s="89"/>
      <c r="F497" s="85"/>
      <c r="G497" s="85"/>
      <c r="H497" s="85"/>
      <c r="I497" s="85"/>
      <c r="J497" s="85"/>
      <c r="K497" s="85"/>
    </row>
    <row r="498">
      <c r="A498" s="85"/>
      <c r="B498" s="85"/>
      <c r="C498" s="85"/>
      <c r="D498" s="85"/>
      <c r="E498" s="89"/>
      <c r="F498" s="85"/>
      <c r="G498" s="85"/>
      <c r="H498" s="85"/>
      <c r="I498" s="85"/>
      <c r="J498" s="85"/>
      <c r="K498" s="85"/>
    </row>
    <row r="499">
      <c r="A499" s="85"/>
      <c r="B499" s="85"/>
      <c r="C499" s="85"/>
      <c r="D499" s="85"/>
      <c r="E499" s="89"/>
      <c r="F499" s="85"/>
      <c r="G499" s="85"/>
      <c r="H499" s="85"/>
      <c r="I499" s="85"/>
      <c r="J499" s="85"/>
      <c r="K499" s="85"/>
    </row>
    <row r="500">
      <c r="A500" s="85"/>
      <c r="B500" s="85"/>
      <c r="C500" s="85"/>
      <c r="D500" s="85"/>
      <c r="E500" s="89"/>
      <c r="F500" s="85"/>
      <c r="G500" s="85"/>
      <c r="H500" s="85"/>
      <c r="I500" s="85"/>
      <c r="J500" s="85"/>
      <c r="K500" s="85"/>
    </row>
    <row r="501">
      <c r="A501" s="85"/>
      <c r="B501" s="85"/>
      <c r="C501" s="85"/>
      <c r="D501" s="85"/>
      <c r="E501" s="89"/>
      <c r="F501" s="85"/>
      <c r="G501" s="85"/>
      <c r="H501" s="85"/>
      <c r="I501" s="85"/>
      <c r="J501" s="85"/>
      <c r="K501" s="85"/>
    </row>
    <row r="502">
      <c r="A502" s="85"/>
      <c r="B502" s="85"/>
      <c r="C502" s="85"/>
      <c r="D502" s="85"/>
      <c r="E502" s="89"/>
      <c r="F502" s="85"/>
      <c r="G502" s="85"/>
      <c r="H502" s="85"/>
      <c r="I502" s="85"/>
      <c r="J502" s="85"/>
      <c r="K502" s="85"/>
    </row>
    <row r="503">
      <c r="A503" s="85"/>
      <c r="B503" s="85"/>
      <c r="C503" s="85"/>
      <c r="D503" s="85"/>
      <c r="E503" s="89"/>
      <c r="F503" s="85"/>
      <c r="G503" s="85"/>
      <c r="H503" s="85"/>
      <c r="I503" s="85"/>
      <c r="J503" s="85"/>
      <c r="K503" s="85"/>
    </row>
    <row r="504">
      <c r="A504" s="85"/>
      <c r="B504" s="85"/>
      <c r="C504" s="85"/>
      <c r="D504" s="85"/>
      <c r="E504" s="89"/>
      <c r="F504" s="85"/>
      <c r="G504" s="85"/>
      <c r="H504" s="85"/>
      <c r="I504" s="85"/>
      <c r="J504" s="85"/>
      <c r="K504" s="85"/>
    </row>
    <row r="505">
      <c r="A505" s="85"/>
      <c r="B505" s="85"/>
      <c r="C505" s="85"/>
      <c r="D505" s="85"/>
      <c r="E505" s="89"/>
      <c r="F505" s="85"/>
      <c r="G505" s="85"/>
      <c r="H505" s="85"/>
      <c r="I505" s="85"/>
      <c r="J505" s="85"/>
      <c r="K505" s="85"/>
    </row>
    <row r="506">
      <c r="A506" s="85"/>
      <c r="B506" s="85"/>
      <c r="C506" s="85"/>
      <c r="D506" s="85"/>
      <c r="E506" s="89"/>
      <c r="F506" s="85"/>
      <c r="G506" s="85"/>
      <c r="H506" s="85"/>
      <c r="I506" s="85"/>
      <c r="J506" s="85"/>
      <c r="K506" s="85"/>
    </row>
    <row r="507">
      <c r="A507" s="85"/>
      <c r="B507" s="85"/>
      <c r="C507" s="85"/>
      <c r="D507" s="85"/>
      <c r="E507" s="89"/>
      <c r="F507" s="85"/>
      <c r="G507" s="85"/>
      <c r="H507" s="85"/>
      <c r="I507" s="85"/>
      <c r="J507" s="85"/>
      <c r="K507" s="85"/>
    </row>
    <row r="508">
      <c r="A508" s="85"/>
      <c r="B508" s="85"/>
      <c r="C508" s="85"/>
      <c r="D508" s="85"/>
      <c r="E508" s="89"/>
      <c r="F508" s="85"/>
      <c r="G508" s="85"/>
      <c r="H508" s="85"/>
      <c r="I508" s="85"/>
      <c r="J508" s="85"/>
      <c r="K508" s="85"/>
    </row>
    <row r="509">
      <c r="A509" s="85"/>
      <c r="B509" s="85"/>
      <c r="C509" s="85"/>
      <c r="D509" s="85"/>
      <c r="E509" s="89"/>
      <c r="F509" s="85"/>
      <c r="G509" s="85"/>
      <c r="H509" s="85"/>
      <c r="I509" s="85"/>
      <c r="J509" s="85"/>
      <c r="K509" s="85"/>
    </row>
    <row r="510">
      <c r="A510" s="85"/>
      <c r="B510" s="85"/>
      <c r="C510" s="85"/>
      <c r="D510" s="85"/>
      <c r="E510" s="89"/>
      <c r="F510" s="85"/>
      <c r="G510" s="85"/>
      <c r="H510" s="85"/>
      <c r="I510" s="85"/>
      <c r="J510" s="85"/>
      <c r="K510" s="85"/>
    </row>
    <row r="511">
      <c r="A511" s="85"/>
      <c r="B511" s="85"/>
      <c r="C511" s="85"/>
      <c r="D511" s="85"/>
      <c r="E511" s="89"/>
      <c r="F511" s="85"/>
      <c r="G511" s="85"/>
      <c r="H511" s="85"/>
      <c r="I511" s="85"/>
      <c r="J511" s="85"/>
      <c r="K511" s="85"/>
    </row>
    <row r="512">
      <c r="A512" s="85"/>
      <c r="B512" s="85"/>
      <c r="C512" s="85"/>
      <c r="D512" s="85"/>
      <c r="E512" s="89"/>
      <c r="F512" s="85"/>
      <c r="G512" s="85"/>
      <c r="H512" s="85"/>
      <c r="I512" s="85"/>
      <c r="J512" s="85"/>
      <c r="K512" s="85"/>
    </row>
    <row r="513">
      <c r="A513" s="85"/>
      <c r="B513" s="85"/>
      <c r="C513" s="85"/>
      <c r="D513" s="85"/>
      <c r="E513" s="89"/>
      <c r="F513" s="85"/>
      <c r="G513" s="85"/>
      <c r="H513" s="85"/>
      <c r="I513" s="85"/>
      <c r="J513" s="85"/>
      <c r="K513" s="85"/>
    </row>
    <row r="514">
      <c r="A514" s="85"/>
      <c r="B514" s="85"/>
      <c r="C514" s="85"/>
      <c r="D514" s="85"/>
      <c r="E514" s="89"/>
      <c r="F514" s="85"/>
      <c r="G514" s="85"/>
      <c r="H514" s="85"/>
      <c r="I514" s="85"/>
      <c r="J514" s="85"/>
      <c r="K514" s="85"/>
    </row>
    <row r="515">
      <c r="A515" s="85"/>
      <c r="B515" s="85"/>
      <c r="C515" s="85"/>
      <c r="D515" s="85"/>
      <c r="E515" s="89"/>
      <c r="F515" s="85"/>
      <c r="G515" s="85"/>
      <c r="H515" s="85"/>
      <c r="I515" s="85"/>
      <c r="J515" s="85"/>
      <c r="K515" s="85"/>
    </row>
    <row r="516">
      <c r="A516" s="85"/>
      <c r="B516" s="85"/>
      <c r="C516" s="85"/>
      <c r="D516" s="85"/>
      <c r="E516" s="89"/>
      <c r="F516" s="85"/>
      <c r="G516" s="85"/>
      <c r="H516" s="85"/>
      <c r="I516" s="85"/>
      <c r="J516" s="85"/>
      <c r="K516" s="85"/>
    </row>
    <row r="517">
      <c r="A517" s="85"/>
      <c r="B517" s="85"/>
      <c r="C517" s="85"/>
      <c r="D517" s="85"/>
      <c r="E517" s="89"/>
      <c r="F517" s="85"/>
      <c r="G517" s="85"/>
      <c r="H517" s="85"/>
      <c r="I517" s="85"/>
      <c r="J517" s="85"/>
      <c r="K517" s="85"/>
    </row>
    <row r="518">
      <c r="A518" s="85"/>
      <c r="B518" s="85"/>
      <c r="C518" s="85"/>
      <c r="D518" s="85"/>
      <c r="E518" s="89"/>
      <c r="F518" s="85"/>
      <c r="G518" s="85"/>
      <c r="H518" s="85"/>
      <c r="I518" s="85"/>
      <c r="J518" s="85"/>
      <c r="K518" s="85"/>
    </row>
    <row r="519">
      <c r="A519" s="85"/>
      <c r="B519" s="85"/>
      <c r="C519" s="85"/>
      <c r="D519" s="85"/>
      <c r="E519" s="89"/>
      <c r="F519" s="85"/>
      <c r="G519" s="85"/>
      <c r="H519" s="85"/>
      <c r="I519" s="85"/>
      <c r="J519" s="85"/>
      <c r="K519" s="85"/>
    </row>
    <row r="520">
      <c r="A520" s="85"/>
      <c r="B520" s="85"/>
      <c r="C520" s="85"/>
      <c r="D520" s="85"/>
      <c r="E520" s="89"/>
      <c r="F520" s="85"/>
      <c r="G520" s="85"/>
      <c r="H520" s="85"/>
      <c r="I520" s="85"/>
      <c r="J520" s="85"/>
      <c r="K520" s="85"/>
    </row>
    <row r="521">
      <c r="A521" s="85"/>
      <c r="B521" s="85"/>
      <c r="C521" s="85"/>
      <c r="D521" s="85"/>
      <c r="E521" s="89"/>
      <c r="F521" s="85"/>
      <c r="G521" s="85"/>
      <c r="H521" s="85"/>
      <c r="I521" s="85"/>
      <c r="J521" s="85"/>
      <c r="K521" s="85"/>
    </row>
    <row r="522">
      <c r="A522" s="85"/>
      <c r="B522" s="85"/>
      <c r="C522" s="85"/>
      <c r="D522" s="85"/>
      <c r="E522" s="89"/>
      <c r="F522" s="85"/>
      <c r="G522" s="85"/>
      <c r="H522" s="85"/>
      <c r="I522" s="85"/>
      <c r="J522" s="85"/>
      <c r="K522" s="85"/>
    </row>
    <row r="523">
      <c r="A523" s="85"/>
      <c r="B523" s="85"/>
      <c r="C523" s="85"/>
      <c r="D523" s="85"/>
      <c r="E523" s="89"/>
      <c r="F523" s="85"/>
      <c r="G523" s="85"/>
      <c r="H523" s="85"/>
      <c r="I523" s="85"/>
      <c r="J523" s="85"/>
      <c r="K523" s="85"/>
    </row>
    <row r="524">
      <c r="A524" s="85"/>
      <c r="B524" s="85"/>
      <c r="C524" s="85"/>
      <c r="D524" s="85"/>
      <c r="E524" s="89"/>
      <c r="F524" s="85"/>
      <c r="G524" s="85"/>
      <c r="H524" s="85"/>
      <c r="I524" s="85"/>
      <c r="J524" s="85"/>
      <c r="K524" s="85"/>
    </row>
    <row r="525">
      <c r="A525" s="85"/>
      <c r="B525" s="85"/>
      <c r="C525" s="85"/>
      <c r="D525" s="85"/>
      <c r="E525" s="89"/>
      <c r="F525" s="85"/>
      <c r="G525" s="85"/>
      <c r="H525" s="85"/>
      <c r="I525" s="85"/>
      <c r="J525" s="85"/>
      <c r="K525" s="85"/>
    </row>
    <row r="526">
      <c r="A526" s="85"/>
      <c r="B526" s="85"/>
      <c r="C526" s="85"/>
      <c r="D526" s="85"/>
      <c r="E526" s="89"/>
      <c r="F526" s="85"/>
      <c r="G526" s="85"/>
      <c r="H526" s="85"/>
      <c r="I526" s="85"/>
      <c r="J526" s="85"/>
      <c r="K526" s="85"/>
    </row>
    <row r="527">
      <c r="A527" s="85"/>
      <c r="B527" s="85"/>
      <c r="C527" s="85"/>
      <c r="D527" s="85"/>
      <c r="E527" s="89"/>
      <c r="F527" s="85"/>
      <c r="G527" s="85"/>
      <c r="H527" s="85"/>
      <c r="I527" s="85"/>
      <c r="J527" s="85"/>
      <c r="K527" s="85"/>
    </row>
    <row r="528">
      <c r="A528" s="85"/>
      <c r="B528" s="85"/>
      <c r="C528" s="85"/>
      <c r="D528" s="85"/>
      <c r="E528" s="89"/>
      <c r="F528" s="85"/>
      <c r="G528" s="85"/>
      <c r="H528" s="85"/>
      <c r="I528" s="85"/>
      <c r="J528" s="85"/>
      <c r="K528" s="85"/>
    </row>
    <row r="529">
      <c r="A529" s="85"/>
      <c r="B529" s="85"/>
      <c r="C529" s="85"/>
      <c r="D529" s="85"/>
      <c r="E529" s="89"/>
      <c r="F529" s="85"/>
      <c r="G529" s="85"/>
      <c r="H529" s="85"/>
      <c r="I529" s="85"/>
      <c r="J529" s="85"/>
      <c r="K529" s="85"/>
    </row>
    <row r="530">
      <c r="A530" s="85"/>
      <c r="B530" s="85"/>
      <c r="C530" s="85"/>
      <c r="D530" s="85"/>
      <c r="E530" s="89"/>
      <c r="F530" s="85"/>
      <c r="G530" s="85"/>
      <c r="H530" s="85"/>
      <c r="I530" s="85"/>
      <c r="J530" s="85"/>
      <c r="K530" s="85"/>
    </row>
    <row r="531">
      <c r="A531" s="85"/>
      <c r="B531" s="85"/>
      <c r="C531" s="85"/>
      <c r="D531" s="85"/>
      <c r="E531" s="89"/>
      <c r="F531" s="85"/>
      <c r="G531" s="85"/>
      <c r="H531" s="85"/>
      <c r="I531" s="85"/>
      <c r="J531" s="85"/>
      <c r="K531" s="85"/>
    </row>
    <row r="532">
      <c r="A532" s="85"/>
      <c r="B532" s="85"/>
      <c r="C532" s="85"/>
      <c r="D532" s="85"/>
      <c r="E532" s="89"/>
      <c r="F532" s="85"/>
      <c r="G532" s="85"/>
      <c r="H532" s="85"/>
      <c r="I532" s="85"/>
      <c r="J532" s="85"/>
      <c r="K532" s="85"/>
    </row>
    <row r="533">
      <c r="A533" s="85"/>
      <c r="B533" s="85"/>
      <c r="C533" s="85"/>
      <c r="D533" s="85"/>
      <c r="E533" s="89"/>
      <c r="F533" s="85"/>
      <c r="G533" s="85"/>
      <c r="H533" s="85"/>
      <c r="I533" s="85"/>
      <c r="J533" s="85"/>
      <c r="K533" s="85"/>
    </row>
    <row r="534">
      <c r="A534" s="85"/>
      <c r="B534" s="85"/>
      <c r="C534" s="85"/>
      <c r="D534" s="85"/>
      <c r="E534" s="89"/>
      <c r="F534" s="85"/>
      <c r="G534" s="85"/>
      <c r="H534" s="85"/>
      <c r="I534" s="85"/>
      <c r="J534" s="85"/>
      <c r="K534" s="85"/>
    </row>
    <row r="535">
      <c r="A535" s="85"/>
      <c r="B535" s="85"/>
      <c r="C535" s="85"/>
      <c r="D535" s="85"/>
      <c r="E535" s="89"/>
      <c r="F535" s="85"/>
      <c r="G535" s="85"/>
      <c r="H535" s="85"/>
      <c r="I535" s="85"/>
      <c r="J535" s="85"/>
      <c r="K535" s="85"/>
    </row>
    <row r="536">
      <c r="A536" s="85"/>
      <c r="B536" s="85"/>
      <c r="C536" s="85"/>
      <c r="D536" s="85"/>
      <c r="E536" s="89"/>
      <c r="F536" s="85"/>
      <c r="G536" s="85"/>
      <c r="H536" s="85"/>
      <c r="I536" s="85"/>
      <c r="J536" s="85"/>
      <c r="K536" s="85"/>
    </row>
    <row r="537">
      <c r="A537" s="85"/>
      <c r="B537" s="85"/>
      <c r="C537" s="85"/>
      <c r="D537" s="85"/>
      <c r="E537" s="89"/>
      <c r="F537" s="85"/>
      <c r="G537" s="85"/>
      <c r="H537" s="85"/>
      <c r="I537" s="85"/>
      <c r="J537" s="85"/>
      <c r="K537" s="85"/>
    </row>
    <row r="538">
      <c r="A538" s="85"/>
      <c r="B538" s="85"/>
      <c r="C538" s="85"/>
      <c r="D538" s="85"/>
      <c r="E538" s="89"/>
      <c r="F538" s="85"/>
      <c r="G538" s="85"/>
      <c r="H538" s="85"/>
      <c r="I538" s="85"/>
      <c r="J538" s="85"/>
      <c r="K538" s="85"/>
    </row>
    <row r="539">
      <c r="A539" s="85"/>
      <c r="B539" s="85"/>
      <c r="C539" s="85"/>
      <c r="D539" s="85"/>
      <c r="E539" s="89"/>
      <c r="F539" s="85"/>
      <c r="G539" s="85"/>
      <c r="H539" s="85"/>
      <c r="I539" s="85"/>
      <c r="J539" s="85"/>
      <c r="K539" s="85"/>
    </row>
    <row r="540">
      <c r="A540" s="85"/>
      <c r="B540" s="85"/>
      <c r="C540" s="85"/>
      <c r="D540" s="85"/>
      <c r="E540" s="89"/>
      <c r="F540" s="85"/>
      <c r="G540" s="85"/>
      <c r="H540" s="85"/>
      <c r="I540" s="85"/>
      <c r="J540" s="85"/>
      <c r="K540" s="85"/>
    </row>
    <row r="541">
      <c r="A541" s="85"/>
      <c r="B541" s="85"/>
      <c r="C541" s="85"/>
      <c r="D541" s="85"/>
      <c r="E541" s="89"/>
      <c r="F541" s="85"/>
      <c r="G541" s="85"/>
      <c r="H541" s="85"/>
      <c r="I541" s="85"/>
      <c r="J541" s="85"/>
      <c r="K541" s="85"/>
    </row>
    <row r="542">
      <c r="A542" s="85"/>
      <c r="B542" s="85"/>
      <c r="C542" s="85"/>
      <c r="D542" s="85"/>
      <c r="E542" s="89"/>
      <c r="F542" s="85"/>
      <c r="G542" s="85"/>
      <c r="H542" s="85"/>
      <c r="I542" s="85"/>
      <c r="J542" s="85"/>
      <c r="K542" s="85"/>
    </row>
    <row r="543">
      <c r="A543" s="85"/>
      <c r="B543" s="85"/>
      <c r="C543" s="85"/>
      <c r="D543" s="85"/>
      <c r="E543" s="89"/>
      <c r="F543" s="85"/>
      <c r="G543" s="85"/>
      <c r="H543" s="85"/>
      <c r="I543" s="85"/>
      <c r="J543" s="85"/>
      <c r="K543" s="85"/>
    </row>
    <row r="544">
      <c r="A544" s="85"/>
      <c r="B544" s="85"/>
      <c r="C544" s="85"/>
      <c r="D544" s="85"/>
      <c r="E544" s="89"/>
      <c r="F544" s="85"/>
      <c r="G544" s="85"/>
      <c r="H544" s="85"/>
      <c r="I544" s="85"/>
      <c r="J544" s="85"/>
      <c r="K544" s="85"/>
    </row>
    <row r="545">
      <c r="A545" s="85"/>
      <c r="B545" s="85"/>
      <c r="C545" s="85"/>
      <c r="D545" s="85"/>
      <c r="E545" s="89"/>
      <c r="F545" s="85"/>
      <c r="G545" s="85"/>
      <c r="H545" s="85"/>
      <c r="I545" s="85"/>
      <c r="J545" s="85"/>
      <c r="K545" s="85"/>
    </row>
    <row r="546">
      <c r="A546" s="85"/>
      <c r="B546" s="85"/>
      <c r="C546" s="85"/>
      <c r="D546" s="85"/>
      <c r="E546" s="89"/>
      <c r="F546" s="85"/>
      <c r="G546" s="85"/>
      <c r="H546" s="85"/>
      <c r="I546" s="85"/>
      <c r="J546" s="85"/>
      <c r="K546" s="85"/>
    </row>
    <row r="547">
      <c r="A547" s="85"/>
      <c r="B547" s="85"/>
      <c r="C547" s="85"/>
      <c r="D547" s="85"/>
      <c r="E547" s="89"/>
      <c r="F547" s="85"/>
      <c r="G547" s="85"/>
      <c r="H547" s="85"/>
      <c r="I547" s="85"/>
      <c r="J547" s="85"/>
      <c r="K547" s="85"/>
    </row>
    <row r="548">
      <c r="A548" s="85"/>
      <c r="B548" s="85"/>
      <c r="C548" s="85"/>
      <c r="D548" s="85"/>
      <c r="E548" s="89"/>
      <c r="F548" s="85"/>
      <c r="G548" s="85"/>
      <c r="H548" s="85"/>
      <c r="I548" s="85"/>
      <c r="J548" s="85"/>
      <c r="K548" s="85"/>
    </row>
    <row r="549">
      <c r="A549" s="85"/>
      <c r="B549" s="85"/>
      <c r="C549" s="85"/>
      <c r="D549" s="85"/>
      <c r="E549" s="89"/>
      <c r="F549" s="85"/>
      <c r="G549" s="85"/>
      <c r="H549" s="85"/>
      <c r="I549" s="85"/>
      <c r="J549" s="85"/>
      <c r="K549" s="85"/>
    </row>
    <row r="550">
      <c r="A550" s="85"/>
      <c r="B550" s="85"/>
      <c r="C550" s="85"/>
      <c r="D550" s="85"/>
      <c r="E550" s="89"/>
      <c r="F550" s="85"/>
      <c r="G550" s="85"/>
      <c r="H550" s="85"/>
      <c r="I550" s="85"/>
      <c r="J550" s="85"/>
      <c r="K550" s="85"/>
    </row>
    <row r="551">
      <c r="A551" s="85"/>
      <c r="B551" s="85"/>
      <c r="C551" s="85"/>
      <c r="D551" s="85"/>
      <c r="E551" s="89"/>
      <c r="F551" s="85"/>
      <c r="G551" s="85"/>
      <c r="H551" s="85"/>
      <c r="I551" s="85"/>
      <c r="J551" s="85"/>
      <c r="K551" s="85"/>
    </row>
    <row r="552">
      <c r="A552" s="85"/>
      <c r="B552" s="85"/>
      <c r="C552" s="85"/>
      <c r="D552" s="85"/>
      <c r="E552" s="89"/>
      <c r="F552" s="85"/>
      <c r="G552" s="85"/>
      <c r="H552" s="85"/>
      <c r="I552" s="85"/>
      <c r="J552" s="85"/>
      <c r="K552" s="85"/>
    </row>
    <row r="553">
      <c r="A553" s="85"/>
      <c r="B553" s="85"/>
      <c r="C553" s="85"/>
      <c r="D553" s="85"/>
      <c r="E553" s="89"/>
      <c r="F553" s="85"/>
      <c r="G553" s="85"/>
      <c r="H553" s="85"/>
      <c r="I553" s="85"/>
      <c r="J553" s="85"/>
      <c r="K553" s="85"/>
    </row>
    <row r="554">
      <c r="A554" s="85"/>
      <c r="B554" s="85"/>
      <c r="C554" s="85"/>
      <c r="D554" s="85"/>
      <c r="E554" s="89"/>
      <c r="F554" s="85"/>
      <c r="G554" s="85"/>
      <c r="H554" s="85"/>
      <c r="I554" s="85"/>
      <c r="J554" s="85"/>
      <c r="K554" s="85"/>
    </row>
    <row r="555">
      <c r="A555" s="85"/>
      <c r="B555" s="85"/>
      <c r="C555" s="85"/>
      <c r="D555" s="85"/>
      <c r="E555" s="89"/>
      <c r="F555" s="85"/>
      <c r="G555" s="85"/>
      <c r="H555" s="85"/>
      <c r="I555" s="85"/>
      <c r="J555" s="85"/>
      <c r="K555" s="85"/>
    </row>
    <row r="556">
      <c r="A556" s="85"/>
      <c r="B556" s="85"/>
      <c r="C556" s="85"/>
      <c r="D556" s="85"/>
      <c r="E556" s="89"/>
      <c r="F556" s="85"/>
      <c r="G556" s="85"/>
      <c r="H556" s="85"/>
      <c r="I556" s="85"/>
      <c r="J556" s="85"/>
      <c r="K556" s="85"/>
    </row>
    <row r="557">
      <c r="A557" s="85"/>
      <c r="B557" s="85"/>
      <c r="C557" s="85"/>
      <c r="D557" s="85"/>
      <c r="E557" s="89"/>
      <c r="F557" s="85"/>
      <c r="G557" s="85"/>
      <c r="H557" s="85"/>
      <c r="I557" s="85"/>
      <c r="J557" s="85"/>
      <c r="K557" s="85"/>
    </row>
    <row r="558">
      <c r="A558" s="85"/>
      <c r="B558" s="85"/>
      <c r="C558" s="85"/>
      <c r="D558" s="85"/>
      <c r="E558" s="89"/>
      <c r="F558" s="85"/>
      <c r="G558" s="85"/>
      <c r="H558" s="85"/>
      <c r="I558" s="85"/>
      <c r="J558" s="85"/>
      <c r="K558" s="85"/>
    </row>
    <row r="559">
      <c r="A559" s="85"/>
      <c r="B559" s="85"/>
      <c r="C559" s="85"/>
      <c r="D559" s="85"/>
      <c r="E559" s="89"/>
      <c r="F559" s="85"/>
      <c r="G559" s="85"/>
      <c r="H559" s="85"/>
      <c r="I559" s="85"/>
      <c r="J559" s="85"/>
      <c r="K559" s="85"/>
    </row>
    <row r="560">
      <c r="A560" s="85"/>
      <c r="B560" s="85"/>
      <c r="C560" s="85"/>
      <c r="D560" s="85"/>
      <c r="E560" s="89"/>
      <c r="F560" s="85"/>
      <c r="G560" s="85"/>
      <c r="H560" s="85"/>
      <c r="I560" s="85"/>
      <c r="J560" s="85"/>
      <c r="K560" s="85"/>
    </row>
    <row r="561">
      <c r="A561" s="85"/>
      <c r="B561" s="85"/>
      <c r="C561" s="85"/>
      <c r="D561" s="85"/>
      <c r="E561" s="89"/>
      <c r="F561" s="85"/>
      <c r="G561" s="85"/>
      <c r="H561" s="85"/>
      <c r="I561" s="85"/>
      <c r="J561" s="85"/>
      <c r="K561" s="85"/>
    </row>
    <row r="562">
      <c r="A562" s="85"/>
      <c r="B562" s="85"/>
      <c r="C562" s="85"/>
      <c r="D562" s="85"/>
      <c r="E562" s="89"/>
      <c r="F562" s="85"/>
      <c r="G562" s="85"/>
      <c r="H562" s="85"/>
      <c r="I562" s="85"/>
      <c r="J562" s="85"/>
      <c r="K562" s="85"/>
    </row>
    <row r="563">
      <c r="A563" s="85"/>
      <c r="B563" s="85"/>
      <c r="C563" s="85"/>
      <c r="D563" s="85"/>
      <c r="E563" s="89"/>
      <c r="F563" s="85"/>
      <c r="G563" s="85"/>
      <c r="H563" s="85"/>
      <c r="I563" s="85"/>
      <c r="J563" s="85"/>
      <c r="K563" s="85"/>
    </row>
    <row r="564">
      <c r="A564" s="85"/>
      <c r="B564" s="85"/>
      <c r="C564" s="85"/>
      <c r="D564" s="85"/>
      <c r="E564" s="89"/>
      <c r="F564" s="85"/>
      <c r="G564" s="85"/>
      <c r="H564" s="85"/>
      <c r="I564" s="85"/>
      <c r="J564" s="85"/>
      <c r="K564" s="85"/>
    </row>
    <row r="565">
      <c r="A565" s="85"/>
      <c r="B565" s="85"/>
      <c r="C565" s="85"/>
      <c r="D565" s="85"/>
      <c r="E565" s="89"/>
      <c r="F565" s="85"/>
      <c r="G565" s="85"/>
      <c r="H565" s="85"/>
      <c r="I565" s="85"/>
      <c r="J565" s="85"/>
      <c r="K565" s="85"/>
    </row>
    <row r="566">
      <c r="A566" s="85"/>
      <c r="B566" s="85"/>
      <c r="C566" s="85"/>
      <c r="D566" s="85"/>
      <c r="E566" s="89"/>
      <c r="F566" s="85"/>
      <c r="G566" s="85"/>
      <c r="H566" s="85"/>
      <c r="I566" s="85"/>
      <c r="J566" s="85"/>
      <c r="K566" s="85"/>
    </row>
    <row r="567">
      <c r="A567" s="85"/>
      <c r="B567" s="85"/>
      <c r="C567" s="85"/>
      <c r="D567" s="85"/>
      <c r="E567" s="89"/>
      <c r="F567" s="85"/>
      <c r="G567" s="85"/>
      <c r="H567" s="85"/>
      <c r="I567" s="85"/>
      <c r="J567" s="85"/>
      <c r="K567" s="85"/>
    </row>
    <row r="568">
      <c r="A568" s="85"/>
      <c r="B568" s="85"/>
      <c r="C568" s="85"/>
      <c r="D568" s="85"/>
      <c r="E568" s="89"/>
      <c r="F568" s="85"/>
      <c r="G568" s="85"/>
      <c r="H568" s="85"/>
      <c r="I568" s="85"/>
      <c r="J568" s="85"/>
      <c r="K568" s="85"/>
    </row>
    <row r="569">
      <c r="A569" s="85"/>
      <c r="B569" s="85"/>
      <c r="C569" s="85"/>
      <c r="D569" s="85"/>
      <c r="E569" s="89"/>
      <c r="F569" s="85"/>
      <c r="G569" s="85"/>
      <c r="H569" s="85"/>
      <c r="I569" s="85"/>
      <c r="J569" s="85"/>
      <c r="K569" s="85"/>
    </row>
    <row r="570">
      <c r="A570" s="85"/>
      <c r="B570" s="85"/>
      <c r="C570" s="85"/>
      <c r="D570" s="85"/>
      <c r="E570" s="89"/>
      <c r="F570" s="85"/>
      <c r="G570" s="85"/>
      <c r="H570" s="85"/>
      <c r="I570" s="85"/>
      <c r="J570" s="85"/>
      <c r="K570" s="85"/>
    </row>
    <row r="571">
      <c r="A571" s="85"/>
      <c r="B571" s="85"/>
      <c r="C571" s="85"/>
      <c r="D571" s="85"/>
      <c r="E571" s="89"/>
      <c r="F571" s="85"/>
      <c r="G571" s="85"/>
      <c r="H571" s="85"/>
      <c r="I571" s="85"/>
      <c r="J571" s="85"/>
      <c r="K571" s="85"/>
    </row>
    <row r="572">
      <c r="A572" s="85"/>
      <c r="B572" s="85"/>
      <c r="C572" s="85"/>
      <c r="D572" s="85"/>
      <c r="E572" s="89"/>
      <c r="F572" s="85"/>
      <c r="G572" s="85"/>
      <c r="H572" s="85"/>
      <c r="I572" s="85"/>
      <c r="J572" s="85"/>
      <c r="K572" s="85"/>
    </row>
    <row r="573">
      <c r="A573" s="85"/>
      <c r="B573" s="85"/>
      <c r="C573" s="85"/>
      <c r="D573" s="85"/>
      <c r="E573" s="89"/>
      <c r="F573" s="85"/>
      <c r="G573" s="85"/>
      <c r="H573" s="85"/>
      <c r="I573" s="85"/>
      <c r="J573" s="85"/>
      <c r="K573" s="85"/>
    </row>
    <row r="574">
      <c r="A574" s="85"/>
      <c r="B574" s="85"/>
      <c r="C574" s="85"/>
      <c r="D574" s="85"/>
      <c r="E574" s="89"/>
      <c r="F574" s="85"/>
      <c r="G574" s="85"/>
      <c r="H574" s="85"/>
      <c r="I574" s="85"/>
      <c r="J574" s="85"/>
      <c r="K574" s="85"/>
    </row>
    <row r="575">
      <c r="A575" s="85"/>
      <c r="B575" s="85"/>
      <c r="C575" s="85"/>
      <c r="D575" s="85"/>
      <c r="E575" s="89"/>
      <c r="F575" s="85"/>
      <c r="G575" s="85"/>
      <c r="H575" s="85"/>
      <c r="I575" s="85"/>
      <c r="J575" s="85"/>
      <c r="K575" s="85"/>
    </row>
    <row r="576">
      <c r="A576" s="85"/>
      <c r="B576" s="85"/>
      <c r="C576" s="85"/>
      <c r="D576" s="85"/>
      <c r="E576" s="89"/>
      <c r="F576" s="85"/>
      <c r="G576" s="85"/>
      <c r="H576" s="85"/>
      <c r="I576" s="85"/>
      <c r="J576" s="85"/>
      <c r="K576" s="85"/>
    </row>
    <row r="577">
      <c r="A577" s="85"/>
      <c r="B577" s="85"/>
      <c r="C577" s="85"/>
      <c r="D577" s="85"/>
      <c r="E577" s="89"/>
      <c r="F577" s="85"/>
      <c r="G577" s="85"/>
      <c r="H577" s="85"/>
      <c r="I577" s="85"/>
      <c r="J577" s="85"/>
      <c r="K577" s="85"/>
    </row>
    <row r="578">
      <c r="A578" s="85"/>
      <c r="B578" s="85"/>
      <c r="C578" s="85"/>
      <c r="D578" s="85"/>
      <c r="E578" s="89"/>
      <c r="F578" s="85"/>
      <c r="G578" s="85"/>
      <c r="H578" s="85"/>
      <c r="I578" s="85"/>
      <c r="J578" s="85"/>
      <c r="K578" s="85"/>
    </row>
    <row r="579">
      <c r="A579" s="85"/>
      <c r="B579" s="85"/>
      <c r="C579" s="85"/>
      <c r="D579" s="85"/>
      <c r="E579" s="89"/>
      <c r="F579" s="85"/>
      <c r="G579" s="85"/>
      <c r="H579" s="85"/>
      <c r="I579" s="85"/>
      <c r="J579" s="85"/>
      <c r="K579" s="85"/>
    </row>
    <row r="580">
      <c r="A580" s="85"/>
      <c r="B580" s="85"/>
      <c r="C580" s="85"/>
      <c r="D580" s="85"/>
      <c r="E580" s="89"/>
      <c r="F580" s="85"/>
      <c r="G580" s="85"/>
      <c r="H580" s="85"/>
      <c r="I580" s="85"/>
      <c r="J580" s="85"/>
      <c r="K580" s="85"/>
    </row>
    <row r="581">
      <c r="A581" s="85"/>
      <c r="B581" s="85"/>
      <c r="C581" s="85"/>
      <c r="D581" s="85"/>
      <c r="E581" s="89"/>
      <c r="F581" s="85"/>
      <c r="G581" s="85"/>
      <c r="H581" s="85"/>
      <c r="I581" s="85"/>
      <c r="J581" s="85"/>
      <c r="K581" s="85"/>
    </row>
    <row r="582">
      <c r="A582" s="85"/>
      <c r="B582" s="85"/>
      <c r="C582" s="85"/>
      <c r="D582" s="85"/>
      <c r="E582" s="89"/>
      <c r="F582" s="85"/>
      <c r="G582" s="85"/>
      <c r="H582" s="85"/>
      <c r="I582" s="85"/>
      <c r="J582" s="85"/>
      <c r="K582" s="85"/>
    </row>
    <row r="583">
      <c r="A583" s="85"/>
      <c r="B583" s="85"/>
      <c r="C583" s="85"/>
      <c r="D583" s="85"/>
      <c r="E583" s="89"/>
      <c r="F583" s="85"/>
      <c r="G583" s="85"/>
      <c r="H583" s="85"/>
      <c r="I583" s="85"/>
      <c r="J583" s="85"/>
      <c r="K583" s="85"/>
    </row>
    <row r="584">
      <c r="A584" s="85"/>
      <c r="B584" s="85"/>
      <c r="C584" s="85"/>
      <c r="D584" s="85"/>
      <c r="E584" s="89"/>
      <c r="F584" s="85"/>
      <c r="G584" s="85"/>
      <c r="H584" s="85"/>
      <c r="I584" s="85"/>
      <c r="J584" s="85"/>
      <c r="K584" s="85"/>
    </row>
    <row r="585">
      <c r="A585" s="85"/>
      <c r="B585" s="85"/>
      <c r="C585" s="85"/>
      <c r="D585" s="85"/>
      <c r="E585" s="89"/>
      <c r="F585" s="85"/>
      <c r="G585" s="85"/>
      <c r="H585" s="85"/>
      <c r="I585" s="85"/>
      <c r="J585" s="85"/>
      <c r="K585" s="85"/>
    </row>
    <row r="586">
      <c r="A586" s="85"/>
      <c r="B586" s="85"/>
      <c r="C586" s="85"/>
      <c r="D586" s="85"/>
      <c r="E586" s="89"/>
      <c r="F586" s="85"/>
      <c r="G586" s="85"/>
      <c r="H586" s="85"/>
      <c r="I586" s="85"/>
      <c r="J586" s="85"/>
      <c r="K586" s="85"/>
    </row>
    <row r="587">
      <c r="A587" s="85"/>
      <c r="B587" s="85"/>
      <c r="C587" s="85"/>
      <c r="D587" s="85"/>
      <c r="E587" s="89"/>
      <c r="F587" s="85"/>
      <c r="G587" s="85"/>
      <c r="H587" s="85"/>
      <c r="I587" s="85"/>
      <c r="J587" s="85"/>
      <c r="K587" s="85"/>
    </row>
    <row r="588">
      <c r="A588" s="85"/>
      <c r="B588" s="85"/>
      <c r="C588" s="85"/>
      <c r="D588" s="85"/>
      <c r="E588" s="89"/>
      <c r="F588" s="85"/>
      <c r="G588" s="85"/>
      <c r="H588" s="85"/>
      <c r="I588" s="85"/>
      <c r="J588" s="85"/>
      <c r="K588" s="85"/>
    </row>
    <row r="589">
      <c r="A589" s="85"/>
      <c r="B589" s="85"/>
      <c r="C589" s="85"/>
      <c r="D589" s="85"/>
      <c r="E589" s="89"/>
      <c r="F589" s="85"/>
      <c r="G589" s="85"/>
      <c r="H589" s="85"/>
      <c r="I589" s="85"/>
      <c r="J589" s="85"/>
      <c r="K589" s="85"/>
    </row>
    <row r="590">
      <c r="A590" s="85"/>
      <c r="B590" s="85"/>
      <c r="C590" s="85"/>
      <c r="D590" s="85"/>
      <c r="E590" s="89"/>
      <c r="F590" s="85"/>
      <c r="G590" s="85"/>
      <c r="H590" s="85"/>
      <c r="I590" s="85"/>
      <c r="J590" s="85"/>
      <c r="K590" s="85"/>
    </row>
    <row r="591">
      <c r="A591" s="85"/>
      <c r="B591" s="85"/>
      <c r="C591" s="85"/>
      <c r="D591" s="85"/>
      <c r="E591" s="89"/>
      <c r="F591" s="85"/>
      <c r="G591" s="85"/>
      <c r="H591" s="85"/>
      <c r="I591" s="85"/>
      <c r="J591" s="85"/>
      <c r="K591" s="85"/>
    </row>
    <row r="592">
      <c r="A592" s="85"/>
      <c r="B592" s="85"/>
      <c r="C592" s="85"/>
      <c r="D592" s="85"/>
      <c r="E592" s="89"/>
      <c r="F592" s="85"/>
      <c r="G592" s="85"/>
      <c r="H592" s="85"/>
      <c r="I592" s="85"/>
      <c r="J592" s="85"/>
      <c r="K592" s="85"/>
    </row>
    <row r="593">
      <c r="A593" s="85"/>
      <c r="B593" s="85"/>
      <c r="C593" s="85"/>
      <c r="D593" s="85"/>
      <c r="E593" s="89"/>
      <c r="F593" s="85"/>
      <c r="G593" s="85"/>
      <c r="H593" s="85"/>
      <c r="I593" s="85"/>
      <c r="J593" s="85"/>
      <c r="K593" s="85"/>
    </row>
    <row r="594">
      <c r="A594" s="85"/>
      <c r="B594" s="85"/>
      <c r="C594" s="85"/>
      <c r="D594" s="85"/>
      <c r="E594" s="89"/>
      <c r="F594" s="85"/>
      <c r="G594" s="85"/>
      <c r="H594" s="85"/>
      <c r="I594" s="85"/>
      <c r="J594" s="85"/>
      <c r="K594" s="85"/>
    </row>
    <row r="595">
      <c r="A595" s="85"/>
      <c r="B595" s="85"/>
      <c r="C595" s="85"/>
      <c r="D595" s="85"/>
      <c r="E595" s="89"/>
      <c r="F595" s="85"/>
      <c r="G595" s="85"/>
      <c r="H595" s="85"/>
      <c r="I595" s="85"/>
      <c r="J595" s="85"/>
      <c r="K595" s="85"/>
    </row>
    <row r="596">
      <c r="A596" s="85"/>
      <c r="B596" s="85"/>
      <c r="C596" s="85"/>
      <c r="D596" s="85"/>
      <c r="E596" s="89"/>
      <c r="F596" s="85"/>
      <c r="G596" s="85"/>
      <c r="H596" s="85"/>
      <c r="I596" s="85"/>
      <c r="J596" s="85"/>
      <c r="K596" s="85"/>
    </row>
    <row r="597">
      <c r="A597" s="85"/>
      <c r="B597" s="85"/>
      <c r="C597" s="85"/>
      <c r="D597" s="85"/>
      <c r="E597" s="89"/>
      <c r="F597" s="85"/>
      <c r="G597" s="85"/>
      <c r="H597" s="85"/>
      <c r="I597" s="85"/>
      <c r="J597" s="85"/>
      <c r="K597" s="85"/>
    </row>
    <row r="598">
      <c r="A598" s="85"/>
      <c r="B598" s="85"/>
      <c r="C598" s="85"/>
      <c r="D598" s="85"/>
      <c r="E598" s="89"/>
      <c r="F598" s="85"/>
      <c r="G598" s="85"/>
      <c r="H598" s="85"/>
      <c r="I598" s="85"/>
      <c r="J598" s="85"/>
      <c r="K598" s="85"/>
    </row>
    <row r="599">
      <c r="A599" s="85"/>
      <c r="B599" s="85"/>
      <c r="C599" s="85"/>
      <c r="D599" s="85"/>
      <c r="E599" s="89"/>
      <c r="F599" s="85"/>
      <c r="G599" s="85"/>
      <c r="H599" s="85"/>
      <c r="I599" s="85"/>
      <c r="J599" s="85"/>
      <c r="K599" s="85"/>
    </row>
    <row r="600">
      <c r="A600" s="85"/>
      <c r="B600" s="85"/>
      <c r="C600" s="85"/>
      <c r="D600" s="85"/>
      <c r="E600" s="89"/>
      <c r="F600" s="85"/>
      <c r="G600" s="85"/>
      <c r="H600" s="85"/>
      <c r="I600" s="85"/>
      <c r="J600" s="85"/>
      <c r="K600" s="85"/>
    </row>
    <row r="601">
      <c r="A601" s="85"/>
      <c r="B601" s="85"/>
      <c r="C601" s="85"/>
      <c r="D601" s="85"/>
      <c r="E601" s="89"/>
      <c r="F601" s="85"/>
      <c r="G601" s="85"/>
      <c r="H601" s="85"/>
      <c r="I601" s="85"/>
      <c r="J601" s="85"/>
      <c r="K601" s="85"/>
    </row>
    <row r="602">
      <c r="A602" s="85"/>
      <c r="B602" s="85"/>
      <c r="C602" s="85"/>
      <c r="D602" s="85"/>
      <c r="E602" s="89"/>
      <c r="F602" s="85"/>
      <c r="G602" s="85"/>
      <c r="H602" s="85"/>
      <c r="I602" s="85"/>
      <c r="J602" s="85"/>
      <c r="K602" s="85"/>
    </row>
    <row r="603">
      <c r="A603" s="85"/>
      <c r="B603" s="85"/>
      <c r="C603" s="85"/>
      <c r="D603" s="85"/>
      <c r="E603" s="89"/>
      <c r="F603" s="85"/>
      <c r="G603" s="85"/>
      <c r="H603" s="85"/>
      <c r="I603" s="85"/>
      <c r="J603" s="85"/>
      <c r="K603" s="85"/>
    </row>
    <row r="604">
      <c r="A604" s="85"/>
      <c r="B604" s="85"/>
      <c r="C604" s="85"/>
      <c r="D604" s="85"/>
      <c r="E604" s="89"/>
      <c r="F604" s="85"/>
      <c r="G604" s="85"/>
      <c r="H604" s="85"/>
      <c r="I604" s="85"/>
      <c r="J604" s="85"/>
      <c r="K604" s="85"/>
    </row>
    <row r="605">
      <c r="A605" s="85"/>
      <c r="B605" s="85"/>
      <c r="C605" s="85"/>
      <c r="D605" s="85"/>
      <c r="E605" s="89"/>
      <c r="F605" s="85"/>
      <c r="G605" s="85"/>
      <c r="H605" s="85"/>
      <c r="I605" s="85"/>
      <c r="J605" s="85"/>
      <c r="K605" s="85"/>
    </row>
    <row r="606">
      <c r="A606" s="85"/>
      <c r="B606" s="85"/>
      <c r="C606" s="85"/>
      <c r="D606" s="85"/>
      <c r="E606" s="89"/>
      <c r="F606" s="85"/>
      <c r="G606" s="85"/>
      <c r="H606" s="85"/>
      <c r="I606" s="85"/>
      <c r="J606" s="85"/>
      <c r="K606" s="85"/>
    </row>
    <row r="607">
      <c r="A607" s="85"/>
      <c r="B607" s="85"/>
      <c r="C607" s="85"/>
      <c r="D607" s="85"/>
      <c r="E607" s="89"/>
      <c r="F607" s="85"/>
      <c r="G607" s="85"/>
      <c r="H607" s="85"/>
      <c r="I607" s="85"/>
      <c r="J607" s="85"/>
      <c r="K607" s="85"/>
    </row>
    <row r="608">
      <c r="A608" s="85"/>
      <c r="B608" s="85"/>
      <c r="C608" s="85"/>
      <c r="D608" s="85"/>
      <c r="E608" s="89"/>
      <c r="F608" s="85"/>
      <c r="G608" s="85"/>
      <c r="H608" s="85"/>
      <c r="I608" s="85"/>
      <c r="J608" s="85"/>
      <c r="K608" s="85"/>
    </row>
    <row r="609">
      <c r="A609" s="85"/>
      <c r="B609" s="85"/>
      <c r="C609" s="85"/>
      <c r="D609" s="85"/>
      <c r="E609" s="89"/>
      <c r="F609" s="85"/>
      <c r="G609" s="85"/>
      <c r="H609" s="85"/>
      <c r="I609" s="85"/>
      <c r="J609" s="85"/>
      <c r="K609" s="85"/>
    </row>
    <row r="610">
      <c r="A610" s="85"/>
      <c r="B610" s="85"/>
      <c r="C610" s="85"/>
      <c r="D610" s="85"/>
      <c r="E610" s="89"/>
      <c r="F610" s="85"/>
      <c r="G610" s="85"/>
      <c r="H610" s="85"/>
      <c r="I610" s="85"/>
      <c r="J610" s="85"/>
      <c r="K610" s="85"/>
    </row>
    <row r="611">
      <c r="A611" s="85"/>
      <c r="B611" s="85"/>
      <c r="C611" s="85"/>
      <c r="D611" s="85"/>
      <c r="E611" s="89"/>
      <c r="F611" s="85"/>
      <c r="G611" s="85"/>
      <c r="H611" s="85"/>
      <c r="I611" s="85"/>
      <c r="J611" s="85"/>
      <c r="K611" s="85"/>
    </row>
    <row r="612">
      <c r="A612" s="85"/>
      <c r="B612" s="85"/>
      <c r="C612" s="85"/>
      <c r="D612" s="85"/>
      <c r="E612" s="89"/>
      <c r="F612" s="85"/>
      <c r="G612" s="85"/>
      <c r="H612" s="85"/>
      <c r="I612" s="85"/>
      <c r="J612" s="85"/>
      <c r="K612" s="85"/>
    </row>
    <row r="613">
      <c r="A613" s="85"/>
      <c r="B613" s="85"/>
      <c r="C613" s="85"/>
      <c r="D613" s="85"/>
      <c r="E613" s="89"/>
      <c r="F613" s="85"/>
      <c r="G613" s="85"/>
      <c r="H613" s="85"/>
      <c r="I613" s="85"/>
      <c r="J613" s="85"/>
      <c r="K613" s="85"/>
    </row>
    <row r="614">
      <c r="A614" s="85"/>
      <c r="B614" s="85"/>
      <c r="C614" s="85"/>
      <c r="D614" s="85"/>
      <c r="E614" s="89"/>
      <c r="F614" s="85"/>
      <c r="G614" s="85"/>
      <c r="H614" s="85"/>
      <c r="I614" s="85"/>
      <c r="J614" s="85"/>
      <c r="K614" s="85"/>
    </row>
    <row r="615">
      <c r="A615" s="85"/>
      <c r="B615" s="85"/>
      <c r="C615" s="85"/>
      <c r="D615" s="85"/>
      <c r="E615" s="89"/>
      <c r="F615" s="85"/>
      <c r="G615" s="85"/>
      <c r="H615" s="85"/>
      <c r="I615" s="85"/>
      <c r="J615" s="85"/>
      <c r="K615" s="85"/>
    </row>
    <row r="616">
      <c r="A616" s="85"/>
      <c r="B616" s="85"/>
      <c r="C616" s="85"/>
      <c r="D616" s="85"/>
      <c r="E616" s="89"/>
      <c r="F616" s="85"/>
      <c r="G616" s="85"/>
      <c r="H616" s="85"/>
      <c r="I616" s="85"/>
      <c r="J616" s="85"/>
      <c r="K616" s="85"/>
    </row>
    <row r="617">
      <c r="A617" s="85"/>
      <c r="B617" s="85"/>
      <c r="C617" s="85"/>
      <c r="D617" s="85"/>
      <c r="E617" s="89"/>
      <c r="F617" s="85"/>
      <c r="G617" s="85"/>
      <c r="H617" s="85"/>
      <c r="I617" s="85"/>
      <c r="J617" s="85"/>
      <c r="K617" s="85"/>
    </row>
    <row r="618">
      <c r="A618" s="85"/>
      <c r="B618" s="85"/>
      <c r="C618" s="85"/>
      <c r="D618" s="85"/>
      <c r="E618" s="89"/>
      <c r="F618" s="85"/>
      <c r="G618" s="85"/>
      <c r="H618" s="85"/>
      <c r="I618" s="85"/>
      <c r="J618" s="85"/>
      <c r="K618" s="85"/>
    </row>
    <row r="619">
      <c r="A619" s="85"/>
      <c r="B619" s="85"/>
      <c r="C619" s="85"/>
      <c r="D619" s="85"/>
      <c r="E619" s="89"/>
      <c r="F619" s="85"/>
      <c r="G619" s="85"/>
      <c r="H619" s="85"/>
      <c r="I619" s="85"/>
      <c r="J619" s="85"/>
      <c r="K619" s="85"/>
    </row>
    <row r="620">
      <c r="A620" s="85"/>
      <c r="B620" s="85"/>
      <c r="C620" s="85"/>
      <c r="D620" s="85"/>
      <c r="E620" s="89"/>
      <c r="F620" s="85"/>
      <c r="G620" s="85"/>
      <c r="H620" s="85"/>
      <c r="I620" s="85"/>
      <c r="J620" s="85"/>
      <c r="K620" s="85"/>
    </row>
    <row r="621">
      <c r="A621" s="85"/>
      <c r="B621" s="85"/>
      <c r="C621" s="85"/>
      <c r="D621" s="85"/>
      <c r="E621" s="89"/>
      <c r="F621" s="85"/>
      <c r="G621" s="85"/>
      <c r="H621" s="85"/>
      <c r="I621" s="85"/>
      <c r="J621" s="85"/>
      <c r="K621" s="85"/>
    </row>
    <row r="622">
      <c r="A622" s="85"/>
      <c r="B622" s="85"/>
      <c r="C622" s="85"/>
      <c r="D622" s="85"/>
      <c r="E622" s="89"/>
      <c r="F622" s="85"/>
      <c r="G622" s="85"/>
      <c r="H622" s="85"/>
      <c r="I622" s="85"/>
      <c r="J622" s="85"/>
      <c r="K622" s="85"/>
    </row>
    <row r="623">
      <c r="A623" s="85"/>
      <c r="B623" s="85"/>
      <c r="C623" s="85"/>
      <c r="D623" s="85"/>
      <c r="E623" s="89"/>
      <c r="F623" s="85"/>
      <c r="G623" s="85"/>
      <c r="H623" s="85"/>
      <c r="I623" s="85"/>
      <c r="J623" s="85"/>
      <c r="K623" s="85"/>
    </row>
    <row r="624">
      <c r="A624" s="85"/>
      <c r="B624" s="85"/>
      <c r="C624" s="85"/>
      <c r="D624" s="85"/>
      <c r="E624" s="89"/>
      <c r="F624" s="85"/>
      <c r="G624" s="85"/>
      <c r="H624" s="85"/>
      <c r="I624" s="85"/>
      <c r="J624" s="85"/>
      <c r="K624" s="85"/>
    </row>
    <row r="625">
      <c r="A625" s="85"/>
      <c r="B625" s="85"/>
      <c r="C625" s="85"/>
      <c r="D625" s="85"/>
      <c r="E625" s="89"/>
      <c r="F625" s="85"/>
      <c r="G625" s="85"/>
      <c r="H625" s="85"/>
      <c r="I625" s="85"/>
      <c r="J625" s="85"/>
      <c r="K625" s="85"/>
    </row>
    <row r="626">
      <c r="A626" s="85"/>
      <c r="B626" s="85"/>
      <c r="C626" s="85"/>
      <c r="D626" s="85"/>
      <c r="E626" s="89"/>
      <c r="F626" s="85"/>
      <c r="G626" s="85"/>
      <c r="H626" s="85"/>
      <c r="I626" s="85"/>
      <c r="J626" s="85"/>
      <c r="K626" s="85"/>
    </row>
    <row r="627">
      <c r="A627" s="85"/>
      <c r="B627" s="85"/>
      <c r="C627" s="85"/>
      <c r="D627" s="85"/>
      <c r="E627" s="89"/>
      <c r="F627" s="85"/>
      <c r="G627" s="85"/>
      <c r="H627" s="85"/>
      <c r="I627" s="85"/>
      <c r="J627" s="85"/>
      <c r="K627" s="85"/>
    </row>
    <row r="628">
      <c r="A628" s="85"/>
      <c r="B628" s="85"/>
      <c r="C628" s="85"/>
      <c r="D628" s="85"/>
      <c r="E628" s="89"/>
      <c r="F628" s="85"/>
      <c r="G628" s="85"/>
      <c r="H628" s="85"/>
      <c r="I628" s="85"/>
      <c r="J628" s="85"/>
      <c r="K628" s="85"/>
    </row>
    <row r="629">
      <c r="A629" s="85"/>
      <c r="B629" s="85"/>
      <c r="C629" s="85"/>
      <c r="D629" s="85"/>
      <c r="E629" s="89"/>
      <c r="F629" s="85"/>
      <c r="G629" s="85"/>
      <c r="H629" s="85"/>
      <c r="I629" s="85"/>
      <c r="J629" s="85"/>
      <c r="K629" s="85"/>
    </row>
    <row r="630">
      <c r="A630" s="85"/>
      <c r="B630" s="85"/>
      <c r="C630" s="85"/>
      <c r="D630" s="85"/>
      <c r="E630" s="89"/>
      <c r="F630" s="85"/>
      <c r="G630" s="85"/>
      <c r="H630" s="85"/>
      <c r="I630" s="85"/>
      <c r="J630" s="85"/>
      <c r="K630" s="85"/>
    </row>
    <row r="631">
      <c r="A631" s="85"/>
      <c r="B631" s="85"/>
      <c r="C631" s="85"/>
      <c r="D631" s="85"/>
      <c r="E631" s="89"/>
      <c r="F631" s="85"/>
      <c r="G631" s="85"/>
      <c r="H631" s="85"/>
      <c r="I631" s="85"/>
      <c r="J631" s="85"/>
      <c r="K631" s="85"/>
    </row>
    <row r="632">
      <c r="A632" s="85"/>
      <c r="B632" s="85"/>
      <c r="C632" s="85"/>
      <c r="D632" s="85"/>
      <c r="E632" s="89"/>
      <c r="F632" s="85"/>
      <c r="G632" s="85"/>
      <c r="H632" s="85"/>
      <c r="I632" s="85"/>
      <c r="J632" s="85"/>
      <c r="K632" s="85"/>
    </row>
    <row r="633">
      <c r="A633" s="85"/>
      <c r="B633" s="85"/>
      <c r="C633" s="85"/>
      <c r="D633" s="85"/>
      <c r="E633" s="89"/>
      <c r="F633" s="85"/>
      <c r="G633" s="85"/>
      <c r="H633" s="85"/>
      <c r="I633" s="85"/>
      <c r="J633" s="85"/>
      <c r="K633" s="85"/>
    </row>
    <row r="634">
      <c r="A634" s="85"/>
      <c r="B634" s="85"/>
      <c r="C634" s="85"/>
      <c r="D634" s="85"/>
      <c r="E634" s="89"/>
      <c r="F634" s="85"/>
      <c r="G634" s="85"/>
      <c r="H634" s="85"/>
      <c r="I634" s="85"/>
      <c r="J634" s="85"/>
      <c r="K634" s="85"/>
    </row>
    <row r="635">
      <c r="A635" s="85"/>
      <c r="B635" s="85"/>
      <c r="C635" s="85"/>
      <c r="D635" s="85"/>
      <c r="E635" s="89"/>
      <c r="F635" s="85"/>
      <c r="G635" s="85"/>
      <c r="H635" s="85"/>
      <c r="I635" s="85"/>
      <c r="J635" s="85"/>
      <c r="K635" s="85"/>
    </row>
    <row r="636">
      <c r="A636" s="85"/>
      <c r="B636" s="85"/>
      <c r="C636" s="85"/>
      <c r="D636" s="85"/>
      <c r="E636" s="89"/>
      <c r="F636" s="85"/>
      <c r="G636" s="85"/>
      <c r="H636" s="85"/>
      <c r="I636" s="85"/>
      <c r="J636" s="85"/>
      <c r="K636" s="85"/>
    </row>
    <row r="637">
      <c r="A637" s="85"/>
      <c r="B637" s="85"/>
      <c r="C637" s="85"/>
      <c r="D637" s="85"/>
      <c r="E637" s="89"/>
      <c r="F637" s="85"/>
      <c r="G637" s="85"/>
      <c r="H637" s="85"/>
      <c r="I637" s="85"/>
      <c r="J637" s="85"/>
      <c r="K637" s="85"/>
    </row>
    <row r="638">
      <c r="A638" s="85"/>
      <c r="B638" s="85"/>
      <c r="C638" s="85"/>
      <c r="D638" s="85"/>
      <c r="E638" s="89"/>
      <c r="F638" s="85"/>
      <c r="G638" s="85"/>
      <c r="H638" s="85"/>
      <c r="I638" s="85"/>
      <c r="J638" s="85"/>
      <c r="K638" s="85"/>
    </row>
    <row r="639">
      <c r="A639" s="85"/>
      <c r="B639" s="85"/>
      <c r="C639" s="85"/>
      <c r="D639" s="85"/>
      <c r="E639" s="89"/>
      <c r="F639" s="85"/>
      <c r="G639" s="85"/>
      <c r="H639" s="85"/>
      <c r="I639" s="85"/>
      <c r="J639" s="85"/>
      <c r="K639" s="85"/>
    </row>
    <row r="640">
      <c r="A640" s="85"/>
      <c r="B640" s="85"/>
      <c r="C640" s="85"/>
      <c r="D640" s="85"/>
      <c r="E640" s="89"/>
      <c r="F640" s="85"/>
      <c r="G640" s="85"/>
      <c r="H640" s="85"/>
      <c r="I640" s="85"/>
      <c r="J640" s="85"/>
      <c r="K640" s="85"/>
    </row>
    <row r="641">
      <c r="A641" s="85"/>
      <c r="B641" s="85"/>
      <c r="C641" s="85"/>
      <c r="D641" s="85"/>
      <c r="E641" s="89"/>
      <c r="F641" s="85"/>
      <c r="G641" s="85"/>
      <c r="H641" s="85"/>
      <c r="I641" s="85"/>
      <c r="J641" s="85"/>
      <c r="K641" s="85"/>
    </row>
    <row r="642">
      <c r="A642" s="85"/>
      <c r="B642" s="85"/>
      <c r="C642" s="85"/>
      <c r="D642" s="85"/>
      <c r="E642" s="89"/>
      <c r="F642" s="85"/>
      <c r="G642" s="85"/>
      <c r="H642" s="85"/>
      <c r="I642" s="85"/>
      <c r="J642" s="85"/>
      <c r="K642" s="85"/>
    </row>
    <row r="643">
      <c r="A643" s="85"/>
      <c r="B643" s="85"/>
      <c r="C643" s="85"/>
      <c r="D643" s="85"/>
      <c r="E643" s="89"/>
      <c r="F643" s="85"/>
      <c r="G643" s="85"/>
      <c r="H643" s="85"/>
      <c r="I643" s="85"/>
      <c r="J643" s="85"/>
      <c r="K643" s="85"/>
    </row>
    <row r="644">
      <c r="A644" s="85"/>
      <c r="B644" s="85"/>
      <c r="C644" s="85"/>
      <c r="D644" s="85"/>
      <c r="E644" s="89"/>
      <c r="F644" s="85"/>
      <c r="G644" s="85"/>
      <c r="H644" s="85"/>
      <c r="I644" s="85"/>
      <c r="J644" s="85"/>
      <c r="K644" s="85"/>
    </row>
    <row r="645">
      <c r="A645" s="85"/>
      <c r="B645" s="85"/>
      <c r="C645" s="85"/>
      <c r="D645" s="85"/>
      <c r="E645" s="89"/>
      <c r="F645" s="85"/>
      <c r="G645" s="85"/>
      <c r="H645" s="85"/>
      <c r="I645" s="85"/>
      <c r="J645" s="85"/>
      <c r="K645" s="85"/>
    </row>
    <row r="646">
      <c r="A646" s="85"/>
      <c r="B646" s="85"/>
      <c r="C646" s="85"/>
      <c r="D646" s="85"/>
      <c r="E646" s="89"/>
      <c r="F646" s="85"/>
      <c r="G646" s="85"/>
      <c r="H646" s="85"/>
      <c r="I646" s="85"/>
      <c r="J646" s="85"/>
      <c r="K646" s="85"/>
    </row>
    <row r="647">
      <c r="A647" s="85"/>
      <c r="B647" s="85"/>
      <c r="C647" s="85"/>
      <c r="D647" s="85"/>
      <c r="E647" s="89"/>
      <c r="F647" s="85"/>
      <c r="G647" s="85"/>
      <c r="H647" s="85"/>
      <c r="I647" s="85"/>
      <c r="J647" s="85"/>
      <c r="K647" s="85"/>
    </row>
    <row r="648">
      <c r="A648" s="85"/>
      <c r="B648" s="85"/>
      <c r="C648" s="85"/>
      <c r="D648" s="85"/>
      <c r="E648" s="89"/>
      <c r="F648" s="85"/>
      <c r="G648" s="85"/>
      <c r="H648" s="85"/>
      <c r="I648" s="85"/>
      <c r="J648" s="85"/>
      <c r="K648" s="85"/>
    </row>
    <row r="649">
      <c r="A649" s="85"/>
      <c r="B649" s="85"/>
      <c r="C649" s="85"/>
      <c r="D649" s="85"/>
      <c r="E649" s="89"/>
      <c r="F649" s="85"/>
      <c r="G649" s="85"/>
      <c r="H649" s="85"/>
      <c r="I649" s="85"/>
      <c r="J649" s="85"/>
      <c r="K649" s="85"/>
    </row>
    <row r="650">
      <c r="A650" s="85"/>
      <c r="B650" s="85"/>
      <c r="C650" s="85"/>
      <c r="D650" s="85"/>
      <c r="E650" s="89"/>
      <c r="F650" s="85"/>
      <c r="G650" s="85"/>
      <c r="H650" s="85"/>
      <c r="I650" s="85"/>
      <c r="J650" s="85"/>
      <c r="K650" s="85"/>
    </row>
    <row r="651">
      <c r="A651" s="85"/>
      <c r="B651" s="85"/>
      <c r="C651" s="85"/>
      <c r="D651" s="85"/>
      <c r="E651" s="89"/>
      <c r="F651" s="85"/>
      <c r="G651" s="85"/>
      <c r="H651" s="85"/>
      <c r="I651" s="85"/>
      <c r="J651" s="85"/>
      <c r="K651" s="85"/>
    </row>
    <row r="652">
      <c r="A652" s="85"/>
      <c r="B652" s="85"/>
      <c r="C652" s="85"/>
      <c r="D652" s="85"/>
      <c r="E652" s="89"/>
      <c r="F652" s="85"/>
      <c r="G652" s="85"/>
      <c r="H652" s="85"/>
      <c r="I652" s="85"/>
      <c r="J652" s="85"/>
      <c r="K652" s="85"/>
    </row>
    <row r="653">
      <c r="A653" s="85"/>
      <c r="B653" s="85"/>
      <c r="C653" s="85"/>
      <c r="D653" s="85"/>
      <c r="E653" s="89"/>
      <c r="F653" s="85"/>
      <c r="G653" s="85"/>
      <c r="H653" s="85"/>
      <c r="I653" s="85"/>
      <c r="J653" s="85"/>
      <c r="K653" s="85"/>
    </row>
    <row r="654">
      <c r="A654" s="85"/>
      <c r="B654" s="85"/>
      <c r="C654" s="85"/>
      <c r="D654" s="85"/>
      <c r="E654" s="89"/>
      <c r="F654" s="85"/>
      <c r="G654" s="85"/>
      <c r="H654" s="85"/>
      <c r="I654" s="85"/>
      <c r="J654" s="85"/>
      <c r="K654" s="85"/>
    </row>
    <row r="655">
      <c r="A655" s="85"/>
      <c r="B655" s="85"/>
      <c r="C655" s="85"/>
      <c r="D655" s="85"/>
      <c r="E655" s="89"/>
      <c r="F655" s="85"/>
      <c r="G655" s="85"/>
      <c r="H655" s="85"/>
      <c r="I655" s="85"/>
      <c r="J655" s="85"/>
      <c r="K655" s="85"/>
    </row>
    <row r="656">
      <c r="A656" s="85"/>
      <c r="B656" s="85"/>
      <c r="C656" s="85"/>
      <c r="D656" s="85"/>
      <c r="E656" s="89"/>
      <c r="F656" s="85"/>
      <c r="G656" s="85"/>
      <c r="H656" s="85"/>
      <c r="I656" s="85"/>
      <c r="J656" s="85"/>
      <c r="K656" s="85"/>
    </row>
    <row r="657">
      <c r="A657" s="85"/>
      <c r="B657" s="85"/>
      <c r="C657" s="85"/>
      <c r="D657" s="85"/>
      <c r="E657" s="89"/>
      <c r="F657" s="85"/>
      <c r="G657" s="85"/>
      <c r="H657" s="85"/>
      <c r="I657" s="85"/>
      <c r="J657" s="85"/>
      <c r="K657" s="85"/>
    </row>
    <row r="658">
      <c r="A658" s="85"/>
      <c r="B658" s="85"/>
      <c r="C658" s="85"/>
      <c r="D658" s="85"/>
      <c r="E658" s="89"/>
      <c r="F658" s="85"/>
      <c r="G658" s="85"/>
      <c r="H658" s="85"/>
      <c r="I658" s="85"/>
      <c r="J658" s="85"/>
      <c r="K658" s="85"/>
    </row>
    <row r="659">
      <c r="A659" s="85"/>
      <c r="B659" s="85"/>
      <c r="C659" s="85"/>
      <c r="D659" s="85"/>
      <c r="E659" s="89"/>
      <c r="F659" s="85"/>
      <c r="G659" s="85"/>
      <c r="H659" s="85"/>
      <c r="I659" s="85"/>
      <c r="J659" s="85"/>
      <c r="K659" s="85"/>
    </row>
    <row r="660">
      <c r="A660" s="85"/>
      <c r="B660" s="85"/>
      <c r="C660" s="85"/>
      <c r="D660" s="85"/>
      <c r="E660" s="89"/>
      <c r="F660" s="85"/>
      <c r="G660" s="85"/>
      <c r="H660" s="85"/>
      <c r="I660" s="85"/>
      <c r="J660" s="85"/>
      <c r="K660" s="85"/>
    </row>
    <row r="661">
      <c r="A661" s="85"/>
      <c r="B661" s="85"/>
      <c r="C661" s="85"/>
      <c r="D661" s="85"/>
      <c r="E661" s="89"/>
      <c r="F661" s="85"/>
      <c r="G661" s="85"/>
      <c r="H661" s="85"/>
      <c r="I661" s="85"/>
      <c r="J661" s="85"/>
      <c r="K661" s="85"/>
    </row>
    <row r="662">
      <c r="A662" s="85"/>
      <c r="B662" s="85"/>
      <c r="C662" s="85"/>
      <c r="D662" s="85"/>
      <c r="E662" s="89"/>
      <c r="F662" s="85"/>
      <c r="G662" s="85"/>
      <c r="H662" s="85"/>
      <c r="I662" s="85"/>
      <c r="J662" s="85"/>
      <c r="K662" s="85"/>
    </row>
    <row r="663">
      <c r="A663" s="85"/>
      <c r="B663" s="85"/>
      <c r="C663" s="85"/>
      <c r="D663" s="85"/>
      <c r="E663" s="89"/>
      <c r="F663" s="85"/>
      <c r="G663" s="85"/>
      <c r="H663" s="85"/>
      <c r="I663" s="85"/>
      <c r="J663" s="85"/>
      <c r="K663" s="85"/>
    </row>
    <row r="664">
      <c r="A664" s="85"/>
      <c r="B664" s="85"/>
      <c r="C664" s="85"/>
      <c r="D664" s="85"/>
      <c r="E664" s="89"/>
      <c r="F664" s="85"/>
      <c r="G664" s="85"/>
      <c r="H664" s="85"/>
      <c r="I664" s="85"/>
      <c r="J664" s="85"/>
      <c r="K664" s="85"/>
    </row>
    <row r="665">
      <c r="A665" s="85"/>
      <c r="B665" s="85"/>
      <c r="C665" s="85"/>
      <c r="D665" s="85"/>
      <c r="E665" s="89"/>
      <c r="F665" s="85"/>
      <c r="G665" s="85"/>
      <c r="H665" s="85"/>
      <c r="I665" s="85"/>
      <c r="J665" s="85"/>
      <c r="K665" s="85"/>
    </row>
    <row r="666">
      <c r="A666" s="85"/>
      <c r="B666" s="85"/>
      <c r="C666" s="85"/>
      <c r="D666" s="85"/>
      <c r="E666" s="89"/>
      <c r="F666" s="85"/>
      <c r="G666" s="85"/>
      <c r="H666" s="85"/>
      <c r="I666" s="85"/>
      <c r="J666" s="85"/>
      <c r="K666" s="85"/>
    </row>
    <row r="667">
      <c r="A667" s="85"/>
      <c r="B667" s="85"/>
      <c r="C667" s="85"/>
      <c r="D667" s="85"/>
      <c r="E667" s="89"/>
      <c r="F667" s="85"/>
      <c r="G667" s="85"/>
      <c r="H667" s="85"/>
      <c r="I667" s="85"/>
      <c r="J667" s="85"/>
      <c r="K667" s="85"/>
    </row>
    <row r="668">
      <c r="A668" s="85"/>
      <c r="B668" s="85"/>
      <c r="C668" s="85"/>
      <c r="D668" s="85"/>
      <c r="E668" s="89"/>
      <c r="F668" s="85"/>
      <c r="G668" s="85"/>
      <c r="H668" s="85"/>
      <c r="I668" s="85"/>
      <c r="J668" s="85"/>
      <c r="K668" s="85"/>
    </row>
    <row r="669">
      <c r="A669" s="85"/>
      <c r="B669" s="85"/>
      <c r="C669" s="85"/>
      <c r="D669" s="85"/>
      <c r="E669" s="89"/>
      <c r="F669" s="85"/>
      <c r="G669" s="85"/>
      <c r="H669" s="85"/>
      <c r="I669" s="85"/>
      <c r="J669" s="85"/>
      <c r="K669" s="85"/>
    </row>
    <row r="670">
      <c r="A670" s="85"/>
      <c r="B670" s="85"/>
      <c r="C670" s="85"/>
      <c r="D670" s="85"/>
      <c r="E670" s="89"/>
      <c r="F670" s="85"/>
      <c r="G670" s="85"/>
      <c r="H670" s="85"/>
      <c r="I670" s="85"/>
      <c r="J670" s="85"/>
      <c r="K670" s="85"/>
    </row>
    <row r="671">
      <c r="A671" s="85"/>
      <c r="B671" s="85"/>
      <c r="C671" s="85"/>
      <c r="D671" s="85"/>
      <c r="E671" s="89"/>
      <c r="F671" s="85"/>
      <c r="G671" s="85"/>
      <c r="H671" s="85"/>
      <c r="I671" s="85"/>
      <c r="J671" s="85"/>
      <c r="K671" s="85"/>
    </row>
    <row r="672">
      <c r="A672" s="85"/>
      <c r="B672" s="85"/>
      <c r="C672" s="85"/>
      <c r="D672" s="85"/>
      <c r="E672" s="89"/>
      <c r="F672" s="85"/>
      <c r="G672" s="85"/>
      <c r="H672" s="85"/>
      <c r="I672" s="85"/>
      <c r="J672" s="85"/>
      <c r="K672" s="85"/>
    </row>
    <row r="673">
      <c r="A673" s="85"/>
      <c r="B673" s="85"/>
      <c r="C673" s="85"/>
      <c r="D673" s="85"/>
      <c r="E673" s="89"/>
      <c r="F673" s="85"/>
      <c r="G673" s="85"/>
      <c r="H673" s="85"/>
      <c r="I673" s="85"/>
      <c r="J673" s="85"/>
      <c r="K673" s="85"/>
    </row>
    <row r="674">
      <c r="A674" s="85"/>
      <c r="B674" s="85"/>
      <c r="C674" s="85"/>
      <c r="D674" s="85"/>
      <c r="E674" s="89"/>
      <c r="F674" s="85"/>
      <c r="G674" s="85"/>
      <c r="H674" s="85"/>
      <c r="I674" s="85"/>
      <c r="J674" s="85"/>
      <c r="K674" s="85"/>
    </row>
    <row r="675">
      <c r="A675" s="85"/>
      <c r="B675" s="85"/>
      <c r="C675" s="85"/>
      <c r="D675" s="85"/>
      <c r="E675" s="89"/>
      <c r="F675" s="85"/>
      <c r="G675" s="85"/>
      <c r="H675" s="85"/>
      <c r="I675" s="85"/>
      <c r="J675" s="85"/>
      <c r="K675" s="85"/>
    </row>
    <row r="676">
      <c r="A676" s="85"/>
      <c r="B676" s="85"/>
      <c r="C676" s="85"/>
      <c r="D676" s="85"/>
      <c r="E676" s="89"/>
      <c r="F676" s="85"/>
      <c r="G676" s="85"/>
      <c r="H676" s="85"/>
      <c r="I676" s="85"/>
      <c r="J676" s="85"/>
      <c r="K676" s="85"/>
    </row>
    <row r="677">
      <c r="A677" s="85"/>
      <c r="B677" s="85"/>
      <c r="C677" s="85"/>
      <c r="D677" s="85"/>
      <c r="E677" s="89"/>
      <c r="F677" s="85"/>
      <c r="G677" s="85"/>
      <c r="H677" s="85"/>
      <c r="I677" s="85"/>
      <c r="J677" s="85"/>
      <c r="K677" s="85"/>
    </row>
    <row r="678">
      <c r="A678" s="85"/>
      <c r="B678" s="85"/>
      <c r="C678" s="85"/>
      <c r="D678" s="85"/>
      <c r="E678" s="89"/>
      <c r="F678" s="85"/>
      <c r="G678" s="85"/>
      <c r="H678" s="85"/>
      <c r="I678" s="85"/>
      <c r="J678" s="85"/>
      <c r="K678" s="85"/>
    </row>
    <row r="679">
      <c r="A679" s="85"/>
      <c r="B679" s="85"/>
      <c r="C679" s="85"/>
      <c r="D679" s="85"/>
      <c r="E679" s="89"/>
      <c r="F679" s="85"/>
      <c r="G679" s="85"/>
      <c r="H679" s="85"/>
      <c r="I679" s="85"/>
      <c r="J679" s="85"/>
      <c r="K679" s="85"/>
    </row>
    <row r="680">
      <c r="A680" s="85"/>
      <c r="B680" s="85"/>
      <c r="C680" s="85"/>
      <c r="D680" s="85"/>
      <c r="E680" s="89"/>
      <c r="F680" s="85"/>
      <c r="G680" s="85"/>
      <c r="H680" s="85"/>
      <c r="I680" s="85"/>
      <c r="J680" s="85"/>
      <c r="K680" s="85"/>
    </row>
    <row r="681">
      <c r="A681" s="85"/>
      <c r="B681" s="85"/>
      <c r="C681" s="85"/>
      <c r="D681" s="85"/>
      <c r="E681" s="89"/>
      <c r="F681" s="85"/>
      <c r="G681" s="85"/>
      <c r="H681" s="85"/>
      <c r="I681" s="85"/>
      <c r="J681" s="85"/>
      <c r="K681" s="85"/>
    </row>
    <row r="682">
      <c r="A682" s="85"/>
      <c r="B682" s="85"/>
      <c r="C682" s="85"/>
      <c r="D682" s="85"/>
      <c r="E682" s="89"/>
      <c r="F682" s="85"/>
      <c r="G682" s="85"/>
      <c r="H682" s="85"/>
      <c r="I682" s="85"/>
      <c r="J682" s="85"/>
      <c r="K682" s="85"/>
    </row>
    <row r="683">
      <c r="A683" s="85"/>
      <c r="B683" s="85"/>
      <c r="C683" s="85"/>
      <c r="D683" s="85"/>
      <c r="E683" s="89"/>
      <c r="F683" s="85"/>
      <c r="G683" s="85"/>
      <c r="H683" s="85"/>
      <c r="I683" s="85"/>
      <c r="J683" s="85"/>
      <c r="K683" s="85"/>
    </row>
    <row r="684">
      <c r="A684" s="85"/>
      <c r="B684" s="85"/>
      <c r="C684" s="85"/>
      <c r="D684" s="85"/>
      <c r="E684" s="89"/>
      <c r="F684" s="85"/>
      <c r="G684" s="85"/>
      <c r="H684" s="85"/>
      <c r="I684" s="85"/>
      <c r="J684" s="85"/>
      <c r="K684" s="85"/>
    </row>
    <row r="685">
      <c r="A685" s="85"/>
      <c r="B685" s="85"/>
      <c r="C685" s="85"/>
      <c r="D685" s="85"/>
      <c r="E685" s="89"/>
      <c r="F685" s="85"/>
      <c r="G685" s="85"/>
      <c r="H685" s="85"/>
      <c r="I685" s="85"/>
      <c r="J685" s="85"/>
      <c r="K685" s="85"/>
    </row>
    <row r="686">
      <c r="A686" s="85"/>
      <c r="B686" s="85"/>
      <c r="C686" s="85"/>
      <c r="D686" s="85"/>
      <c r="E686" s="89"/>
      <c r="F686" s="85"/>
      <c r="G686" s="85"/>
      <c r="H686" s="85"/>
      <c r="I686" s="85"/>
      <c r="J686" s="85"/>
      <c r="K686" s="85"/>
    </row>
    <row r="687">
      <c r="A687" s="85"/>
      <c r="B687" s="85"/>
      <c r="C687" s="85"/>
      <c r="D687" s="85"/>
      <c r="E687" s="89"/>
      <c r="F687" s="85"/>
      <c r="G687" s="85"/>
      <c r="H687" s="85"/>
      <c r="I687" s="85"/>
      <c r="J687" s="85"/>
      <c r="K687" s="85"/>
    </row>
    <row r="688">
      <c r="A688" s="85"/>
      <c r="B688" s="85"/>
      <c r="C688" s="85"/>
      <c r="D688" s="85"/>
      <c r="E688" s="89"/>
      <c r="F688" s="85"/>
      <c r="G688" s="85"/>
      <c r="H688" s="85"/>
      <c r="I688" s="85"/>
      <c r="J688" s="85"/>
      <c r="K688" s="85"/>
    </row>
    <row r="689">
      <c r="A689" s="85"/>
      <c r="B689" s="85"/>
      <c r="C689" s="85"/>
      <c r="D689" s="85"/>
      <c r="E689" s="89"/>
      <c r="F689" s="85"/>
      <c r="G689" s="85"/>
      <c r="H689" s="85"/>
      <c r="I689" s="85"/>
      <c r="J689" s="85"/>
      <c r="K689" s="85"/>
    </row>
    <row r="690">
      <c r="A690" s="85"/>
      <c r="B690" s="85"/>
      <c r="C690" s="85"/>
      <c r="D690" s="85"/>
      <c r="E690" s="89"/>
      <c r="F690" s="85"/>
      <c r="G690" s="85"/>
      <c r="H690" s="85"/>
      <c r="I690" s="85"/>
      <c r="J690" s="85"/>
      <c r="K690" s="85"/>
    </row>
    <row r="691">
      <c r="A691" s="85"/>
      <c r="B691" s="85"/>
      <c r="C691" s="85"/>
      <c r="D691" s="85"/>
      <c r="E691" s="89"/>
      <c r="F691" s="85"/>
      <c r="G691" s="85"/>
      <c r="H691" s="85"/>
      <c r="I691" s="85"/>
      <c r="J691" s="85"/>
      <c r="K691" s="85"/>
    </row>
    <row r="692">
      <c r="A692" s="85"/>
      <c r="B692" s="85"/>
      <c r="C692" s="85"/>
      <c r="D692" s="85"/>
      <c r="E692" s="89"/>
      <c r="F692" s="85"/>
      <c r="G692" s="85"/>
      <c r="H692" s="85"/>
      <c r="I692" s="85"/>
      <c r="J692" s="85"/>
      <c r="K692" s="85"/>
    </row>
    <row r="693">
      <c r="A693" s="85"/>
      <c r="B693" s="85"/>
      <c r="C693" s="85"/>
      <c r="D693" s="85"/>
      <c r="E693" s="89"/>
      <c r="F693" s="85"/>
      <c r="G693" s="85"/>
      <c r="H693" s="85"/>
      <c r="I693" s="85"/>
      <c r="J693" s="85"/>
      <c r="K693" s="85"/>
    </row>
    <row r="694">
      <c r="A694" s="85"/>
      <c r="B694" s="85"/>
      <c r="C694" s="85"/>
      <c r="D694" s="85"/>
      <c r="E694" s="89"/>
      <c r="F694" s="85"/>
      <c r="G694" s="85"/>
      <c r="H694" s="85"/>
      <c r="I694" s="85"/>
      <c r="J694" s="85"/>
      <c r="K694" s="85"/>
    </row>
    <row r="695">
      <c r="A695" s="85"/>
      <c r="B695" s="85"/>
      <c r="C695" s="85"/>
      <c r="D695" s="85"/>
      <c r="E695" s="89"/>
      <c r="F695" s="85"/>
      <c r="G695" s="85"/>
      <c r="H695" s="85"/>
      <c r="I695" s="85"/>
      <c r="J695" s="85"/>
      <c r="K695" s="85"/>
    </row>
    <row r="696">
      <c r="A696" s="85"/>
      <c r="B696" s="85"/>
      <c r="C696" s="85"/>
      <c r="D696" s="85"/>
      <c r="E696" s="89"/>
      <c r="F696" s="85"/>
      <c r="G696" s="85"/>
      <c r="H696" s="85"/>
      <c r="I696" s="85"/>
      <c r="J696" s="85"/>
      <c r="K696" s="85"/>
    </row>
    <row r="697">
      <c r="A697" s="85"/>
      <c r="B697" s="85"/>
      <c r="C697" s="85"/>
      <c r="D697" s="85"/>
      <c r="E697" s="89"/>
      <c r="F697" s="85"/>
      <c r="G697" s="85"/>
      <c r="H697" s="85"/>
      <c r="I697" s="85"/>
      <c r="J697" s="85"/>
      <c r="K697" s="85"/>
    </row>
    <row r="698">
      <c r="A698" s="85"/>
      <c r="B698" s="85"/>
      <c r="C698" s="85"/>
      <c r="D698" s="85"/>
      <c r="E698" s="89"/>
      <c r="F698" s="85"/>
      <c r="G698" s="85"/>
      <c r="H698" s="85"/>
      <c r="I698" s="85"/>
      <c r="J698" s="85"/>
      <c r="K698" s="85"/>
    </row>
    <row r="699">
      <c r="A699" s="85"/>
      <c r="B699" s="85"/>
      <c r="C699" s="85"/>
      <c r="D699" s="85"/>
      <c r="E699" s="89"/>
      <c r="F699" s="85"/>
      <c r="G699" s="85"/>
      <c r="H699" s="85"/>
      <c r="I699" s="85"/>
      <c r="J699" s="85"/>
      <c r="K699" s="85"/>
    </row>
    <row r="700">
      <c r="A700" s="85"/>
      <c r="B700" s="85"/>
      <c r="C700" s="85"/>
      <c r="D700" s="85"/>
      <c r="E700" s="89"/>
      <c r="F700" s="85"/>
      <c r="G700" s="85"/>
      <c r="H700" s="85"/>
      <c r="I700" s="85"/>
      <c r="J700" s="85"/>
      <c r="K700" s="85"/>
    </row>
    <row r="701">
      <c r="A701" s="85"/>
      <c r="B701" s="85"/>
      <c r="C701" s="85"/>
      <c r="D701" s="85"/>
      <c r="E701" s="89"/>
      <c r="F701" s="85"/>
      <c r="G701" s="85"/>
      <c r="H701" s="85"/>
      <c r="I701" s="85"/>
      <c r="J701" s="85"/>
      <c r="K701" s="85"/>
    </row>
    <row r="702">
      <c r="A702" s="85"/>
      <c r="B702" s="85"/>
      <c r="C702" s="85"/>
      <c r="D702" s="85"/>
      <c r="E702" s="89"/>
      <c r="F702" s="85"/>
      <c r="G702" s="85"/>
      <c r="H702" s="85"/>
      <c r="I702" s="85"/>
      <c r="J702" s="85"/>
      <c r="K702" s="85"/>
    </row>
    <row r="703">
      <c r="A703" s="85"/>
      <c r="B703" s="85"/>
      <c r="C703" s="85"/>
      <c r="D703" s="85"/>
      <c r="E703" s="89"/>
      <c r="F703" s="85"/>
      <c r="G703" s="85"/>
      <c r="H703" s="85"/>
      <c r="I703" s="85"/>
      <c r="J703" s="85"/>
      <c r="K703" s="85"/>
    </row>
    <row r="704">
      <c r="A704" s="85"/>
      <c r="B704" s="85"/>
      <c r="C704" s="85"/>
      <c r="D704" s="85"/>
      <c r="E704" s="89"/>
      <c r="F704" s="85"/>
      <c r="G704" s="85"/>
      <c r="H704" s="85"/>
      <c r="I704" s="85"/>
      <c r="J704" s="85"/>
      <c r="K704" s="85"/>
    </row>
    <row r="705">
      <c r="A705" s="85"/>
      <c r="B705" s="85"/>
      <c r="C705" s="85"/>
      <c r="D705" s="85"/>
      <c r="E705" s="89"/>
      <c r="F705" s="85"/>
      <c r="G705" s="85"/>
      <c r="H705" s="85"/>
      <c r="I705" s="85"/>
      <c r="J705" s="85"/>
      <c r="K705" s="85"/>
    </row>
    <row r="706">
      <c r="A706" s="85"/>
      <c r="B706" s="85"/>
      <c r="C706" s="85"/>
      <c r="D706" s="85"/>
      <c r="E706" s="89"/>
      <c r="F706" s="85"/>
      <c r="G706" s="85"/>
      <c r="H706" s="85"/>
      <c r="I706" s="85"/>
      <c r="J706" s="85"/>
      <c r="K706" s="85"/>
    </row>
    <row r="707">
      <c r="A707" s="85"/>
      <c r="B707" s="85"/>
      <c r="C707" s="85"/>
      <c r="D707" s="85"/>
      <c r="E707" s="89"/>
      <c r="F707" s="85"/>
      <c r="G707" s="85"/>
      <c r="H707" s="85"/>
      <c r="I707" s="85"/>
      <c r="J707" s="85"/>
      <c r="K707" s="85"/>
    </row>
    <row r="708">
      <c r="A708" s="85"/>
      <c r="B708" s="85"/>
      <c r="C708" s="85"/>
      <c r="D708" s="85"/>
      <c r="E708" s="89"/>
      <c r="F708" s="85"/>
      <c r="G708" s="85"/>
      <c r="H708" s="85"/>
      <c r="I708" s="85"/>
      <c r="J708" s="85"/>
      <c r="K708" s="85"/>
    </row>
    <row r="709">
      <c r="A709" s="85"/>
      <c r="B709" s="85"/>
      <c r="C709" s="85"/>
      <c r="D709" s="85"/>
      <c r="E709" s="89"/>
      <c r="F709" s="85"/>
      <c r="G709" s="85"/>
      <c r="H709" s="85"/>
      <c r="I709" s="85"/>
      <c r="J709" s="85"/>
      <c r="K709" s="85"/>
    </row>
    <row r="710">
      <c r="A710" s="85"/>
      <c r="B710" s="85"/>
      <c r="C710" s="85"/>
      <c r="D710" s="85"/>
      <c r="E710" s="89"/>
      <c r="F710" s="85"/>
      <c r="G710" s="85"/>
      <c r="H710" s="85"/>
      <c r="I710" s="85"/>
      <c r="J710" s="85"/>
      <c r="K710" s="85"/>
    </row>
    <row r="711">
      <c r="A711" s="85"/>
      <c r="B711" s="85"/>
      <c r="C711" s="85"/>
      <c r="D711" s="85"/>
      <c r="E711" s="89"/>
      <c r="F711" s="85"/>
      <c r="G711" s="85"/>
      <c r="H711" s="85"/>
      <c r="I711" s="85"/>
      <c r="J711" s="85"/>
      <c r="K711" s="85"/>
    </row>
    <row r="712">
      <c r="A712" s="85"/>
      <c r="B712" s="85"/>
      <c r="C712" s="85"/>
      <c r="D712" s="85"/>
      <c r="E712" s="89"/>
      <c r="F712" s="85"/>
      <c r="G712" s="85"/>
      <c r="H712" s="85"/>
      <c r="I712" s="85"/>
      <c r="J712" s="85"/>
      <c r="K712" s="85"/>
    </row>
    <row r="713">
      <c r="A713" s="85"/>
      <c r="B713" s="85"/>
      <c r="C713" s="85"/>
      <c r="D713" s="85"/>
      <c r="E713" s="89"/>
      <c r="F713" s="85"/>
      <c r="G713" s="85"/>
      <c r="H713" s="85"/>
      <c r="I713" s="85"/>
      <c r="J713" s="85"/>
      <c r="K713" s="85"/>
    </row>
    <row r="714">
      <c r="A714" s="85"/>
      <c r="B714" s="85"/>
      <c r="C714" s="85"/>
      <c r="D714" s="85"/>
      <c r="E714" s="89"/>
      <c r="F714" s="85"/>
      <c r="G714" s="85"/>
      <c r="H714" s="85"/>
      <c r="I714" s="85"/>
      <c r="J714" s="85"/>
      <c r="K714" s="85"/>
    </row>
    <row r="715">
      <c r="A715" s="85"/>
      <c r="B715" s="85"/>
      <c r="C715" s="85"/>
      <c r="D715" s="85"/>
      <c r="E715" s="89"/>
      <c r="F715" s="85"/>
      <c r="G715" s="85"/>
      <c r="H715" s="85"/>
      <c r="I715" s="85"/>
      <c r="J715" s="85"/>
      <c r="K715" s="85"/>
    </row>
    <row r="716">
      <c r="A716" s="85"/>
      <c r="B716" s="85"/>
      <c r="C716" s="85"/>
      <c r="D716" s="85"/>
      <c r="E716" s="89"/>
      <c r="F716" s="85"/>
      <c r="G716" s="85"/>
      <c r="H716" s="85"/>
      <c r="I716" s="85"/>
      <c r="J716" s="85"/>
      <c r="K716" s="85"/>
    </row>
    <row r="717">
      <c r="A717" s="85"/>
      <c r="B717" s="85"/>
      <c r="C717" s="85"/>
      <c r="D717" s="85"/>
      <c r="E717" s="89"/>
      <c r="F717" s="85"/>
      <c r="G717" s="85"/>
      <c r="H717" s="85"/>
      <c r="I717" s="85"/>
      <c r="J717" s="85"/>
      <c r="K717" s="85"/>
    </row>
    <row r="718">
      <c r="A718" s="85"/>
      <c r="B718" s="85"/>
      <c r="C718" s="85"/>
      <c r="D718" s="85"/>
      <c r="E718" s="89"/>
      <c r="F718" s="85"/>
      <c r="G718" s="85"/>
      <c r="H718" s="85"/>
      <c r="I718" s="85"/>
      <c r="J718" s="85"/>
      <c r="K718" s="85"/>
    </row>
    <row r="719">
      <c r="A719" s="85"/>
      <c r="B719" s="85"/>
      <c r="C719" s="85"/>
      <c r="D719" s="85"/>
      <c r="E719" s="89"/>
      <c r="F719" s="85"/>
      <c r="G719" s="85"/>
      <c r="H719" s="85"/>
      <c r="I719" s="85"/>
      <c r="J719" s="85"/>
      <c r="K719" s="85"/>
    </row>
    <row r="720">
      <c r="A720" s="85"/>
      <c r="B720" s="85"/>
      <c r="C720" s="85"/>
      <c r="D720" s="85"/>
      <c r="E720" s="89"/>
      <c r="F720" s="85"/>
      <c r="G720" s="85"/>
      <c r="H720" s="85"/>
      <c r="I720" s="85"/>
      <c r="J720" s="85"/>
      <c r="K720" s="85"/>
    </row>
    <row r="721">
      <c r="A721" s="85"/>
      <c r="B721" s="85"/>
      <c r="C721" s="85"/>
      <c r="D721" s="85"/>
      <c r="E721" s="89"/>
      <c r="F721" s="85"/>
      <c r="G721" s="85"/>
      <c r="H721" s="85"/>
      <c r="I721" s="85"/>
      <c r="J721" s="85"/>
      <c r="K721" s="85"/>
    </row>
    <row r="722">
      <c r="A722" s="85"/>
      <c r="B722" s="85"/>
      <c r="C722" s="85"/>
      <c r="D722" s="85"/>
      <c r="E722" s="89"/>
      <c r="F722" s="85"/>
      <c r="G722" s="85"/>
      <c r="H722" s="85"/>
      <c r="I722" s="85"/>
      <c r="J722" s="85"/>
      <c r="K722" s="85"/>
    </row>
    <row r="723">
      <c r="A723" s="85"/>
      <c r="B723" s="85"/>
      <c r="C723" s="85"/>
      <c r="D723" s="85"/>
      <c r="E723" s="89"/>
      <c r="F723" s="85"/>
      <c r="G723" s="85"/>
      <c r="H723" s="85"/>
      <c r="I723" s="85"/>
      <c r="J723" s="85"/>
      <c r="K723" s="85"/>
    </row>
    <row r="724">
      <c r="A724" s="85"/>
      <c r="B724" s="85"/>
      <c r="C724" s="85"/>
      <c r="D724" s="85"/>
      <c r="E724" s="89"/>
      <c r="F724" s="85"/>
      <c r="G724" s="85"/>
      <c r="H724" s="85"/>
      <c r="I724" s="85"/>
      <c r="J724" s="85"/>
      <c r="K724" s="85"/>
    </row>
    <row r="725">
      <c r="A725" s="85"/>
      <c r="B725" s="85"/>
      <c r="C725" s="85"/>
      <c r="D725" s="85"/>
      <c r="E725" s="89"/>
      <c r="F725" s="85"/>
      <c r="G725" s="85"/>
      <c r="H725" s="85"/>
      <c r="I725" s="85"/>
      <c r="J725" s="85"/>
      <c r="K725" s="85"/>
    </row>
    <row r="726">
      <c r="A726" s="85"/>
      <c r="B726" s="85"/>
      <c r="C726" s="85"/>
      <c r="D726" s="85"/>
      <c r="E726" s="89"/>
      <c r="F726" s="85"/>
      <c r="G726" s="85"/>
      <c r="H726" s="85"/>
      <c r="I726" s="85"/>
      <c r="J726" s="85"/>
      <c r="K726" s="85"/>
    </row>
    <row r="727">
      <c r="A727" s="85"/>
      <c r="B727" s="85"/>
      <c r="C727" s="85"/>
      <c r="D727" s="85"/>
      <c r="E727" s="89"/>
      <c r="F727" s="85"/>
      <c r="G727" s="85"/>
      <c r="H727" s="85"/>
      <c r="I727" s="85"/>
      <c r="J727" s="85"/>
      <c r="K727" s="85"/>
    </row>
    <row r="728">
      <c r="A728" s="85"/>
      <c r="B728" s="85"/>
      <c r="C728" s="85"/>
      <c r="D728" s="85"/>
      <c r="E728" s="89"/>
      <c r="F728" s="85"/>
      <c r="G728" s="85"/>
      <c r="H728" s="85"/>
      <c r="I728" s="85"/>
      <c r="J728" s="85"/>
      <c r="K728" s="85"/>
    </row>
    <row r="729">
      <c r="A729" s="85"/>
      <c r="B729" s="85"/>
      <c r="C729" s="85"/>
      <c r="D729" s="85"/>
      <c r="E729" s="89"/>
      <c r="F729" s="85"/>
      <c r="G729" s="85"/>
      <c r="H729" s="85"/>
      <c r="I729" s="85"/>
      <c r="J729" s="85"/>
      <c r="K729" s="85"/>
    </row>
    <row r="730">
      <c r="A730" s="85"/>
      <c r="B730" s="85"/>
      <c r="C730" s="85"/>
      <c r="D730" s="85"/>
      <c r="E730" s="89"/>
      <c r="F730" s="85"/>
      <c r="G730" s="85"/>
      <c r="H730" s="85"/>
      <c r="I730" s="85"/>
      <c r="J730" s="85"/>
      <c r="K730" s="85"/>
    </row>
    <row r="731">
      <c r="A731" s="85"/>
      <c r="B731" s="85"/>
      <c r="C731" s="85"/>
      <c r="D731" s="85"/>
      <c r="E731" s="89"/>
      <c r="F731" s="85"/>
      <c r="G731" s="85"/>
      <c r="H731" s="85"/>
      <c r="I731" s="85"/>
      <c r="J731" s="85"/>
      <c r="K731" s="85"/>
    </row>
    <row r="732">
      <c r="A732" s="85"/>
      <c r="B732" s="85"/>
      <c r="C732" s="85"/>
      <c r="D732" s="85"/>
      <c r="E732" s="89"/>
      <c r="F732" s="85"/>
      <c r="G732" s="85"/>
      <c r="H732" s="85"/>
      <c r="I732" s="85"/>
      <c r="J732" s="85"/>
      <c r="K732" s="85"/>
    </row>
    <row r="733">
      <c r="A733" s="85"/>
      <c r="B733" s="85"/>
      <c r="C733" s="85"/>
      <c r="D733" s="85"/>
      <c r="E733" s="89"/>
      <c r="F733" s="85"/>
      <c r="G733" s="85"/>
      <c r="H733" s="85"/>
      <c r="I733" s="85"/>
      <c r="J733" s="85"/>
      <c r="K733" s="85"/>
    </row>
    <row r="734">
      <c r="A734" s="85"/>
      <c r="B734" s="85"/>
      <c r="C734" s="85"/>
      <c r="D734" s="85"/>
      <c r="E734" s="89"/>
      <c r="F734" s="85"/>
      <c r="G734" s="85"/>
      <c r="H734" s="85"/>
      <c r="I734" s="85"/>
      <c r="J734" s="85"/>
      <c r="K734" s="85"/>
    </row>
    <row r="735">
      <c r="A735" s="85"/>
      <c r="B735" s="85"/>
      <c r="C735" s="85"/>
      <c r="D735" s="85"/>
      <c r="E735" s="89"/>
      <c r="F735" s="85"/>
      <c r="G735" s="85"/>
      <c r="H735" s="85"/>
      <c r="I735" s="85"/>
      <c r="J735" s="85"/>
      <c r="K735" s="85"/>
    </row>
    <row r="736">
      <c r="A736" s="85"/>
      <c r="B736" s="85"/>
      <c r="C736" s="85"/>
      <c r="D736" s="85"/>
      <c r="E736" s="89"/>
      <c r="F736" s="85"/>
      <c r="G736" s="85"/>
      <c r="H736" s="85"/>
      <c r="I736" s="85"/>
      <c r="J736" s="85"/>
      <c r="K736" s="85"/>
    </row>
    <row r="737">
      <c r="A737" s="85"/>
      <c r="B737" s="85"/>
      <c r="C737" s="85"/>
      <c r="D737" s="85"/>
      <c r="E737" s="89"/>
      <c r="F737" s="85"/>
      <c r="G737" s="85"/>
      <c r="H737" s="85"/>
      <c r="I737" s="85"/>
      <c r="J737" s="85"/>
      <c r="K737" s="85"/>
    </row>
    <row r="738">
      <c r="A738" s="85"/>
      <c r="B738" s="85"/>
      <c r="C738" s="85"/>
      <c r="D738" s="85"/>
      <c r="E738" s="89"/>
      <c r="F738" s="85"/>
      <c r="G738" s="85"/>
      <c r="H738" s="85"/>
      <c r="I738" s="85"/>
      <c r="J738" s="85"/>
      <c r="K738" s="85"/>
    </row>
    <row r="739">
      <c r="A739" s="85"/>
      <c r="B739" s="85"/>
      <c r="C739" s="85"/>
      <c r="D739" s="85"/>
      <c r="E739" s="89"/>
      <c r="F739" s="85"/>
      <c r="G739" s="85"/>
      <c r="H739" s="85"/>
      <c r="I739" s="85"/>
      <c r="J739" s="85"/>
      <c r="K739" s="85"/>
    </row>
    <row r="740">
      <c r="A740" s="85"/>
      <c r="B740" s="85"/>
      <c r="C740" s="85"/>
      <c r="D740" s="85"/>
      <c r="E740" s="89"/>
      <c r="F740" s="85"/>
      <c r="G740" s="85"/>
      <c r="H740" s="85"/>
      <c r="I740" s="85"/>
      <c r="J740" s="85"/>
      <c r="K740" s="85"/>
    </row>
    <row r="741">
      <c r="A741" s="85"/>
      <c r="B741" s="85"/>
      <c r="C741" s="85"/>
      <c r="D741" s="85"/>
      <c r="E741" s="89"/>
      <c r="F741" s="85"/>
      <c r="G741" s="85"/>
      <c r="H741" s="85"/>
      <c r="I741" s="85"/>
      <c r="J741" s="85"/>
      <c r="K741" s="85"/>
    </row>
    <row r="742">
      <c r="A742" s="85"/>
      <c r="B742" s="85"/>
      <c r="C742" s="85"/>
      <c r="D742" s="85"/>
      <c r="E742" s="89"/>
      <c r="F742" s="85"/>
      <c r="G742" s="85"/>
      <c r="H742" s="85"/>
      <c r="I742" s="85"/>
      <c r="J742" s="85"/>
      <c r="K742" s="85"/>
    </row>
    <row r="743">
      <c r="A743" s="85"/>
      <c r="B743" s="85"/>
      <c r="C743" s="85"/>
      <c r="D743" s="85"/>
      <c r="E743" s="89"/>
      <c r="F743" s="85"/>
      <c r="G743" s="85"/>
      <c r="H743" s="85"/>
      <c r="I743" s="85"/>
      <c r="J743" s="85"/>
      <c r="K743" s="85"/>
    </row>
    <row r="744">
      <c r="A744" s="85"/>
      <c r="B744" s="85"/>
      <c r="C744" s="85"/>
      <c r="D744" s="85"/>
      <c r="E744" s="89"/>
      <c r="F744" s="85"/>
      <c r="G744" s="85"/>
      <c r="H744" s="85"/>
      <c r="I744" s="85"/>
      <c r="J744" s="85"/>
      <c r="K744" s="85"/>
    </row>
    <row r="745">
      <c r="A745" s="85"/>
      <c r="B745" s="85"/>
      <c r="C745" s="85"/>
      <c r="D745" s="85"/>
      <c r="E745" s="89"/>
      <c r="F745" s="85"/>
      <c r="G745" s="85"/>
      <c r="H745" s="85"/>
      <c r="I745" s="85"/>
      <c r="J745" s="85"/>
      <c r="K745" s="85"/>
    </row>
    <row r="746">
      <c r="A746" s="85"/>
      <c r="B746" s="85"/>
      <c r="C746" s="85"/>
      <c r="D746" s="85"/>
      <c r="E746" s="89"/>
      <c r="F746" s="85"/>
      <c r="G746" s="85"/>
      <c r="H746" s="85"/>
      <c r="I746" s="85"/>
      <c r="J746" s="85"/>
      <c r="K746" s="85"/>
    </row>
    <row r="747">
      <c r="A747" s="85"/>
      <c r="B747" s="85"/>
      <c r="C747" s="85"/>
      <c r="D747" s="85"/>
      <c r="E747" s="89"/>
      <c r="F747" s="85"/>
      <c r="G747" s="85"/>
      <c r="H747" s="85"/>
      <c r="I747" s="85"/>
      <c r="J747" s="85"/>
      <c r="K747" s="85"/>
    </row>
    <row r="748">
      <c r="A748" s="85"/>
      <c r="B748" s="85"/>
      <c r="C748" s="85"/>
      <c r="D748" s="85"/>
      <c r="E748" s="89"/>
      <c r="F748" s="85"/>
      <c r="G748" s="85"/>
      <c r="H748" s="85"/>
      <c r="I748" s="85"/>
      <c r="J748" s="85"/>
      <c r="K748" s="85"/>
    </row>
    <row r="749">
      <c r="A749" s="85"/>
      <c r="B749" s="85"/>
      <c r="C749" s="85"/>
      <c r="D749" s="85"/>
      <c r="E749" s="89"/>
      <c r="F749" s="85"/>
      <c r="G749" s="85"/>
      <c r="H749" s="85"/>
      <c r="I749" s="85"/>
      <c r="J749" s="85"/>
      <c r="K749" s="85"/>
    </row>
    <row r="750">
      <c r="A750" s="85"/>
      <c r="B750" s="85"/>
      <c r="C750" s="85"/>
      <c r="D750" s="85"/>
      <c r="E750" s="89"/>
      <c r="F750" s="85"/>
      <c r="G750" s="85"/>
      <c r="H750" s="85"/>
      <c r="I750" s="85"/>
      <c r="J750" s="85"/>
      <c r="K750" s="85"/>
    </row>
    <row r="751">
      <c r="A751" s="85"/>
      <c r="B751" s="85"/>
      <c r="C751" s="85"/>
      <c r="D751" s="85"/>
      <c r="E751" s="89"/>
      <c r="F751" s="85"/>
      <c r="G751" s="85"/>
      <c r="H751" s="85"/>
      <c r="I751" s="85"/>
      <c r="J751" s="85"/>
      <c r="K751" s="85"/>
    </row>
    <row r="752">
      <c r="A752" s="85"/>
      <c r="B752" s="85"/>
      <c r="C752" s="85"/>
      <c r="D752" s="85"/>
      <c r="E752" s="89"/>
      <c r="F752" s="85"/>
      <c r="G752" s="85"/>
      <c r="H752" s="85"/>
      <c r="I752" s="85"/>
      <c r="J752" s="85"/>
      <c r="K752" s="85"/>
    </row>
    <row r="753">
      <c r="A753" s="85"/>
      <c r="B753" s="85"/>
      <c r="C753" s="85"/>
      <c r="D753" s="85"/>
      <c r="E753" s="89"/>
      <c r="F753" s="85"/>
      <c r="G753" s="85"/>
      <c r="H753" s="85"/>
      <c r="I753" s="85"/>
      <c r="J753" s="85"/>
      <c r="K753" s="85"/>
    </row>
    <row r="754">
      <c r="A754" s="85"/>
      <c r="B754" s="85"/>
      <c r="C754" s="85"/>
      <c r="D754" s="85"/>
      <c r="E754" s="89"/>
      <c r="F754" s="85"/>
      <c r="G754" s="85"/>
      <c r="H754" s="85"/>
      <c r="I754" s="85"/>
      <c r="J754" s="85"/>
      <c r="K754" s="85"/>
    </row>
    <row r="755">
      <c r="A755" s="85"/>
      <c r="B755" s="85"/>
      <c r="C755" s="85"/>
      <c r="D755" s="85"/>
      <c r="E755" s="89"/>
      <c r="F755" s="85"/>
      <c r="G755" s="85"/>
      <c r="H755" s="85"/>
      <c r="I755" s="85"/>
      <c r="J755" s="85"/>
      <c r="K755" s="85"/>
    </row>
    <row r="756">
      <c r="A756" s="85"/>
      <c r="B756" s="85"/>
      <c r="C756" s="85"/>
      <c r="D756" s="85"/>
      <c r="E756" s="89"/>
      <c r="F756" s="85"/>
      <c r="G756" s="85"/>
      <c r="H756" s="85"/>
      <c r="I756" s="85"/>
      <c r="J756" s="85"/>
      <c r="K756" s="85"/>
    </row>
    <row r="757">
      <c r="A757" s="85"/>
      <c r="B757" s="85"/>
      <c r="C757" s="85"/>
      <c r="D757" s="85"/>
      <c r="E757" s="89"/>
      <c r="F757" s="85"/>
      <c r="G757" s="85"/>
      <c r="H757" s="85"/>
      <c r="I757" s="85"/>
      <c r="J757" s="85"/>
      <c r="K757" s="85"/>
    </row>
    <row r="758">
      <c r="A758" s="85"/>
      <c r="B758" s="85"/>
      <c r="C758" s="85"/>
      <c r="D758" s="85"/>
      <c r="E758" s="89"/>
      <c r="F758" s="85"/>
      <c r="G758" s="85"/>
      <c r="H758" s="85"/>
      <c r="I758" s="85"/>
      <c r="J758" s="85"/>
      <c r="K758" s="85"/>
    </row>
    <row r="759">
      <c r="A759" s="85"/>
      <c r="B759" s="85"/>
      <c r="C759" s="85"/>
      <c r="D759" s="85"/>
      <c r="E759" s="89"/>
      <c r="F759" s="85"/>
      <c r="G759" s="85"/>
      <c r="H759" s="85"/>
      <c r="I759" s="85"/>
      <c r="J759" s="85"/>
      <c r="K759" s="85"/>
    </row>
    <row r="760">
      <c r="A760" s="85"/>
      <c r="B760" s="85"/>
      <c r="C760" s="85"/>
      <c r="D760" s="85"/>
      <c r="E760" s="89"/>
      <c r="F760" s="85"/>
      <c r="G760" s="85"/>
      <c r="H760" s="85"/>
      <c r="I760" s="85"/>
      <c r="J760" s="85"/>
      <c r="K760" s="85"/>
    </row>
    <row r="761">
      <c r="A761" s="85"/>
      <c r="B761" s="85"/>
      <c r="C761" s="85"/>
      <c r="D761" s="85"/>
      <c r="E761" s="89"/>
      <c r="F761" s="85"/>
      <c r="G761" s="85"/>
      <c r="H761" s="85"/>
      <c r="I761" s="85"/>
      <c r="J761" s="85"/>
      <c r="K761" s="85"/>
    </row>
    <row r="762">
      <c r="A762" s="85"/>
      <c r="B762" s="85"/>
      <c r="C762" s="85"/>
      <c r="D762" s="85"/>
      <c r="E762" s="89"/>
      <c r="F762" s="85"/>
      <c r="G762" s="85"/>
      <c r="H762" s="85"/>
      <c r="I762" s="85"/>
      <c r="J762" s="85"/>
      <c r="K762" s="85"/>
    </row>
    <row r="763">
      <c r="A763" s="85"/>
      <c r="B763" s="85"/>
      <c r="C763" s="85"/>
      <c r="D763" s="85"/>
      <c r="E763" s="89"/>
      <c r="F763" s="85"/>
      <c r="G763" s="85"/>
      <c r="H763" s="85"/>
      <c r="I763" s="85"/>
      <c r="J763" s="85"/>
      <c r="K763" s="85"/>
    </row>
    <row r="764">
      <c r="A764" s="85"/>
      <c r="B764" s="85"/>
      <c r="C764" s="85"/>
      <c r="D764" s="85"/>
      <c r="E764" s="89"/>
      <c r="F764" s="85"/>
      <c r="G764" s="85"/>
      <c r="H764" s="85"/>
      <c r="I764" s="85"/>
      <c r="J764" s="85"/>
      <c r="K764" s="85"/>
    </row>
    <row r="765">
      <c r="A765" s="85"/>
      <c r="B765" s="85"/>
      <c r="C765" s="85"/>
      <c r="D765" s="85"/>
      <c r="E765" s="89"/>
      <c r="F765" s="85"/>
      <c r="G765" s="85"/>
      <c r="H765" s="85"/>
      <c r="I765" s="85"/>
      <c r="J765" s="85"/>
      <c r="K765" s="85"/>
    </row>
    <row r="766">
      <c r="A766" s="85"/>
      <c r="B766" s="85"/>
      <c r="C766" s="85"/>
      <c r="D766" s="85"/>
      <c r="E766" s="89"/>
      <c r="F766" s="85"/>
      <c r="G766" s="85"/>
      <c r="H766" s="85"/>
      <c r="I766" s="85"/>
      <c r="J766" s="85"/>
      <c r="K766" s="85"/>
    </row>
    <row r="767">
      <c r="A767" s="85"/>
      <c r="B767" s="85"/>
      <c r="C767" s="85"/>
      <c r="D767" s="85"/>
      <c r="E767" s="89"/>
      <c r="F767" s="85"/>
      <c r="G767" s="85"/>
      <c r="H767" s="85"/>
      <c r="I767" s="85"/>
      <c r="J767" s="85"/>
      <c r="K767" s="85"/>
    </row>
    <row r="768">
      <c r="A768" s="85"/>
      <c r="B768" s="85"/>
      <c r="C768" s="85"/>
      <c r="D768" s="85"/>
      <c r="E768" s="89"/>
      <c r="F768" s="85"/>
      <c r="G768" s="85"/>
      <c r="H768" s="85"/>
      <c r="I768" s="85"/>
      <c r="J768" s="85"/>
      <c r="K768" s="85"/>
    </row>
    <row r="769">
      <c r="A769" s="85"/>
      <c r="B769" s="85"/>
      <c r="C769" s="85"/>
      <c r="D769" s="85"/>
      <c r="E769" s="89"/>
      <c r="F769" s="85"/>
      <c r="G769" s="85"/>
      <c r="H769" s="85"/>
      <c r="I769" s="85"/>
      <c r="J769" s="85"/>
      <c r="K769" s="85"/>
    </row>
    <row r="770">
      <c r="A770" s="85"/>
      <c r="B770" s="85"/>
      <c r="C770" s="85"/>
      <c r="D770" s="85"/>
      <c r="E770" s="89"/>
      <c r="F770" s="85"/>
      <c r="G770" s="85"/>
      <c r="H770" s="85"/>
      <c r="I770" s="85"/>
      <c r="J770" s="85"/>
      <c r="K770" s="85"/>
    </row>
    <row r="771">
      <c r="A771" s="85"/>
      <c r="B771" s="85"/>
      <c r="C771" s="85"/>
      <c r="D771" s="85"/>
      <c r="E771" s="89"/>
      <c r="F771" s="85"/>
      <c r="G771" s="85"/>
      <c r="H771" s="85"/>
      <c r="I771" s="85"/>
      <c r="J771" s="85"/>
      <c r="K771" s="85"/>
    </row>
    <row r="772">
      <c r="A772" s="85"/>
      <c r="B772" s="85"/>
      <c r="C772" s="85"/>
      <c r="D772" s="85"/>
      <c r="E772" s="89"/>
      <c r="F772" s="85"/>
      <c r="G772" s="85"/>
      <c r="H772" s="85"/>
      <c r="I772" s="85"/>
      <c r="J772" s="85"/>
      <c r="K772" s="85"/>
    </row>
    <row r="773">
      <c r="A773" s="85"/>
      <c r="B773" s="85"/>
      <c r="C773" s="85"/>
      <c r="D773" s="85"/>
      <c r="E773" s="89"/>
      <c r="F773" s="85"/>
      <c r="G773" s="85"/>
      <c r="H773" s="85"/>
      <c r="I773" s="85"/>
      <c r="J773" s="85"/>
      <c r="K773" s="85"/>
    </row>
    <row r="774">
      <c r="A774" s="85"/>
      <c r="B774" s="85"/>
      <c r="C774" s="85"/>
      <c r="D774" s="85"/>
      <c r="E774" s="89"/>
      <c r="F774" s="85"/>
      <c r="G774" s="85"/>
      <c r="H774" s="85"/>
      <c r="I774" s="85"/>
      <c r="J774" s="85"/>
      <c r="K774" s="85"/>
    </row>
    <row r="775">
      <c r="A775" s="85"/>
      <c r="B775" s="85"/>
      <c r="C775" s="85"/>
      <c r="D775" s="85"/>
      <c r="E775" s="89"/>
      <c r="F775" s="85"/>
      <c r="G775" s="85"/>
      <c r="H775" s="85"/>
      <c r="I775" s="85"/>
      <c r="J775" s="85"/>
      <c r="K775" s="85"/>
    </row>
    <row r="776">
      <c r="A776" s="85"/>
      <c r="B776" s="85"/>
      <c r="C776" s="85"/>
      <c r="D776" s="85"/>
      <c r="E776" s="89"/>
      <c r="F776" s="85"/>
      <c r="G776" s="85"/>
      <c r="H776" s="85"/>
      <c r="I776" s="85"/>
      <c r="J776" s="85"/>
      <c r="K776" s="85"/>
    </row>
    <row r="777">
      <c r="A777" s="85"/>
      <c r="B777" s="85"/>
      <c r="C777" s="85"/>
      <c r="D777" s="85"/>
      <c r="E777" s="89"/>
      <c r="F777" s="85"/>
      <c r="G777" s="85"/>
      <c r="H777" s="85"/>
      <c r="I777" s="85"/>
      <c r="J777" s="85"/>
      <c r="K777" s="85"/>
    </row>
    <row r="778">
      <c r="A778" s="85"/>
      <c r="B778" s="85"/>
      <c r="C778" s="85"/>
      <c r="D778" s="85"/>
      <c r="E778" s="89"/>
      <c r="F778" s="85"/>
      <c r="G778" s="85"/>
      <c r="H778" s="85"/>
      <c r="I778" s="85"/>
      <c r="J778" s="85"/>
      <c r="K778" s="85"/>
    </row>
    <row r="779">
      <c r="A779" s="85"/>
      <c r="B779" s="85"/>
      <c r="C779" s="85"/>
      <c r="D779" s="85"/>
      <c r="E779" s="89"/>
      <c r="F779" s="85"/>
      <c r="G779" s="85"/>
      <c r="H779" s="85"/>
      <c r="I779" s="85"/>
      <c r="J779" s="85"/>
      <c r="K779" s="85"/>
    </row>
    <row r="780">
      <c r="A780" s="85"/>
      <c r="B780" s="85"/>
      <c r="C780" s="85"/>
      <c r="D780" s="85"/>
      <c r="E780" s="89"/>
      <c r="F780" s="85"/>
      <c r="G780" s="85"/>
      <c r="H780" s="85"/>
      <c r="I780" s="85"/>
      <c r="J780" s="85"/>
      <c r="K780" s="85"/>
    </row>
    <row r="781">
      <c r="A781" s="85"/>
      <c r="B781" s="85"/>
      <c r="C781" s="85"/>
      <c r="D781" s="85"/>
      <c r="E781" s="89"/>
      <c r="F781" s="85"/>
      <c r="G781" s="85"/>
      <c r="H781" s="85"/>
      <c r="I781" s="85"/>
      <c r="J781" s="85"/>
      <c r="K781" s="85"/>
    </row>
    <row r="782">
      <c r="A782" s="85"/>
      <c r="B782" s="85"/>
      <c r="C782" s="85"/>
      <c r="D782" s="85"/>
      <c r="E782" s="89"/>
      <c r="F782" s="85"/>
      <c r="G782" s="85"/>
      <c r="H782" s="85"/>
      <c r="I782" s="85"/>
      <c r="J782" s="85"/>
      <c r="K782" s="85"/>
    </row>
    <row r="783">
      <c r="A783" s="85"/>
      <c r="B783" s="85"/>
      <c r="C783" s="85"/>
      <c r="D783" s="85"/>
      <c r="E783" s="89"/>
      <c r="F783" s="85"/>
      <c r="G783" s="85"/>
      <c r="H783" s="85"/>
      <c r="I783" s="85"/>
      <c r="J783" s="85"/>
      <c r="K783" s="85"/>
    </row>
    <row r="784">
      <c r="A784" s="85"/>
      <c r="B784" s="85"/>
      <c r="C784" s="85"/>
      <c r="D784" s="85"/>
      <c r="E784" s="89"/>
      <c r="F784" s="85"/>
      <c r="G784" s="85"/>
      <c r="H784" s="85"/>
      <c r="I784" s="85"/>
      <c r="J784" s="85"/>
      <c r="K784" s="85"/>
    </row>
    <row r="785">
      <c r="A785" s="85"/>
      <c r="B785" s="85"/>
      <c r="C785" s="85"/>
      <c r="D785" s="85"/>
      <c r="E785" s="89"/>
      <c r="F785" s="85"/>
      <c r="G785" s="85"/>
      <c r="H785" s="85"/>
      <c r="I785" s="85"/>
      <c r="J785" s="85"/>
      <c r="K785" s="85"/>
    </row>
    <row r="786">
      <c r="A786" s="85"/>
      <c r="B786" s="85"/>
      <c r="C786" s="85"/>
      <c r="D786" s="85"/>
      <c r="E786" s="89"/>
      <c r="F786" s="85"/>
      <c r="G786" s="85"/>
      <c r="H786" s="85"/>
      <c r="I786" s="85"/>
      <c r="J786" s="85"/>
      <c r="K786" s="85"/>
    </row>
    <row r="787">
      <c r="A787" s="85"/>
      <c r="B787" s="85"/>
      <c r="C787" s="85"/>
      <c r="D787" s="85"/>
      <c r="E787" s="89"/>
      <c r="F787" s="85"/>
      <c r="G787" s="85"/>
      <c r="H787" s="85"/>
      <c r="I787" s="85"/>
      <c r="J787" s="85"/>
      <c r="K787" s="85"/>
    </row>
    <row r="788">
      <c r="A788" s="85"/>
      <c r="B788" s="85"/>
      <c r="C788" s="85"/>
      <c r="D788" s="85"/>
      <c r="E788" s="89"/>
      <c r="F788" s="85"/>
      <c r="G788" s="85"/>
      <c r="H788" s="85"/>
      <c r="I788" s="85"/>
      <c r="J788" s="85"/>
      <c r="K788" s="85"/>
    </row>
    <row r="789">
      <c r="A789" s="85"/>
      <c r="B789" s="85"/>
      <c r="C789" s="85"/>
      <c r="D789" s="85"/>
      <c r="E789" s="89"/>
      <c r="F789" s="85"/>
      <c r="G789" s="85"/>
      <c r="H789" s="85"/>
      <c r="I789" s="85"/>
      <c r="J789" s="85"/>
      <c r="K789" s="85"/>
    </row>
    <row r="790">
      <c r="A790" s="85"/>
      <c r="B790" s="85"/>
      <c r="C790" s="85"/>
      <c r="D790" s="85"/>
      <c r="E790" s="89"/>
      <c r="F790" s="85"/>
      <c r="G790" s="85"/>
      <c r="H790" s="85"/>
      <c r="I790" s="85"/>
      <c r="J790" s="85"/>
      <c r="K790" s="85"/>
    </row>
    <row r="791">
      <c r="A791" s="85"/>
      <c r="B791" s="85"/>
      <c r="C791" s="85"/>
      <c r="D791" s="85"/>
      <c r="E791" s="89"/>
      <c r="F791" s="85"/>
      <c r="G791" s="85"/>
      <c r="H791" s="85"/>
      <c r="I791" s="85"/>
      <c r="J791" s="85"/>
      <c r="K791" s="85"/>
    </row>
    <row r="792">
      <c r="A792" s="85"/>
      <c r="B792" s="85"/>
      <c r="C792" s="85"/>
      <c r="D792" s="85"/>
      <c r="E792" s="89"/>
      <c r="F792" s="85"/>
      <c r="G792" s="85"/>
      <c r="H792" s="85"/>
      <c r="I792" s="85"/>
      <c r="J792" s="85"/>
      <c r="K792" s="85"/>
    </row>
    <row r="793">
      <c r="A793" s="85"/>
      <c r="B793" s="85"/>
      <c r="C793" s="85"/>
      <c r="D793" s="85"/>
      <c r="E793" s="89"/>
      <c r="F793" s="85"/>
      <c r="G793" s="85"/>
      <c r="H793" s="85"/>
      <c r="I793" s="85"/>
      <c r="J793" s="85"/>
      <c r="K793" s="85"/>
    </row>
    <row r="794">
      <c r="A794" s="85"/>
      <c r="B794" s="85"/>
      <c r="C794" s="85"/>
      <c r="D794" s="85"/>
      <c r="E794" s="89"/>
      <c r="F794" s="85"/>
      <c r="G794" s="85"/>
      <c r="H794" s="85"/>
      <c r="I794" s="85"/>
      <c r="J794" s="85"/>
      <c r="K794" s="85"/>
    </row>
    <row r="795">
      <c r="A795" s="85"/>
      <c r="B795" s="85"/>
      <c r="C795" s="85"/>
      <c r="D795" s="85"/>
      <c r="E795" s="89"/>
      <c r="F795" s="85"/>
      <c r="G795" s="85"/>
      <c r="H795" s="85"/>
      <c r="I795" s="85"/>
      <c r="J795" s="85"/>
      <c r="K795" s="85"/>
    </row>
    <row r="796">
      <c r="A796" s="85"/>
      <c r="B796" s="85"/>
      <c r="C796" s="85"/>
      <c r="D796" s="85"/>
      <c r="E796" s="89"/>
      <c r="F796" s="85"/>
      <c r="G796" s="85"/>
      <c r="H796" s="85"/>
      <c r="I796" s="85"/>
      <c r="J796" s="85"/>
      <c r="K796" s="85"/>
    </row>
    <row r="797">
      <c r="A797" s="85"/>
      <c r="B797" s="85"/>
      <c r="C797" s="85"/>
      <c r="D797" s="85"/>
      <c r="E797" s="89"/>
      <c r="F797" s="85"/>
      <c r="G797" s="85"/>
      <c r="H797" s="85"/>
      <c r="I797" s="85"/>
      <c r="J797" s="85"/>
      <c r="K797" s="85"/>
    </row>
    <row r="798">
      <c r="A798" s="85"/>
      <c r="B798" s="85"/>
      <c r="C798" s="85"/>
      <c r="D798" s="85"/>
      <c r="E798" s="89"/>
      <c r="F798" s="85"/>
      <c r="G798" s="85"/>
      <c r="H798" s="85"/>
      <c r="I798" s="85"/>
      <c r="J798" s="85"/>
      <c r="K798" s="85"/>
    </row>
    <row r="799">
      <c r="A799" s="85"/>
      <c r="B799" s="85"/>
      <c r="C799" s="85"/>
      <c r="D799" s="85"/>
      <c r="E799" s="89"/>
      <c r="F799" s="85"/>
      <c r="G799" s="85"/>
      <c r="H799" s="85"/>
      <c r="I799" s="85"/>
      <c r="J799" s="85"/>
      <c r="K799" s="85"/>
    </row>
    <row r="800">
      <c r="A800" s="85"/>
      <c r="B800" s="85"/>
      <c r="C800" s="85"/>
      <c r="D800" s="85"/>
      <c r="E800" s="89"/>
      <c r="F800" s="85"/>
      <c r="G800" s="85"/>
      <c r="H800" s="85"/>
      <c r="I800" s="85"/>
      <c r="J800" s="85"/>
      <c r="K800" s="85"/>
    </row>
    <row r="801">
      <c r="A801" s="85"/>
      <c r="B801" s="85"/>
      <c r="C801" s="85"/>
      <c r="D801" s="85"/>
      <c r="E801" s="89"/>
      <c r="F801" s="85"/>
      <c r="G801" s="85"/>
      <c r="H801" s="85"/>
      <c r="I801" s="85"/>
      <c r="J801" s="85"/>
      <c r="K801" s="85"/>
    </row>
    <row r="802">
      <c r="A802" s="85"/>
      <c r="B802" s="85"/>
      <c r="C802" s="85"/>
      <c r="D802" s="85"/>
      <c r="E802" s="89"/>
      <c r="F802" s="85"/>
      <c r="G802" s="85"/>
      <c r="H802" s="85"/>
      <c r="I802" s="85"/>
      <c r="J802" s="85"/>
      <c r="K802" s="85"/>
    </row>
    <row r="803">
      <c r="A803" s="85"/>
      <c r="B803" s="85"/>
      <c r="C803" s="85"/>
      <c r="D803" s="85"/>
      <c r="E803" s="89"/>
      <c r="F803" s="85"/>
      <c r="G803" s="85"/>
      <c r="H803" s="85"/>
      <c r="I803" s="85"/>
      <c r="J803" s="85"/>
      <c r="K803" s="85"/>
    </row>
    <row r="804">
      <c r="A804" s="85"/>
      <c r="B804" s="85"/>
      <c r="C804" s="85"/>
      <c r="D804" s="85"/>
      <c r="E804" s="89"/>
      <c r="F804" s="85"/>
      <c r="G804" s="85"/>
      <c r="H804" s="85"/>
      <c r="I804" s="85"/>
      <c r="J804" s="85"/>
      <c r="K804" s="85"/>
    </row>
    <row r="805">
      <c r="A805" s="85"/>
      <c r="B805" s="85"/>
      <c r="C805" s="85"/>
      <c r="D805" s="85"/>
      <c r="E805" s="89"/>
      <c r="F805" s="85"/>
      <c r="G805" s="85"/>
      <c r="H805" s="85"/>
      <c r="I805" s="85"/>
      <c r="J805" s="85"/>
      <c r="K805" s="85"/>
    </row>
    <row r="806">
      <c r="A806" s="85"/>
      <c r="B806" s="85"/>
      <c r="C806" s="85"/>
      <c r="D806" s="85"/>
      <c r="E806" s="89"/>
      <c r="F806" s="85"/>
      <c r="G806" s="85"/>
      <c r="H806" s="85"/>
      <c r="I806" s="85"/>
      <c r="J806" s="85"/>
      <c r="K806" s="85"/>
    </row>
    <row r="807">
      <c r="A807" s="85"/>
      <c r="B807" s="85"/>
      <c r="C807" s="85"/>
      <c r="D807" s="85"/>
      <c r="E807" s="89"/>
      <c r="F807" s="85"/>
      <c r="G807" s="85"/>
      <c r="H807" s="85"/>
      <c r="I807" s="85"/>
      <c r="J807" s="85"/>
      <c r="K807" s="85"/>
    </row>
    <row r="808">
      <c r="A808" s="85"/>
      <c r="B808" s="85"/>
      <c r="C808" s="85"/>
      <c r="D808" s="85"/>
      <c r="E808" s="89"/>
      <c r="F808" s="85"/>
      <c r="G808" s="85"/>
      <c r="H808" s="85"/>
      <c r="I808" s="85"/>
      <c r="J808" s="85"/>
      <c r="K808" s="85"/>
    </row>
    <row r="809">
      <c r="A809" s="85"/>
      <c r="B809" s="85"/>
      <c r="C809" s="85"/>
      <c r="D809" s="85"/>
      <c r="E809" s="89"/>
      <c r="F809" s="85"/>
      <c r="G809" s="85"/>
      <c r="H809" s="85"/>
      <c r="I809" s="85"/>
      <c r="J809" s="85"/>
      <c r="K809" s="85"/>
    </row>
    <row r="810">
      <c r="A810" s="85"/>
      <c r="B810" s="85"/>
      <c r="C810" s="85"/>
      <c r="D810" s="85"/>
      <c r="E810" s="89"/>
      <c r="F810" s="85"/>
      <c r="G810" s="85"/>
      <c r="H810" s="85"/>
      <c r="I810" s="85"/>
      <c r="J810" s="85"/>
      <c r="K810" s="85"/>
    </row>
    <row r="811">
      <c r="A811" s="85"/>
      <c r="B811" s="85"/>
      <c r="C811" s="85"/>
      <c r="D811" s="85"/>
      <c r="E811" s="89"/>
      <c r="F811" s="85"/>
      <c r="G811" s="85"/>
      <c r="H811" s="85"/>
      <c r="I811" s="85"/>
      <c r="J811" s="85"/>
      <c r="K811" s="85"/>
    </row>
    <row r="812">
      <c r="A812" s="85"/>
      <c r="B812" s="85"/>
      <c r="C812" s="85"/>
      <c r="D812" s="85"/>
      <c r="E812" s="89"/>
      <c r="F812" s="85"/>
      <c r="G812" s="85"/>
      <c r="H812" s="85"/>
      <c r="I812" s="85"/>
      <c r="J812" s="85"/>
      <c r="K812" s="85"/>
    </row>
    <row r="813">
      <c r="A813" s="85"/>
      <c r="B813" s="85"/>
      <c r="C813" s="85"/>
      <c r="D813" s="85"/>
      <c r="E813" s="89"/>
      <c r="F813" s="85"/>
      <c r="G813" s="85"/>
      <c r="H813" s="85"/>
      <c r="I813" s="85"/>
      <c r="J813" s="85"/>
      <c r="K813" s="85"/>
    </row>
    <row r="814">
      <c r="A814" s="85"/>
      <c r="B814" s="85"/>
      <c r="C814" s="85"/>
      <c r="D814" s="85"/>
      <c r="E814" s="89"/>
      <c r="F814" s="85"/>
      <c r="G814" s="85"/>
      <c r="H814" s="85"/>
      <c r="I814" s="85"/>
      <c r="J814" s="85"/>
      <c r="K814" s="85"/>
    </row>
    <row r="815">
      <c r="A815" s="85"/>
      <c r="B815" s="85"/>
      <c r="C815" s="85"/>
      <c r="D815" s="85"/>
      <c r="E815" s="89"/>
      <c r="F815" s="85"/>
      <c r="G815" s="85"/>
      <c r="H815" s="85"/>
      <c r="I815" s="85"/>
      <c r="J815" s="85"/>
      <c r="K815" s="85"/>
    </row>
    <row r="816">
      <c r="A816" s="85"/>
      <c r="B816" s="85"/>
      <c r="C816" s="85"/>
      <c r="D816" s="85"/>
      <c r="E816" s="89"/>
      <c r="F816" s="85"/>
      <c r="G816" s="85"/>
      <c r="H816" s="85"/>
      <c r="I816" s="85"/>
      <c r="J816" s="85"/>
      <c r="K816" s="85"/>
    </row>
    <row r="817">
      <c r="A817" s="85"/>
      <c r="B817" s="85"/>
      <c r="C817" s="85"/>
      <c r="D817" s="85"/>
      <c r="E817" s="89"/>
      <c r="F817" s="85"/>
      <c r="G817" s="85"/>
      <c r="H817" s="85"/>
      <c r="I817" s="85"/>
      <c r="J817" s="85"/>
      <c r="K817" s="85"/>
    </row>
    <row r="818">
      <c r="A818" s="85"/>
      <c r="B818" s="85"/>
      <c r="C818" s="85"/>
      <c r="D818" s="85"/>
      <c r="E818" s="89"/>
      <c r="F818" s="85"/>
      <c r="G818" s="85"/>
      <c r="H818" s="85"/>
      <c r="I818" s="85"/>
      <c r="J818" s="85"/>
      <c r="K818" s="85"/>
    </row>
    <row r="819">
      <c r="A819" s="85"/>
      <c r="B819" s="85"/>
      <c r="C819" s="85"/>
      <c r="D819" s="85"/>
      <c r="E819" s="89"/>
      <c r="F819" s="85"/>
      <c r="G819" s="85"/>
      <c r="H819" s="85"/>
      <c r="I819" s="85"/>
      <c r="J819" s="85"/>
      <c r="K819" s="85"/>
    </row>
    <row r="820">
      <c r="A820" s="85"/>
      <c r="B820" s="85"/>
      <c r="C820" s="85"/>
      <c r="D820" s="85"/>
      <c r="E820" s="89"/>
      <c r="F820" s="85"/>
      <c r="G820" s="85"/>
      <c r="H820" s="85"/>
      <c r="I820" s="85"/>
      <c r="J820" s="85"/>
      <c r="K820" s="85"/>
    </row>
    <row r="821">
      <c r="A821" s="85"/>
      <c r="B821" s="85"/>
      <c r="C821" s="85"/>
      <c r="D821" s="85"/>
      <c r="E821" s="89"/>
      <c r="F821" s="85"/>
      <c r="G821" s="85"/>
      <c r="H821" s="85"/>
      <c r="I821" s="85"/>
      <c r="J821" s="85"/>
      <c r="K821" s="85"/>
    </row>
    <row r="822">
      <c r="A822" s="85"/>
      <c r="B822" s="85"/>
      <c r="C822" s="85"/>
      <c r="D822" s="85"/>
      <c r="E822" s="89"/>
      <c r="F822" s="85"/>
      <c r="G822" s="85"/>
      <c r="H822" s="85"/>
      <c r="I822" s="85"/>
      <c r="J822" s="85"/>
      <c r="K822" s="85"/>
    </row>
    <row r="823">
      <c r="A823" s="85"/>
      <c r="B823" s="85"/>
      <c r="C823" s="85"/>
      <c r="D823" s="85"/>
      <c r="E823" s="89"/>
      <c r="F823" s="85"/>
      <c r="G823" s="85"/>
      <c r="H823" s="85"/>
      <c r="I823" s="85"/>
      <c r="J823" s="85"/>
      <c r="K823" s="85"/>
    </row>
    <row r="824">
      <c r="A824" s="85"/>
      <c r="B824" s="85"/>
      <c r="C824" s="85"/>
      <c r="D824" s="85"/>
      <c r="E824" s="89"/>
      <c r="F824" s="85"/>
      <c r="G824" s="85"/>
      <c r="H824" s="85"/>
      <c r="I824" s="85"/>
      <c r="J824" s="85"/>
      <c r="K824" s="85"/>
    </row>
    <row r="825">
      <c r="A825" s="85"/>
      <c r="B825" s="85"/>
      <c r="C825" s="85"/>
      <c r="D825" s="85"/>
      <c r="E825" s="89"/>
      <c r="F825" s="85"/>
      <c r="G825" s="85"/>
      <c r="H825" s="85"/>
      <c r="I825" s="85"/>
      <c r="J825" s="85"/>
      <c r="K825" s="85"/>
    </row>
    <row r="826">
      <c r="A826" s="85"/>
      <c r="B826" s="85"/>
      <c r="C826" s="85"/>
      <c r="D826" s="85"/>
      <c r="E826" s="89"/>
      <c r="F826" s="85"/>
      <c r="G826" s="85"/>
      <c r="H826" s="85"/>
      <c r="I826" s="85"/>
      <c r="J826" s="85"/>
      <c r="K826" s="85"/>
    </row>
    <row r="827">
      <c r="A827" s="85"/>
      <c r="B827" s="85"/>
      <c r="C827" s="85"/>
      <c r="D827" s="85"/>
      <c r="E827" s="89"/>
      <c r="F827" s="85"/>
      <c r="G827" s="85"/>
      <c r="H827" s="85"/>
      <c r="I827" s="85"/>
      <c r="J827" s="85"/>
      <c r="K827" s="85"/>
    </row>
    <row r="828">
      <c r="A828" s="85"/>
      <c r="B828" s="85"/>
      <c r="C828" s="85"/>
      <c r="D828" s="85"/>
      <c r="E828" s="89"/>
      <c r="F828" s="85"/>
      <c r="G828" s="85"/>
      <c r="H828" s="85"/>
      <c r="I828" s="85"/>
      <c r="J828" s="85"/>
      <c r="K828" s="85"/>
    </row>
    <row r="829">
      <c r="A829" s="85"/>
      <c r="B829" s="85"/>
      <c r="C829" s="85"/>
      <c r="D829" s="85"/>
      <c r="E829" s="89"/>
      <c r="F829" s="85"/>
      <c r="G829" s="85"/>
      <c r="H829" s="85"/>
      <c r="I829" s="85"/>
      <c r="J829" s="85"/>
      <c r="K829" s="85"/>
    </row>
    <row r="830">
      <c r="A830" s="85"/>
      <c r="B830" s="85"/>
      <c r="C830" s="85"/>
      <c r="D830" s="85"/>
      <c r="E830" s="89"/>
      <c r="F830" s="85"/>
      <c r="G830" s="85"/>
      <c r="H830" s="85"/>
      <c r="I830" s="85"/>
      <c r="J830" s="85"/>
      <c r="K830" s="85"/>
    </row>
    <row r="831">
      <c r="A831" s="85"/>
      <c r="B831" s="85"/>
      <c r="C831" s="85"/>
      <c r="D831" s="85"/>
      <c r="E831" s="89"/>
      <c r="F831" s="85"/>
      <c r="G831" s="85"/>
      <c r="H831" s="85"/>
      <c r="I831" s="85"/>
      <c r="J831" s="85"/>
      <c r="K831" s="85"/>
    </row>
    <row r="832">
      <c r="A832" s="85"/>
      <c r="B832" s="85"/>
      <c r="C832" s="85"/>
      <c r="D832" s="85"/>
      <c r="E832" s="89"/>
      <c r="F832" s="85"/>
      <c r="G832" s="85"/>
      <c r="H832" s="85"/>
      <c r="I832" s="85"/>
      <c r="J832" s="85"/>
      <c r="K832" s="85"/>
    </row>
    <row r="833">
      <c r="A833" s="85"/>
      <c r="B833" s="85"/>
      <c r="C833" s="85"/>
      <c r="D833" s="85"/>
      <c r="E833" s="89"/>
      <c r="F833" s="85"/>
      <c r="G833" s="85"/>
      <c r="H833" s="85"/>
      <c r="I833" s="85"/>
      <c r="J833" s="85"/>
      <c r="K833" s="85"/>
    </row>
    <row r="834">
      <c r="A834" s="85"/>
      <c r="B834" s="85"/>
      <c r="C834" s="85"/>
      <c r="D834" s="85"/>
      <c r="E834" s="89"/>
      <c r="F834" s="85"/>
      <c r="G834" s="85"/>
      <c r="H834" s="85"/>
      <c r="I834" s="85"/>
      <c r="J834" s="85"/>
      <c r="K834" s="85"/>
    </row>
    <row r="835">
      <c r="A835" s="85"/>
      <c r="B835" s="85"/>
      <c r="C835" s="85"/>
      <c r="D835" s="85"/>
      <c r="E835" s="89"/>
      <c r="F835" s="85"/>
      <c r="G835" s="85"/>
      <c r="H835" s="85"/>
      <c r="I835" s="85"/>
      <c r="J835" s="85"/>
      <c r="K835" s="85"/>
    </row>
    <row r="836">
      <c r="A836" s="85"/>
      <c r="B836" s="85"/>
      <c r="C836" s="85"/>
      <c r="D836" s="85"/>
      <c r="E836" s="89"/>
      <c r="F836" s="85"/>
      <c r="G836" s="85"/>
      <c r="H836" s="85"/>
      <c r="I836" s="85"/>
      <c r="J836" s="85"/>
      <c r="K836" s="85"/>
    </row>
    <row r="837">
      <c r="A837" s="85"/>
      <c r="B837" s="85"/>
      <c r="C837" s="85"/>
      <c r="D837" s="85"/>
      <c r="E837" s="89"/>
      <c r="F837" s="85"/>
      <c r="G837" s="85"/>
      <c r="H837" s="85"/>
      <c r="I837" s="85"/>
      <c r="J837" s="85"/>
      <c r="K837" s="85"/>
    </row>
    <row r="838">
      <c r="A838" s="85"/>
      <c r="B838" s="85"/>
      <c r="C838" s="85"/>
      <c r="D838" s="85"/>
      <c r="E838" s="89"/>
      <c r="F838" s="85"/>
      <c r="G838" s="85"/>
      <c r="H838" s="85"/>
      <c r="I838" s="85"/>
      <c r="J838" s="85"/>
      <c r="K838" s="85"/>
    </row>
    <row r="839">
      <c r="A839" s="85"/>
      <c r="B839" s="85"/>
      <c r="C839" s="85"/>
      <c r="D839" s="85"/>
      <c r="E839" s="89"/>
      <c r="F839" s="85"/>
      <c r="G839" s="85"/>
      <c r="H839" s="85"/>
      <c r="I839" s="85"/>
      <c r="J839" s="85"/>
      <c r="K839" s="85"/>
    </row>
    <row r="840">
      <c r="A840" s="85"/>
      <c r="B840" s="85"/>
      <c r="C840" s="85"/>
      <c r="D840" s="85"/>
      <c r="E840" s="89"/>
      <c r="F840" s="85"/>
      <c r="G840" s="85"/>
      <c r="H840" s="85"/>
      <c r="I840" s="85"/>
      <c r="J840" s="85"/>
      <c r="K840" s="85"/>
    </row>
    <row r="841">
      <c r="A841" s="85"/>
      <c r="B841" s="85"/>
      <c r="C841" s="85"/>
      <c r="D841" s="85"/>
      <c r="E841" s="89"/>
      <c r="F841" s="85"/>
      <c r="G841" s="85"/>
      <c r="H841" s="85"/>
      <c r="I841" s="85"/>
      <c r="J841" s="85"/>
      <c r="K841" s="85"/>
    </row>
    <row r="842">
      <c r="A842" s="85"/>
      <c r="B842" s="85"/>
      <c r="C842" s="85"/>
      <c r="D842" s="85"/>
      <c r="E842" s="89"/>
      <c r="F842" s="85"/>
      <c r="G842" s="85"/>
      <c r="H842" s="85"/>
      <c r="I842" s="85"/>
      <c r="J842" s="85"/>
      <c r="K842" s="85"/>
    </row>
    <row r="843">
      <c r="A843" s="85"/>
      <c r="B843" s="85"/>
      <c r="C843" s="85"/>
      <c r="D843" s="85"/>
      <c r="E843" s="89"/>
      <c r="F843" s="85"/>
      <c r="G843" s="85"/>
      <c r="H843" s="85"/>
      <c r="I843" s="85"/>
      <c r="J843" s="85"/>
      <c r="K843" s="85"/>
    </row>
    <row r="844">
      <c r="A844" s="85"/>
      <c r="B844" s="85"/>
      <c r="C844" s="85"/>
      <c r="D844" s="85"/>
      <c r="E844" s="89"/>
      <c r="F844" s="85"/>
      <c r="G844" s="85"/>
      <c r="H844" s="85"/>
      <c r="I844" s="85"/>
      <c r="J844" s="85"/>
      <c r="K844" s="85"/>
    </row>
    <row r="845">
      <c r="A845" s="85"/>
      <c r="B845" s="85"/>
      <c r="C845" s="85"/>
      <c r="D845" s="85"/>
      <c r="E845" s="89"/>
      <c r="F845" s="85"/>
      <c r="G845" s="85"/>
      <c r="H845" s="85"/>
      <c r="I845" s="85"/>
      <c r="J845" s="85"/>
      <c r="K845" s="85"/>
    </row>
    <row r="846">
      <c r="A846" s="85"/>
      <c r="B846" s="85"/>
      <c r="C846" s="85"/>
      <c r="D846" s="85"/>
      <c r="E846" s="89"/>
      <c r="F846" s="85"/>
      <c r="G846" s="85"/>
      <c r="H846" s="85"/>
      <c r="I846" s="85"/>
      <c r="J846" s="85"/>
      <c r="K846" s="85"/>
    </row>
    <row r="847">
      <c r="A847" s="85"/>
      <c r="B847" s="85"/>
      <c r="C847" s="85"/>
      <c r="D847" s="85"/>
      <c r="E847" s="89"/>
      <c r="F847" s="85"/>
      <c r="G847" s="85"/>
      <c r="H847" s="85"/>
      <c r="I847" s="85"/>
      <c r="J847" s="85"/>
      <c r="K847" s="85"/>
    </row>
    <row r="848">
      <c r="A848" s="85"/>
      <c r="B848" s="85"/>
      <c r="C848" s="85"/>
      <c r="D848" s="85"/>
      <c r="E848" s="89"/>
      <c r="F848" s="85"/>
      <c r="G848" s="85"/>
      <c r="H848" s="85"/>
      <c r="I848" s="85"/>
      <c r="J848" s="85"/>
      <c r="K848" s="85"/>
    </row>
    <row r="849">
      <c r="A849" s="85"/>
      <c r="B849" s="85"/>
      <c r="C849" s="85"/>
      <c r="D849" s="85"/>
      <c r="E849" s="89"/>
      <c r="F849" s="85"/>
      <c r="G849" s="85"/>
      <c r="H849" s="85"/>
      <c r="I849" s="85"/>
      <c r="J849" s="85"/>
      <c r="K849" s="85"/>
    </row>
    <row r="850">
      <c r="A850" s="85"/>
      <c r="B850" s="85"/>
      <c r="C850" s="85"/>
      <c r="D850" s="85"/>
      <c r="E850" s="89"/>
      <c r="F850" s="85"/>
      <c r="G850" s="85"/>
      <c r="H850" s="85"/>
      <c r="I850" s="85"/>
      <c r="J850" s="85"/>
      <c r="K850" s="85"/>
    </row>
    <row r="851">
      <c r="A851" s="85"/>
      <c r="B851" s="85"/>
      <c r="C851" s="85"/>
      <c r="D851" s="85"/>
      <c r="E851" s="89"/>
      <c r="F851" s="85"/>
      <c r="G851" s="85"/>
      <c r="H851" s="85"/>
      <c r="I851" s="85"/>
      <c r="J851" s="85"/>
      <c r="K851" s="85"/>
    </row>
    <row r="852">
      <c r="A852" s="85"/>
      <c r="B852" s="85"/>
      <c r="C852" s="85"/>
      <c r="D852" s="85"/>
      <c r="E852" s="89"/>
      <c r="F852" s="85"/>
      <c r="G852" s="85"/>
      <c r="H852" s="85"/>
      <c r="I852" s="85"/>
      <c r="J852" s="85"/>
      <c r="K852" s="85"/>
    </row>
    <row r="853">
      <c r="A853" s="85"/>
      <c r="B853" s="85"/>
      <c r="C853" s="85"/>
      <c r="D853" s="85"/>
      <c r="E853" s="89"/>
      <c r="F853" s="85"/>
      <c r="G853" s="85"/>
      <c r="H853" s="85"/>
      <c r="I853" s="85"/>
      <c r="J853" s="85"/>
      <c r="K853" s="85"/>
    </row>
    <row r="854">
      <c r="A854" s="85"/>
      <c r="B854" s="85"/>
      <c r="C854" s="85"/>
      <c r="D854" s="85"/>
      <c r="E854" s="89"/>
      <c r="F854" s="85"/>
      <c r="G854" s="85"/>
      <c r="H854" s="85"/>
      <c r="I854" s="85"/>
      <c r="J854" s="85"/>
      <c r="K854" s="85"/>
    </row>
    <row r="855">
      <c r="A855" s="85"/>
      <c r="B855" s="85"/>
      <c r="C855" s="85"/>
      <c r="D855" s="85"/>
      <c r="E855" s="89"/>
      <c r="F855" s="85"/>
      <c r="G855" s="85"/>
      <c r="H855" s="85"/>
      <c r="I855" s="85"/>
      <c r="J855" s="85"/>
      <c r="K855" s="85"/>
    </row>
    <row r="856">
      <c r="A856" s="85"/>
      <c r="B856" s="85"/>
      <c r="C856" s="85"/>
      <c r="D856" s="85"/>
      <c r="E856" s="89"/>
      <c r="F856" s="85"/>
      <c r="G856" s="85"/>
      <c r="H856" s="85"/>
      <c r="I856" s="85"/>
      <c r="J856" s="85"/>
      <c r="K856" s="85"/>
    </row>
    <row r="857">
      <c r="A857" s="85"/>
      <c r="B857" s="85"/>
      <c r="C857" s="85"/>
      <c r="D857" s="85"/>
      <c r="E857" s="89"/>
      <c r="F857" s="85"/>
      <c r="G857" s="85"/>
      <c r="H857" s="85"/>
      <c r="I857" s="85"/>
      <c r="J857" s="85"/>
      <c r="K857" s="85"/>
    </row>
    <row r="858">
      <c r="A858" s="85"/>
      <c r="B858" s="85"/>
      <c r="C858" s="85"/>
      <c r="D858" s="85"/>
      <c r="E858" s="89"/>
      <c r="F858" s="85"/>
      <c r="G858" s="85"/>
      <c r="H858" s="85"/>
      <c r="I858" s="85"/>
      <c r="J858" s="85"/>
      <c r="K858" s="85"/>
    </row>
    <row r="859">
      <c r="A859" s="85"/>
      <c r="B859" s="85"/>
      <c r="C859" s="85"/>
      <c r="D859" s="85"/>
      <c r="E859" s="89"/>
      <c r="F859" s="85"/>
      <c r="G859" s="85"/>
      <c r="H859" s="85"/>
      <c r="I859" s="85"/>
      <c r="J859" s="85"/>
      <c r="K859" s="85"/>
    </row>
    <row r="860">
      <c r="A860" s="85"/>
      <c r="B860" s="85"/>
      <c r="C860" s="85"/>
      <c r="D860" s="85"/>
      <c r="E860" s="89"/>
      <c r="F860" s="85"/>
      <c r="G860" s="85"/>
      <c r="H860" s="85"/>
      <c r="I860" s="85"/>
      <c r="J860" s="85"/>
      <c r="K860" s="85"/>
    </row>
    <row r="861">
      <c r="A861" s="85"/>
      <c r="B861" s="85"/>
      <c r="C861" s="85"/>
      <c r="D861" s="85"/>
      <c r="E861" s="89"/>
      <c r="F861" s="85"/>
      <c r="G861" s="85"/>
      <c r="H861" s="85"/>
      <c r="I861" s="85"/>
      <c r="J861" s="85"/>
      <c r="K861" s="85"/>
    </row>
    <row r="862">
      <c r="A862" s="85"/>
      <c r="B862" s="85"/>
      <c r="C862" s="85"/>
      <c r="D862" s="85"/>
      <c r="E862" s="89"/>
      <c r="F862" s="85"/>
      <c r="G862" s="85"/>
      <c r="H862" s="85"/>
      <c r="I862" s="85"/>
      <c r="J862" s="85"/>
      <c r="K862" s="85"/>
    </row>
    <row r="863">
      <c r="A863" s="85"/>
      <c r="B863" s="85"/>
      <c r="C863" s="85"/>
      <c r="D863" s="85"/>
      <c r="E863" s="89"/>
      <c r="F863" s="85"/>
      <c r="G863" s="85"/>
      <c r="H863" s="85"/>
      <c r="I863" s="85"/>
      <c r="J863" s="85"/>
      <c r="K863" s="85"/>
    </row>
    <row r="864">
      <c r="A864" s="85"/>
      <c r="B864" s="85"/>
      <c r="C864" s="85"/>
      <c r="D864" s="85"/>
      <c r="E864" s="89"/>
      <c r="F864" s="85"/>
      <c r="G864" s="85"/>
      <c r="H864" s="85"/>
      <c r="I864" s="85"/>
      <c r="J864" s="85"/>
      <c r="K864" s="85"/>
    </row>
    <row r="865">
      <c r="A865" s="85"/>
      <c r="B865" s="85"/>
      <c r="C865" s="85"/>
      <c r="D865" s="85"/>
      <c r="E865" s="89"/>
      <c r="F865" s="85"/>
      <c r="G865" s="85"/>
      <c r="H865" s="85"/>
      <c r="I865" s="85"/>
      <c r="J865" s="85"/>
      <c r="K865" s="85"/>
    </row>
    <row r="866">
      <c r="A866" s="85"/>
      <c r="B866" s="85"/>
      <c r="C866" s="85"/>
      <c r="D866" s="85"/>
      <c r="E866" s="89"/>
      <c r="F866" s="85"/>
      <c r="G866" s="85"/>
      <c r="H866" s="85"/>
      <c r="I866" s="85"/>
      <c r="J866" s="85"/>
      <c r="K866" s="85"/>
    </row>
    <row r="867">
      <c r="A867" s="85"/>
      <c r="B867" s="85"/>
      <c r="C867" s="85"/>
      <c r="D867" s="85"/>
      <c r="E867" s="89"/>
      <c r="F867" s="85"/>
      <c r="G867" s="85"/>
      <c r="H867" s="85"/>
      <c r="I867" s="85"/>
      <c r="J867" s="85"/>
      <c r="K867" s="85"/>
    </row>
    <row r="868">
      <c r="A868" s="85"/>
      <c r="B868" s="85"/>
      <c r="C868" s="85"/>
      <c r="D868" s="85"/>
      <c r="E868" s="89"/>
      <c r="F868" s="85"/>
      <c r="G868" s="85"/>
      <c r="H868" s="85"/>
      <c r="I868" s="85"/>
      <c r="J868" s="85"/>
      <c r="K868" s="85"/>
    </row>
    <row r="869">
      <c r="A869" s="85"/>
      <c r="B869" s="85"/>
      <c r="C869" s="85"/>
      <c r="D869" s="85"/>
      <c r="E869" s="89"/>
      <c r="F869" s="85"/>
      <c r="G869" s="85"/>
      <c r="H869" s="85"/>
      <c r="I869" s="85"/>
      <c r="J869" s="85"/>
      <c r="K869" s="85"/>
    </row>
    <row r="870">
      <c r="A870" s="85"/>
      <c r="B870" s="85"/>
      <c r="C870" s="85"/>
      <c r="D870" s="85"/>
      <c r="E870" s="89"/>
      <c r="F870" s="85"/>
      <c r="G870" s="85"/>
      <c r="H870" s="85"/>
      <c r="I870" s="85"/>
      <c r="J870" s="85"/>
      <c r="K870" s="85"/>
    </row>
    <row r="871">
      <c r="A871" s="85"/>
      <c r="B871" s="85"/>
      <c r="C871" s="85"/>
      <c r="D871" s="85"/>
      <c r="E871" s="89"/>
      <c r="F871" s="85"/>
      <c r="G871" s="85"/>
      <c r="H871" s="85"/>
      <c r="I871" s="85"/>
      <c r="J871" s="85"/>
      <c r="K871" s="85"/>
    </row>
    <row r="872">
      <c r="A872" s="85"/>
      <c r="B872" s="85"/>
      <c r="C872" s="85"/>
      <c r="D872" s="85"/>
      <c r="E872" s="89"/>
      <c r="F872" s="85"/>
      <c r="G872" s="85"/>
      <c r="H872" s="85"/>
      <c r="I872" s="85"/>
      <c r="J872" s="85"/>
      <c r="K872" s="85"/>
    </row>
    <row r="873">
      <c r="A873" s="85"/>
      <c r="B873" s="85"/>
      <c r="C873" s="85"/>
      <c r="D873" s="85"/>
      <c r="E873" s="89"/>
      <c r="F873" s="85"/>
      <c r="G873" s="85"/>
      <c r="H873" s="85"/>
      <c r="I873" s="85"/>
      <c r="J873" s="85"/>
      <c r="K873" s="85"/>
    </row>
    <row r="874">
      <c r="A874" s="85"/>
      <c r="B874" s="85"/>
      <c r="C874" s="85"/>
      <c r="D874" s="85"/>
      <c r="E874" s="89"/>
      <c r="F874" s="85"/>
      <c r="G874" s="85"/>
      <c r="H874" s="85"/>
      <c r="I874" s="85"/>
      <c r="J874" s="85"/>
      <c r="K874" s="85"/>
    </row>
    <row r="875">
      <c r="A875" s="85"/>
      <c r="B875" s="85"/>
      <c r="C875" s="85"/>
      <c r="D875" s="85"/>
      <c r="E875" s="89"/>
      <c r="F875" s="85"/>
      <c r="G875" s="85"/>
      <c r="H875" s="85"/>
      <c r="I875" s="85"/>
      <c r="J875" s="85"/>
      <c r="K875" s="85"/>
    </row>
    <row r="876">
      <c r="A876" s="85"/>
      <c r="B876" s="85"/>
      <c r="C876" s="85"/>
      <c r="D876" s="85"/>
      <c r="E876" s="89"/>
      <c r="F876" s="85"/>
      <c r="G876" s="85"/>
      <c r="H876" s="85"/>
      <c r="I876" s="85"/>
      <c r="J876" s="85"/>
      <c r="K876" s="85"/>
    </row>
    <row r="877">
      <c r="A877" s="85"/>
      <c r="B877" s="85"/>
      <c r="C877" s="85"/>
      <c r="D877" s="85"/>
      <c r="E877" s="89"/>
      <c r="F877" s="85"/>
      <c r="G877" s="85"/>
      <c r="H877" s="85"/>
      <c r="I877" s="85"/>
      <c r="J877" s="85"/>
      <c r="K877" s="85"/>
    </row>
    <row r="878">
      <c r="A878" s="85"/>
      <c r="B878" s="85"/>
      <c r="C878" s="85"/>
      <c r="D878" s="85"/>
      <c r="E878" s="89"/>
      <c r="F878" s="85"/>
      <c r="G878" s="85"/>
      <c r="H878" s="85"/>
      <c r="I878" s="85"/>
      <c r="J878" s="85"/>
      <c r="K878" s="85"/>
    </row>
    <row r="879">
      <c r="A879" s="85"/>
      <c r="B879" s="85"/>
      <c r="C879" s="85"/>
      <c r="D879" s="85"/>
      <c r="E879" s="89"/>
      <c r="F879" s="85"/>
      <c r="G879" s="85"/>
      <c r="H879" s="85"/>
      <c r="I879" s="85"/>
      <c r="J879" s="85"/>
      <c r="K879" s="85"/>
    </row>
    <row r="880">
      <c r="A880" s="85"/>
      <c r="B880" s="85"/>
      <c r="C880" s="85"/>
      <c r="D880" s="85"/>
      <c r="E880" s="89"/>
      <c r="F880" s="85"/>
      <c r="G880" s="85"/>
      <c r="H880" s="85"/>
      <c r="I880" s="85"/>
      <c r="J880" s="85"/>
      <c r="K880" s="85"/>
    </row>
    <row r="881">
      <c r="A881" s="85"/>
      <c r="B881" s="85"/>
      <c r="C881" s="85"/>
      <c r="D881" s="85"/>
      <c r="E881" s="89"/>
      <c r="F881" s="85"/>
      <c r="G881" s="85"/>
      <c r="H881" s="85"/>
      <c r="I881" s="85"/>
      <c r="J881" s="85"/>
      <c r="K881" s="85"/>
    </row>
    <row r="882">
      <c r="A882" s="85"/>
      <c r="B882" s="85"/>
      <c r="C882" s="85"/>
      <c r="D882" s="85"/>
      <c r="E882" s="89"/>
      <c r="F882" s="85"/>
      <c r="G882" s="85"/>
      <c r="H882" s="85"/>
      <c r="I882" s="85"/>
      <c r="J882" s="85"/>
      <c r="K882" s="85"/>
    </row>
    <row r="883">
      <c r="A883" s="85"/>
      <c r="B883" s="85"/>
      <c r="C883" s="85"/>
      <c r="D883" s="85"/>
      <c r="E883" s="89"/>
      <c r="F883" s="85"/>
      <c r="G883" s="85"/>
      <c r="H883" s="85"/>
      <c r="I883" s="85"/>
      <c r="J883" s="85"/>
      <c r="K883" s="85"/>
    </row>
    <row r="884">
      <c r="A884" s="85"/>
      <c r="B884" s="85"/>
      <c r="C884" s="85"/>
      <c r="D884" s="85"/>
      <c r="E884" s="89"/>
      <c r="F884" s="85"/>
      <c r="G884" s="85"/>
      <c r="H884" s="85"/>
      <c r="I884" s="85"/>
      <c r="J884" s="85"/>
      <c r="K884" s="85"/>
    </row>
    <row r="885">
      <c r="A885" s="85"/>
      <c r="B885" s="85"/>
      <c r="C885" s="85"/>
      <c r="D885" s="85"/>
      <c r="E885" s="89"/>
      <c r="F885" s="85"/>
      <c r="G885" s="85"/>
      <c r="H885" s="85"/>
      <c r="I885" s="85"/>
      <c r="J885" s="85"/>
      <c r="K885" s="85"/>
    </row>
    <row r="886">
      <c r="A886" s="85"/>
      <c r="B886" s="85"/>
      <c r="C886" s="85"/>
      <c r="D886" s="85"/>
      <c r="E886" s="89"/>
      <c r="F886" s="85"/>
      <c r="G886" s="85"/>
      <c r="H886" s="85"/>
      <c r="I886" s="85"/>
      <c r="J886" s="85"/>
      <c r="K886" s="85"/>
    </row>
    <row r="887">
      <c r="A887" s="85"/>
      <c r="B887" s="85"/>
      <c r="C887" s="85"/>
      <c r="D887" s="85"/>
      <c r="E887" s="89"/>
      <c r="F887" s="85"/>
      <c r="G887" s="85"/>
      <c r="H887" s="85"/>
      <c r="I887" s="85"/>
      <c r="J887" s="85"/>
      <c r="K887" s="85"/>
    </row>
    <row r="888">
      <c r="A888" s="85"/>
      <c r="B888" s="85"/>
      <c r="C888" s="85"/>
      <c r="D888" s="85"/>
      <c r="E888" s="89"/>
      <c r="F888" s="85"/>
      <c r="G888" s="85"/>
      <c r="H888" s="85"/>
      <c r="I888" s="85"/>
      <c r="J888" s="85"/>
      <c r="K888" s="85"/>
    </row>
    <row r="889">
      <c r="A889" s="85"/>
      <c r="B889" s="85"/>
      <c r="C889" s="85"/>
      <c r="D889" s="85"/>
      <c r="E889" s="89"/>
      <c r="F889" s="85"/>
      <c r="G889" s="85"/>
      <c r="H889" s="85"/>
      <c r="I889" s="85"/>
      <c r="J889" s="85"/>
      <c r="K889" s="85"/>
    </row>
    <row r="890">
      <c r="A890" s="85"/>
      <c r="B890" s="85"/>
      <c r="C890" s="85"/>
      <c r="D890" s="85"/>
      <c r="E890" s="89"/>
      <c r="F890" s="85"/>
      <c r="G890" s="85"/>
      <c r="H890" s="85"/>
      <c r="I890" s="85"/>
      <c r="J890" s="85"/>
      <c r="K890" s="85"/>
    </row>
    <row r="891">
      <c r="A891" s="85"/>
      <c r="B891" s="85"/>
      <c r="C891" s="85"/>
      <c r="D891" s="85"/>
      <c r="E891" s="89"/>
      <c r="F891" s="85"/>
      <c r="G891" s="85"/>
      <c r="H891" s="85"/>
      <c r="I891" s="85"/>
      <c r="J891" s="85"/>
      <c r="K891" s="85"/>
    </row>
    <row r="892">
      <c r="A892" s="85"/>
      <c r="B892" s="85"/>
      <c r="C892" s="85"/>
      <c r="D892" s="85"/>
      <c r="E892" s="89"/>
      <c r="F892" s="85"/>
      <c r="G892" s="85"/>
      <c r="H892" s="85"/>
      <c r="I892" s="85"/>
      <c r="J892" s="85"/>
      <c r="K892" s="85"/>
    </row>
    <row r="893">
      <c r="A893" s="85"/>
      <c r="B893" s="85"/>
      <c r="C893" s="85"/>
      <c r="D893" s="85"/>
      <c r="E893" s="89"/>
      <c r="F893" s="85"/>
      <c r="G893" s="85"/>
      <c r="H893" s="85"/>
      <c r="I893" s="85"/>
      <c r="J893" s="85"/>
      <c r="K893" s="85"/>
    </row>
    <row r="894">
      <c r="A894" s="85"/>
      <c r="B894" s="85"/>
      <c r="C894" s="85"/>
      <c r="D894" s="85"/>
      <c r="E894" s="89"/>
      <c r="F894" s="85"/>
      <c r="G894" s="85"/>
      <c r="H894" s="85"/>
      <c r="I894" s="85"/>
      <c r="J894" s="85"/>
      <c r="K894" s="85"/>
    </row>
    <row r="895">
      <c r="A895" s="85"/>
      <c r="B895" s="85"/>
      <c r="C895" s="85"/>
      <c r="D895" s="85"/>
      <c r="E895" s="89"/>
      <c r="F895" s="85"/>
      <c r="G895" s="85"/>
      <c r="H895" s="85"/>
      <c r="I895" s="85"/>
      <c r="J895" s="85"/>
      <c r="K895" s="85"/>
    </row>
    <row r="896">
      <c r="A896" s="85"/>
      <c r="B896" s="85"/>
      <c r="C896" s="85"/>
      <c r="D896" s="85"/>
      <c r="E896" s="89"/>
      <c r="F896" s="85"/>
      <c r="G896" s="85"/>
      <c r="H896" s="85"/>
      <c r="I896" s="85"/>
      <c r="J896" s="85"/>
      <c r="K896" s="85"/>
    </row>
    <row r="897">
      <c r="A897" s="85"/>
      <c r="B897" s="85"/>
      <c r="C897" s="85"/>
      <c r="D897" s="85"/>
      <c r="E897" s="89"/>
      <c r="F897" s="85"/>
      <c r="G897" s="85"/>
      <c r="H897" s="85"/>
      <c r="I897" s="85"/>
      <c r="J897" s="85"/>
      <c r="K897" s="85"/>
    </row>
    <row r="898">
      <c r="A898" s="85"/>
      <c r="B898" s="85"/>
      <c r="C898" s="85"/>
      <c r="D898" s="85"/>
      <c r="E898" s="89"/>
      <c r="F898" s="85"/>
      <c r="G898" s="85"/>
      <c r="H898" s="85"/>
      <c r="I898" s="85"/>
      <c r="J898" s="85"/>
      <c r="K898" s="85"/>
    </row>
    <row r="899">
      <c r="A899" s="85"/>
      <c r="B899" s="85"/>
      <c r="C899" s="85"/>
      <c r="D899" s="85"/>
      <c r="E899" s="89"/>
      <c r="F899" s="85"/>
      <c r="G899" s="85"/>
      <c r="H899" s="85"/>
      <c r="I899" s="85"/>
      <c r="J899" s="85"/>
      <c r="K899" s="85"/>
    </row>
    <row r="900">
      <c r="A900" s="85"/>
      <c r="B900" s="85"/>
      <c r="C900" s="85"/>
      <c r="D900" s="85"/>
      <c r="E900" s="89"/>
      <c r="F900" s="85"/>
      <c r="G900" s="85"/>
      <c r="H900" s="85"/>
      <c r="I900" s="85"/>
      <c r="J900" s="85"/>
      <c r="K900" s="85"/>
    </row>
    <row r="901">
      <c r="A901" s="85"/>
      <c r="B901" s="85"/>
      <c r="C901" s="85"/>
      <c r="D901" s="85"/>
      <c r="E901" s="89"/>
      <c r="F901" s="85"/>
      <c r="G901" s="85"/>
      <c r="H901" s="85"/>
      <c r="I901" s="85"/>
      <c r="J901" s="85"/>
      <c r="K901" s="85"/>
    </row>
    <row r="902">
      <c r="A902" s="85"/>
      <c r="B902" s="85"/>
      <c r="C902" s="85"/>
      <c r="D902" s="85"/>
      <c r="E902" s="89"/>
      <c r="F902" s="85"/>
      <c r="G902" s="85"/>
      <c r="H902" s="85"/>
      <c r="I902" s="85"/>
      <c r="J902" s="85"/>
      <c r="K902" s="85"/>
    </row>
    <row r="903">
      <c r="A903" s="85"/>
      <c r="B903" s="85"/>
      <c r="C903" s="85"/>
      <c r="D903" s="85"/>
      <c r="E903" s="89"/>
      <c r="F903" s="85"/>
      <c r="G903" s="85"/>
      <c r="H903" s="85"/>
      <c r="I903" s="85"/>
      <c r="J903" s="85"/>
      <c r="K903" s="85"/>
    </row>
    <row r="904">
      <c r="A904" s="85"/>
      <c r="B904" s="85"/>
      <c r="C904" s="85"/>
      <c r="D904" s="85"/>
      <c r="E904" s="89"/>
      <c r="F904" s="85"/>
      <c r="G904" s="85"/>
      <c r="H904" s="85"/>
      <c r="I904" s="85"/>
      <c r="J904" s="85"/>
      <c r="K904" s="85"/>
    </row>
    <row r="905">
      <c r="A905" s="85"/>
      <c r="B905" s="85"/>
      <c r="C905" s="85"/>
      <c r="D905" s="85"/>
      <c r="E905" s="89"/>
      <c r="F905" s="85"/>
      <c r="G905" s="85"/>
      <c r="H905" s="85"/>
      <c r="I905" s="85"/>
      <c r="J905" s="85"/>
      <c r="K905" s="85"/>
    </row>
    <row r="906">
      <c r="A906" s="85"/>
      <c r="B906" s="85"/>
      <c r="C906" s="85"/>
      <c r="D906" s="85"/>
      <c r="E906" s="89"/>
      <c r="F906" s="85"/>
      <c r="G906" s="85"/>
      <c r="H906" s="85"/>
      <c r="I906" s="85"/>
      <c r="J906" s="85"/>
      <c r="K906" s="85"/>
    </row>
    <row r="907">
      <c r="A907" s="85"/>
      <c r="B907" s="85"/>
      <c r="C907" s="85"/>
      <c r="D907" s="85"/>
      <c r="E907" s="89"/>
      <c r="F907" s="85"/>
      <c r="G907" s="85"/>
      <c r="H907" s="85"/>
      <c r="I907" s="85"/>
      <c r="J907" s="85"/>
      <c r="K907" s="85"/>
    </row>
    <row r="908">
      <c r="A908" s="85"/>
      <c r="B908" s="85"/>
      <c r="C908" s="85"/>
      <c r="D908" s="85"/>
      <c r="E908" s="89"/>
      <c r="F908" s="85"/>
      <c r="G908" s="85"/>
      <c r="H908" s="85"/>
      <c r="I908" s="85"/>
      <c r="J908" s="85"/>
      <c r="K908" s="85"/>
    </row>
    <row r="909">
      <c r="A909" s="85"/>
      <c r="B909" s="85"/>
      <c r="C909" s="85"/>
      <c r="D909" s="85"/>
      <c r="E909" s="89"/>
      <c r="F909" s="85"/>
      <c r="G909" s="85"/>
      <c r="H909" s="85"/>
      <c r="I909" s="85"/>
      <c r="J909" s="85"/>
      <c r="K909" s="85"/>
    </row>
    <row r="910">
      <c r="A910" s="85"/>
      <c r="B910" s="85"/>
      <c r="C910" s="85"/>
      <c r="D910" s="85"/>
      <c r="E910" s="89"/>
      <c r="F910" s="85"/>
      <c r="G910" s="85"/>
      <c r="H910" s="85"/>
      <c r="I910" s="85"/>
      <c r="J910" s="85"/>
      <c r="K910" s="85"/>
    </row>
    <row r="911">
      <c r="A911" s="85"/>
      <c r="B911" s="85"/>
      <c r="C911" s="85"/>
      <c r="D911" s="85"/>
      <c r="E911" s="89"/>
      <c r="F911" s="85"/>
      <c r="G911" s="85"/>
      <c r="H911" s="85"/>
      <c r="I911" s="85"/>
      <c r="J911" s="85"/>
      <c r="K911" s="85"/>
    </row>
    <row r="912">
      <c r="A912" s="85"/>
      <c r="B912" s="85"/>
      <c r="C912" s="85"/>
      <c r="D912" s="85"/>
      <c r="E912" s="89"/>
      <c r="F912" s="85"/>
      <c r="G912" s="85"/>
      <c r="H912" s="85"/>
      <c r="I912" s="85"/>
      <c r="J912" s="85"/>
      <c r="K912" s="85"/>
    </row>
    <row r="913">
      <c r="A913" s="85"/>
      <c r="B913" s="85"/>
      <c r="C913" s="85"/>
      <c r="D913" s="85"/>
      <c r="E913" s="89"/>
      <c r="F913" s="85"/>
      <c r="G913" s="85"/>
      <c r="H913" s="85"/>
      <c r="I913" s="85"/>
      <c r="J913" s="85"/>
      <c r="K913" s="85"/>
    </row>
    <row r="914">
      <c r="A914" s="85"/>
      <c r="B914" s="85"/>
      <c r="C914" s="85"/>
      <c r="D914" s="85"/>
      <c r="E914" s="89"/>
      <c r="F914" s="85"/>
      <c r="G914" s="85"/>
      <c r="H914" s="85"/>
      <c r="I914" s="85"/>
      <c r="J914" s="85"/>
      <c r="K914" s="85"/>
    </row>
    <row r="915">
      <c r="A915" s="85"/>
      <c r="B915" s="85"/>
      <c r="C915" s="85"/>
      <c r="D915" s="85"/>
      <c r="E915" s="89"/>
      <c r="F915" s="85"/>
      <c r="G915" s="85"/>
      <c r="H915" s="85"/>
      <c r="I915" s="85"/>
      <c r="J915" s="85"/>
      <c r="K915" s="85"/>
    </row>
    <row r="916">
      <c r="A916" s="85"/>
      <c r="B916" s="85"/>
      <c r="C916" s="85"/>
      <c r="D916" s="85"/>
      <c r="E916" s="89"/>
      <c r="F916" s="85"/>
      <c r="G916" s="85"/>
      <c r="H916" s="85"/>
      <c r="I916" s="85"/>
      <c r="J916" s="85"/>
      <c r="K916" s="85"/>
    </row>
    <row r="917">
      <c r="A917" s="85"/>
      <c r="B917" s="85"/>
      <c r="C917" s="85"/>
      <c r="D917" s="85"/>
      <c r="E917" s="89"/>
      <c r="F917" s="85"/>
      <c r="G917" s="85"/>
      <c r="H917" s="85"/>
      <c r="I917" s="85"/>
      <c r="J917" s="85"/>
      <c r="K917" s="85"/>
    </row>
    <row r="918">
      <c r="A918" s="85"/>
      <c r="B918" s="85"/>
      <c r="C918" s="85"/>
      <c r="D918" s="85"/>
      <c r="E918" s="89"/>
      <c r="F918" s="85"/>
      <c r="G918" s="85"/>
      <c r="H918" s="85"/>
      <c r="I918" s="85"/>
      <c r="J918" s="85"/>
      <c r="K918" s="85"/>
    </row>
    <row r="919">
      <c r="A919" s="85"/>
      <c r="B919" s="85"/>
      <c r="C919" s="85"/>
      <c r="D919" s="85"/>
      <c r="E919" s="89"/>
      <c r="F919" s="85"/>
      <c r="G919" s="85"/>
      <c r="H919" s="85"/>
      <c r="I919" s="85"/>
      <c r="J919" s="85"/>
      <c r="K919" s="85"/>
    </row>
    <row r="920">
      <c r="A920" s="85"/>
      <c r="B920" s="85"/>
      <c r="C920" s="85"/>
      <c r="D920" s="85"/>
      <c r="E920" s="89"/>
      <c r="F920" s="85"/>
      <c r="G920" s="85"/>
      <c r="H920" s="85"/>
      <c r="I920" s="85"/>
      <c r="J920" s="85"/>
      <c r="K920" s="85"/>
    </row>
    <row r="921">
      <c r="A921" s="85"/>
      <c r="B921" s="85"/>
      <c r="C921" s="85"/>
      <c r="D921" s="85"/>
      <c r="E921" s="89"/>
      <c r="F921" s="85"/>
      <c r="G921" s="85"/>
      <c r="H921" s="85"/>
      <c r="I921" s="85"/>
      <c r="J921" s="85"/>
      <c r="K921" s="85"/>
    </row>
    <row r="922">
      <c r="A922" s="85"/>
      <c r="B922" s="85"/>
      <c r="C922" s="85"/>
      <c r="D922" s="85"/>
      <c r="E922" s="89"/>
      <c r="F922" s="85"/>
      <c r="G922" s="85"/>
      <c r="H922" s="85"/>
      <c r="I922" s="85"/>
      <c r="J922" s="85"/>
      <c r="K922" s="85"/>
    </row>
    <row r="923">
      <c r="A923" s="85"/>
      <c r="B923" s="85"/>
      <c r="C923" s="85"/>
      <c r="D923" s="85"/>
      <c r="E923" s="89"/>
      <c r="F923" s="85"/>
      <c r="G923" s="85"/>
      <c r="H923" s="85"/>
      <c r="I923" s="85"/>
      <c r="J923" s="85"/>
      <c r="K923" s="85"/>
    </row>
    <row r="924">
      <c r="A924" s="85"/>
      <c r="B924" s="85"/>
      <c r="C924" s="85"/>
      <c r="D924" s="85"/>
      <c r="E924" s="89"/>
      <c r="F924" s="85"/>
      <c r="G924" s="85"/>
      <c r="H924" s="85"/>
      <c r="I924" s="85"/>
      <c r="J924" s="85"/>
      <c r="K924" s="85"/>
    </row>
    <row r="925">
      <c r="A925" s="85"/>
      <c r="B925" s="85"/>
      <c r="C925" s="85"/>
      <c r="D925" s="85"/>
      <c r="E925" s="89"/>
      <c r="F925" s="85"/>
      <c r="G925" s="85"/>
      <c r="H925" s="85"/>
      <c r="I925" s="85"/>
      <c r="J925" s="85"/>
      <c r="K925" s="85"/>
    </row>
    <row r="926">
      <c r="A926" s="85"/>
      <c r="B926" s="85"/>
      <c r="C926" s="85"/>
      <c r="D926" s="85"/>
      <c r="E926" s="89"/>
      <c r="F926" s="85"/>
      <c r="G926" s="85"/>
      <c r="H926" s="85"/>
      <c r="I926" s="85"/>
      <c r="J926" s="85"/>
      <c r="K926" s="85"/>
    </row>
    <row r="927">
      <c r="A927" s="85"/>
      <c r="B927" s="85"/>
      <c r="C927" s="85"/>
      <c r="D927" s="85"/>
      <c r="E927" s="89"/>
      <c r="F927" s="85"/>
      <c r="G927" s="85"/>
      <c r="H927" s="85"/>
      <c r="I927" s="85"/>
      <c r="J927" s="85"/>
      <c r="K927" s="85"/>
    </row>
    <row r="928">
      <c r="A928" s="85"/>
      <c r="B928" s="85"/>
      <c r="C928" s="85"/>
      <c r="D928" s="85"/>
      <c r="E928" s="89"/>
      <c r="F928" s="85"/>
      <c r="G928" s="85"/>
      <c r="H928" s="85"/>
      <c r="I928" s="85"/>
      <c r="J928" s="85"/>
      <c r="K928" s="85"/>
    </row>
    <row r="929">
      <c r="A929" s="85"/>
      <c r="B929" s="85"/>
      <c r="C929" s="85"/>
      <c r="D929" s="85"/>
      <c r="E929" s="89"/>
      <c r="F929" s="85"/>
      <c r="G929" s="85"/>
      <c r="H929" s="85"/>
      <c r="I929" s="85"/>
      <c r="J929" s="85"/>
      <c r="K929" s="85"/>
    </row>
    <row r="930">
      <c r="A930" s="85"/>
      <c r="B930" s="85"/>
      <c r="C930" s="85"/>
      <c r="D930" s="85"/>
      <c r="E930" s="89"/>
      <c r="F930" s="85"/>
      <c r="G930" s="85"/>
      <c r="H930" s="85"/>
      <c r="I930" s="85"/>
      <c r="J930" s="85"/>
      <c r="K930" s="85"/>
    </row>
    <row r="931">
      <c r="A931" s="85"/>
      <c r="B931" s="85"/>
      <c r="C931" s="85"/>
      <c r="D931" s="85"/>
      <c r="E931" s="89"/>
      <c r="F931" s="85"/>
      <c r="G931" s="85"/>
      <c r="H931" s="85"/>
      <c r="I931" s="85"/>
      <c r="J931" s="85"/>
      <c r="K931" s="85"/>
    </row>
    <row r="932">
      <c r="A932" s="85"/>
      <c r="B932" s="85"/>
      <c r="C932" s="85"/>
      <c r="D932" s="85"/>
      <c r="E932" s="89"/>
      <c r="F932" s="85"/>
      <c r="G932" s="85"/>
      <c r="H932" s="85"/>
      <c r="I932" s="85"/>
      <c r="J932" s="85"/>
      <c r="K932" s="85"/>
    </row>
    <row r="933">
      <c r="A933" s="85"/>
      <c r="B933" s="85"/>
      <c r="C933" s="85"/>
      <c r="D933" s="85"/>
      <c r="E933" s="89"/>
      <c r="F933" s="85"/>
      <c r="G933" s="85"/>
      <c r="H933" s="85"/>
      <c r="I933" s="85"/>
      <c r="J933" s="85"/>
      <c r="K933" s="85"/>
    </row>
    <row r="934">
      <c r="A934" s="85"/>
      <c r="B934" s="85"/>
      <c r="C934" s="85"/>
      <c r="D934" s="85"/>
      <c r="E934" s="89"/>
      <c r="F934" s="85"/>
      <c r="G934" s="85"/>
      <c r="H934" s="85"/>
      <c r="I934" s="85"/>
      <c r="J934" s="85"/>
      <c r="K934" s="85"/>
    </row>
    <row r="935">
      <c r="A935" s="85"/>
      <c r="B935" s="85"/>
      <c r="C935" s="85"/>
      <c r="D935" s="85"/>
      <c r="E935" s="89"/>
      <c r="F935" s="85"/>
      <c r="G935" s="85"/>
      <c r="H935" s="85"/>
      <c r="I935" s="85"/>
      <c r="J935" s="85"/>
      <c r="K935" s="85"/>
    </row>
    <row r="936">
      <c r="A936" s="85"/>
      <c r="B936" s="85"/>
      <c r="C936" s="85"/>
      <c r="D936" s="85"/>
      <c r="E936" s="89"/>
      <c r="F936" s="85"/>
      <c r="G936" s="85"/>
      <c r="H936" s="85"/>
      <c r="I936" s="85"/>
      <c r="J936" s="85"/>
      <c r="K936" s="85"/>
    </row>
    <row r="937">
      <c r="A937" s="85"/>
      <c r="B937" s="85"/>
      <c r="C937" s="85"/>
      <c r="D937" s="85"/>
      <c r="E937" s="89"/>
      <c r="F937" s="85"/>
      <c r="G937" s="85"/>
      <c r="H937" s="85"/>
      <c r="I937" s="85"/>
      <c r="J937" s="85"/>
      <c r="K937" s="85"/>
    </row>
    <row r="938">
      <c r="A938" s="85"/>
      <c r="B938" s="85"/>
      <c r="C938" s="85"/>
      <c r="D938" s="85"/>
      <c r="E938" s="89"/>
      <c r="F938" s="85"/>
      <c r="G938" s="85"/>
      <c r="H938" s="85"/>
      <c r="I938" s="85"/>
      <c r="J938" s="85"/>
      <c r="K938" s="85"/>
    </row>
    <row r="939">
      <c r="A939" s="85"/>
      <c r="B939" s="85"/>
      <c r="C939" s="85"/>
      <c r="D939" s="85"/>
      <c r="E939" s="89"/>
      <c r="F939" s="85"/>
      <c r="G939" s="85"/>
      <c r="H939" s="85"/>
      <c r="I939" s="85"/>
      <c r="J939" s="85"/>
      <c r="K939" s="85"/>
    </row>
    <row r="940">
      <c r="A940" s="85"/>
      <c r="B940" s="85"/>
      <c r="C940" s="85"/>
      <c r="D940" s="85"/>
      <c r="E940" s="89"/>
      <c r="F940" s="85"/>
      <c r="G940" s="85"/>
      <c r="H940" s="85"/>
      <c r="I940" s="85"/>
      <c r="J940" s="85"/>
      <c r="K940" s="85"/>
    </row>
    <row r="941">
      <c r="A941" s="85"/>
      <c r="B941" s="85"/>
      <c r="C941" s="85"/>
      <c r="D941" s="85"/>
      <c r="E941" s="89"/>
      <c r="F941" s="85"/>
      <c r="G941" s="85"/>
      <c r="H941" s="85"/>
      <c r="I941" s="85"/>
      <c r="J941" s="85"/>
      <c r="K941" s="85"/>
    </row>
    <row r="942">
      <c r="A942" s="85"/>
      <c r="B942" s="85"/>
      <c r="C942" s="85"/>
      <c r="D942" s="85"/>
      <c r="E942" s="89"/>
      <c r="F942" s="85"/>
      <c r="G942" s="85"/>
      <c r="H942" s="85"/>
      <c r="I942" s="85"/>
      <c r="J942" s="85"/>
      <c r="K942" s="85"/>
    </row>
    <row r="943">
      <c r="A943" s="85"/>
      <c r="B943" s="85"/>
      <c r="C943" s="85"/>
      <c r="D943" s="85"/>
      <c r="E943" s="89"/>
      <c r="F943" s="85"/>
      <c r="G943" s="85"/>
      <c r="H943" s="85"/>
      <c r="I943" s="85"/>
      <c r="J943" s="85"/>
      <c r="K943" s="85"/>
    </row>
    <row r="944">
      <c r="A944" s="85"/>
      <c r="B944" s="85"/>
      <c r="C944" s="85"/>
      <c r="D944" s="85"/>
      <c r="E944" s="89"/>
      <c r="F944" s="85"/>
      <c r="G944" s="85"/>
      <c r="H944" s="85"/>
      <c r="I944" s="85"/>
      <c r="J944" s="85"/>
      <c r="K944" s="85"/>
    </row>
    <row r="945">
      <c r="A945" s="85"/>
      <c r="B945" s="85"/>
      <c r="C945" s="85"/>
      <c r="D945" s="85"/>
      <c r="E945" s="89"/>
      <c r="F945" s="85"/>
      <c r="G945" s="85"/>
      <c r="H945" s="85"/>
      <c r="I945" s="85"/>
      <c r="J945" s="85"/>
      <c r="K945" s="85"/>
    </row>
    <row r="946">
      <c r="A946" s="85"/>
      <c r="B946" s="85"/>
      <c r="C946" s="85"/>
      <c r="D946" s="85"/>
      <c r="E946" s="89"/>
      <c r="F946" s="85"/>
      <c r="G946" s="85"/>
      <c r="H946" s="85"/>
      <c r="I946" s="85"/>
      <c r="J946" s="85"/>
      <c r="K946" s="85"/>
    </row>
    <row r="947">
      <c r="A947" s="85"/>
      <c r="B947" s="85"/>
      <c r="C947" s="85"/>
      <c r="D947" s="85"/>
      <c r="E947" s="89"/>
      <c r="F947" s="85"/>
      <c r="G947" s="85"/>
      <c r="H947" s="85"/>
      <c r="I947" s="85"/>
      <c r="J947" s="85"/>
      <c r="K947" s="85"/>
    </row>
    <row r="948">
      <c r="A948" s="85"/>
      <c r="B948" s="85"/>
      <c r="C948" s="85"/>
      <c r="D948" s="85"/>
      <c r="E948" s="89"/>
      <c r="F948" s="85"/>
      <c r="G948" s="85"/>
      <c r="H948" s="85"/>
      <c r="I948" s="85"/>
      <c r="J948" s="85"/>
      <c r="K948" s="85"/>
    </row>
    <row r="949">
      <c r="A949" s="85"/>
      <c r="B949" s="85"/>
      <c r="C949" s="85"/>
      <c r="D949" s="85"/>
      <c r="E949" s="89"/>
      <c r="F949" s="85"/>
      <c r="G949" s="85"/>
      <c r="H949" s="85"/>
      <c r="I949" s="85"/>
      <c r="J949" s="85"/>
      <c r="K949" s="85"/>
    </row>
    <row r="950">
      <c r="A950" s="85"/>
      <c r="B950" s="85"/>
      <c r="C950" s="85"/>
      <c r="D950" s="85"/>
      <c r="E950" s="89"/>
      <c r="F950" s="85"/>
      <c r="G950" s="85"/>
      <c r="H950" s="85"/>
      <c r="I950" s="85"/>
      <c r="J950" s="85"/>
      <c r="K950" s="85"/>
    </row>
    <row r="951">
      <c r="A951" s="85"/>
      <c r="B951" s="85"/>
      <c r="C951" s="85"/>
      <c r="D951" s="85"/>
      <c r="E951" s="89"/>
      <c r="F951" s="85"/>
      <c r="G951" s="85"/>
      <c r="H951" s="85"/>
      <c r="I951" s="85"/>
      <c r="J951" s="85"/>
      <c r="K951" s="85"/>
    </row>
    <row r="952">
      <c r="A952" s="85"/>
      <c r="B952" s="85"/>
      <c r="C952" s="85"/>
      <c r="D952" s="85"/>
      <c r="E952" s="89"/>
      <c r="F952" s="85"/>
      <c r="G952" s="85"/>
      <c r="H952" s="85"/>
      <c r="I952" s="85"/>
      <c r="J952" s="85"/>
      <c r="K952" s="85"/>
    </row>
    <row r="953">
      <c r="A953" s="85"/>
      <c r="B953" s="85"/>
      <c r="C953" s="85"/>
      <c r="D953" s="85"/>
      <c r="E953" s="89"/>
      <c r="F953" s="85"/>
      <c r="G953" s="85"/>
      <c r="H953" s="85"/>
      <c r="I953" s="85"/>
      <c r="J953" s="85"/>
      <c r="K953" s="85"/>
    </row>
    <row r="954">
      <c r="A954" s="85"/>
      <c r="B954" s="85"/>
      <c r="C954" s="85"/>
      <c r="D954" s="85"/>
      <c r="E954" s="89"/>
      <c r="F954" s="85"/>
      <c r="G954" s="85"/>
      <c r="H954" s="85"/>
      <c r="I954" s="85"/>
      <c r="J954" s="85"/>
      <c r="K954" s="85"/>
    </row>
    <row r="955">
      <c r="A955" s="85"/>
      <c r="B955" s="85"/>
      <c r="C955" s="85"/>
      <c r="D955" s="85"/>
      <c r="E955" s="89"/>
      <c r="F955" s="85"/>
      <c r="G955" s="85"/>
      <c r="H955" s="85"/>
      <c r="I955" s="85"/>
      <c r="J955" s="85"/>
      <c r="K955" s="85"/>
    </row>
  </sheetData>
  <autoFilter ref="$A$1:$O$397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5.5"/>
    <col customWidth="1" min="3" max="3" width="11.13"/>
    <col customWidth="1" min="4" max="4" width="17.38"/>
    <col customWidth="1" hidden="1" min="5" max="5" width="51.63"/>
    <col customWidth="1" min="9" max="9" width="9.5"/>
    <col hidden="1" min="10" max="10" width="12.63"/>
    <col customWidth="1" min="11" max="11" width="22.38"/>
    <col customWidth="1" min="12" max="12" width="9.88"/>
    <col customWidth="1" min="13" max="14" width="9.25"/>
    <col customWidth="1" min="15" max="15" width="7.75"/>
  </cols>
  <sheetData>
    <row r="1">
      <c r="A1" s="83" t="s">
        <v>11</v>
      </c>
      <c r="B1" s="46" t="s">
        <v>43</v>
      </c>
      <c r="C1" s="47" t="s">
        <v>13</v>
      </c>
      <c r="D1" s="47" t="s">
        <v>4972</v>
      </c>
      <c r="E1" s="84" t="s">
        <v>15</v>
      </c>
      <c r="F1" s="47" t="s">
        <v>21</v>
      </c>
      <c r="G1" s="47" t="s">
        <v>22</v>
      </c>
      <c r="H1" s="47" t="s">
        <v>23</v>
      </c>
      <c r="I1" s="47" t="s">
        <v>16</v>
      </c>
      <c r="J1" s="47" t="s">
        <v>17</v>
      </c>
      <c r="K1" s="2" t="s">
        <v>4980</v>
      </c>
      <c r="L1" s="6" t="str">
        <f>'Coder-1'!B1</f>
        <v>请至Coder-1中填写姓名</v>
      </c>
      <c r="M1" s="47" t="str">
        <f>'Coder-2'!B1</f>
        <v>请至Coder-2中填写姓名</v>
      </c>
      <c r="N1" s="85" t="str">
        <f>'Coder-3'!B1</f>
        <v>请至Coder-3中填写姓名</v>
      </c>
      <c r="O1" s="6" t="str">
        <f>'Coder-4'!B1</f>
        <v>请至Coder-4中填写姓名</v>
      </c>
      <c r="P1" s="15" t="s">
        <v>4981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</row>
    <row r="2">
      <c r="A2" s="83">
        <v>11.0</v>
      </c>
      <c r="B2" s="86" t="str">
        <f>IFERROR(__xludf.DUMMYFUNCTION("IF(ISBLANK(A2),,FILTER('Leetcode List'!B:C,'Leetcode List'!A:A = A2))"),"Container With Most Water")</f>
        <v>Container With Most Water</v>
      </c>
      <c r="C2" s="47" t="str">
        <f>IFERROR(__xludf.DUMMYFUNCTION("""COMPUTED_VALUE"""),"Medium")</f>
        <v>Medium</v>
      </c>
      <c r="D2" s="83" t="s">
        <v>151</v>
      </c>
      <c r="E2" s="87" t="str">
        <f>IFERROR(__xludf.DUMMYFUNCTION("IF(ISBLANK(A2),,FILTER('Leetcode List'!E:J,'Leetcode List'!A:A = A2))"),"Flipkart,Tcs,Salesforce,Walmart Labs,ByteDance,VMware,Oracle,Lyft,Apple,Airbnb,Uber,Yahoo,Bloomberg,Adobe,Facebook,Amazon,Microsoft,Goldman Sachs,Google")</f>
        <v>Flipkart,Tcs,Salesforce,Walmart Labs,ByteDance,VMware,Oracle,Lyft,Apple,Airbnb,Uber,Yahoo,Bloomberg,Adobe,Facebook,Amazon,Microsoft,Goldman Sachs,Google</v>
      </c>
      <c r="F2" s="47" t="str">
        <f>IFERROR(__xludf.DUMMYFUNCTION("""COMPUTED_VALUE"""),"Amazon,Facebook,Microsoft,Goldman Sachs,Adobe,Google,Apple,Yahoo,Salesforce,tcs")</f>
        <v>Amazon,Facebook,Microsoft,Goldman Sachs,Adobe,Google,Apple,Yahoo,Salesforce,tcs</v>
      </c>
      <c r="G2" s="47" t="str">
        <f>IFERROR(__xludf.DUMMYFUNCTION("""COMPUTED_VALUE"""),"Walmart Labs,ByteDance,Flipkart,Bloomberg,Amazon,Facebook,Microsoft,Goldman Sachs,Adobe,Google,Apple,Yahoo,Salesforce,tcs")</f>
        <v>Walmart Labs,ByteDance,Flipkart,Bloomberg,Amazon,Facebook,Microsoft,Goldman Sachs,Adobe,Google,Apple,Yahoo,Salesforce,tcs</v>
      </c>
      <c r="H2" s="47" t="str">
        <f>IFERROR(__xludf.DUMMYFUNCTION("""COMPUTED_VALUE"""),"VMware,Walmart Labs,ByteDance,Flipkart,Bloomberg,Amazon,Facebook,Microsoft,Goldman Sachs,Adobe,Google,Apple,Yahoo,Salesforce,tcs")</f>
        <v>VMware,Walmart Labs,ByteDance,Flipkart,Bloomberg,Amazon,Facebook,Microsoft,Goldman Sachs,Adobe,Google,Apple,Yahoo,Salesforce,tcs</v>
      </c>
      <c r="I2" s="47">
        <f>IFERROR(__xludf.DUMMYFUNCTION("""COMPUTED_VALUE"""),52.84)</f>
        <v>52.84</v>
      </c>
      <c r="J2" s="47" t="str">
        <f>IFERROR(__xludf.DUMMYFUNCTION("""COMPUTED_VALUE"""),"算法")</f>
        <v>算法</v>
      </c>
      <c r="L2" s="6">
        <f>COUNTIF('Coder-1'!B:B,A2)</f>
        <v>0</v>
      </c>
      <c r="M2" s="6">
        <f>COUNTIF('Coder-2'!B:B,A2)</f>
        <v>0</v>
      </c>
      <c r="N2" s="6">
        <f>COUNTIF('Coder-3'!B:B,A2)</f>
        <v>0</v>
      </c>
      <c r="O2" s="6">
        <f>COUNTIF('Coder-4'!B:B,A2)</f>
        <v>0</v>
      </c>
    </row>
    <row r="3">
      <c r="A3" s="83">
        <v>15.0</v>
      </c>
      <c r="B3" s="86" t="str">
        <f>IFERROR(__xludf.DUMMYFUNCTION("IF(ISBLANK(A3),,FILTER('Leetcode List'!B:C,'Leetcode List'!A:A = A3))"),"3Sum")</f>
        <v>3Sum</v>
      </c>
      <c r="C3" s="47" t="str">
        <f>IFERROR(__xludf.DUMMYFUNCTION("""COMPUTED_VALUE"""),"Medium")</f>
        <v>Medium</v>
      </c>
      <c r="D3" s="83" t="s">
        <v>151</v>
      </c>
      <c r="E3" s="87" t="str">
        <f>IFERROR(__xludf.DUMMYFUNCTION("IF(ISBLANK(A3),,FILTER('Leetcode List'!E:J,'Leetcode List'!A:A = A3))"),"Akamai,Tesla,Hulu,Infosys,ServiceNow,Samsung,DoorDash,Postmates,Akuna Capital,Square,Qualtrics,Coursera,Citrix,Splunk,ByteDance,Salesforce,Groupon,Visa,VMware,Citadel,Quora,Walmart Labs,Snapchat,Works Applications,Paypal,Expedia,Zoho,Oracle,IBM,Cisco,Math"&amp;"works,Yandex,EBay,Baidu,Apple,Uber,Yahoo,Tencent,Bloomberg,Adobe,Facebook,Amazon,Microsoft,Alibaba,Goldman Sachs,Google")</f>
        <v>Akamai,Tesla,Hulu,Infosys,ServiceNow,Samsung,DoorDash,Postmates,Akuna Capital,Square,Qualtrics,Coursera,Citrix,Splunk,ByteDance,Salesforce,Groupon,Visa,VMware,Citadel,Quora,Walmart Labs,Snapchat,Works Applications,Paypal,Expedia,Zoho,Oracle,IBM,Cisco,Mathworks,Yandex,EBay,Baidu,Apple,Uber,Yahoo,Tencent,Bloomberg,Adobe,Facebook,Amazon,Microsoft,Alibaba,Goldman Sachs,Google</v>
      </c>
      <c r="F3" s="47" t="str">
        <f>IFERROR(__xludf.DUMMYFUNCTION("""COMPUTED_VALUE"""),"Amazon,Facebook,Microsoft,Bloomberg,Apple,Adobe,VMware,Google,Tesla,Goldman Sachs,Cisco,Oracle")</f>
        <v>Amazon,Facebook,Microsoft,Bloomberg,Apple,Adobe,VMware,Google,Tesla,Goldman Sachs,Cisco,Oracle</v>
      </c>
      <c r="G3" s="47" t="str">
        <f>IFERROR(__xludf.DUMMYFUNCTION("""COMPUTED_VALUE"""),"Uber,Qualtrics,Walmart Labs,ByteDance,Citrix,Amazon,Facebook,Microsoft,Bloomberg,Apple,Adobe,VMware,Google,Tesla,Goldman Sachs,Cisco,Oracle")</f>
        <v>Uber,Qualtrics,Walmart Labs,ByteDance,Citrix,Amazon,Facebook,Microsoft,Bloomberg,Apple,Adobe,VMware,Google,Tesla,Goldman Sachs,Cisco,Oracle</v>
      </c>
      <c r="H3" s="47" t="str">
        <f>IFERROR(__xludf.DUMMYFUNCTION("""COMPUTED_VALUE"""),"Visa,eBay,Yahoo,Mathworks,IBM,DoorDash,Citadel,Akamai,Alibaba,Tencent,Samsung,Square,Paypal,ServiceNow,Hulu,Splunk,Postmates,Groupon,Zoho,Infosys,Works Applications,Uber,Qualtrics,Walmart Labs,ByteDance,Citrix,Amazon,Facebook,Microsoft,Bloomberg,Apple,Ado"&amp;"be,VMware,Google,Tesla,Goldman Sachs,Cisco,Oracle")</f>
        <v>Visa,eBay,Yahoo,Mathworks,IBM,DoorDash,Citadel,Akamai,Alibaba,Tencent,Samsung,Square,Paypal,ServiceNow,Hulu,Splunk,Postmates,Groupon,Zoho,Infosys,Works Applications,Uber,Qualtrics,Walmart Labs,ByteDance,Citrix,Amazon,Facebook,Microsoft,Bloomberg,Apple,Adobe,VMware,Google,Tesla,Goldman Sachs,Cisco,Oracle</v>
      </c>
      <c r="I3" s="47">
        <f>IFERROR(__xludf.DUMMYFUNCTION("""COMPUTED_VALUE"""),28.14)</f>
        <v>28.14</v>
      </c>
      <c r="J3" s="47" t="str">
        <f>IFERROR(__xludf.DUMMYFUNCTION("""COMPUTED_VALUE"""),"算法")</f>
        <v>算法</v>
      </c>
      <c r="L3" s="6">
        <f>COUNTIF('Coder-1'!B:B,A3)</f>
        <v>0</v>
      </c>
      <c r="M3" s="6">
        <f>COUNTIF('Coder-2'!B:B,A3)</f>
        <v>0</v>
      </c>
      <c r="N3" s="6">
        <f>COUNTIF('Coder-3'!B:B,A3)</f>
        <v>0</v>
      </c>
      <c r="O3" s="6">
        <f>COUNTIF('Coder-4'!B:B,A3)</f>
        <v>0</v>
      </c>
    </row>
    <row r="4">
      <c r="A4" s="83">
        <v>16.0</v>
      </c>
      <c r="B4" s="86" t="str">
        <f>IFERROR(__xludf.DUMMYFUNCTION("IF(ISBLANK(A4),,FILTER('Leetcode List'!B:C,'Leetcode List'!A:A = A4))"),"3Sum Closest")</f>
        <v>3Sum Closest</v>
      </c>
      <c r="C4" s="47" t="str">
        <f>IFERROR(__xludf.DUMMYFUNCTION("""COMPUTED_VALUE"""),"Medium")</f>
        <v>Medium</v>
      </c>
      <c r="D4" s="83" t="s">
        <v>151</v>
      </c>
      <c r="E4" s="87" t="str">
        <f>IFERROR(__xludf.DUMMYFUNCTION("IF(ISBLANK(A4),,FILTER('Leetcode List'!E:J,'Leetcode List'!A:A = A4))"),"VMware,Yandex,Apple,Uber,SAP,Bloomberg,Adobe,Facebook,Amazon,Microsoft,Goldman Sachs,Google")</f>
        <v>VMware,Yandex,Apple,Uber,SAP,Bloomberg,Adobe,Facebook,Amazon,Microsoft,Goldman Sachs,Google</v>
      </c>
      <c r="F4" s="47" t="str">
        <f>IFERROR(__xludf.DUMMYFUNCTION("""COMPUTED_VALUE"""),"Amazon,Apple,Facebook,Google,Bloomberg")</f>
        <v>Amazon,Apple,Facebook,Google,Bloomberg</v>
      </c>
      <c r="G4" s="47" t="str">
        <f>IFERROR(__xludf.DUMMYFUNCTION("""COMPUTED_VALUE"""),"Adobe,Uber,Amazon,Apple,Facebook,Google,Bloomberg")</f>
        <v>Adobe,Uber,Amazon,Apple,Facebook,Google,Bloomberg</v>
      </c>
      <c r="H4" s="47" t="str">
        <f>IFERROR(__xludf.DUMMYFUNCTION("""COMPUTED_VALUE"""),"Microsoft,Goldman Sachs,Adobe,Uber,Amazon,Apple,Facebook,Google,Bloomberg")</f>
        <v>Microsoft,Goldman Sachs,Adobe,Uber,Amazon,Apple,Facebook,Google,Bloomberg</v>
      </c>
      <c r="I4" s="47">
        <f>IFERROR(__xludf.DUMMYFUNCTION("""COMPUTED_VALUE"""),46.32)</f>
        <v>46.32</v>
      </c>
      <c r="J4" s="47" t="str">
        <f>IFERROR(__xludf.DUMMYFUNCTION("""COMPUTED_VALUE"""),"算法")</f>
        <v>算法</v>
      </c>
      <c r="L4" s="6">
        <f>COUNTIF('Coder-1'!B:B,A4)</f>
        <v>0</v>
      </c>
      <c r="M4" s="6">
        <f>COUNTIF('Coder-2'!B:B,A4)</f>
        <v>0</v>
      </c>
      <c r="N4" s="6">
        <f>COUNTIF('Coder-3'!B:B,A4)</f>
        <v>0</v>
      </c>
      <c r="O4" s="6">
        <f>COUNTIF('Coder-4'!B:B,A4)</f>
        <v>0</v>
      </c>
    </row>
    <row r="5">
      <c r="A5" s="83">
        <v>18.0</v>
      </c>
      <c r="B5" s="86" t="str">
        <f>IFERROR(__xludf.DUMMYFUNCTION("IF(ISBLANK(A5),,FILTER('Leetcode List'!B:C,'Leetcode List'!A:A = A5))"),"4Sum")</f>
        <v>4Sum</v>
      </c>
      <c r="C5" s="47" t="str">
        <f>IFERROR(__xludf.DUMMYFUNCTION("""COMPUTED_VALUE"""),"Medium")</f>
        <v>Medium</v>
      </c>
      <c r="D5" s="83" t="s">
        <v>151</v>
      </c>
      <c r="E5" s="87" t="str">
        <f>IFERROR(__xludf.DUMMYFUNCTION("IF(ISBLANK(A5),,FILTER('Leetcode List'!E:J,'Leetcode List'!A:A = A5))"),"Goldman Sachs,Apple,Yahoo,Bloomberg,Adobe,Facebook,Amazon,Microsoft,Google")</f>
        <v>Goldman Sachs,Apple,Yahoo,Bloomberg,Adobe,Facebook,Amazon,Microsoft,Google</v>
      </c>
      <c r="F5" s="47" t="str">
        <f>IFERROR(__xludf.DUMMYFUNCTION("""COMPUTED_VALUE"""),"Amazon,Bloomberg")</f>
        <v>Amazon,Bloomberg</v>
      </c>
      <c r="G5" s="47" t="str">
        <f>IFERROR(__xludf.DUMMYFUNCTION("""COMPUTED_VALUE"""),"Adobe,Apple,Goldman Sachs,Amazon,Bloomberg")</f>
        <v>Adobe,Apple,Goldman Sachs,Amazon,Bloomberg</v>
      </c>
      <c r="H5" s="47" t="str">
        <f>IFERROR(__xludf.DUMMYFUNCTION("""COMPUTED_VALUE"""),"Google,Microsoft,Yahoo,Adobe,Apple,Goldman Sachs,Amazon,Bloomberg")</f>
        <v>Google,Microsoft,Yahoo,Adobe,Apple,Goldman Sachs,Amazon,Bloomberg</v>
      </c>
      <c r="I5" s="47">
        <f>IFERROR(__xludf.DUMMYFUNCTION("""COMPUTED_VALUE"""),34.99)</f>
        <v>34.99</v>
      </c>
      <c r="J5" s="47" t="str">
        <f>IFERROR(__xludf.DUMMYFUNCTION("""COMPUTED_VALUE"""),"算法")</f>
        <v>算法</v>
      </c>
      <c r="L5" s="6">
        <f>COUNTIF('Coder-1'!B:B,A5)</f>
        <v>0</v>
      </c>
      <c r="M5" s="6">
        <f>COUNTIF('Coder-2'!B:B,A5)</f>
        <v>0</v>
      </c>
      <c r="N5" s="6">
        <f>COUNTIF('Coder-3'!B:B,A5)</f>
        <v>0</v>
      </c>
      <c r="O5" s="6">
        <f>COUNTIF('Coder-4'!B:B,A5)</f>
        <v>0</v>
      </c>
    </row>
    <row r="6">
      <c r="A6" s="83">
        <v>259.0</v>
      </c>
      <c r="B6" s="86" t="str">
        <f>IFERROR(__xludf.DUMMYFUNCTION("IF(ISBLANK(A6),,FILTER('Leetcode List'!B:C,'Leetcode List'!A:A = A6))"),"3Sum Smaller")</f>
        <v>3Sum Smaller</v>
      </c>
      <c r="C6" s="47" t="str">
        <f>IFERROR(__xludf.DUMMYFUNCTION("""COMPUTED_VALUE"""),"Medium")</f>
        <v>Medium</v>
      </c>
      <c r="D6" s="83" t="s">
        <v>151</v>
      </c>
      <c r="E6" s="87" t="str">
        <f>IFERROR(__xludf.DUMMYFUNCTION("IF(ISBLANK(A6),,FILTER('Leetcode List'!E:J,'Leetcode List'!A:A = A6))"),"Citadel,Adobe,IBM,Mathworks,Google")</f>
        <v>Citadel,Adobe,IBM,Mathworks,Google</v>
      </c>
      <c r="F6" s="47" t="str">
        <f>IFERROR(__xludf.DUMMYFUNCTION("""COMPUTED_VALUE"""),"IBM,Citadel")</f>
        <v>IBM,Citadel</v>
      </c>
      <c r="G6" s="47" t="str">
        <f>IFERROR(__xludf.DUMMYFUNCTION("""COMPUTED_VALUE"""),"Google,Adobe,IBM,Citadel")</f>
        <v>Google,Adobe,IBM,Citadel</v>
      </c>
      <c r="H6" s="47" t="str">
        <f>IFERROR(__xludf.DUMMYFUNCTION("""COMPUTED_VALUE"""),"Mathworks,Google,Adobe,IBM,Citadel")</f>
        <v>Mathworks,Google,Adobe,IBM,Citadel</v>
      </c>
      <c r="I6" s="47">
        <f>IFERROR(__xludf.DUMMYFUNCTION("""COMPUTED_VALUE"""),49.07)</f>
        <v>49.07</v>
      </c>
      <c r="J6" s="47" t="str">
        <f>IFERROR(__xludf.DUMMYFUNCTION("""COMPUTED_VALUE"""),"算法")</f>
        <v>算法</v>
      </c>
      <c r="L6" s="6">
        <f>COUNTIF('Coder-1'!B:B,A6)</f>
        <v>0</v>
      </c>
      <c r="M6" s="6">
        <f>COUNTIF('Coder-2'!B:B,A6)</f>
        <v>0</v>
      </c>
      <c r="N6" s="6">
        <f>COUNTIF('Coder-3'!B:B,A6)</f>
        <v>0</v>
      </c>
      <c r="O6" s="6">
        <f>COUNTIF('Coder-4'!B:B,A6)</f>
        <v>0</v>
      </c>
    </row>
    <row r="7">
      <c r="A7" s="83">
        <v>30.0</v>
      </c>
      <c r="B7" s="86" t="str">
        <f>IFERROR(__xludf.DUMMYFUNCTION("IF(ISBLANK(A7),,FILTER('Leetcode List'!B:C,'Leetcode List'!A:A = A7))"),"Substring with Concatenation of All Words")</f>
        <v>Substring with Concatenation of All Words</v>
      </c>
      <c r="C7" s="47" t="str">
        <f>IFERROR(__xludf.DUMMYFUNCTION("""COMPUTED_VALUE"""),"Hard")</f>
        <v>Hard</v>
      </c>
      <c r="D7" s="83" t="s">
        <v>151</v>
      </c>
      <c r="E7" s="87" t="str">
        <f>IFERROR(__xludf.DUMMYFUNCTION("IF(ISBLANK(A7),,FILTER('Leetcode List'!E:J,'Leetcode List'!A:A = A7))"),"Apple,Bloomberg,Adobe,Facebook,Amazon,Microsoft,Google")</f>
        <v>Apple,Bloomberg,Adobe,Facebook,Amazon,Microsoft,Google</v>
      </c>
      <c r="F7" s="47" t="str">
        <f>IFERROR(__xludf.DUMMYFUNCTION("""COMPUTED_VALUE"""),"Amazon,Adobe")</f>
        <v>Amazon,Adobe</v>
      </c>
      <c r="G7" s="47" t="str">
        <f>IFERROR(__xludf.DUMMYFUNCTION("""COMPUTED_VALUE"""),"Bloomberg,Google,Amazon,Adobe")</f>
        <v>Bloomberg,Google,Amazon,Adobe</v>
      </c>
      <c r="H7" s="47" t="str">
        <f>IFERROR(__xludf.DUMMYFUNCTION("""COMPUTED_VALUE"""),"Microsoft,Facebook,Bloomberg,Google,Amazon,Adobe")</f>
        <v>Microsoft,Facebook,Bloomberg,Google,Amazon,Adobe</v>
      </c>
      <c r="I7" s="47">
        <f>IFERROR(__xludf.DUMMYFUNCTION("""COMPUTED_VALUE"""),26.28)</f>
        <v>26.28</v>
      </c>
      <c r="J7" s="47" t="str">
        <f>IFERROR(__xludf.DUMMYFUNCTION("""COMPUTED_VALUE"""),"算法")</f>
        <v>算法</v>
      </c>
      <c r="L7" s="6">
        <f>COUNTIF('Coder-1'!B:B,A7)</f>
        <v>0</v>
      </c>
      <c r="M7" s="6">
        <f>COUNTIF('Coder-2'!B:B,A7)</f>
        <v>0</v>
      </c>
      <c r="N7" s="6">
        <f>COUNTIF('Coder-3'!B:B,A7)</f>
        <v>0</v>
      </c>
      <c r="O7" s="6">
        <f>COUNTIF('Coder-4'!B:B,A7)</f>
        <v>0</v>
      </c>
    </row>
    <row r="8">
      <c r="A8" s="83">
        <v>75.0</v>
      </c>
      <c r="B8" s="86" t="str">
        <f>IFERROR(__xludf.DUMMYFUNCTION("IF(ISBLANK(A8),,FILTER('Leetcode List'!B:C,'Leetcode List'!A:A = A8))"),"Sort Colors")</f>
        <v>Sort Colors</v>
      </c>
      <c r="C8" s="47" t="str">
        <f>IFERROR(__xludf.DUMMYFUNCTION("""COMPUTED_VALUE"""),"Medium")</f>
        <v>Medium</v>
      </c>
      <c r="D8" s="83" t="s">
        <v>151</v>
      </c>
      <c r="E8" s="87" t="str">
        <f>IFERROR(__xludf.DUMMYFUNCTION("IF(ISBLANK(A8),,FILTER('Leetcode List'!E:J,'Leetcode List'!A:A = A8))"),"VMware,Expedia,Nvidia,Spotify,Adobe,Goldman Sachs,Pocket Gems,Pure Storage,Walmart Labs,Paypal,Oracle,EBay,Apple,Uber,Yahoo,Bloomberg,Facebook,Amazon,LinkedIn,Microsoft,Google")</f>
        <v>VMware,Expedia,Nvidia,Spotify,Adobe,Goldman Sachs,Pocket Gems,Pure Storage,Walmart Labs,Paypal,Oracle,EBay,Apple,Uber,Yahoo,Bloomberg,Facebook,Amazon,LinkedIn,Microsoft,Google</v>
      </c>
      <c r="F8" s="47" t="str">
        <f>IFERROR(__xludf.DUMMYFUNCTION("""COMPUTED_VALUE"""),"Microsoft,Oracle,Amazon,Facebook,Adobe,eBay,Nvidia,Expedia,Spotify")</f>
        <v>Microsoft,Oracle,Amazon,Facebook,Adobe,eBay,Nvidia,Expedia,Spotify</v>
      </c>
      <c r="G8" s="47" t="str">
        <f>IFERROR(__xludf.DUMMYFUNCTION("""COMPUTED_VALUE"""),"Apple,Pure Storage,Goldman Sachs,Microsoft,Oracle,Amazon,Facebook,Adobe,eBay,Nvidia,Expedia,Spotify")</f>
        <v>Apple,Pure Storage,Goldman Sachs,Microsoft,Oracle,Amazon,Facebook,Adobe,eBay,Nvidia,Expedia,Spotify</v>
      </c>
      <c r="H8" s="47" t="str">
        <f>IFERROR(__xludf.DUMMYFUNCTION("""COMPUTED_VALUE"""),"LinkedIn,Uber,Google,Yahoo,Bloomberg,VMware,Paypal,Pocket Gems,Apple,Pure Storage,Goldman Sachs,Microsoft,Oracle,Amazon,Facebook,Adobe,eBay,Nvidia,Expedia,Spotify")</f>
        <v>LinkedIn,Uber,Google,Yahoo,Bloomberg,VMware,Paypal,Pocket Gems,Apple,Pure Storage,Goldman Sachs,Microsoft,Oracle,Amazon,Facebook,Adobe,eBay,Nvidia,Expedia,Spotify</v>
      </c>
      <c r="I8" s="47">
        <f>IFERROR(__xludf.DUMMYFUNCTION("""COMPUTED_VALUE"""),49.6)</f>
        <v>49.6</v>
      </c>
      <c r="J8" s="47" t="str">
        <f>IFERROR(__xludf.DUMMYFUNCTION("""COMPUTED_VALUE"""),"算法")</f>
        <v>算法</v>
      </c>
      <c r="L8" s="6">
        <f>COUNTIF('Coder-1'!B:B,A8)</f>
        <v>0</v>
      </c>
      <c r="M8" s="6">
        <f>COUNTIF('Coder-2'!B:B,A8)</f>
        <v>0</v>
      </c>
      <c r="N8" s="6">
        <f>COUNTIF('Coder-3'!B:B,A8)</f>
        <v>0</v>
      </c>
      <c r="O8" s="6">
        <f>COUNTIF('Coder-4'!B:B,A8)</f>
        <v>0</v>
      </c>
    </row>
    <row r="9">
      <c r="A9" s="83">
        <v>76.0</v>
      </c>
      <c r="B9" s="86" t="str">
        <f>IFERROR(__xludf.DUMMYFUNCTION("IF(ISBLANK(A9),,FILTER('Leetcode List'!B:C,'Leetcode List'!A:A = A9))"),"Minimum Window Substring")</f>
        <v>Minimum Window Substring</v>
      </c>
      <c r="C9" s="47" t="str">
        <f>IFERROR(__xludf.DUMMYFUNCTION("""COMPUTED_VALUE"""),"Hard")</f>
        <v>Hard</v>
      </c>
      <c r="D9" s="83" t="s">
        <v>151</v>
      </c>
      <c r="E9" s="87" t="str">
        <f>IFERROR(__xludf.DUMMYFUNCTION("IF(ISBLANK(A9),,FILTER('Leetcode List'!E:J,'Leetcode List'!A:A = A9))"),"Pinterest,Cohesity,Nutanix,ByteDance,Deutsche Bank,Salesforce,Visa,VMware,Walmart Labs,GoDaddy,Snapchat,Twitter,Oracle,Lyft,EBay,Apple,Airbnb,Uber,Yahoo,Tencent,Bloomberg,Adobe,Facebook,Amazon,LinkedIn,Microsoft,Goldman Sachs,Google")</f>
        <v>Pinterest,Cohesity,Nutanix,ByteDance,Deutsche Bank,Salesforce,Visa,VMware,Walmart Labs,GoDaddy,Snapchat,Twitter,Oracle,Lyft,EBay,Apple,Airbnb,Uber,Yahoo,Tencent,Bloomberg,Adobe,Facebook,Amazon,LinkedIn,Microsoft,Goldman Sachs,Google</v>
      </c>
      <c r="F9" s="47" t="str">
        <f>IFERROR(__xludf.DUMMYFUNCTION("""COMPUTED_VALUE"""),"Facebook,Amazon,Microsoft,Google,Lyft,LinkedIn,Apple,Uber,Bloomberg,Pinterest,Snapchat,ByteDance")</f>
        <v>Facebook,Amazon,Microsoft,Google,Lyft,LinkedIn,Apple,Uber,Bloomberg,Pinterest,Snapchat,ByteDance</v>
      </c>
      <c r="G9" s="47" t="str">
        <f>IFERROR(__xludf.DUMMYFUNCTION("""COMPUTED_VALUE"""),"Adobe,Goldman Sachs,Facebook,Amazon,Microsoft,Google,Lyft,LinkedIn,Apple,Uber,Bloomberg,Pinterest,Snapchat,ByteDance")</f>
        <v>Adobe,Goldman Sachs,Facebook,Amazon,Microsoft,Google,Lyft,LinkedIn,Apple,Uber,Bloomberg,Pinterest,Snapchat,ByteDance</v>
      </c>
      <c r="H9" s="47" t="str">
        <f>IFERROR(__xludf.DUMMYFUNCTION("""COMPUTED_VALUE"""),"Cohesity,Walmart Labs,Deutsche Bank,Oracle,Visa,VMware,eBay,Twitter,GoDaddy,Salesforce,Adobe,Goldman Sachs,Facebook,Amazon,Microsoft,Google,Lyft,LinkedIn,Apple,Uber,Bloomberg,Pinterest,Snapchat,ByteDance")</f>
        <v>Cohesity,Walmart Labs,Deutsche Bank,Oracle,Visa,VMware,eBay,Twitter,GoDaddy,Salesforce,Adobe,Goldman Sachs,Facebook,Amazon,Microsoft,Google,Lyft,LinkedIn,Apple,Uber,Bloomberg,Pinterest,Snapchat,ByteDance</v>
      </c>
      <c r="I9" s="47">
        <f>IFERROR(__xludf.DUMMYFUNCTION("""COMPUTED_VALUE"""),36.07)</f>
        <v>36.07</v>
      </c>
      <c r="J9" s="47" t="str">
        <f>IFERROR(__xludf.DUMMYFUNCTION("""COMPUTED_VALUE"""),"算法")</f>
        <v>算法</v>
      </c>
      <c r="L9" s="6">
        <f>COUNTIF('Coder-1'!B:B,A9)</f>
        <v>0</v>
      </c>
      <c r="M9" s="6">
        <f>COUNTIF('Coder-2'!B:B,A9)</f>
        <v>0</v>
      </c>
      <c r="N9" s="6">
        <f>COUNTIF('Coder-3'!B:B,A9)</f>
        <v>0</v>
      </c>
      <c r="O9" s="6">
        <f>COUNTIF('Coder-4'!B:B,A9)</f>
        <v>0</v>
      </c>
    </row>
    <row r="10">
      <c r="A10" s="83">
        <v>26.0</v>
      </c>
      <c r="B10" s="86" t="str">
        <f>IFERROR(__xludf.DUMMYFUNCTION("IF(ISBLANK(A10),,FILTER('Leetcode List'!B:C,'Leetcode List'!A:A = A10))"),"Remove Duplicates from Sorted Array")</f>
        <v>Remove Duplicates from Sorted Array</v>
      </c>
      <c r="C10" s="47" t="str">
        <f>IFERROR(__xludf.DUMMYFUNCTION("""COMPUTED_VALUE"""),"Easy")</f>
        <v>Easy</v>
      </c>
      <c r="D10" s="83" t="s">
        <v>151</v>
      </c>
      <c r="E10" s="87" t="str">
        <f>IFERROR(__xludf.DUMMYFUNCTION("IF(ISBLANK(A10),,FILTER('Leetcode List'!E:J,'Leetcode List'!A:A = A10))"),"Qualcomm,Hulu,Cohesity,VMware,ServiceNow,Oracle,Cisco,Apple,Uber,Bloomberg,Adobe,Facebook,Amazon,Microsoft,Google")</f>
        <v>Qualcomm,Hulu,Cohesity,VMware,ServiceNow,Oracle,Cisco,Apple,Uber,Bloomberg,Adobe,Facebook,Amazon,Microsoft,Google</v>
      </c>
      <c r="F10" s="47" t="str">
        <f>IFERROR(__xludf.DUMMYFUNCTION("""COMPUTED_VALUE"""),"Google,Amazon,Facebook,Microsoft")</f>
        <v>Google,Amazon,Facebook,Microsoft</v>
      </c>
      <c r="G10" s="47" t="str">
        <f>IFERROR(__xludf.DUMMYFUNCTION("""COMPUTED_VALUE"""),"Apple,ServiceNow,Bloomberg,Google,Amazon,Facebook,Microsoft")</f>
        <v>Apple,ServiceNow,Bloomberg,Google,Amazon,Facebook,Microsoft</v>
      </c>
      <c r="H10" s="47" t="str">
        <f>IFERROR(__xludf.DUMMYFUNCTION("""COMPUTED_VALUE"""),"Oracle,Uber,Adobe,VMware,Qualcomm,Apple,ServiceNow,Bloomberg,Google,Amazon,Facebook,Microsoft")</f>
        <v>Oracle,Uber,Adobe,VMware,Qualcomm,Apple,ServiceNow,Bloomberg,Google,Amazon,Facebook,Microsoft</v>
      </c>
      <c r="I10" s="47">
        <f>IFERROR(__xludf.DUMMYFUNCTION("""COMPUTED_VALUE"""),46.67)</f>
        <v>46.67</v>
      </c>
      <c r="J10" s="47" t="str">
        <f>IFERROR(__xludf.DUMMYFUNCTION("""COMPUTED_VALUE"""),"算法")</f>
        <v>算法</v>
      </c>
      <c r="L10" s="6">
        <f>COUNTIF('Coder-1'!B:B,A10)</f>
        <v>0</v>
      </c>
      <c r="M10" s="6">
        <f>COUNTIF('Coder-2'!B:B,A10)</f>
        <v>0</v>
      </c>
      <c r="N10" s="6">
        <f>COUNTIF('Coder-3'!B:B,A10)</f>
        <v>0</v>
      </c>
      <c r="O10" s="6">
        <f>COUNTIF('Coder-4'!B:B,A10)</f>
        <v>0</v>
      </c>
    </row>
    <row r="11">
      <c r="A11" s="83">
        <v>80.0</v>
      </c>
      <c r="B11" s="86" t="str">
        <f>IFERROR(__xludf.DUMMYFUNCTION("IF(ISBLANK(A11),,FILTER('Leetcode List'!B:C,'Leetcode List'!A:A = A11))"),"Remove Duplicates from Sorted Array II")</f>
        <v>Remove Duplicates from Sorted Array II</v>
      </c>
      <c r="C11" s="47" t="str">
        <f>IFERROR(__xludf.DUMMYFUNCTION("""COMPUTED_VALUE"""),"Medium")</f>
        <v>Medium</v>
      </c>
      <c r="D11" s="83" t="s">
        <v>151</v>
      </c>
      <c r="E11" s="87" t="str">
        <f>IFERROR(__xludf.DUMMYFUNCTION("IF(ISBLANK(A11),,FILTER('Leetcode List'!E:J,'Leetcode List'!A:A = A11))"),"Amazon,Microsoft,VMware,Baidu,Facebook,Google")</f>
        <v>Amazon,Microsoft,VMware,Baidu,Facebook,Google</v>
      </c>
      <c r="F11" s="47" t="str">
        <f>IFERROR(__xludf.DUMMYFUNCTION("""COMPUTED_VALUE"""),"Microsoft")</f>
        <v>Microsoft</v>
      </c>
      <c r="G11" s="47" t="str">
        <f>IFERROR(__xludf.DUMMYFUNCTION("""COMPUTED_VALUE"""),"Google,Microsoft")</f>
        <v>Google,Microsoft</v>
      </c>
      <c r="H11" s="47" t="str">
        <f>IFERROR(__xludf.DUMMYFUNCTION("""COMPUTED_VALUE"""),"Amazon,VMware,Facebook,Google,Microsoft")</f>
        <v>Amazon,VMware,Facebook,Google,Microsoft</v>
      </c>
      <c r="I11" s="47">
        <f>IFERROR(__xludf.DUMMYFUNCTION("""COMPUTED_VALUE"""),46.23)</f>
        <v>46.23</v>
      </c>
      <c r="J11" s="47" t="str">
        <f>IFERROR(__xludf.DUMMYFUNCTION("""COMPUTED_VALUE"""),"算法")</f>
        <v>算法</v>
      </c>
      <c r="L11" s="6">
        <f>COUNTIF('Coder-1'!B:B,A11)</f>
        <v>0</v>
      </c>
      <c r="M11" s="6">
        <f>COUNTIF('Coder-2'!B:B,A11)</f>
        <v>0</v>
      </c>
      <c r="N11" s="6">
        <f>COUNTIF('Coder-3'!B:B,A11)</f>
        <v>0</v>
      </c>
      <c r="O11" s="6">
        <f>COUNTIF('Coder-4'!B:B,A11)</f>
        <v>0</v>
      </c>
    </row>
    <row r="12">
      <c r="A12" s="83">
        <v>209.0</v>
      </c>
      <c r="B12" s="86" t="str">
        <f>IFERROR(__xludf.DUMMYFUNCTION("IF(ISBLANK(A12),,FILTER('Leetcode List'!B:C,'Leetcode List'!A:A = A12))"),"Minimum Size Subarray Sum")</f>
        <v>Minimum Size Subarray Sum</v>
      </c>
      <c r="C12" s="47" t="str">
        <f>IFERROR(__xludf.DUMMYFUNCTION("""COMPUTED_VALUE"""),"Medium")</f>
        <v>Medium</v>
      </c>
      <c r="D12" s="83" t="s">
        <v>151</v>
      </c>
      <c r="E12" s="87" t="str">
        <f>IFERROR(__xludf.DUMMYFUNCTION("IF(ISBLANK(A12),,FILTER('Leetcode List'!E:J,'Leetcode List'!A:A = A12))"),"Wish,ByteDance,Oracle,Apple,SAP,Bloomberg,Facebook,Amazon,Microsoft,Goldman Sachs,Google")</f>
        <v>Wish,ByteDance,Oracle,Apple,SAP,Bloomberg,Facebook,Amazon,Microsoft,Goldman Sachs,Google</v>
      </c>
      <c r="F12" s="47" t="str">
        <f>IFERROR(__xludf.DUMMYFUNCTION("""COMPUTED_VALUE"""),"Goldman Sachs,Amazon,Facebook,Bloomberg,Microsoft,ByteDance")</f>
        <v>Goldman Sachs,Amazon,Facebook,Bloomberg,Microsoft,ByteDance</v>
      </c>
      <c r="G12" s="47" t="str">
        <f>IFERROR(__xludf.DUMMYFUNCTION("""COMPUTED_VALUE"""),"Google,Goldman Sachs,Amazon,Facebook,Bloomberg,Microsoft,ByteDance")</f>
        <v>Google,Goldman Sachs,Amazon,Facebook,Bloomberg,Microsoft,ByteDance</v>
      </c>
      <c r="H12" s="47" t="str">
        <f>IFERROR(__xludf.DUMMYFUNCTION("""COMPUTED_VALUE"""),"Oracle,Apple,Wish,SAP,Google,Goldman Sachs,Amazon,Facebook,Bloomberg,Microsoft,ByteDance")</f>
        <v>Oracle,Apple,Wish,SAP,Google,Goldman Sachs,Amazon,Facebook,Bloomberg,Microsoft,ByteDance</v>
      </c>
      <c r="I12" s="47">
        <f>IFERROR(__xludf.DUMMYFUNCTION("""COMPUTED_VALUE"""),39.63)</f>
        <v>39.63</v>
      </c>
      <c r="J12" s="47" t="str">
        <f>IFERROR(__xludf.DUMMYFUNCTION("""COMPUTED_VALUE"""),"算法")</f>
        <v>算法</v>
      </c>
      <c r="L12" s="6">
        <f>COUNTIF('Coder-1'!B:B,A12)</f>
        <v>0</v>
      </c>
      <c r="M12" s="6">
        <f>COUNTIF('Coder-2'!B:B,A12)</f>
        <v>0</v>
      </c>
      <c r="N12" s="6">
        <f>COUNTIF('Coder-3'!B:B,A12)</f>
        <v>0</v>
      </c>
      <c r="O12" s="6">
        <f>COUNTIF('Coder-4'!B:B,A12)</f>
        <v>0</v>
      </c>
    </row>
    <row r="13">
      <c r="A13" s="83">
        <v>88.0</v>
      </c>
      <c r="B13" s="86" t="str">
        <f>IFERROR(__xludf.DUMMYFUNCTION("IF(ISBLANK(A13),,FILTER('Leetcode List'!B:C,'Leetcode List'!A:A = A13))"),"Merge Sorted Array")</f>
        <v>Merge Sorted Array</v>
      </c>
      <c r="C13" s="47" t="str">
        <f>IFERROR(__xludf.DUMMYFUNCTION("""COMPUTED_VALUE"""),"Easy")</f>
        <v>Easy</v>
      </c>
      <c r="D13" s="83" t="s">
        <v>151</v>
      </c>
      <c r="E13" s="87" t="str">
        <f>IFERROR(__xludf.DUMMYFUNCTION("IF(ISBLANK(A13),,FILTER('Leetcode List'!E:J,'Leetcode List'!A:A = A13))"),"Wish,Walmart Labs,Netflix,Quip (Salesforce),ByteDance,Tableau,Intel,VMware,Indeed,Expedia,Oracle,IBM,Lyft,Cisco,Yandex,EBay,Baidu,Apple,Uber,Yahoo,Bloomberg,Adobe,Facebook,Amazon,LinkedIn,Microsoft,Goldman Sachs,Google")</f>
        <v>Wish,Walmart Labs,Netflix,Quip (Salesforce),ByteDance,Tableau,Intel,VMware,Indeed,Expedia,Oracle,IBM,Lyft,Cisco,Yandex,EBay,Baidu,Apple,Uber,Yahoo,Bloomberg,Adobe,Facebook,Amazon,LinkedIn,Microsoft,Goldman Sachs,Google</v>
      </c>
      <c r="F13" s="47" t="str">
        <f>IFERROR(__xludf.DUMMYFUNCTION("""COMPUTED_VALUE"""),"Facebook,Microsoft,Amazon,IBM,Bloomberg,Walmart Labs,Oracle,Apple,LinkedIn,Goldman Sachs,Yandex,Wish")</f>
        <v>Facebook,Microsoft,Amazon,IBM,Bloomberg,Walmart Labs,Oracle,Apple,LinkedIn,Goldman Sachs,Yandex,Wish</v>
      </c>
      <c r="G13" s="47" t="str">
        <f>IFERROR(__xludf.DUMMYFUNCTION("""COMPUTED_VALUE"""),"Adobe,ByteDance,Google,Lyft,Facebook,Microsoft,Amazon,IBM,Bloomberg,Walmart Labs,Oracle,Apple,LinkedIn,Goldman Sachs,Yandex,Wish")</f>
        <v>Adobe,ByteDance,Google,Lyft,Facebook,Microsoft,Amazon,IBM,Bloomberg,Walmart Labs,Oracle,Apple,LinkedIn,Goldman Sachs,Yandex,Wish</v>
      </c>
      <c r="H13" s="47" t="str">
        <f>IFERROR(__xludf.DUMMYFUNCTION("""COMPUTED_VALUE"""),"Cisco,Yahoo,Uber,VMware,eBay,Expedia,Adobe,ByteDance,Google,Lyft,Facebook,Microsoft,Amazon,IBM,Bloomberg,Walmart Labs,Oracle,Apple,LinkedIn,Goldman Sachs,Yandex,Wish")</f>
        <v>Cisco,Yahoo,Uber,VMware,eBay,Expedia,Adobe,ByteDance,Google,Lyft,Facebook,Microsoft,Amazon,IBM,Bloomberg,Walmart Labs,Oracle,Apple,LinkedIn,Goldman Sachs,Yandex,Wish</v>
      </c>
      <c r="I13" s="47">
        <f>IFERROR(__xludf.DUMMYFUNCTION("""COMPUTED_VALUE"""),40.79)</f>
        <v>40.79</v>
      </c>
      <c r="J13" s="47" t="str">
        <f>IFERROR(__xludf.DUMMYFUNCTION("""COMPUTED_VALUE"""),"算法")</f>
        <v>算法</v>
      </c>
      <c r="L13" s="6">
        <f>COUNTIF('Coder-1'!B:B,A13)</f>
        <v>0</v>
      </c>
      <c r="M13" s="6">
        <f>COUNTIF('Coder-2'!B:B,A13)</f>
        <v>0</v>
      </c>
      <c r="N13" s="6">
        <f>COUNTIF('Coder-3'!B:B,A13)</f>
        <v>0</v>
      </c>
      <c r="O13" s="6">
        <f>COUNTIF('Coder-4'!B:B,A13)</f>
        <v>0</v>
      </c>
    </row>
    <row r="14">
      <c r="A14" s="83">
        <v>283.0</v>
      </c>
      <c r="B14" s="86" t="str">
        <f>IFERROR(__xludf.DUMMYFUNCTION("IF(ISBLANK(A14),,FILTER('Leetcode List'!B:C,'Leetcode List'!A:A = A14))"),"Move Zeroes")</f>
        <v>Move Zeroes</v>
      </c>
      <c r="C14" s="47" t="str">
        <f>IFERROR(__xludf.DUMMYFUNCTION("""COMPUTED_VALUE"""),"Easy")</f>
        <v>Easy</v>
      </c>
      <c r="D14" s="83" t="s">
        <v>151</v>
      </c>
      <c r="E14" s="87" t="str">
        <f>IFERROR(__xludf.DUMMYFUNCTION("IF(ISBLANK(A14),,FILTER('Leetcode List'!E:J,'Leetcode List'!A:A = A14))"),"Tesla,Capital One,Splunk,ByteDance,ServiceNow,IBM,Cisco,Cohesity,Nutanix,Dell,Qualcomm,Walmart Labs,Zillow,Paypal,Oracle,Lyft,Yandex,EBay,Apple,Uber,Yahoo,SAP,Bloomberg,Adobe,Facebook,Amazon,Microsoft,Goldman Sachs,Google")</f>
        <v>Tesla,Capital One,Splunk,ByteDance,ServiceNow,IBM,Cisco,Cohesity,Nutanix,Dell,Qualcomm,Walmart Labs,Zillow,Paypal,Oracle,Lyft,Yandex,EBay,Apple,Uber,Yahoo,SAP,Bloomberg,Adobe,Facebook,Amazon,Microsoft,Goldman Sachs,Google</v>
      </c>
      <c r="F14" s="47" t="str">
        <f>IFERROR(__xludf.DUMMYFUNCTION("""COMPUTED_VALUE"""),"Facebook,Bloomberg,Capital One,Microsoft,Apple,Adobe,Amazon,eBay,SAP,Uber,Cisco,Oracle,Qualcomm,Yandex")</f>
        <v>Facebook,Bloomberg,Capital One,Microsoft,Apple,Adobe,Amazon,eBay,SAP,Uber,Cisco,Oracle,Qualcomm,Yandex</v>
      </c>
      <c r="G14" s="47" t="str">
        <f>IFERROR(__xludf.DUMMYFUNCTION("""COMPUTED_VALUE"""),"Google,Walmart Labs,ByteDance,IBM,Paypal,Goldman Sachs,Tesla,Facebook,Bloomberg,Capital One,Microsoft,Apple,Adobe,Amazon,eBay,SAP,Uber,Cisco,Oracle,Qualcomm,Yandex")</f>
        <v>Google,Walmart Labs,ByteDance,IBM,Paypal,Goldman Sachs,Tesla,Facebook,Bloomberg,Capital One,Microsoft,Apple,Adobe,Amazon,eBay,SAP,Uber,Cisco,Oracle,Qualcomm,Yandex</v>
      </c>
      <c r="H14" s="47" t="str">
        <f>IFERROR(__xludf.DUMMYFUNCTION("""COMPUTED_VALUE"""),"Yahoo,Zillow,Nutanix,ServiceNow,Dell,Splunk,Google,Walmart Labs,ByteDance,IBM,Paypal,Goldman Sachs,Tesla,Facebook,Bloomberg,Capital One,Microsoft,Apple,Adobe,Amazon,eBay,SAP,Uber,Cisco,Oracle,Qualcomm,Yandex")</f>
        <v>Yahoo,Zillow,Nutanix,ServiceNow,Dell,Splunk,Google,Walmart Labs,ByteDance,IBM,Paypal,Goldman Sachs,Tesla,Facebook,Bloomberg,Capital One,Microsoft,Apple,Adobe,Amazon,eBay,SAP,Uber,Cisco,Oracle,Qualcomm,Yandex</v>
      </c>
      <c r="I14" s="47">
        <f>IFERROR(__xludf.DUMMYFUNCTION("""COMPUTED_VALUE"""),58.62)</f>
        <v>58.62</v>
      </c>
      <c r="J14" s="47" t="str">
        <f>IFERROR(__xludf.DUMMYFUNCTION("""COMPUTED_VALUE"""),"算法")</f>
        <v>算法</v>
      </c>
      <c r="L14" s="6">
        <f>COUNTIF('Coder-1'!B:B,A14)</f>
        <v>0</v>
      </c>
      <c r="M14" s="6">
        <f>COUNTIF('Coder-2'!B:B,A14)</f>
        <v>0</v>
      </c>
      <c r="N14" s="6">
        <f>COUNTIF('Coder-3'!B:B,A14)</f>
        <v>0</v>
      </c>
      <c r="O14" s="6">
        <f>COUNTIF('Coder-4'!B:B,A14)</f>
        <v>0</v>
      </c>
    </row>
    <row r="15">
      <c r="A15" s="83">
        <v>141.0</v>
      </c>
      <c r="B15" s="86" t="str">
        <f>IFERROR(__xludf.DUMMYFUNCTION("IF(ISBLANK(A15),,FILTER('Leetcode List'!B:C,'Leetcode List'!A:A = A15))"),"Linked List Cycle")</f>
        <v>Linked List Cycle</v>
      </c>
      <c r="C15" s="47" t="str">
        <f>IFERROR(__xludf.DUMMYFUNCTION("""COMPUTED_VALUE"""),"Easy")</f>
        <v>Easy</v>
      </c>
      <c r="D15" s="83" t="s">
        <v>151</v>
      </c>
      <c r="E15" s="87" t="str">
        <f>IFERROR(__xludf.DUMMYFUNCTION("IF(ISBLANK(A15),,FILTER('Leetcode List'!E:J,'Leetcode List'!A:A = A15))"),"Tesla,JPMorgan,Expedia,VMware,Walmart Labs,Oracle,Cisco,EBay,Apple,Uber,Yahoo,Bloomberg,Adobe,Facebook,Amazon,LinkedIn,Microsoft,Goldman Sachs,Google")</f>
        <v>Tesla,JPMorgan,Expedia,VMware,Walmart Labs,Oracle,Cisco,EBay,Apple,Uber,Yahoo,Bloomberg,Adobe,Facebook,Amazon,LinkedIn,Microsoft,Goldman Sachs,Google</v>
      </c>
      <c r="F15" s="47" t="str">
        <f>IFERROR(__xludf.DUMMYFUNCTION("""COMPUTED_VALUE"""),"Apple,Microsoft,Amazon,Goldman Sachs,Facebook,Google")</f>
        <v>Apple,Microsoft,Amazon,Goldman Sachs,Facebook,Google</v>
      </c>
      <c r="G15" s="47" t="str">
        <f>IFERROR(__xludf.DUMMYFUNCTION("""COMPUTED_VALUE"""),"Adobe,eBay,Tesla,Apple,Microsoft,Amazon,Goldman Sachs,Facebook,Google")</f>
        <v>Adobe,eBay,Tesla,Apple,Microsoft,Amazon,Goldman Sachs,Facebook,Google</v>
      </c>
      <c r="H15" s="47" t="str">
        <f>IFERROR(__xludf.DUMMYFUNCTION("""COMPUTED_VALUE"""),"Oracle,Walmart Labs,Cisco,Expedia,VMware,JPMorgan,Bloomberg,Yahoo,Adobe,eBay,Tesla,Apple,Microsoft,Amazon,Goldman Sachs,Facebook,Google")</f>
        <v>Oracle,Walmart Labs,Cisco,Expedia,VMware,JPMorgan,Bloomberg,Yahoo,Adobe,eBay,Tesla,Apple,Microsoft,Amazon,Goldman Sachs,Facebook,Google</v>
      </c>
      <c r="I15" s="47">
        <f>IFERROR(__xludf.DUMMYFUNCTION("""COMPUTED_VALUE"""),43.0)</f>
        <v>43</v>
      </c>
      <c r="J15" s="47" t="str">
        <f>IFERROR(__xludf.DUMMYFUNCTION("""COMPUTED_VALUE"""),"算法")</f>
        <v>算法</v>
      </c>
      <c r="L15" s="6">
        <f>COUNTIF('Coder-1'!B:B,A15)</f>
        <v>0</v>
      </c>
      <c r="M15" s="6">
        <f>COUNTIF('Coder-2'!B:B,A15)</f>
        <v>0</v>
      </c>
      <c r="N15" s="6">
        <f>COUNTIF('Coder-3'!B:B,A15)</f>
        <v>0</v>
      </c>
      <c r="O15" s="6">
        <f>COUNTIF('Coder-4'!B:B,A15)</f>
        <v>0</v>
      </c>
    </row>
    <row r="16">
      <c r="A16" s="83">
        <v>142.0</v>
      </c>
      <c r="B16" s="86" t="str">
        <f>IFERROR(__xludf.DUMMYFUNCTION("IF(ISBLANK(A16),,FILTER('Leetcode List'!B:C,'Leetcode List'!A:A = A16))"),"Linked List Cycle II")</f>
        <v>Linked List Cycle II</v>
      </c>
      <c r="C16" s="47" t="str">
        <f>IFERROR(__xludf.DUMMYFUNCTION("""COMPUTED_VALUE"""),"Medium")</f>
        <v>Medium</v>
      </c>
      <c r="D16" s="83" t="s">
        <v>151</v>
      </c>
      <c r="E16" s="87" t="str">
        <f>IFERROR(__xludf.DUMMYFUNCTION("IF(ISBLANK(A16),,FILTER('Leetcode List'!E:J,'Leetcode List'!A:A = A16))"),"Oracle,Goldman Sachs,EBay,Apple,Adobe,Amazon,LinkedIn,Microsoft,Google")</f>
        <v>Oracle,Goldman Sachs,EBay,Apple,Adobe,Amazon,LinkedIn,Microsoft,Google</v>
      </c>
      <c r="F16" s="47" t="str">
        <f>IFERROR(__xludf.DUMMYFUNCTION("""COMPUTED_VALUE"""),"Microsoft,Amazon,Apple")</f>
        <v>Microsoft,Amazon,Apple</v>
      </c>
      <c r="G16" s="47" t="str">
        <f>IFERROR(__xludf.DUMMYFUNCTION("""COMPUTED_VALUE"""),"Microsoft,Amazon,Apple")</f>
        <v>Microsoft,Amazon,Apple</v>
      </c>
      <c r="H16" s="47" t="str">
        <f>IFERROR(__xludf.DUMMYFUNCTION("""COMPUTED_VALUE"""),"Adobe,Goldman Sachs,eBay,Oracle,Microsoft,Amazon,Apple")</f>
        <v>Adobe,Goldman Sachs,eBay,Oracle,Microsoft,Amazon,Apple</v>
      </c>
      <c r="I16" s="47">
        <f>IFERROR(__xludf.DUMMYFUNCTION("""COMPUTED_VALUE"""),39.84)</f>
        <v>39.84</v>
      </c>
      <c r="J16" s="47" t="str">
        <f>IFERROR(__xludf.DUMMYFUNCTION("""COMPUTED_VALUE"""),"算法")</f>
        <v>算法</v>
      </c>
      <c r="L16" s="6">
        <f>COUNTIF('Coder-1'!B:B,A16)</f>
        <v>0</v>
      </c>
      <c r="M16" s="6">
        <f>COUNTIF('Coder-2'!B:B,A16)</f>
        <v>0</v>
      </c>
      <c r="N16" s="6">
        <f>COUNTIF('Coder-3'!B:B,A16)</f>
        <v>0</v>
      </c>
      <c r="O16" s="6">
        <f>COUNTIF('Coder-4'!B:B,A16)</f>
        <v>0</v>
      </c>
    </row>
    <row r="17">
      <c r="A17" s="83">
        <v>532.0</v>
      </c>
      <c r="B17" s="86" t="str">
        <f>IFERROR(__xludf.DUMMYFUNCTION("IF(ISBLANK(A17),,FILTER('Leetcode List'!B:C,'Leetcode List'!A:A = A17))"),"K-diff Pairs in an Array")</f>
        <v>K-diff Pairs in an Array</v>
      </c>
      <c r="C17" s="47" t="str">
        <f>IFERROR(__xludf.DUMMYFUNCTION("""COMPUTED_VALUE"""),"Medium")</f>
        <v>Medium</v>
      </c>
      <c r="D17" s="83" t="s">
        <v>151</v>
      </c>
      <c r="E17" s="87" t="str">
        <f>IFERROR(__xludf.DUMMYFUNCTION("IF(ISBLANK(A17),,FILTER('Leetcode List'!E:J,'Leetcode List'!A:A = A17))"),"VMware,Expedia,Nvidia,Citrix,Goldman Sachs,Twilio,Salesforce,Paypal,Twitter,Oracle,Bloomberg,Amazon,Microsoft")</f>
        <v>VMware,Expedia,Nvidia,Citrix,Goldman Sachs,Twilio,Salesforce,Paypal,Twitter,Oracle,Bloomberg,Amazon,Microsoft</v>
      </c>
      <c r="F17" s="47" t="str">
        <f>IFERROR(__xludf.DUMMYFUNCTION("""COMPUTED_VALUE"""),"Citrix,Twitter,Goldman Sachs,Amazon,Salesforce,Expedia")</f>
        <v>Citrix,Twitter,Goldman Sachs,Amazon,Salesforce,Expedia</v>
      </c>
      <c r="G17" s="47" t="str">
        <f>IFERROR(__xludf.DUMMYFUNCTION("""COMPUTED_VALUE"""),"Microsoft,Nvidia,Citrix,Twitter,Goldman Sachs,Amazon,Salesforce,Expedia")</f>
        <v>Microsoft,Nvidia,Citrix,Twitter,Goldman Sachs,Amazon,Salesforce,Expedia</v>
      </c>
      <c r="H17" s="47" t="str">
        <f>IFERROR(__xludf.DUMMYFUNCTION("""COMPUTED_VALUE"""),"Bloomberg,Oracle,Twilio,VMware,Microsoft,Nvidia,Citrix,Twitter,Goldman Sachs,Amazon,Salesforce,Expedia")</f>
        <v>Bloomberg,Oracle,Twilio,VMware,Microsoft,Nvidia,Citrix,Twitter,Goldman Sachs,Amazon,Salesforce,Expedia</v>
      </c>
      <c r="I17" s="47">
        <f>IFERROR(__xludf.DUMMYFUNCTION("""COMPUTED_VALUE"""),35.37)</f>
        <v>35.37</v>
      </c>
      <c r="J17" s="47" t="str">
        <f>IFERROR(__xludf.DUMMYFUNCTION("""COMPUTED_VALUE"""),"算法")</f>
        <v>算法</v>
      </c>
      <c r="L17" s="6">
        <f>COUNTIF('Coder-1'!B:B,A17)</f>
        <v>0</v>
      </c>
      <c r="M17" s="6">
        <f>COUNTIF('Coder-2'!B:B,A17)</f>
        <v>0</v>
      </c>
      <c r="N17" s="6">
        <f>COUNTIF('Coder-3'!B:B,A17)</f>
        <v>0</v>
      </c>
      <c r="O17" s="6">
        <f>COUNTIF('Coder-4'!B:B,A17)</f>
        <v>0</v>
      </c>
    </row>
    <row r="18">
      <c r="A18" s="83">
        <v>360.0</v>
      </c>
      <c r="B18" s="86" t="str">
        <f>IFERROR(__xludf.DUMMYFUNCTION("IF(ISBLANK(A18),,FILTER('Leetcode List'!B:C,'Leetcode List'!A:A = A18))"),"Sort Transformed Array")</f>
        <v>Sort Transformed Array</v>
      </c>
      <c r="C18" s="47" t="str">
        <f>IFERROR(__xludf.DUMMYFUNCTION("""COMPUTED_VALUE"""),"Medium")</f>
        <v>Medium</v>
      </c>
      <c r="D18" s="83" t="s">
        <v>151</v>
      </c>
      <c r="E18" s="87" t="str">
        <f>IFERROR(__xludf.DUMMYFUNCTION("IF(ISBLANK(A18),,FILTER('Leetcode List'!E:J,'Leetcode List'!A:A = A18))"),"LinkedIn,Facebook,Google")</f>
        <v>LinkedIn,Facebook,Google</v>
      </c>
      <c r="F18" s="47" t="str">
        <f>IFERROR(__xludf.DUMMYFUNCTION("""COMPUTED_VALUE"""),"Google")</f>
        <v>Google</v>
      </c>
      <c r="G18" s="47" t="str">
        <f>IFERROR(__xludf.DUMMYFUNCTION("""COMPUTED_VALUE"""),"Google")</f>
        <v>Google</v>
      </c>
      <c r="H18" s="47" t="str">
        <f>IFERROR(__xludf.DUMMYFUNCTION("""COMPUTED_VALUE"""),"LinkedIn,Google")</f>
        <v>LinkedIn,Google</v>
      </c>
      <c r="I18" s="47">
        <f>IFERROR(__xludf.DUMMYFUNCTION("""COMPUTED_VALUE"""),49.77)</f>
        <v>49.77</v>
      </c>
      <c r="J18" s="47" t="str">
        <f>IFERROR(__xludf.DUMMYFUNCTION("""COMPUTED_VALUE"""),"算法")</f>
        <v>算法</v>
      </c>
      <c r="L18" s="6">
        <f>COUNTIF('Coder-1'!B:B,A18)</f>
        <v>0</v>
      </c>
      <c r="M18" s="6">
        <f>COUNTIF('Coder-2'!B:B,A18)</f>
        <v>0</v>
      </c>
      <c r="N18" s="6">
        <f>COUNTIF('Coder-3'!B:B,A18)</f>
        <v>0</v>
      </c>
      <c r="O18" s="6">
        <f>COUNTIF('Coder-4'!B:B,A18)</f>
        <v>0</v>
      </c>
    </row>
    <row r="19">
      <c r="A19" s="83">
        <v>611.0</v>
      </c>
      <c r="B19" s="86" t="str">
        <f>IFERROR(__xludf.DUMMYFUNCTION("IF(ISBLANK(A19),,FILTER('Leetcode List'!B:C,'Leetcode List'!A:A = A19))"),"Valid Triangle Number")</f>
        <v>Valid Triangle Number</v>
      </c>
      <c r="C19" s="47" t="str">
        <f>IFERROR(__xludf.DUMMYFUNCTION("""COMPUTED_VALUE"""),"Medium")</f>
        <v>Medium</v>
      </c>
      <c r="D19" s="83" t="s">
        <v>151</v>
      </c>
      <c r="E19" s="87" t="str">
        <f>IFERROR(__xludf.DUMMYFUNCTION("IF(ISBLANK(A19),,FILTER('Leetcode List'!E:J,'Leetcode List'!A:A = A19))"),"Robinhood,ByteDance,Expedia,Uber,Bloomberg,Facebook,Amazon,LinkedIn,Microsoft")</f>
        <v>Robinhood,ByteDance,Expedia,Uber,Bloomberg,Facebook,Amazon,LinkedIn,Microsoft</v>
      </c>
      <c r="F19" s="47" t="str">
        <f>IFERROR(__xludf.DUMMYFUNCTION("""COMPUTED_VALUE"""),"Bloomberg,LinkedIn,ByteDance,Microsoft")</f>
        <v>Bloomberg,LinkedIn,ByteDance,Microsoft</v>
      </c>
      <c r="G19" s="47" t="str">
        <f>IFERROR(__xludf.DUMMYFUNCTION("""COMPUTED_VALUE"""),"Amazon,Robinhood,Bloomberg,LinkedIn,ByteDance,Microsoft")</f>
        <v>Amazon,Robinhood,Bloomberg,LinkedIn,ByteDance,Microsoft</v>
      </c>
      <c r="H19" s="47" t="str">
        <f>IFERROR(__xludf.DUMMYFUNCTION("""COMPUTED_VALUE"""),"Facebook,Expedia,Amazon,Robinhood,Bloomberg,LinkedIn,ByteDance,Microsoft")</f>
        <v>Facebook,Expedia,Amazon,Robinhood,Bloomberg,LinkedIn,ByteDance,Microsoft</v>
      </c>
      <c r="I19" s="47">
        <f>IFERROR(__xludf.DUMMYFUNCTION("""COMPUTED_VALUE"""),49.37)</f>
        <v>49.37</v>
      </c>
      <c r="J19" s="47" t="str">
        <f>IFERROR(__xludf.DUMMYFUNCTION("""COMPUTED_VALUE"""),"算法")</f>
        <v>算法</v>
      </c>
      <c r="L19" s="6">
        <f>COUNTIF('Coder-1'!B:B,A19)</f>
        <v>0</v>
      </c>
      <c r="M19" s="6">
        <f>COUNTIF('Coder-2'!B:B,A19)</f>
        <v>0</v>
      </c>
      <c r="N19" s="6">
        <f>COUNTIF('Coder-3'!B:B,A19)</f>
        <v>0</v>
      </c>
      <c r="O19" s="6">
        <f>COUNTIF('Coder-4'!B:B,A19)</f>
        <v>0</v>
      </c>
    </row>
    <row r="20">
      <c r="A20" s="83">
        <v>713.0</v>
      </c>
      <c r="B20" s="86" t="str">
        <f>IFERROR(__xludf.DUMMYFUNCTION("IF(ISBLANK(A20),,FILTER('Leetcode List'!B:C,'Leetcode List'!A:A = A20))"),"Subarray Product Less Than K")</f>
        <v>Subarray Product Less Than K</v>
      </c>
      <c r="C20" s="47" t="str">
        <f>IFERROR(__xludf.DUMMYFUNCTION("""COMPUTED_VALUE"""),"Medium")</f>
        <v>Medium</v>
      </c>
      <c r="D20" s="83" t="s">
        <v>151</v>
      </c>
      <c r="E20" s="87" t="str">
        <f>IFERROR(__xludf.DUMMYFUNCTION("IF(ISBLANK(A20),,FILTER('Leetcode List'!E:J,'Leetcode List'!A:A = A20))"),"Bloomberg,Amazon,LinkedIn,Goldman Sachs,Yatra,Akuna Capital,Coursera,Atlassian,Expedia,Google")</f>
        <v>Bloomberg,Amazon,LinkedIn,Goldman Sachs,Yatra,Akuna Capital,Coursera,Atlassian,Expedia,Google</v>
      </c>
      <c r="F20" s="47" t="str">
        <f>IFERROR(__xludf.DUMMYFUNCTION("""COMPUTED_VALUE"""),"Bloomberg,LinkedIn")</f>
        <v>Bloomberg,LinkedIn</v>
      </c>
      <c r="G20" s="47" t="str">
        <f>IFERROR(__xludf.DUMMYFUNCTION("""COMPUTED_VALUE"""),"Bloomberg,LinkedIn")</f>
        <v>Bloomberg,LinkedIn</v>
      </c>
      <c r="H20" s="47" t="str">
        <f>IFERROR(__xludf.DUMMYFUNCTION("""COMPUTED_VALUE"""),"Akuna Capital,Google,Amazon,Goldman Sachs,Yatra,Bloomberg,LinkedIn")</f>
        <v>Akuna Capital,Google,Amazon,Goldman Sachs,Yatra,Bloomberg,LinkedIn</v>
      </c>
      <c r="I20" s="47">
        <f>IFERROR(__xludf.DUMMYFUNCTION("""COMPUTED_VALUE"""),40.51)</f>
        <v>40.51</v>
      </c>
      <c r="J20" s="47" t="str">
        <f>IFERROR(__xludf.DUMMYFUNCTION("""COMPUTED_VALUE"""),"算法")</f>
        <v>算法</v>
      </c>
      <c r="L20" s="6">
        <f>COUNTIF('Coder-1'!B:B,A20)</f>
        <v>0</v>
      </c>
      <c r="M20" s="6">
        <f>COUNTIF('Coder-2'!B:B,A20)</f>
        <v>0</v>
      </c>
      <c r="N20" s="6">
        <f>COUNTIF('Coder-3'!B:B,A20)</f>
        <v>0</v>
      </c>
      <c r="O20" s="6">
        <f>COUNTIF('Coder-4'!B:B,A20)</f>
        <v>0</v>
      </c>
    </row>
    <row r="21">
      <c r="A21" s="83">
        <v>1004.0</v>
      </c>
      <c r="B21" s="86" t="str">
        <f>IFERROR(__xludf.DUMMYFUNCTION("IF(ISBLANK(A21),,FILTER('Leetcode List'!B:C,'Leetcode List'!A:A = A21))"),"Max Consecutive Ones III")</f>
        <v>Max Consecutive Ones III</v>
      </c>
      <c r="C21" s="47" t="str">
        <f>IFERROR(__xludf.DUMMYFUNCTION("""COMPUTED_VALUE"""),"Medium")</f>
        <v>Medium</v>
      </c>
      <c r="D21" s="83" t="s">
        <v>151</v>
      </c>
      <c r="E21" s="87" t="str">
        <f>IFERROR(__xludf.DUMMYFUNCTION("IF(ISBLANK(A21),,FILTER('Leetcode List'!E:J,'Leetcode List'!A:A = A21))"),"Coupang,Oracle,EBay,Bloomberg,Google,Yandex,Facebook,Amazon,Microsoft")</f>
        <v>Coupang,Oracle,EBay,Bloomberg,Google,Yandex,Facebook,Amazon,Microsoft</v>
      </c>
      <c r="F21" s="47" t="str">
        <f>IFERROR(__xludf.DUMMYFUNCTION("""COMPUTED_VALUE"""),"Facebook,Amazon,Coupang")</f>
        <v>Facebook,Amazon,Coupang</v>
      </c>
      <c r="G21" s="47" t="str">
        <f>IFERROR(__xludf.DUMMYFUNCTION("""COMPUTED_VALUE"""),"eBay,Google,Facebook,Amazon,Coupang")</f>
        <v>eBay,Google,Facebook,Amazon,Coupang</v>
      </c>
      <c r="H21" s="47" t="str">
        <f>IFERROR(__xludf.DUMMYFUNCTION("""COMPUTED_VALUE"""),"Yandex,Microsoft,Bloomberg,Oracle,eBay,Google,Facebook,Amazon,Coupang")</f>
        <v>Yandex,Microsoft,Bloomberg,Oracle,eBay,Google,Facebook,Amazon,Coupang</v>
      </c>
      <c r="I21" s="47">
        <f>IFERROR(__xludf.DUMMYFUNCTION("""COMPUTED_VALUE"""),60.88)</f>
        <v>60.88</v>
      </c>
      <c r="J21" s="47" t="str">
        <f>IFERROR(__xludf.DUMMYFUNCTION("""COMPUTED_VALUE"""),"算法")</f>
        <v>算法</v>
      </c>
      <c r="L21" s="6">
        <f>COUNTIF('Coder-1'!B:B,A21)</f>
        <v>0</v>
      </c>
      <c r="M21" s="6">
        <f>COUNTIF('Coder-2'!B:B,A21)</f>
        <v>0</v>
      </c>
      <c r="N21" s="6">
        <f>COUNTIF('Coder-3'!B:B,A21)</f>
        <v>0</v>
      </c>
      <c r="O21" s="6">
        <f>COUNTIF('Coder-4'!B:B,A21)</f>
        <v>0</v>
      </c>
    </row>
    <row r="22">
      <c r="A22" s="83">
        <v>1052.0</v>
      </c>
      <c r="B22" s="86" t="str">
        <f>IFERROR(__xludf.DUMMYFUNCTION("IF(ISBLANK(A22),,FILTER('Leetcode List'!B:C,'Leetcode List'!A:A = A22))"),"Grumpy Bookstore Owner")</f>
        <v>Grumpy Bookstore Owner</v>
      </c>
      <c r="C22" s="47" t="str">
        <f>IFERROR(__xludf.DUMMYFUNCTION("""COMPUTED_VALUE"""),"Medium")</f>
        <v>Medium</v>
      </c>
      <c r="D22" s="83" t="s">
        <v>151</v>
      </c>
      <c r="E22" s="87" t="str">
        <f>IFERROR(__xludf.DUMMYFUNCTION("IF(ISBLANK(A22),,FILTER('Leetcode List'!E:J,'Leetcode List'!A:A = A22))"),"Robinhood,Uber,Nutanix")</f>
        <v>Robinhood,Uber,Nutanix</v>
      </c>
      <c r="F22" s="47" t="str">
        <f>IFERROR(__xludf.DUMMYFUNCTION("""COMPUTED_VALUE"""),"Uber,Robinhood")</f>
        <v>Uber,Robinhood</v>
      </c>
      <c r="G22" s="47" t="str">
        <f>IFERROR(__xludf.DUMMYFUNCTION("""COMPUTED_VALUE"""),"Uber,Robinhood")</f>
        <v>Uber,Robinhood</v>
      </c>
      <c r="H22" s="47" t="str">
        <f>IFERROR(__xludf.DUMMYFUNCTION("""COMPUTED_VALUE"""),"Nutanix,Uber,Robinhood")</f>
        <v>Nutanix,Uber,Robinhood</v>
      </c>
      <c r="I22" s="47">
        <f>IFERROR(__xludf.DUMMYFUNCTION("""COMPUTED_VALUE"""),55.78)</f>
        <v>55.78</v>
      </c>
      <c r="J22" s="47" t="str">
        <f>IFERROR(__xludf.DUMMYFUNCTION("""COMPUTED_VALUE"""),"算法")</f>
        <v>算法</v>
      </c>
      <c r="L22" s="6">
        <f>COUNTIF('Coder-1'!B:B,A22)</f>
        <v>0</v>
      </c>
      <c r="M22" s="6">
        <f>COUNTIF('Coder-2'!B:B,A22)</f>
        <v>0</v>
      </c>
      <c r="N22" s="6">
        <f>COUNTIF('Coder-3'!B:B,A22)</f>
        <v>0</v>
      </c>
      <c r="O22" s="6">
        <f>COUNTIF('Coder-4'!B:B,A22)</f>
        <v>0</v>
      </c>
    </row>
    <row r="23">
      <c r="A23" s="83">
        <v>1234.0</v>
      </c>
      <c r="B23" s="86" t="str">
        <f>IFERROR(__xludf.DUMMYFUNCTION("IF(ISBLANK(A23),,FILTER('Leetcode List'!B:C,'Leetcode List'!A:A = A23))"),"Replace the Substring for Balanced String")</f>
        <v>Replace the Substring for Balanced String</v>
      </c>
      <c r="C23" s="47" t="str">
        <f>IFERROR(__xludf.DUMMYFUNCTION("""COMPUTED_VALUE"""),"Medium")</f>
        <v>Medium</v>
      </c>
      <c r="D23" s="83" t="s">
        <v>151</v>
      </c>
      <c r="E23" s="87" t="str">
        <f>IFERROR(__xludf.DUMMYFUNCTION("IF(ISBLANK(A23),,FILTER('Leetcode List'!E:J,'Leetcode List'!A:A = A23))"),"Accolite")</f>
        <v>Accolite</v>
      </c>
      <c r="F23" s="47"/>
      <c r="G23" s="47"/>
      <c r="H23" s="47" t="str">
        <f>IFERROR(__xludf.DUMMYFUNCTION("""COMPUTED_VALUE"""),"Accolite")</f>
        <v>Accolite</v>
      </c>
      <c r="I23" s="47">
        <f>IFERROR(__xludf.DUMMYFUNCTION("""COMPUTED_VALUE"""),34.53)</f>
        <v>34.53</v>
      </c>
      <c r="J23" s="47" t="str">
        <f>IFERROR(__xludf.DUMMYFUNCTION("""COMPUTED_VALUE"""),"算法")</f>
        <v>算法</v>
      </c>
      <c r="L23" s="6">
        <f>COUNTIF('Coder-1'!B:B,A23)</f>
        <v>0</v>
      </c>
      <c r="M23" s="6">
        <f>COUNTIF('Coder-2'!B:B,A23)</f>
        <v>0</v>
      </c>
      <c r="N23" s="6">
        <f>COUNTIF('Coder-3'!B:B,A23)</f>
        <v>0</v>
      </c>
      <c r="O23" s="6">
        <f>COUNTIF('Coder-4'!B:B,A23)</f>
        <v>0</v>
      </c>
    </row>
    <row r="24">
      <c r="A24" s="83">
        <v>1498.0</v>
      </c>
      <c r="B24" s="86" t="str">
        <f>IFERROR(__xludf.DUMMYFUNCTION("IF(ISBLANK(A24),,FILTER('Leetcode List'!B:C,'Leetcode List'!A:A = A24))"),"Number of Subsequences That Satisfy the Given Sum Condition")</f>
        <v>Number of Subsequences That Satisfy the Given Sum Condition</v>
      </c>
      <c r="C24" s="47" t="str">
        <f>IFERROR(__xludf.DUMMYFUNCTION("""COMPUTED_VALUE"""),"Medium")</f>
        <v>Medium</v>
      </c>
      <c r="D24" s="83" t="s">
        <v>151</v>
      </c>
      <c r="E24" s="87" t="str">
        <f>IFERROR(__xludf.DUMMYFUNCTION("IF(ISBLANK(A24),,FILTER('Leetcode List'!E:J,'Leetcode List'!A:A = A24))"),"Facebook,Google")</f>
        <v>Facebook,Google</v>
      </c>
      <c r="F24" s="47" t="str">
        <f>IFERROR(__xludf.DUMMYFUNCTION("""COMPUTED_VALUE"""),"Facebook")</f>
        <v>Facebook</v>
      </c>
      <c r="G24" s="47" t="str">
        <f>IFERROR(__xludf.DUMMYFUNCTION("""COMPUTED_VALUE"""),"Facebook")</f>
        <v>Facebook</v>
      </c>
      <c r="H24" s="47" t="str">
        <f>IFERROR(__xludf.DUMMYFUNCTION("""COMPUTED_VALUE"""),"Google,Facebook")</f>
        <v>Google,Facebook</v>
      </c>
      <c r="I24" s="47">
        <f>IFERROR(__xludf.DUMMYFUNCTION("""COMPUTED_VALUE"""),38.51)</f>
        <v>38.51</v>
      </c>
      <c r="J24" s="47" t="str">
        <f>IFERROR(__xludf.DUMMYFUNCTION("""COMPUTED_VALUE"""),"算法")</f>
        <v>算法</v>
      </c>
      <c r="L24" s="6">
        <f>COUNTIF('Coder-1'!B:B,A24)</f>
        <v>0</v>
      </c>
      <c r="M24" s="6">
        <f>COUNTIF('Coder-2'!B:B,A24)</f>
        <v>0</v>
      </c>
      <c r="N24" s="6">
        <f>COUNTIF('Coder-3'!B:B,A24)</f>
        <v>0</v>
      </c>
      <c r="O24" s="6">
        <f>COUNTIF('Coder-4'!B:B,A24)</f>
        <v>0</v>
      </c>
    </row>
    <row r="25">
      <c r="A25" s="83">
        <v>1574.0</v>
      </c>
      <c r="B25" s="86" t="str">
        <f>IFERROR(__xludf.DUMMYFUNCTION("IF(ISBLANK(A25),,FILTER('Leetcode List'!B:C,'Leetcode List'!A:A = A25))"),"Shortest Subarray to be Removed to Make Array Sorted")</f>
        <v>Shortest Subarray to be Removed to Make Array Sorted</v>
      </c>
      <c r="C25" s="47" t="str">
        <f>IFERROR(__xludf.DUMMYFUNCTION("""COMPUTED_VALUE"""),"Medium")</f>
        <v>Medium</v>
      </c>
      <c r="D25" s="83" t="s">
        <v>151</v>
      </c>
      <c r="E25" s="87" t="str">
        <f>IFERROR(__xludf.DUMMYFUNCTION("IF(ISBLANK(A25),,FILTER('Leetcode List'!E:J,'Leetcode List'!A:A = A25))"),"Amazon")</f>
        <v>Amazon</v>
      </c>
      <c r="F25" s="47" t="str">
        <f>IFERROR(__xludf.DUMMYFUNCTION("""COMPUTED_VALUE"""),"Amazon")</f>
        <v>Amazon</v>
      </c>
      <c r="G25" s="47" t="str">
        <f>IFERROR(__xludf.DUMMYFUNCTION("""COMPUTED_VALUE"""),"Amazon")</f>
        <v>Amazon</v>
      </c>
      <c r="H25" s="47" t="str">
        <f>IFERROR(__xludf.DUMMYFUNCTION("""COMPUTED_VALUE"""),"Amazon")</f>
        <v>Amazon</v>
      </c>
      <c r="I25" s="47">
        <f>IFERROR(__xludf.DUMMYFUNCTION("""COMPUTED_VALUE"""),33.57)</f>
        <v>33.57</v>
      </c>
      <c r="J25" s="47" t="str">
        <f>IFERROR(__xludf.DUMMYFUNCTION("""COMPUTED_VALUE"""),"算法")</f>
        <v>算法</v>
      </c>
      <c r="L25" s="6">
        <f>COUNTIF('Coder-1'!B:B,A25)</f>
        <v>0</v>
      </c>
      <c r="M25" s="6">
        <f>COUNTIF('Coder-2'!B:B,A25)</f>
        <v>0</v>
      </c>
      <c r="N25" s="6">
        <f>COUNTIF('Coder-3'!B:B,A25)</f>
        <v>0</v>
      </c>
      <c r="O25" s="6">
        <f>COUNTIF('Coder-4'!B:B,A25)</f>
        <v>0</v>
      </c>
    </row>
    <row r="26">
      <c r="A26" s="83">
        <v>1577.0</v>
      </c>
      <c r="B26" s="86" t="str">
        <f>IFERROR(__xludf.DUMMYFUNCTION("IF(ISBLANK(A26),,FILTER('Leetcode List'!B:C,'Leetcode List'!A:A = A26))"),"Number of Ways Where Square of Number Is Equal to Product of Two Numbers")</f>
        <v>Number of Ways Where Square of Number Is Equal to Product of Two Numbers</v>
      </c>
      <c r="C26" s="47" t="str">
        <f>IFERROR(__xludf.DUMMYFUNCTION("""COMPUTED_VALUE"""),"Medium")</f>
        <v>Medium</v>
      </c>
      <c r="D26" s="83" t="s">
        <v>151</v>
      </c>
      <c r="E26" s="87" t="str">
        <f>IFERROR(__xludf.DUMMYFUNCTION("IF(ISBLANK(A26),,FILTER('Leetcode List'!E:J,'Leetcode List'!A:A = A26))"),"")</f>
        <v/>
      </c>
      <c r="F26" s="47"/>
      <c r="G26" s="47"/>
      <c r="H26" s="47"/>
      <c r="I26" s="47">
        <f>IFERROR(__xludf.DUMMYFUNCTION("""COMPUTED_VALUE"""),37.47)</f>
        <v>37.47</v>
      </c>
      <c r="J26" s="47" t="str">
        <f>IFERROR(__xludf.DUMMYFUNCTION("""COMPUTED_VALUE"""),"算法")</f>
        <v>算法</v>
      </c>
      <c r="L26" s="6">
        <f>COUNTIF('Coder-1'!B:B,A26)</f>
        <v>0</v>
      </c>
      <c r="M26" s="6">
        <f>COUNTIF('Coder-2'!B:B,A26)</f>
        <v>0</v>
      </c>
      <c r="N26" s="6">
        <f>COUNTIF('Coder-3'!B:B,A26)</f>
        <v>0</v>
      </c>
      <c r="O26" s="6">
        <f>COUNTIF('Coder-4'!B:B,A26)</f>
        <v>0</v>
      </c>
    </row>
    <row r="27">
      <c r="A27" s="83">
        <v>1580.0</v>
      </c>
      <c r="B27" s="86" t="str">
        <f>IFERROR(__xludf.DUMMYFUNCTION("IF(ISBLANK(A27),,FILTER('Leetcode List'!B:C,'Leetcode List'!A:A = A27))"),"Put Boxes Into the Warehouse II")</f>
        <v>Put Boxes Into the Warehouse II</v>
      </c>
      <c r="C27" s="47" t="str">
        <f>IFERROR(__xludf.DUMMYFUNCTION("""COMPUTED_VALUE"""),"Medium")</f>
        <v>Medium</v>
      </c>
      <c r="D27" s="83" t="s">
        <v>151</v>
      </c>
      <c r="E27" s="87" t="str">
        <f>IFERROR(__xludf.DUMMYFUNCTION("IF(ISBLANK(A27),,FILTER('Leetcode List'!E:J,'Leetcode List'!A:A = A27))"),"Google")</f>
        <v>Google</v>
      </c>
      <c r="F27" s="47"/>
      <c r="G27" s="47"/>
      <c r="H27" s="47" t="str">
        <f>IFERROR(__xludf.DUMMYFUNCTION("""COMPUTED_VALUE"""),"Google")</f>
        <v>Google</v>
      </c>
      <c r="I27" s="47">
        <f>IFERROR(__xludf.DUMMYFUNCTION("""COMPUTED_VALUE"""),62.09)</f>
        <v>62.09</v>
      </c>
      <c r="J27" s="47" t="str">
        <f>IFERROR(__xludf.DUMMYFUNCTION("""COMPUTED_VALUE"""),"算法")</f>
        <v>算法</v>
      </c>
      <c r="L27" s="6">
        <f>COUNTIF('Coder-1'!B:B,A27)</f>
        <v>0</v>
      </c>
      <c r="M27" s="6">
        <f>COUNTIF('Coder-2'!B:B,A27)</f>
        <v>0</v>
      </c>
      <c r="N27" s="6">
        <f>COUNTIF('Coder-3'!B:B,A27)</f>
        <v>0</v>
      </c>
      <c r="O27" s="6">
        <f>COUNTIF('Coder-4'!B:B,A27)</f>
        <v>0</v>
      </c>
    </row>
    <row r="28">
      <c r="A28" s="83">
        <v>1537.0</v>
      </c>
      <c r="B28" s="86" t="str">
        <f>IFERROR(__xludf.DUMMYFUNCTION("IF(ISBLANK(A28),,FILTER('Leetcode List'!B:C,'Leetcode List'!A:A = A28))"),"Get the Maximum Score")</f>
        <v>Get the Maximum Score</v>
      </c>
      <c r="C28" s="47" t="str">
        <f>IFERROR(__xludf.DUMMYFUNCTION("""COMPUTED_VALUE"""),"Hard")</f>
        <v>Hard</v>
      </c>
      <c r="D28" s="83" t="s">
        <v>151</v>
      </c>
      <c r="E28" s="87" t="str">
        <f>IFERROR(__xludf.DUMMYFUNCTION("IF(ISBLANK(A28),,FILTER('Leetcode List'!E:J,'Leetcode List'!A:A = A28))"),"MindTickle")</f>
        <v>MindTickle</v>
      </c>
      <c r="F28" s="47"/>
      <c r="G28" s="47"/>
      <c r="H28" s="47" t="str">
        <f>IFERROR(__xludf.DUMMYFUNCTION("""COMPUTED_VALUE"""),"MindTickle")</f>
        <v>MindTickle</v>
      </c>
      <c r="I28" s="47">
        <f>IFERROR(__xludf.DUMMYFUNCTION("""COMPUTED_VALUE"""),36.39)</f>
        <v>36.39</v>
      </c>
      <c r="J28" s="47" t="str">
        <f>IFERROR(__xludf.DUMMYFUNCTION("""COMPUTED_VALUE"""),"算法")</f>
        <v>算法</v>
      </c>
      <c r="L28" s="6">
        <f>COUNTIF('Coder-1'!B:B,A28)</f>
        <v>0</v>
      </c>
      <c r="M28" s="6">
        <f>COUNTIF('Coder-2'!B:B,A28)</f>
        <v>0</v>
      </c>
      <c r="N28" s="6">
        <f>COUNTIF('Coder-3'!B:B,A28)</f>
        <v>0</v>
      </c>
      <c r="O28" s="6">
        <f>COUNTIF('Coder-4'!B:B,A28)</f>
        <v>0</v>
      </c>
    </row>
    <row r="29">
      <c r="A29" s="83">
        <v>1687.0</v>
      </c>
      <c r="B29" s="86" t="str">
        <f>IFERROR(__xludf.DUMMYFUNCTION("IF(ISBLANK(A29),,FILTER('Leetcode List'!B:C,'Leetcode List'!A:A = A29))"),"Delivering Boxes from Storage to Ports")</f>
        <v>Delivering Boxes from Storage to Ports</v>
      </c>
      <c r="C29" s="47" t="str">
        <f>IFERROR(__xludf.DUMMYFUNCTION("""COMPUTED_VALUE"""),"Hard")</f>
        <v>Hard</v>
      </c>
      <c r="D29" s="83" t="s">
        <v>151</v>
      </c>
      <c r="E29" s="87" t="str">
        <f>IFERROR(__xludf.DUMMYFUNCTION("IF(ISBLANK(A29),,FILTER('Leetcode List'!E:J,'Leetcode List'!A:A = A29))"),"Nutanix")</f>
        <v>Nutanix</v>
      </c>
      <c r="F29" s="47"/>
      <c r="G29" s="47"/>
      <c r="H29" s="47" t="str">
        <f>IFERROR(__xludf.DUMMYFUNCTION("""COMPUTED_VALUE"""),"Nutanix")</f>
        <v>Nutanix</v>
      </c>
      <c r="I29" s="47">
        <f>IFERROR(__xludf.DUMMYFUNCTION("""COMPUTED_VALUE"""),34.99)</f>
        <v>34.99</v>
      </c>
      <c r="J29" s="47" t="str">
        <f>IFERROR(__xludf.DUMMYFUNCTION("""COMPUTED_VALUE"""),"算法")</f>
        <v>算法</v>
      </c>
      <c r="L29" s="6">
        <f>COUNTIF('Coder-1'!B:B,A29)</f>
        <v>0</v>
      </c>
      <c r="M29" s="6">
        <f>COUNTIF('Coder-2'!B:B,A29)</f>
        <v>0</v>
      </c>
      <c r="N29" s="6">
        <f>COUNTIF('Coder-3'!B:B,A29)</f>
        <v>0</v>
      </c>
      <c r="O29" s="6">
        <f>COUNTIF('Coder-4'!B:B,A29)</f>
        <v>0</v>
      </c>
    </row>
    <row r="30">
      <c r="A30" s="83">
        <v>1775.0</v>
      </c>
      <c r="B30" s="86" t="str">
        <f>IFERROR(__xludf.DUMMYFUNCTION("IF(ISBLANK(A30),,FILTER('Leetcode List'!B:C,'Leetcode List'!A:A = A30))"),"Equal Sum Arrays With Minimum Number of Operations")</f>
        <v>Equal Sum Arrays With Minimum Number of Operations</v>
      </c>
      <c r="C30" s="47" t="str">
        <f>IFERROR(__xludf.DUMMYFUNCTION("""COMPUTED_VALUE"""),"Medium")</f>
        <v>Medium</v>
      </c>
      <c r="D30" s="83" t="s">
        <v>151</v>
      </c>
      <c r="E30" s="87" t="str">
        <f>IFERROR(__xludf.DUMMYFUNCTION("IF(ISBLANK(A30),,FILTER('Leetcode List'!E:J,'Leetcode List'!A:A = A30))"),"HRT,American Express")</f>
        <v>HRT,American Express</v>
      </c>
      <c r="F30" s="47" t="str">
        <f>IFERROR(__xludf.DUMMYFUNCTION("""COMPUTED_VALUE"""),"HRT")</f>
        <v>HRT</v>
      </c>
      <c r="G30" s="47" t="str">
        <f>IFERROR(__xludf.DUMMYFUNCTION("""COMPUTED_VALUE"""),"HRT")</f>
        <v>HRT</v>
      </c>
      <c r="H30" s="47" t="str">
        <f>IFERROR(__xludf.DUMMYFUNCTION("""COMPUTED_VALUE"""),"American Express,HRT")</f>
        <v>American Express,HRT</v>
      </c>
      <c r="I30" s="47">
        <f>IFERROR(__xludf.DUMMYFUNCTION("""COMPUTED_VALUE"""),50.79)</f>
        <v>50.79</v>
      </c>
      <c r="J30" s="47" t="str">
        <f>IFERROR(__xludf.DUMMYFUNCTION("""COMPUTED_VALUE"""),"算法")</f>
        <v>算法</v>
      </c>
      <c r="L30" s="6">
        <f>COUNTIF('Coder-1'!B:B,A30)</f>
        <v>0</v>
      </c>
      <c r="M30" s="6">
        <f>COUNTIF('Coder-2'!B:B,A30)</f>
        <v>0</v>
      </c>
      <c r="N30" s="6">
        <f>COUNTIF('Coder-3'!B:B,A30)</f>
        <v>0</v>
      </c>
      <c r="O30" s="6">
        <f>COUNTIF('Coder-4'!B:B,A30)</f>
        <v>0</v>
      </c>
    </row>
    <row r="31">
      <c r="A31" s="83">
        <v>1793.0</v>
      </c>
      <c r="B31" s="86" t="str">
        <f>IFERROR(__xludf.DUMMYFUNCTION("IF(ISBLANK(A31),,FILTER('Leetcode List'!B:C,'Leetcode List'!A:A = A31))"),"Maximum Score of a Good Subarray")</f>
        <v>Maximum Score of a Good Subarray</v>
      </c>
      <c r="C31" s="47" t="str">
        <f>IFERROR(__xludf.DUMMYFUNCTION("""COMPUTED_VALUE"""),"Hard")</f>
        <v>Hard</v>
      </c>
      <c r="D31" s="83" t="s">
        <v>151</v>
      </c>
      <c r="E31" s="87" t="str">
        <f>IFERROR(__xludf.DUMMYFUNCTION("IF(ISBLANK(A31),,FILTER('Leetcode List'!E:J,'Leetcode List'!A:A = A31))"),"Google")</f>
        <v>Google</v>
      </c>
      <c r="F31" s="47"/>
      <c r="G31" s="47"/>
      <c r="H31" s="47" t="str">
        <f>IFERROR(__xludf.DUMMYFUNCTION("""COMPUTED_VALUE"""),"Google")</f>
        <v>Google</v>
      </c>
      <c r="I31" s="47">
        <f>IFERROR(__xludf.DUMMYFUNCTION("""COMPUTED_VALUE"""),44.96)</f>
        <v>44.96</v>
      </c>
      <c r="J31" s="47" t="str">
        <f>IFERROR(__xludf.DUMMYFUNCTION("""COMPUTED_VALUE"""),"算法")</f>
        <v>算法</v>
      </c>
      <c r="L31" s="6">
        <f>COUNTIF('Coder-1'!B:B,A31)</f>
        <v>0</v>
      </c>
      <c r="M31" s="6">
        <f>COUNTIF('Coder-2'!B:B,A31)</f>
        <v>0</v>
      </c>
      <c r="N31" s="6">
        <f>COUNTIF('Coder-3'!B:B,A31)</f>
        <v>0</v>
      </c>
      <c r="O31" s="6">
        <f>COUNTIF('Coder-4'!B:B,A31)</f>
        <v>0</v>
      </c>
    </row>
    <row r="32">
      <c r="A32" s="83">
        <v>3.0</v>
      </c>
      <c r="B32" s="86" t="str">
        <f>IFERROR(__xludf.DUMMYFUNCTION("IF(ISBLANK(A32),,FILTER('Leetcode List'!B:C,'Leetcode List'!A:A = A32))"),"Longest Substring Without Repeating Characters")</f>
        <v>Longest Substring Without Repeating Characters</v>
      </c>
      <c r="C32" s="47" t="str">
        <f>IFERROR(__xludf.DUMMYFUNCTION("""COMPUTED_VALUE"""),"Medium")</f>
        <v>Medium</v>
      </c>
      <c r="D32" s="46" t="s">
        <v>151</v>
      </c>
      <c r="E32" s="87" t="str">
        <f>IFERROR(__xludf.DUMMYFUNCTION("IF(ISBLANK(A32),,FILTER('Leetcode List'!E:J,'Leetcode List'!A:A = A32))"),"American Express,Tcs,PayTM,Infosys,Splunk,Nagarro,Intuit,Morgan Stanley,Coupang,Atlassian,Twitch,Alation,ByteDance,Salesforce,VMware,Walmart Labs,Snapchat,Zillow,Paypal,Expedia,Yelp,Zoho,Oracle,Spotify,Cisco,Yandex,Huawei,EBay,Baidu,Apple,Uber,Yahoo,Samsu"&amp;"ng,Tencent,SAP,Bloomberg,Adobe,Facebook,Amazon,Microsoft,Alibaba,Goldman Sachs,Google")</f>
        <v>American Express,Tcs,PayTM,Infosys,Splunk,Nagarro,Intuit,Morgan Stanley,Coupang,Atlassian,Twitch,Alation,ByteDance,Salesforce,VMware,Walmart Labs,Snapchat,Zillow,Paypal,Expedia,Yelp,Zoho,Oracle,Spotify,Cisco,Yandex,Huawei,EBay,Baidu,Apple,Uber,Yahoo,Samsung,Tencent,SAP,Bloomberg,Adobe,Facebook,Amazon,Microsoft,Alibaba,Goldman Sachs,Google</v>
      </c>
      <c r="F32" s="47" t="str">
        <f>IFERROR(__xludf.DUMMYFUNCTION("""COMPUTED_VALUE"""),"Amazon,Bloomberg,Microsoft,Facebook,Goldman Sachs,Google,Adobe,eBay,Apple,Alation,Uber,VMware,Oracle,ByteDance,PayTM,Yahoo,Salesforce,Splunk,Nagarro")</f>
        <v>Amazon,Bloomberg,Microsoft,Facebook,Goldman Sachs,Google,Adobe,eBay,Apple,Alation,Uber,VMware,Oracle,ByteDance,PayTM,Yahoo,Salesforce,Splunk,Nagarro</v>
      </c>
      <c r="G32" s="47" t="str">
        <f>IFERROR(__xludf.DUMMYFUNCTION("""COMPUTED_VALUE"""),"Spotify,Cisco,Coupang,Morgan Stanley,Expedia,Walmart Labs,SAP,Yandex,Atlassian,tcs,Amazon,Bloomberg,Microsoft,Facebook,Goldman Sachs,Google,Adobe,eBay,Apple,Alation,Uber,VMware,Oracle,ByteDance,PayTM,Yahoo,Salesforce,Splunk,Nagarro")</f>
        <v>Spotify,Cisco,Coupang,Morgan Stanley,Expedia,Walmart Labs,SAP,Yandex,Atlassian,tcs,Amazon,Bloomberg,Microsoft,Facebook,Goldman Sachs,Google,Adobe,eBay,Apple,Alation,Uber,VMware,Oracle,ByteDance,PayTM,Yahoo,Salesforce,Splunk,Nagarro</v>
      </c>
      <c r="H32" s="47" t="str">
        <f>IFERROR(__xludf.DUMMYFUNCTION("""COMPUTED_VALUE"""),"Huawei,Zillow,Samsung,Zoho,Infosys,Alibaba,Paypal,Intuit,American Express,Yelp,Spotify,Cisco,Coupang,Morgan Stanley,Expedia,Walmart Labs,SAP,Yandex,Atlassian,tcs,Amazon,Bloomberg,Microsoft,Facebook,Goldman Sachs,Google,Adobe,eBay,Apple,Alation,Uber,VMware"&amp;",Oracle,ByteDance,PayTM,Yahoo,Salesforce,Splunk,Nagarro")</f>
        <v>Huawei,Zillow,Samsung,Zoho,Infosys,Alibaba,Paypal,Intuit,American Express,Yelp,Spotify,Cisco,Coupang,Morgan Stanley,Expedia,Walmart Labs,SAP,Yandex,Atlassian,tcs,Amazon,Bloomberg,Microsoft,Facebook,Goldman Sachs,Google,Adobe,eBay,Apple,Alation,Uber,VMware,Oracle,ByteDance,PayTM,Yahoo,Salesforce,Splunk,Nagarro</v>
      </c>
      <c r="I32" s="47">
        <f>IFERROR(__xludf.DUMMYFUNCTION("""COMPUTED_VALUE"""),31.48)</f>
        <v>31.48</v>
      </c>
      <c r="J32" s="47" t="str">
        <f>IFERROR(__xludf.DUMMYFUNCTION("""COMPUTED_VALUE"""),"算法")</f>
        <v>算法</v>
      </c>
      <c r="K32" s="2" t="s">
        <v>4982</v>
      </c>
      <c r="L32" s="6">
        <f>COUNTIF('Coder-1'!B:B,A32)</f>
        <v>0</v>
      </c>
      <c r="M32" s="6">
        <f>COUNTIF('Coder-2'!B:B,A32)</f>
        <v>0</v>
      </c>
      <c r="N32" s="6">
        <f>COUNTIF('Coder-3'!B:B,A32)</f>
        <v>0</v>
      </c>
      <c r="O32" s="6">
        <f>COUNTIF('Coder-4'!B:B,A32)</f>
        <v>0</v>
      </c>
    </row>
    <row r="33">
      <c r="A33" s="83">
        <v>159.0</v>
      </c>
      <c r="B33" s="86" t="str">
        <f>IFERROR(__xludf.DUMMYFUNCTION("IF(ISBLANK(A33),,FILTER('Leetcode List'!B:C,'Leetcode List'!A:A = A33))"),"Longest Substring with At Most Two Distinct Characters")</f>
        <v>Longest Substring with At Most Two Distinct Characters</v>
      </c>
      <c r="C33" s="47" t="str">
        <f>IFERROR(__xludf.DUMMYFUNCTION("""COMPUTED_VALUE"""),"Medium")</f>
        <v>Medium</v>
      </c>
      <c r="D33" s="83" t="s">
        <v>151</v>
      </c>
      <c r="E33" s="87" t="str">
        <f>IFERROR(__xludf.DUMMYFUNCTION("IF(ISBLANK(A33),,FILTER('Leetcode List'!E:J,'Leetcode List'!A:A = A33))"),"Adobe,Facebook,Amazon,Microsoft,Google")</f>
        <v>Adobe,Facebook,Amazon,Microsoft,Google</v>
      </c>
      <c r="F33" s="47" t="str">
        <f>IFERROR(__xludf.DUMMYFUNCTION("""COMPUTED_VALUE"""),"Facebook")</f>
        <v>Facebook</v>
      </c>
      <c r="G33" s="47" t="str">
        <f>IFERROR(__xludf.DUMMYFUNCTION("""COMPUTED_VALUE"""),"Google,Microsoft,Facebook")</f>
        <v>Google,Microsoft,Facebook</v>
      </c>
      <c r="H33" s="47" t="str">
        <f>IFERROR(__xludf.DUMMYFUNCTION("""COMPUTED_VALUE"""),"Amazon,Adobe,Google,Microsoft,Facebook")</f>
        <v>Amazon,Adobe,Google,Microsoft,Facebook</v>
      </c>
      <c r="I33" s="47">
        <f>IFERROR(__xludf.DUMMYFUNCTION("""COMPUTED_VALUE"""),50.57)</f>
        <v>50.57</v>
      </c>
      <c r="J33" s="47" t="str">
        <f>IFERROR(__xludf.DUMMYFUNCTION("""COMPUTED_VALUE"""),"算法")</f>
        <v>算法</v>
      </c>
      <c r="K33" s="2" t="s">
        <v>4982</v>
      </c>
      <c r="L33" s="6">
        <f>COUNTIF('Coder-1'!B:B,A33)</f>
        <v>0</v>
      </c>
      <c r="M33" s="6">
        <f>COUNTIF('Coder-2'!B:B,A33)</f>
        <v>0</v>
      </c>
      <c r="N33" s="6">
        <f>COUNTIF('Coder-3'!B:B,A33)</f>
        <v>0</v>
      </c>
      <c r="O33" s="6">
        <f>COUNTIF('Coder-4'!B:B,A33)</f>
        <v>0</v>
      </c>
    </row>
    <row r="34">
      <c r="A34" s="83">
        <v>340.0</v>
      </c>
      <c r="B34" s="86" t="str">
        <f>IFERROR(__xludf.DUMMYFUNCTION("IF(ISBLANK(A34),,FILTER('Leetcode List'!B:C,'Leetcode List'!A:A = A34))"),"Longest Substring with At Most K Distinct Characters")</f>
        <v>Longest Substring with At Most K Distinct Characters</v>
      </c>
      <c r="C34" s="47" t="str">
        <f>IFERROR(__xludf.DUMMYFUNCTION("""COMPUTED_VALUE"""),"Medium")</f>
        <v>Medium</v>
      </c>
      <c r="D34" s="83" t="s">
        <v>151</v>
      </c>
      <c r="E34" s="87" t="str">
        <f>IFERROR(__xludf.DUMMYFUNCTION("IF(ISBLANK(A34),,FILTER('Leetcode List'!E:J,'Leetcode List'!A:A = A34))"),"LinkedIn,AppDynamics,Coupang,Citadel,Snapchat,Wish,Oracle,Uber,Bloomberg,Facebook,Amazon,Microsoft,Google")</f>
        <v>LinkedIn,AppDynamics,Coupang,Citadel,Snapchat,Wish,Oracle,Uber,Bloomberg,Facebook,Amazon,Microsoft,Google</v>
      </c>
      <c r="F34" s="47" t="str">
        <f>IFERROR(__xludf.DUMMYFUNCTION("""COMPUTED_VALUE"""),"Facebook,Uber,Amazon,Microsoft,Wish")</f>
        <v>Facebook,Uber,Amazon,Microsoft,Wish</v>
      </c>
      <c r="G34" s="47" t="str">
        <f>IFERROR(__xludf.DUMMYFUNCTION("""COMPUTED_VALUE"""),"Google,Oracle,Facebook,Uber,Amazon,Microsoft,Wish")</f>
        <v>Google,Oracle,Facebook,Uber,Amazon,Microsoft,Wish</v>
      </c>
      <c r="H34" s="47" t="str">
        <f>IFERROR(__xludf.DUMMYFUNCTION("""COMPUTED_VALUE"""),"Bloomberg,Snapchat,LinkedIn,Citadel,AppDynamics,Coupang,Google,Oracle,Facebook,Uber,Amazon,Microsoft,Wish")</f>
        <v>Bloomberg,Snapchat,LinkedIn,Citadel,AppDynamics,Coupang,Google,Oracle,Facebook,Uber,Amazon,Microsoft,Wish</v>
      </c>
      <c r="I34" s="47">
        <f>IFERROR(__xludf.DUMMYFUNCTION("""COMPUTED_VALUE"""),45.62)</f>
        <v>45.62</v>
      </c>
      <c r="J34" s="47" t="str">
        <f>IFERROR(__xludf.DUMMYFUNCTION("""COMPUTED_VALUE"""),"算法")</f>
        <v>算法</v>
      </c>
      <c r="K34" s="2" t="s">
        <v>4982</v>
      </c>
      <c r="L34" s="6">
        <f>COUNTIF('Coder-1'!B:B,A34)</f>
        <v>0</v>
      </c>
      <c r="M34" s="6">
        <f>COUNTIF('Coder-2'!B:B,A34)</f>
        <v>0</v>
      </c>
      <c r="N34" s="6">
        <f>COUNTIF('Coder-3'!B:B,A34)</f>
        <v>0</v>
      </c>
      <c r="O34" s="6">
        <f>COUNTIF('Coder-4'!B:B,A34)</f>
        <v>0</v>
      </c>
    </row>
    <row r="35">
      <c r="A35" s="83">
        <v>992.0</v>
      </c>
      <c r="B35" s="86" t="str">
        <f>IFERROR(__xludf.DUMMYFUNCTION("IF(ISBLANK(A35),,FILTER('Leetcode List'!B:C,'Leetcode List'!A:A = A35))"),"Subarrays with K Different Integers")</f>
        <v>Subarrays with K Different Integers</v>
      </c>
      <c r="C35" s="47" t="str">
        <f>IFERROR(__xludf.DUMMYFUNCTION("""COMPUTED_VALUE"""),"Hard")</f>
        <v>Hard</v>
      </c>
      <c r="D35" s="83" t="s">
        <v>151</v>
      </c>
      <c r="E35" s="87" t="str">
        <f>IFERROR(__xludf.DUMMYFUNCTION("IF(ISBLANK(A35),,FILTER('Leetcode List'!E:J,'Leetcode List'!A:A = A35))"),"Bloomberg,Adobe,Facebook,Uber,Amazon,Alibaba,Goldman Sachs,Google")</f>
        <v>Bloomberg,Adobe,Facebook,Uber,Amazon,Alibaba,Goldman Sachs,Google</v>
      </c>
      <c r="F35" s="47" t="str">
        <f>IFERROR(__xludf.DUMMYFUNCTION("""COMPUTED_VALUE"""),"Amazon,Google")</f>
        <v>Amazon,Google</v>
      </c>
      <c r="G35" s="47" t="str">
        <f>IFERROR(__xludf.DUMMYFUNCTION("""COMPUTED_VALUE"""),"Bloomberg,Amazon,Google")</f>
        <v>Bloomberg,Amazon,Google</v>
      </c>
      <c r="H35" s="47" t="str">
        <f>IFERROR(__xludf.DUMMYFUNCTION("""COMPUTED_VALUE"""),"Facebook,Alibaba,Adobe,Goldman Sachs,Uber,Bloomberg,Amazon,Google")</f>
        <v>Facebook,Alibaba,Adobe,Goldman Sachs,Uber,Bloomberg,Amazon,Google</v>
      </c>
      <c r="I35" s="47">
        <f>IFERROR(__xludf.DUMMYFUNCTION("""COMPUTED_VALUE"""),50.76)</f>
        <v>50.76</v>
      </c>
      <c r="J35" s="47" t="str">
        <f>IFERROR(__xludf.DUMMYFUNCTION("""COMPUTED_VALUE"""),"算法")</f>
        <v>算法</v>
      </c>
      <c r="K35" s="2" t="s">
        <v>4982</v>
      </c>
      <c r="L35" s="6">
        <f>COUNTIF('Coder-1'!B:B,A35)</f>
        <v>0</v>
      </c>
      <c r="M35" s="6">
        <f>COUNTIF('Coder-2'!B:B,A35)</f>
        <v>0</v>
      </c>
      <c r="N35" s="6">
        <f>COUNTIF('Coder-3'!B:B,A35)</f>
        <v>0</v>
      </c>
      <c r="O35" s="6">
        <f>COUNTIF('Coder-4'!B:B,A35)</f>
        <v>0</v>
      </c>
    </row>
    <row r="36">
      <c r="A36" s="83">
        <v>4.0</v>
      </c>
      <c r="B36" s="86" t="str">
        <f>IFERROR(__xludf.DUMMYFUNCTION("IF(ISBLANK(A36),,FILTER('Leetcode List'!B:C,'Leetcode List'!A:A = A36))"),"Median of Two Sorted Arrays")</f>
        <v>Median of Two Sorted Arrays</v>
      </c>
      <c r="C36" s="47" t="str">
        <f>IFERROR(__xludf.DUMMYFUNCTION("""COMPUTED_VALUE"""),"Hard")</f>
        <v>Hard</v>
      </c>
      <c r="D36" s="83" t="s">
        <v>502</v>
      </c>
      <c r="E36" s="87" t="str">
        <f>IFERROR(__xludf.DUMMYFUNCTION("IF(ISBLANK(A36),,FILTER('Leetcode List'!E:J,'Leetcode List'!A:A = A36))"),"Wish,Reddit,Flipkart,Paypal,Intuit,Zulily,Garena,Rubrik,Houzz,Two Sigma,Zenefits,ByteDance,Visa,VMware,Walmart Labs,Dropbox,GoDaddy,JPMorgan,Zillow,Oracle,DiDi,Yandex,Huawei,EBay,Baidu,Apple,Airbnb,Uber,Yahoo,Tencent,Bloomberg,Adobe,Facebook,Amazon,Micros"&amp;"oft,Alibaba,Goldman Sachs,Google")</f>
        <v>Wish,Reddit,Flipkart,Paypal,Intuit,Zulily,Garena,Rubrik,Houzz,Two Sigma,Zenefits,ByteDance,Visa,VMware,Walmart Labs,Dropbox,GoDaddy,JPMorgan,Zillow,Oracle,DiDi,Yandex,Huawei,EBay,Baidu,Apple,Airbnb,Uber,Yahoo,Tencent,Bloomberg,Adobe,Facebook,Amazon,Microsoft,Alibaba,Goldman Sachs,Google</v>
      </c>
      <c r="F36" s="47" t="str">
        <f>IFERROR(__xludf.DUMMYFUNCTION("""COMPUTED_VALUE"""),"Amazon,Goldman Sachs,Apple,Adobe,Microsoft,Facebook,Bloomberg,Uber,Zillow,Flipkart,Wish")</f>
        <v>Amazon,Goldman Sachs,Apple,Adobe,Microsoft,Facebook,Bloomberg,Uber,Zillow,Flipkart,Wish</v>
      </c>
      <c r="G36" s="47" t="str">
        <f>IFERROR(__xludf.DUMMYFUNCTION("""COMPUTED_VALUE"""),"Google,ByteDance,Paypal,Amazon,Goldman Sachs,Apple,Adobe,Microsoft,Facebook,Bloomberg,Uber,Zillow,Flipkart,Wish")</f>
        <v>Google,ByteDance,Paypal,Amazon,Goldman Sachs,Apple,Adobe,Microsoft,Facebook,Bloomberg,Uber,Zillow,Flipkart,Wish</v>
      </c>
      <c r="H36" s="47" t="str">
        <f>IFERROR(__xludf.DUMMYFUNCTION("""COMPUTED_VALUE"""),"Oracle,Yahoo,eBay,Visa,VMware,Yandex,GoDaddy,Zulily,Reddit,Intuit,Zenefits,Dropbox,Google,ByteDance,Paypal,Amazon,Goldman Sachs,Apple,Adobe,Microsoft,Facebook,Bloomberg,Uber,Zillow,Flipkart,Wish")</f>
        <v>Oracle,Yahoo,eBay,Visa,VMware,Yandex,GoDaddy,Zulily,Reddit,Intuit,Zenefits,Dropbox,Google,ByteDance,Paypal,Amazon,Goldman Sachs,Apple,Adobe,Microsoft,Facebook,Bloomberg,Uber,Zillow,Flipkart,Wish</v>
      </c>
      <c r="I36" s="47">
        <f>IFERROR(__xludf.DUMMYFUNCTION("""COMPUTED_VALUE"""),31.21)</f>
        <v>31.21</v>
      </c>
      <c r="J36" s="47" t="str">
        <f>IFERROR(__xludf.DUMMYFUNCTION("""COMPUTED_VALUE"""),"算法")</f>
        <v>算法</v>
      </c>
      <c r="L36" s="6">
        <f>COUNTIF('Coder-1'!B:B,A36)</f>
        <v>0</v>
      </c>
      <c r="M36" s="6">
        <f>COUNTIF('Coder-2'!B:B,A36)</f>
        <v>0</v>
      </c>
      <c r="N36" s="6">
        <f>COUNTIF('Coder-3'!B:B,A36)</f>
        <v>0</v>
      </c>
      <c r="O36" s="6">
        <f>COUNTIF('Coder-4'!B:B,A36)</f>
        <v>0</v>
      </c>
    </row>
    <row r="37">
      <c r="A37" s="83">
        <v>154.0</v>
      </c>
      <c r="B37" s="86" t="str">
        <f>IFERROR(__xludf.DUMMYFUNCTION("IF(ISBLANK(A37),,FILTER('Leetcode List'!B:C,'Leetcode List'!A:A = A37))"),"Find Minimum in Rotated Sorted Array II")</f>
        <v>Find Minimum in Rotated Sorted Array II</v>
      </c>
      <c r="C37" s="47" t="str">
        <f>IFERROR(__xludf.DUMMYFUNCTION("""COMPUTED_VALUE"""),"Hard")</f>
        <v>Hard</v>
      </c>
      <c r="D37" s="83" t="s">
        <v>502</v>
      </c>
      <c r="E37" s="87" t="str">
        <f>IFERROR(__xludf.DUMMYFUNCTION("IF(ISBLANK(A37),,FILTER('Leetcode List'!E:J,'Leetcode List'!A:A = A37))"),"Wish,Oracle,Microsoft,Uber,Adobe,Facebook,Amazon,Google")</f>
        <v>Wish,Oracle,Microsoft,Uber,Adobe,Facebook,Amazon,Google</v>
      </c>
      <c r="F37" s="47" t="str">
        <f>IFERROR(__xludf.DUMMYFUNCTION("""COMPUTED_VALUE"""),"Google,Amazon,Oracle")</f>
        <v>Google,Amazon,Oracle</v>
      </c>
      <c r="G37" s="47" t="str">
        <f>IFERROR(__xludf.DUMMYFUNCTION("""COMPUTED_VALUE"""),"Facebook,Google,Amazon,Oracle")</f>
        <v>Facebook,Google,Amazon,Oracle</v>
      </c>
      <c r="H37" s="47" t="str">
        <f>IFERROR(__xludf.DUMMYFUNCTION("""COMPUTED_VALUE"""),"Uber,Microsoft,Wish,Facebook,Google,Amazon,Oracle")</f>
        <v>Uber,Microsoft,Wish,Facebook,Google,Amazon,Oracle</v>
      </c>
      <c r="I37" s="47">
        <f>IFERROR(__xludf.DUMMYFUNCTION("""COMPUTED_VALUE"""),42.07)</f>
        <v>42.07</v>
      </c>
      <c r="J37" s="47" t="str">
        <f>IFERROR(__xludf.DUMMYFUNCTION("""COMPUTED_VALUE"""),"算法")</f>
        <v>算法</v>
      </c>
      <c r="L37" s="6">
        <f>COUNTIF('Coder-1'!B:B,A37)</f>
        <v>0</v>
      </c>
      <c r="M37" s="6">
        <f>COUNTIF('Coder-2'!B:B,A37)</f>
        <v>0</v>
      </c>
      <c r="N37" s="6">
        <f>COUNTIF('Coder-3'!B:B,A37)</f>
        <v>0</v>
      </c>
      <c r="O37" s="6">
        <f>COUNTIF('Coder-4'!B:B,A37)</f>
        <v>0</v>
      </c>
    </row>
    <row r="38">
      <c r="A38" s="83">
        <v>33.0</v>
      </c>
      <c r="B38" s="86" t="str">
        <f>IFERROR(__xludf.DUMMYFUNCTION("IF(ISBLANK(A38),,FILTER('Leetcode List'!B:C,'Leetcode List'!A:A = A38))"),"Search in Rotated Sorted Array")</f>
        <v>Search in Rotated Sorted Array</v>
      </c>
      <c r="C38" s="47" t="str">
        <f>IFERROR(__xludf.DUMMYFUNCTION("""COMPUTED_VALUE"""),"Medium")</f>
        <v>Medium</v>
      </c>
      <c r="D38" s="83" t="s">
        <v>502</v>
      </c>
      <c r="E38" s="87" t="str">
        <f>IFERROR(__xludf.DUMMYFUNCTION("IF(ISBLANK(A38),,FILTER('Leetcode List'!E:J,'Leetcode List'!A:A = A38))"),"PayTM,Paypal,ServiceNow,TripAdvisor,Tesla,Nutanix,Zulily,Twitch,ByteDance,Salesforce,Visa,VMware,Walmart Labs,Snapchat,JPMorgan,Zillow,Expedia,Nvidia,Oracle,NetEase,Cisco,Yandex,EBay,Baidu,Apple,Uber,Yahoo,Samsung,Tencent,Bloomberg,Adobe,Facebook,Amazon,L"&amp;"inkedIn,Microsoft,Alibaba,Goldman Sachs,Google")</f>
        <v>PayTM,Paypal,ServiceNow,TripAdvisor,Tesla,Nutanix,Zulily,Twitch,ByteDance,Salesforce,Visa,VMware,Walmart Labs,Snapchat,JPMorgan,Zillow,Expedia,Nvidia,Oracle,NetEase,Cisco,Yandex,EBay,Baidu,Apple,Uber,Yahoo,Samsung,Tencent,Bloomberg,Adobe,Facebook,Amazon,LinkedIn,Microsoft,Alibaba,Goldman Sachs,Google</v>
      </c>
      <c r="F38" s="47" t="str">
        <f>IFERROR(__xludf.DUMMYFUNCTION("""COMPUTED_VALUE"""),"Amazon,Facebook,Microsoft,LinkedIn,Bloomberg,Oracle,Apple,ByteDance,Expedia,Google,Nvidia,Zillow,eBay,Adobe,Cisco,ServiceNow")</f>
        <v>Amazon,Facebook,Microsoft,LinkedIn,Bloomberg,Oracle,Apple,ByteDance,Expedia,Google,Nvidia,Zillow,eBay,Adobe,Cisco,ServiceNow</v>
      </c>
      <c r="G38" s="47" t="str">
        <f>IFERROR(__xludf.DUMMYFUNCTION("""COMPUTED_VALUE"""),"VMware,Goldman Sachs,Walmart Labs,Paypal,PayTM,Amazon,Facebook,Microsoft,LinkedIn,Bloomberg,Oracle,Apple,ByteDance,Expedia,Google,Nvidia,Zillow,eBay,Adobe,Cisco,ServiceNow")</f>
        <v>VMware,Goldman Sachs,Walmart Labs,Paypal,PayTM,Amazon,Facebook,Microsoft,LinkedIn,Bloomberg,Oracle,Apple,ByteDance,Expedia,Google,Nvidia,Zillow,eBay,Adobe,Cisco,ServiceNow</v>
      </c>
      <c r="H38" s="47" t="str">
        <f>IFERROR(__xludf.DUMMYFUNCTION("""COMPUTED_VALUE"""),"Yahoo,Nutanix,Yandex,Alibaba,Samsung,Uber,Tencent,Salesforce,Zulily,Twitch,JPMorgan,Tesla,VMware,Goldman Sachs,Walmart Labs,Paypal,PayTM,Amazon,Facebook,Microsoft,LinkedIn,Bloomberg,Oracle,Apple,ByteDance,Expedia,Google,Nvidia,Zillow,eBay,Adobe,Cisco,Serv"&amp;"iceNow")</f>
        <v>Yahoo,Nutanix,Yandex,Alibaba,Samsung,Uber,Tencent,Salesforce,Zulily,Twitch,JPMorgan,Tesla,VMware,Goldman Sachs,Walmart Labs,Paypal,PayTM,Amazon,Facebook,Microsoft,LinkedIn,Bloomberg,Oracle,Apple,ByteDance,Expedia,Google,Nvidia,Zillow,eBay,Adobe,Cisco,ServiceNow</v>
      </c>
      <c r="I38" s="47">
        <f>IFERROR(__xludf.DUMMYFUNCTION("""COMPUTED_VALUE"""),35.99)</f>
        <v>35.99</v>
      </c>
      <c r="J38" s="47" t="str">
        <f>IFERROR(__xludf.DUMMYFUNCTION("""COMPUTED_VALUE"""),"算法")</f>
        <v>算法</v>
      </c>
      <c r="L38" s="6">
        <f>COUNTIF('Coder-1'!B:B,A38)</f>
        <v>0</v>
      </c>
      <c r="M38" s="6">
        <f>COUNTIF('Coder-2'!B:B,A38)</f>
        <v>0</v>
      </c>
      <c r="N38" s="6">
        <f>COUNTIF('Coder-3'!B:B,A38)</f>
        <v>0</v>
      </c>
      <c r="O38" s="6">
        <f>COUNTIF('Coder-4'!B:B,A38)</f>
        <v>0</v>
      </c>
    </row>
    <row r="39">
      <c r="A39" s="83">
        <v>81.0</v>
      </c>
      <c r="B39" s="86" t="str">
        <f>IFERROR(__xludf.DUMMYFUNCTION("IF(ISBLANK(A39),,FILTER('Leetcode List'!B:C,'Leetcode List'!A:A = A39))"),"Search in Rotated Sorted Array II")</f>
        <v>Search in Rotated Sorted Array II</v>
      </c>
      <c r="C39" s="47" t="str">
        <f>IFERROR(__xludf.DUMMYFUNCTION("""COMPUTED_VALUE"""),"Medium")</f>
        <v>Medium</v>
      </c>
      <c r="D39" s="83" t="s">
        <v>502</v>
      </c>
      <c r="E39" s="87" t="str">
        <f>IFERROR(__xludf.DUMMYFUNCTION("IF(ISBLANK(A39),,FILTER('Leetcode List'!E:J,'Leetcode List'!A:A = A39))"),"Bloomberg,Adobe,Facebook,Amazon,Microsoft,Google")</f>
        <v>Bloomberg,Adobe,Facebook,Amazon,Microsoft,Google</v>
      </c>
      <c r="F39" s="47" t="str">
        <f>IFERROR(__xludf.DUMMYFUNCTION("""COMPUTED_VALUE"""),"Amazon")</f>
        <v>Amazon</v>
      </c>
      <c r="G39" s="47" t="str">
        <f>IFERROR(__xludf.DUMMYFUNCTION("""COMPUTED_VALUE"""),"Facebook,Adobe,Amazon")</f>
        <v>Facebook,Adobe,Amazon</v>
      </c>
      <c r="H39" s="47" t="str">
        <f>IFERROR(__xludf.DUMMYFUNCTION("""COMPUTED_VALUE"""),"Microsoft,Google,Bloomberg,Facebook,Adobe,Amazon")</f>
        <v>Microsoft,Google,Bloomberg,Facebook,Adobe,Amazon</v>
      </c>
      <c r="I39" s="47">
        <f>IFERROR(__xludf.DUMMYFUNCTION("""COMPUTED_VALUE"""),33.61)</f>
        <v>33.61</v>
      </c>
      <c r="J39" s="47" t="str">
        <f>IFERROR(__xludf.DUMMYFUNCTION("""COMPUTED_VALUE"""),"算法")</f>
        <v>算法</v>
      </c>
      <c r="L39" s="6">
        <f>COUNTIF('Coder-1'!B:B,A39)</f>
        <v>0</v>
      </c>
      <c r="M39" s="6">
        <f>COUNTIF('Coder-2'!B:B,A39)</f>
        <v>0</v>
      </c>
      <c r="N39" s="6">
        <f>COUNTIF('Coder-3'!B:B,A39)</f>
        <v>0</v>
      </c>
      <c r="O39" s="6">
        <f>COUNTIF('Coder-4'!B:B,A39)</f>
        <v>0</v>
      </c>
    </row>
    <row r="40">
      <c r="A40" s="83">
        <v>34.0</v>
      </c>
      <c r="B40" s="86" t="str">
        <f>IFERROR(__xludf.DUMMYFUNCTION("IF(ISBLANK(A40),,FILTER('Leetcode List'!B:C,'Leetcode List'!A:A = A40))"),"Find First and Last Position of Element in Sorted Array")</f>
        <v>Find First and Last Position of Element in Sorted Array</v>
      </c>
      <c r="C40" s="47" t="str">
        <f>IFERROR(__xludf.DUMMYFUNCTION("""COMPUTED_VALUE"""),"Medium")</f>
        <v>Medium</v>
      </c>
      <c r="D40" s="83" t="s">
        <v>502</v>
      </c>
      <c r="E40" s="87" t="str">
        <f>IFERROR(__xludf.DUMMYFUNCTION("IF(ISBLANK(A40),,FILTER('Leetcode List'!E:J,'Leetcode List'!A:A = A40))"),"Flipkart,Twitter,Netflix,Quip (Salesforce),Qualtrics,ByteDance,Visa,Oracle,Yandex,Apple,Airbnb,Uber,Yahoo,Bloomberg,Facebook,Amazon,LinkedIn,Microsoft,Google")</f>
        <v>Flipkart,Twitter,Netflix,Quip (Salesforce),Qualtrics,ByteDance,Visa,Oracle,Yandex,Apple,Airbnb,Uber,Yahoo,Bloomberg,Facebook,Amazon,LinkedIn,Microsoft,Google</v>
      </c>
      <c r="F40" s="47" t="str">
        <f>IFERROR(__xludf.DUMMYFUNCTION("""COMPUTED_VALUE"""),"Facebook,Amazon,Microsoft,Uber,Google,Bloomberg,Oracle")</f>
        <v>Facebook,Amazon,Microsoft,Uber,Google,Bloomberg,Oracle</v>
      </c>
      <c r="G40" s="47" t="str">
        <f>IFERROR(__xludf.DUMMYFUNCTION("""COMPUTED_VALUE"""),"Apple,ByteDance,LinkedIn,Facebook,Amazon,Microsoft,Uber,Google,Bloomberg,Oracle")</f>
        <v>Apple,ByteDance,LinkedIn,Facebook,Amazon,Microsoft,Uber,Google,Bloomberg,Oracle</v>
      </c>
      <c r="H40" s="47" t="str">
        <f>IFERROR(__xludf.DUMMYFUNCTION("""COMPUTED_VALUE"""),"Yandex,Twitter,Flipkart,Airbnb,Netflix,Quip (Salesforce),Apple,ByteDance,LinkedIn,Facebook,Amazon,Microsoft,Uber,Google,Bloomberg,Oracle")</f>
        <v>Yandex,Twitter,Flipkart,Airbnb,Netflix,Quip (Salesforce),Apple,ByteDance,LinkedIn,Facebook,Amazon,Microsoft,Uber,Google,Bloomberg,Oracle</v>
      </c>
      <c r="I40" s="47">
        <f>IFERROR(__xludf.DUMMYFUNCTION("""COMPUTED_VALUE"""),37.38)</f>
        <v>37.38</v>
      </c>
      <c r="J40" s="47" t="str">
        <f>IFERROR(__xludf.DUMMYFUNCTION("""COMPUTED_VALUE"""),"算法")</f>
        <v>算法</v>
      </c>
      <c r="L40" s="6">
        <f>COUNTIF('Coder-1'!B:B,A40)</f>
        <v>0</v>
      </c>
      <c r="M40" s="6">
        <f>COUNTIF('Coder-2'!B:B,A40)</f>
        <v>0</v>
      </c>
      <c r="N40" s="6">
        <f>COUNTIF('Coder-3'!B:B,A40)</f>
        <v>0</v>
      </c>
      <c r="O40" s="6">
        <f>COUNTIF('Coder-4'!B:B,A40)</f>
        <v>0</v>
      </c>
    </row>
    <row r="41">
      <c r="A41" s="83">
        <v>162.0</v>
      </c>
      <c r="B41" s="86" t="str">
        <f>IFERROR(__xludf.DUMMYFUNCTION("IF(ISBLANK(A41),,FILTER('Leetcode List'!B:C,'Leetcode List'!A:A = A41))"),"Find Peak Element")</f>
        <v>Find Peak Element</v>
      </c>
      <c r="C41" s="47" t="str">
        <f>IFERROR(__xludf.DUMMYFUNCTION("""COMPUTED_VALUE"""),"Medium")</f>
        <v>Medium</v>
      </c>
      <c r="D41" s="83" t="s">
        <v>502</v>
      </c>
      <c r="E41" s="87" t="str">
        <f>IFERROR(__xludf.DUMMYFUNCTION("IF(ISBLANK(A41),,FILTER('Leetcode List'!E:J,'Leetcode List'!A:A = A41))"),"DE Shaw,Duolingo,ByteDance,IXL,VMware,Quora,Walmart Labs,Lyft,Apple,Uber,Yahoo,Bloomberg,Facebook,Amazon,Microsoft,Google")</f>
        <v>DE Shaw,Duolingo,ByteDance,IXL,VMware,Quora,Walmart Labs,Lyft,Apple,Uber,Yahoo,Bloomberg,Facebook,Amazon,Microsoft,Google</v>
      </c>
      <c r="F41" s="47" t="str">
        <f>IFERROR(__xludf.DUMMYFUNCTION("""COMPUTED_VALUE"""),"Facebook,Amazon,Quora,Bloomberg,Google")</f>
        <v>Facebook,Amazon,Quora,Bloomberg,Google</v>
      </c>
      <c r="G41" s="47" t="str">
        <f>IFERROR(__xludf.DUMMYFUNCTION("""COMPUTED_VALUE"""),"Apple,Microsoft,Uber,ByteDance,Facebook,Amazon,Quora,Bloomberg,Google")</f>
        <v>Apple,Microsoft,Uber,ByteDance,Facebook,Amazon,Quora,Bloomberg,Google</v>
      </c>
      <c r="H41" s="47" t="str">
        <f>IFERROR(__xludf.DUMMYFUNCTION("""COMPUTED_VALUE"""),"DE Shaw,Walmart Labs,Duolingo,Apple,Microsoft,Uber,ByteDance,Facebook,Amazon,Quora,Bloomberg,Google")</f>
        <v>DE Shaw,Walmart Labs,Duolingo,Apple,Microsoft,Uber,ByteDance,Facebook,Amazon,Quora,Bloomberg,Google</v>
      </c>
      <c r="I41" s="47">
        <f>IFERROR(__xludf.DUMMYFUNCTION("""COMPUTED_VALUE"""),44.02)</f>
        <v>44.02</v>
      </c>
      <c r="J41" s="47" t="str">
        <f>IFERROR(__xludf.DUMMYFUNCTION("""COMPUTED_VALUE"""),"算法")</f>
        <v>算法</v>
      </c>
      <c r="L41" s="6">
        <f>COUNTIF('Coder-1'!B:B,A41)</f>
        <v>0</v>
      </c>
      <c r="M41" s="6">
        <f>COUNTIF('Coder-2'!B:B,A41)</f>
        <v>0</v>
      </c>
      <c r="N41" s="6">
        <f>COUNTIF('Coder-3'!B:B,A41)</f>
        <v>0</v>
      </c>
      <c r="O41" s="6">
        <f>COUNTIF('Coder-4'!B:B,A41)</f>
        <v>0</v>
      </c>
    </row>
    <row r="42">
      <c r="A42" s="83">
        <v>222.0</v>
      </c>
      <c r="B42" s="86" t="str">
        <f>IFERROR(__xludf.DUMMYFUNCTION("IF(ISBLANK(A42),,FILTER('Leetcode List'!B:C,'Leetcode List'!A:A = A42))"),"Count Complete Tree Nodes")</f>
        <v>Count Complete Tree Nodes</v>
      </c>
      <c r="C42" s="47" t="str">
        <f>IFERROR(__xludf.DUMMYFUNCTION("""COMPUTED_VALUE"""),"Medium")</f>
        <v>Medium</v>
      </c>
      <c r="D42" s="83" t="s">
        <v>502</v>
      </c>
      <c r="E42" s="87" t="str">
        <f>IFERROR(__xludf.DUMMYFUNCTION("IF(ISBLANK(A42),,FILTER('Leetcode List'!E:J,'Leetcode List'!A:A = A42))"),"ByteDance,Yahoo,Bloomberg,Facebook,Amazon,Microsoft,Google")</f>
        <v>ByteDance,Yahoo,Bloomberg,Facebook,Amazon,Microsoft,Google</v>
      </c>
      <c r="F42" s="47" t="str">
        <f>IFERROR(__xludf.DUMMYFUNCTION("""COMPUTED_VALUE"""),"Google,Bloomberg,Microsoft")</f>
        <v>Google,Bloomberg,Microsoft</v>
      </c>
      <c r="G42" s="47" t="str">
        <f>IFERROR(__xludf.DUMMYFUNCTION("""COMPUTED_VALUE"""),"Amazon,ByteDance,Google,Bloomberg,Microsoft")</f>
        <v>Amazon,ByteDance,Google,Bloomberg,Microsoft</v>
      </c>
      <c r="H42" s="47" t="str">
        <f>IFERROR(__xludf.DUMMYFUNCTION("""COMPUTED_VALUE"""),"Facebook,Amazon,ByteDance,Google,Bloomberg,Microsoft")</f>
        <v>Facebook,Amazon,ByteDance,Google,Bloomberg,Microsoft</v>
      </c>
      <c r="I42" s="47">
        <f>IFERROR(__xludf.DUMMYFUNCTION("""COMPUTED_VALUE"""),49.51)</f>
        <v>49.51</v>
      </c>
      <c r="J42" s="47" t="str">
        <f>IFERROR(__xludf.DUMMYFUNCTION("""COMPUTED_VALUE"""),"算法")</f>
        <v>算法</v>
      </c>
      <c r="L42" s="6">
        <f>COUNTIF('Coder-1'!B:B,A42)</f>
        <v>0</v>
      </c>
      <c r="M42" s="6">
        <f>COUNTIF('Coder-2'!B:B,A42)</f>
        <v>0</v>
      </c>
      <c r="N42" s="6">
        <f>COUNTIF('Coder-3'!B:B,A42)</f>
        <v>0</v>
      </c>
      <c r="O42" s="6">
        <f>COUNTIF('Coder-4'!B:B,A42)</f>
        <v>0</v>
      </c>
    </row>
    <row r="43">
      <c r="A43" s="83">
        <v>275.0</v>
      </c>
      <c r="B43" s="86" t="str">
        <f>IFERROR(__xludf.DUMMYFUNCTION("IF(ISBLANK(A43),,FILTER('Leetcode List'!B:C,'Leetcode List'!A:A = A43))"),"H-Index II")</f>
        <v>H-Index II</v>
      </c>
      <c r="C43" s="47" t="str">
        <f>IFERROR(__xludf.DUMMYFUNCTION("""COMPUTED_VALUE"""),"Medium")</f>
        <v>Medium</v>
      </c>
      <c r="D43" s="83" t="s">
        <v>502</v>
      </c>
      <c r="E43" s="87" t="str">
        <f>IFERROR(__xludf.DUMMYFUNCTION("IF(ISBLANK(A43),,FILTER('Leetcode List'!E:J,'Leetcode List'!A:A = A43))"),"Goldman Sachs,Facebook")</f>
        <v>Goldman Sachs,Facebook</v>
      </c>
      <c r="F43" s="47" t="str">
        <f>IFERROR(__xludf.DUMMYFUNCTION("""COMPUTED_VALUE"""),"Goldman Sachs")</f>
        <v>Goldman Sachs</v>
      </c>
      <c r="G43" s="47" t="str">
        <f>IFERROR(__xludf.DUMMYFUNCTION("""COMPUTED_VALUE"""),"Goldman Sachs")</f>
        <v>Goldman Sachs</v>
      </c>
      <c r="H43" s="47" t="str">
        <f>IFERROR(__xludf.DUMMYFUNCTION("""COMPUTED_VALUE"""),"Facebook,Goldman Sachs")</f>
        <v>Facebook,Goldman Sachs</v>
      </c>
      <c r="I43" s="47">
        <f>IFERROR(__xludf.DUMMYFUNCTION("""COMPUTED_VALUE"""),36.32)</f>
        <v>36.32</v>
      </c>
      <c r="J43" s="47" t="str">
        <f>IFERROR(__xludf.DUMMYFUNCTION("""COMPUTED_VALUE"""),"算法")</f>
        <v>算法</v>
      </c>
      <c r="L43" s="6">
        <f>COUNTIF('Coder-1'!B:B,A43)</f>
        <v>0</v>
      </c>
      <c r="M43" s="6">
        <f>COUNTIF('Coder-2'!B:B,A43)</f>
        <v>0</v>
      </c>
      <c r="N43" s="6">
        <f>COUNTIF('Coder-3'!B:B,A43)</f>
        <v>0</v>
      </c>
      <c r="O43" s="6">
        <f>COUNTIF('Coder-4'!B:B,A43)</f>
        <v>0</v>
      </c>
    </row>
    <row r="44">
      <c r="A44" s="83">
        <v>302.0</v>
      </c>
      <c r="B44" s="86" t="str">
        <f>IFERROR(__xludf.DUMMYFUNCTION("IF(ISBLANK(A44),,FILTER('Leetcode List'!B:C,'Leetcode List'!A:A = A44))"),"Smallest Rectangle Enclosing Black Pixels")</f>
        <v>Smallest Rectangle Enclosing Black Pixels</v>
      </c>
      <c r="C44" s="47" t="str">
        <f>IFERROR(__xludf.DUMMYFUNCTION("""COMPUTED_VALUE"""),"Hard")</f>
        <v>Hard</v>
      </c>
      <c r="D44" s="83" t="s">
        <v>502</v>
      </c>
      <c r="E44" s="87" t="str">
        <f>IFERROR(__xludf.DUMMYFUNCTION("IF(ISBLANK(A44),,FILTER('Leetcode List'!E:J,'Leetcode List'!A:A = A44))"),"Google")</f>
        <v>Google</v>
      </c>
      <c r="F44" s="47"/>
      <c r="G44" s="47" t="str">
        <f>IFERROR(__xludf.DUMMYFUNCTION("""COMPUTED_VALUE"""),"Google")</f>
        <v>Google</v>
      </c>
      <c r="H44" s="47" t="str">
        <f>IFERROR(__xludf.DUMMYFUNCTION("""COMPUTED_VALUE"""),"Google")</f>
        <v>Google</v>
      </c>
      <c r="I44" s="47">
        <f>IFERROR(__xludf.DUMMYFUNCTION("""COMPUTED_VALUE"""),52.54)</f>
        <v>52.54</v>
      </c>
      <c r="J44" s="47" t="str">
        <f>IFERROR(__xludf.DUMMYFUNCTION("""COMPUTED_VALUE"""),"算法")</f>
        <v>算法</v>
      </c>
      <c r="L44" s="6">
        <f>COUNTIF('Coder-1'!B:B,A44)</f>
        <v>0</v>
      </c>
      <c r="M44" s="6">
        <f>COUNTIF('Coder-2'!B:B,A44)</f>
        <v>0</v>
      </c>
      <c r="N44" s="6">
        <f>COUNTIF('Coder-3'!B:B,A44)</f>
        <v>0</v>
      </c>
      <c r="O44" s="6">
        <f>COUNTIF('Coder-4'!B:B,A44)</f>
        <v>0</v>
      </c>
    </row>
    <row r="45">
      <c r="A45" s="83">
        <v>410.0</v>
      </c>
      <c r="B45" s="86" t="str">
        <f>IFERROR(__xludf.DUMMYFUNCTION("IF(ISBLANK(A45),,FILTER('Leetcode List'!B:C,'Leetcode List'!A:A = A45))"),"Split Array Largest Sum")</f>
        <v>Split Array Largest Sum</v>
      </c>
      <c r="C45" s="47" t="str">
        <f>IFERROR(__xludf.DUMMYFUNCTION("""COMPUTED_VALUE"""),"Hard")</f>
        <v>Hard</v>
      </c>
      <c r="D45" s="83" t="s">
        <v>502</v>
      </c>
      <c r="E45" s="87" t="str">
        <f>IFERROR(__xludf.DUMMYFUNCTION("IF(ISBLANK(A45),,FILTER('Leetcode List'!E:J,'Leetcode List'!A:A = A45))"),"Infosys,ByteDance,Apple,Microsoft,Baidu,Facebook,Amazon,Google")</f>
        <v>Infosys,ByteDance,Apple,Microsoft,Baidu,Facebook,Amazon,Google</v>
      </c>
      <c r="F45" s="47" t="str">
        <f>IFERROR(__xludf.DUMMYFUNCTION("""COMPUTED_VALUE"""),"Amazon,Google,ByteDance")</f>
        <v>Amazon,Google,ByteDance</v>
      </c>
      <c r="G45" s="47" t="str">
        <f>IFERROR(__xludf.DUMMYFUNCTION("""COMPUTED_VALUE"""),"Apple,Infosys,Amazon,Google,ByteDance")</f>
        <v>Apple,Infosys,Amazon,Google,ByteDance</v>
      </c>
      <c r="H45" s="47" t="str">
        <f>IFERROR(__xludf.DUMMYFUNCTION("""COMPUTED_VALUE"""),"Facebook,Microsoft,Baidu,Apple,Infosys,Amazon,Google,ByteDance")</f>
        <v>Facebook,Microsoft,Baidu,Apple,Infosys,Amazon,Google,ByteDance</v>
      </c>
      <c r="I45" s="47">
        <f>IFERROR(__xludf.DUMMYFUNCTION("""COMPUTED_VALUE"""),46.5)</f>
        <v>46.5</v>
      </c>
      <c r="J45" s="47" t="str">
        <f>IFERROR(__xludf.DUMMYFUNCTION("""COMPUTED_VALUE"""),"算法")</f>
        <v>算法</v>
      </c>
      <c r="L45" s="6">
        <f>COUNTIF('Coder-1'!B:B,A45)</f>
        <v>0</v>
      </c>
      <c r="M45" s="6">
        <f>COUNTIF('Coder-2'!B:B,A45)</f>
        <v>0</v>
      </c>
      <c r="N45" s="6">
        <f>COUNTIF('Coder-3'!B:B,A45)</f>
        <v>0</v>
      </c>
      <c r="O45" s="6">
        <f>COUNTIF('Coder-4'!B:B,A45)</f>
        <v>0</v>
      </c>
    </row>
    <row r="46">
      <c r="A46" s="46">
        <v>475.0</v>
      </c>
      <c r="B46" s="86" t="str">
        <f>IFERROR(__xludf.DUMMYFUNCTION("IF(ISBLANK(A46),,FILTER('Leetcode List'!B:C,'Leetcode List'!A:A = A46))"),"Heaters")</f>
        <v>Heaters</v>
      </c>
      <c r="C46" s="47" t="str">
        <f>IFERROR(__xludf.DUMMYFUNCTION("""COMPUTED_VALUE"""),"Medium")</f>
        <v>Medium</v>
      </c>
      <c r="D46" s="83" t="s">
        <v>502</v>
      </c>
      <c r="E46" s="87" t="str">
        <f>IFERROR(__xludf.DUMMYFUNCTION("IF(ISBLANK(A46),,FILTER('Leetcode List'!E:J,'Leetcode List'!A:A = A46))"),"Amazon,Google")</f>
        <v>Amazon,Google</v>
      </c>
      <c r="F46" s="47"/>
      <c r="G46" s="47"/>
      <c r="H46" s="47" t="str">
        <f>IFERROR(__xludf.DUMMYFUNCTION("""COMPUTED_VALUE"""),"Google")</f>
        <v>Google</v>
      </c>
      <c r="I46" s="47">
        <f>IFERROR(__xludf.DUMMYFUNCTION("""COMPUTED_VALUE"""),33.68)</f>
        <v>33.68</v>
      </c>
      <c r="J46" s="47" t="str">
        <f>IFERROR(__xludf.DUMMYFUNCTION("""COMPUTED_VALUE"""),"算法")</f>
        <v>算法</v>
      </c>
      <c r="L46" s="6">
        <f>COUNTIF('Coder-1'!B:B,A46)</f>
        <v>0</v>
      </c>
      <c r="M46" s="6">
        <f>COUNTIF('Coder-2'!B:B,A46)</f>
        <v>0</v>
      </c>
      <c r="N46" s="6">
        <f>COUNTIF('Coder-3'!B:B,A46)</f>
        <v>0</v>
      </c>
      <c r="O46" s="6">
        <f>COUNTIF('Coder-4'!B:B,A46)</f>
        <v>0</v>
      </c>
    </row>
    <row r="47">
      <c r="A47" s="83">
        <v>483.0</v>
      </c>
      <c r="B47" s="86" t="str">
        <f>IFERROR(__xludf.DUMMYFUNCTION("IF(ISBLANK(A47),,FILTER('Leetcode List'!B:C,'Leetcode List'!A:A = A47))"),"Smallest Good Base")</f>
        <v>Smallest Good Base</v>
      </c>
      <c r="C47" s="47" t="str">
        <f>IFERROR(__xludf.DUMMYFUNCTION("""COMPUTED_VALUE"""),"Hard")</f>
        <v>Hard</v>
      </c>
      <c r="D47" s="83" t="s">
        <v>502</v>
      </c>
      <c r="E47" s="87" t="str">
        <f>IFERROR(__xludf.DUMMYFUNCTION("IF(ISBLANK(A47),,FILTER('Leetcode List'!E:J,'Leetcode List'!A:A = A47))"),"Google")</f>
        <v>Google</v>
      </c>
      <c r="F47" s="47"/>
      <c r="G47" s="47"/>
      <c r="H47" s="47" t="str">
        <f>IFERROR(__xludf.DUMMYFUNCTION("""COMPUTED_VALUE"""),"Google")</f>
        <v>Google</v>
      </c>
      <c r="I47" s="47">
        <f>IFERROR(__xludf.DUMMYFUNCTION("""COMPUTED_VALUE"""),36.26)</f>
        <v>36.26</v>
      </c>
      <c r="J47" s="47" t="str">
        <f>IFERROR(__xludf.DUMMYFUNCTION("""COMPUTED_VALUE"""),"算法")</f>
        <v>算法</v>
      </c>
      <c r="L47" s="6">
        <f>COUNTIF('Coder-1'!B:B,A47)</f>
        <v>0</v>
      </c>
      <c r="M47" s="6">
        <f>COUNTIF('Coder-2'!B:B,A47)</f>
        <v>0</v>
      </c>
      <c r="N47" s="6">
        <f>COUNTIF('Coder-3'!B:B,A47)</f>
        <v>0</v>
      </c>
      <c r="O47" s="6">
        <f>COUNTIF('Coder-4'!B:B,A47)</f>
        <v>0</v>
      </c>
    </row>
    <row r="48">
      <c r="A48" s="83">
        <v>29.0</v>
      </c>
      <c r="B48" s="86" t="str">
        <f>IFERROR(__xludf.DUMMYFUNCTION("IF(ISBLANK(A48),,FILTER('Leetcode List'!B:C,'Leetcode List'!A:A = A48))"),"Divide Two Integers")</f>
        <v>Divide Two Integers</v>
      </c>
      <c r="C48" s="47" t="str">
        <f>IFERROR(__xludf.DUMMYFUNCTION("""COMPUTED_VALUE"""),"Medium")</f>
        <v>Medium</v>
      </c>
      <c r="D48" s="83" t="s">
        <v>502</v>
      </c>
      <c r="E48" s="87" t="str">
        <f>IFERROR(__xludf.DUMMYFUNCTION("IF(ISBLANK(A48),,FILTER('Leetcode List'!E:J,'Leetcode List'!A:A = A48))"),"Riot Games,Oracle,Apple,Bloomberg,Adobe,Facebook,Amazon,Microsoft,Google")</f>
        <v>Riot Games,Oracle,Apple,Bloomberg,Adobe,Facebook,Amazon,Microsoft,Google</v>
      </c>
      <c r="F48" s="47" t="str">
        <f>IFERROR(__xludf.DUMMYFUNCTION("""COMPUTED_VALUE"""),"Facebook,Amazon")</f>
        <v>Facebook,Amazon</v>
      </c>
      <c r="G48" s="47" t="str">
        <f>IFERROR(__xludf.DUMMYFUNCTION("""COMPUTED_VALUE"""),"Apple,Adobe,Riot Games,Google,Microsoft,Facebook,Amazon")</f>
        <v>Apple,Adobe,Riot Games,Google,Microsoft,Facebook,Amazon</v>
      </c>
      <c r="H48" s="47" t="str">
        <f>IFERROR(__xludf.DUMMYFUNCTION("""COMPUTED_VALUE"""),"Bloomberg,Apple,Adobe,Riot Games,Google,Microsoft,Facebook,Amazon")</f>
        <v>Bloomberg,Apple,Adobe,Riot Games,Google,Microsoft,Facebook,Amazon</v>
      </c>
      <c r="I48" s="47">
        <f>IFERROR(__xludf.DUMMYFUNCTION("""COMPUTED_VALUE"""),16.93)</f>
        <v>16.93</v>
      </c>
      <c r="J48" s="47" t="str">
        <f>IFERROR(__xludf.DUMMYFUNCTION("""COMPUTED_VALUE"""),"算法")</f>
        <v>算法</v>
      </c>
      <c r="L48" s="6">
        <f>COUNTIF('Coder-1'!B:B,A48)</f>
        <v>0</v>
      </c>
      <c r="M48" s="6">
        <f>COUNTIF('Coder-2'!B:B,A48)</f>
        <v>0</v>
      </c>
      <c r="N48" s="6">
        <f>COUNTIF('Coder-3'!B:B,A48)</f>
        <v>0</v>
      </c>
      <c r="O48" s="6">
        <f>COUNTIF('Coder-4'!B:B,A48)</f>
        <v>0</v>
      </c>
    </row>
    <row r="49">
      <c r="A49" s="83">
        <v>644.0</v>
      </c>
      <c r="B49" s="86" t="str">
        <f>IFERROR(__xludf.DUMMYFUNCTION("IF(ISBLANK(A49),,FILTER('Leetcode List'!B:C,'Leetcode List'!A:A = A49))"),"Maximum Average Subarray II")</f>
        <v>Maximum Average Subarray II</v>
      </c>
      <c r="C49" s="47" t="str">
        <f>IFERROR(__xludf.DUMMYFUNCTION("""COMPUTED_VALUE"""),"Hard")</f>
        <v>Hard</v>
      </c>
      <c r="D49" s="83" t="s">
        <v>502</v>
      </c>
      <c r="E49" s="87" t="str">
        <f>IFERROR(__xludf.DUMMYFUNCTION("IF(ISBLANK(A49),,FILTER('Leetcode List'!E:J,'Leetcode List'!A:A = A49))"),"Google")</f>
        <v>Google</v>
      </c>
      <c r="F49" s="47"/>
      <c r="G49" s="47"/>
      <c r="H49" s="47" t="str">
        <f>IFERROR(__xludf.DUMMYFUNCTION("""COMPUTED_VALUE"""),"Google")</f>
        <v>Google</v>
      </c>
      <c r="I49" s="47">
        <f>IFERROR(__xludf.DUMMYFUNCTION("""COMPUTED_VALUE"""),34.12)</f>
        <v>34.12</v>
      </c>
      <c r="J49" s="47" t="str">
        <f>IFERROR(__xludf.DUMMYFUNCTION("""COMPUTED_VALUE"""),"算法")</f>
        <v>算法</v>
      </c>
      <c r="L49" s="6">
        <f>COUNTIF('Coder-1'!B:B,A49)</f>
        <v>0</v>
      </c>
      <c r="M49" s="6">
        <f>COUNTIF('Coder-2'!B:B,A49)</f>
        <v>0</v>
      </c>
      <c r="N49" s="6">
        <f>COUNTIF('Coder-3'!B:B,A49)</f>
        <v>0</v>
      </c>
      <c r="O49" s="6">
        <f>COUNTIF('Coder-4'!B:B,A49)</f>
        <v>0</v>
      </c>
    </row>
    <row r="50">
      <c r="A50" s="83">
        <v>658.0</v>
      </c>
      <c r="B50" s="86" t="str">
        <f>IFERROR(__xludf.DUMMYFUNCTION("IF(ISBLANK(A50),,FILTER('Leetcode List'!B:C,'Leetcode List'!A:A = A50))"),"Find K Closest Elements")</f>
        <v>Find K Closest Elements</v>
      </c>
      <c r="C50" s="47" t="str">
        <f>IFERROR(__xludf.DUMMYFUNCTION("""COMPUTED_VALUE"""),"Medium")</f>
        <v>Medium</v>
      </c>
      <c r="D50" s="83" t="s">
        <v>502</v>
      </c>
      <c r="E50" s="87" t="str">
        <f>IFERROR(__xludf.DUMMYFUNCTION("IF(ISBLANK(A50),,FILTER('Leetcode List'!E:J,'Leetcode List'!A:A = A50))"),"Paypal,Yandex,Snapchat,EBay,Apple,Uber,Bloomberg,Facebook,Amazon,Microsoft,Google")</f>
        <v>Paypal,Yandex,Snapchat,EBay,Apple,Uber,Bloomberg,Facebook,Amazon,Microsoft,Google</v>
      </c>
      <c r="F50" s="47" t="str">
        <f>IFERROR(__xludf.DUMMYFUNCTION("""COMPUTED_VALUE"""),"Facebook,Microsoft,Google,Paypal")</f>
        <v>Facebook,Microsoft,Google,Paypal</v>
      </c>
      <c r="G50" s="47" t="str">
        <f>IFERROR(__xludf.DUMMYFUNCTION("""COMPUTED_VALUE"""),"Apple,Amazon,Bloomberg,eBay,Facebook,Microsoft,Google,Paypal")</f>
        <v>Apple,Amazon,Bloomberg,eBay,Facebook,Microsoft,Google,Paypal</v>
      </c>
      <c r="H50" s="47" t="str">
        <f>IFERROR(__xludf.DUMMYFUNCTION("""COMPUTED_VALUE"""),"Uber,Snapchat,Yandex,Apple,Amazon,Bloomberg,eBay,Facebook,Microsoft,Google,Paypal")</f>
        <v>Uber,Snapchat,Yandex,Apple,Amazon,Bloomberg,eBay,Facebook,Microsoft,Google,Paypal</v>
      </c>
      <c r="I50" s="47">
        <f>IFERROR(__xludf.DUMMYFUNCTION("""COMPUTED_VALUE"""),42.1)</f>
        <v>42.1</v>
      </c>
      <c r="J50" s="47" t="str">
        <f>IFERROR(__xludf.DUMMYFUNCTION("""COMPUTED_VALUE"""),"算法")</f>
        <v>算法</v>
      </c>
      <c r="L50" s="6">
        <f>COUNTIF('Coder-1'!B:B,A50)</f>
        <v>0</v>
      </c>
      <c r="M50" s="6">
        <f>COUNTIF('Coder-2'!B:B,A50)</f>
        <v>0</v>
      </c>
      <c r="N50" s="6">
        <f>COUNTIF('Coder-3'!B:B,A50)</f>
        <v>0</v>
      </c>
      <c r="O50" s="6">
        <f>COUNTIF('Coder-4'!B:B,A50)</f>
        <v>0</v>
      </c>
    </row>
    <row r="51">
      <c r="A51" s="46">
        <v>1095.0</v>
      </c>
      <c r="B51" s="86" t="str">
        <f>IFERROR(__xludf.DUMMYFUNCTION("IF(ISBLANK(A51),,FILTER('Leetcode List'!B:C,'Leetcode List'!A:A = A51))"),"Find in Mountain Array")</f>
        <v>Find in Mountain Array</v>
      </c>
      <c r="C51" s="47" t="str">
        <f>IFERROR(__xludf.DUMMYFUNCTION("""COMPUTED_VALUE"""),"Hard")</f>
        <v>Hard</v>
      </c>
      <c r="D51" s="83" t="s">
        <v>502</v>
      </c>
      <c r="E51" s="87" t="str">
        <f>IFERROR(__xludf.DUMMYFUNCTION("IF(ISBLANK(A51),,FILTER('Leetcode List'!E:J,'Leetcode List'!A:A = A51))"),"Quora,Bloomberg,Apple,Google")</f>
        <v>Quora,Bloomberg,Apple,Google</v>
      </c>
      <c r="F51" s="47" t="str">
        <f>IFERROR(__xludf.DUMMYFUNCTION("""COMPUTED_VALUE"""),"Bloomberg,Apple,Google,Quora")</f>
        <v>Bloomberg,Apple,Google,Quora</v>
      </c>
      <c r="G51" s="47" t="str">
        <f>IFERROR(__xludf.DUMMYFUNCTION("""COMPUTED_VALUE"""),"Bloomberg,Apple,Google,Quora")</f>
        <v>Bloomberg,Apple,Google,Quora</v>
      </c>
      <c r="H51" s="47" t="str">
        <f>IFERROR(__xludf.DUMMYFUNCTION("""COMPUTED_VALUE"""),"Bloomberg,Apple,Google,Quora")</f>
        <v>Bloomberg,Apple,Google,Quora</v>
      </c>
      <c r="I51" s="47">
        <f>IFERROR(__xludf.DUMMYFUNCTION("""COMPUTED_VALUE"""),36.09)</f>
        <v>36.09</v>
      </c>
      <c r="J51" s="47" t="str">
        <f>IFERROR(__xludf.DUMMYFUNCTION("""COMPUTED_VALUE"""),"算法")</f>
        <v>算法</v>
      </c>
      <c r="L51" s="6">
        <f>COUNTIF('Coder-1'!B:B,A51)</f>
        <v>0</v>
      </c>
      <c r="M51" s="6">
        <f>COUNTIF('Coder-2'!B:B,A51)</f>
        <v>0</v>
      </c>
      <c r="N51" s="6">
        <f>COUNTIF('Coder-3'!B:B,A51)</f>
        <v>0</v>
      </c>
      <c r="O51" s="6">
        <f>COUNTIF('Coder-4'!B:B,A51)</f>
        <v>0</v>
      </c>
    </row>
    <row r="52">
      <c r="A52" s="83">
        <v>1157.0</v>
      </c>
      <c r="B52" s="86" t="str">
        <f>IFERROR(__xludf.DUMMYFUNCTION("IF(ISBLANK(A52),,FILTER('Leetcode List'!B:C,'Leetcode List'!A:A = A52))"),"Online Majority Element In Subarray")</f>
        <v>Online Majority Element In Subarray</v>
      </c>
      <c r="C52" s="47" t="str">
        <f>IFERROR(__xludf.DUMMYFUNCTION("""COMPUTED_VALUE"""),"Hard")</f>
        <v>Hard</v>
      </c>
      <c r="D52" s="83" t="s">
        <v>502</v>
      </c>
      <c r="E52" s="87" t="str">
        <f>IFERROR(__xludf.DUMMYFUNCTION("IF(ISBLANK(A52),,FILTER('Leetcode List'!E:J,'Leetcode List'!A:A = A52))"),"Nutanix,Google")</f>
        <v>Nutanix,Google</v>
      </c>
      <c r="F52" s="47"/>
      <c r="G52" s="47"/>
      <c r="H52" s="47" t="str">
        <f>IFERROR(__xludf.DUMMYFUNCTION("""COMPUTED_VALUE"""),"Google,Nutanix")</f>
        <v>Google,Nutanix</v>
      </c>
      <c r="I52" s="47">
        <f>IFERROR(__xludf.DUMMYFUNCTION("""COMPUTED_VALUE"""),39.82)</f>
        <v>39.82</v>
      </c>
      <c r="J52" s="47" t="str">
        <f>IFERROR(__xludf.DUMMYFUNCTION("""COMPUTED_VALUE"""),"算法")</f>
        <v>算法</v>
      </c>
      <c r="L52" s="6">
        <f>COUNTIF('Coder-1'!B:B,A52)</f>
        <v>0</v>
      </c>
      <c r="M52" s="6">
        <f>COUNTIF('Coder-2'!B:B,A52)</f>
        <v>0</v>
      </c>
      <c r="N52" s="6">
        <f>COUNTIF('Coder-3'!B:B,A52)</f>
        <v>0</v>
      </c>
      <c r="O52" s="6">
        <f>COUNTIF('Coder-4'!B:B,A52)</f>
        <v>0</v>
      </c>
    </row>
    <row r="53">
      <c r="A53" s="46">
        <v>1201.0</v>
      </c>
      <c r="B53" s="86" t="str">
        <f>IFERROR(__xludf.DUMMYFUNCTION("IF(ISBLANK(A53),,FILTER('Leetcode List'!B:C,'Leetcode List'!A:A = A53))"),"Ugly Number III")</f>
        <v>Ugly Number III</v>
      </c>
      <c r="C53" s="47" t="str">
        <f>IFERROR(__xludf.DUMMYFUNCTION("""COMPUTED_VALUE"""),"Medium")</f>
        <v>Medium</v>
      </c>
      <c r="D53" s="83" t="s">
        <v>502</v>
      </c>
      <c r="E53" s="87" t="str">
        <f>IFERROR(__xludf.DUMMYFUNCTION("IF(ISBLANK(A53),,FILTER('Leetcode List'!E:J,'Leetcode List'!A:A = A53))"),"American Express")</f>
        <v>American Express</v>
      </c>
      <c r="F53" s="47"/>
      <c r="G53" s="47"/>
      <c r="H53" s="47" t="str">
        <f>IFERROR(__xludf.DUMMYFUNCTION("""COMPUTED_VALUE"""),"American Express")</f>
        <v>American Express</v>
      </c>
      <c r="I53" s="47">
        <f>IFERROR(__xludf.DUMMYFUNCTION("""COMPUTED_VALUE"""),26.39)</f>
        <v>26.39</v>
      </c>
      <c r="J53" s="47" t="str">
        <f>IFERROR(__xludf.DUMMYFUNCTION("""COMPUTED_VALUE"""),"算法")</f>
        <v>算法</v>
      </c>
      <c r="L53" s="6">
        <f>COUNTIF('Coder-1'!B:B,A53)</f>
        <v>0</v>
      </c>
      <c r="M53" s="6">
        <f>COUNTIF('Coder-2'!B:B,A53)</f>
        <v>0</v>
      </c>
      <c r="N53" s="6">
        <f>COUNTIF('Coder-3'!B:B,A53)</f>
        <v>0</v>
      </c>
      <c r="O53" s="6">
        <f>COUNTIF('Coder-4'!B:B,A53)</f>
        <v>0</v>
      </c>
    </row>
    <row r="54">
      <c r="A54" s="83">
        <v>1483.0</v>
      </c>
      <c r="B54" s="86" t="str">
        <f>IFERROR(__xludf.DUMMYFUNCTION("IF(ISBLANK(A54),,FILTER('Leetcode List'!B:C,'Leetcode List'!A:A = A54))"),"Kth Ancestor of a Tree Node")</f>
        <v>Kth Ancestor of a Tree Node</v>
      </c>
      <c r="C54" s="47" t="str">
        <f>IFERROR(__xludf.DUMMYFUNCTION("""COMPUTED_VALUE"""),"Hard")</f>
        <v>Hard</v>
      </c>
      <c r="D54" s="83" t="s">
        <v>502</v>
      </c>
      <c r="E54" s="87" t="str">
        <f>IFERROR(__xludf.DUMMYFUNCTION("IF(ISBLANK(A54),,FILTER('Leetcode List'!E:J,'Leetcode List'!A:A = A54))"),"Google")</f>
        <v>Google</v>
      </c>
      <c r="F54" s="47" t="str">
        <f>IFERROR(__xludf.DUMMYFUNCTION("""COMPUTED_VALUE"""),"Google")</f>
        <v>Google</v>
      </c>
      <c r="G54" s="47" t="str">
        <f>IFERROR(__xludf.DUMMYFUNCTION("""COMPUTED_VALUE"""),"Google")</f>
        <v>Google</v>
      </c>
      <c r="H54" s="47" t="str">
        <f>IFERROR(__xludf.DUMMYFUNCTION("""COMPUTED_VALUE"""),"Google")</f>
        <v>Google</v>
      </c>
      <c r="I54" s="47">
        <f>IFERROR(__xludf.DUMMYFUNCTION("""COMPUTED_VALUE"""),30.75)</f>
        <v>30.75</v>
      </c>
      <c r="J54" s="47" t="str">
        <f>IFERROR(__xludf.DUMMYFUNCTION("""COMPUTED_VALUE"""),"算法")</f>
        <v>算法</v>
      </c>
      <c r="L54" s="6">
        <f>COUNTIF('Coder-1'!B:B,A54)</f>
        <v>0</v>
      </c>
      <c r="M54" s="6">
        <f>COUNTIF('Coder-2'!B:B,A54)</f>
        <v>0</v>
      </c>
      <c r="N54" s="6">
        <f>COUNTIF('Coder-3'!B:B,A54)</f>
        <v>0</v>
      </c>
      <c r="O54" s="6">
        <f>COUNTIF('Coder-4'!B:B,A54)</f>
        <v>0</v>
      </c>
    </row>
    <row r="55">
      <c r="A55" s="83">
        <v>1533.0</v>
      </c>
      <c r="B55" s="86" t="str">
        <f>IFERROR(__xludf.DUMMYFUNCTION("IF(ISBLANK(A55),,FILTER('Leetcode List'!B:C,'Leetcode List'!A:A = A55))"),"Find the Index of the Large Integer")</f>
        <v>Find the Index of the Large Integer</v>
      </c>
      <c r="C55" s="47" t="str">
        <f>IFERROR(__xludf.DUMMYFUNCTION("""COMPUTED_VALUE"""),"Medium")</f>
        <v>Medium</v>
      </c>
      <c r="D55" s="83" t="s">
        <v>502</v>
      </c>
      <c r="E55" s="87" t="str">
        <f>IFERROR(__xludf.DUMMYFUNCTION("IF(ISBLANK(A55),,FILTER('Leetcode List'!E:J,'Leetcode List'!A:A = A55))"),"Amazon")</f>
        <v>Amazon</v>
      </c>
      <c r="F55" s="47"/>
      <c r="G55" s="47"/>
      <c r="H55" s="47" t="str">
        <f>IFERROR(__xludf.DUMMYFUNCTION("""COMPUTED_VALUE"""),"Amazon")</f>
        <v>Amazon</v>
      </c>
      <c r="I55" s="47">
        <f>IFERROR(__xludf.DUMMYFUNCTION("""COMPUTED_VALUE"""),54.67)</f>
        <v>54.67</v>
      </c>
      <c r="J55" s="47" t="str">
        <f>IFERROR(__xludf.DUMMYFUNCTION("""COMPUTED_VALUE"""),"算法")</f>
        <v>算法</v>
      </c>
      <c r="L55" s="6">
        <f>COUNTIF('Coder-1'!B:B,A55)</f>
        <v>0</v>
      </c>
      <c r="M55" s="6">
        <f>COUNTIF('Coder-2'!B:B,A55)</f>
        <v>0</v>
      </c>
      <c r="N55" s="6">
        <f>COUNTIF('Coder-3'!B:B,A55)</f>
        <v>0</v>
      </c>
      <c r="O55" s="6">
        <f>COUNTIF('Coder-4'!B:B,A55)</f>
        <v>0</v>
      </c>
    </row>
    <row r="56">
      <c r="A56" s="83">
        <v>1712.0</v>
      </c>
      <c r="B56" s="86" t="str">
        <f>IFERROR(__xludf.DUMMYFUNCTION("IF(ISBLANK(A56),,FILTER('Leetcode List'!B:C,'Leetcode List'!A:A = A56))"),"Ways to Split Array Into Three Subarrays")</f>
        <v>Ways to Split Array Into Three Subarrays</v>
      </c>
      <c r="C56" s="47" t="str">
        <f>IFERROR(__xludf.DUMMYFUNCTION("""COMPUTED_VALUE"""),"Medium")</f>
        <v>Medium</v>
      </c>
      <c r="D56" s="83" t="s">
        <v>502</v>
      </c>
      <c r="E56" s="87" t="str">
        <f>IFERROR(__xludf.DUMMYFUNCTION("IF(ISBLANK(A56),,FILTER('Leetcode List'!E:J,'Leetcode List'!A:A = A56))"),"Robinhood")</f>
        <v>Robinhood</v>
      </c>
      <c r="F56" s="47"/>
      <c r="G56" s="47"/>
      <c r="H56" s="47" t="str">
        <f>IFERROR(__xludf.DUMMYFUNCTION("""COMPUTED_VALUE"""),"Robinhood")</f>
        <v>Robinhood</v>
      </c>
      <c r="I56" s="47">
        <f>IFERROR(__xludf.DUMMYFUNCTION("""COMPUTED_VALUE"""),29.45)</f>
        <v>29.45</v>
      </c>
      <c r="J56" s="47" t="str">
        <f>IFERROR(__xludf.DUMMYFUNCTION("""COMPUTED_VALUE"""),"算法")</f>
        <v>算法</v>
      </c>
      <c r="L56" s="6">
        <f>COUNTIF('Coder-1'!B:B,A56)</f>
        <v>0</v>
      </c>
      <c r="M56" s="6">
        <f>COUNTIF('Coder-2'!B:B,A56)</f>
        <v>0</v>
      </c>
      <c r="N56" s="6">
        <f>COUNTIF('Coder-3'!B:B,A56)</f>
        <v>0</v>
      </c>
      <c r="O56" s="6">
        <f>COUNTIF('Coder-4'!B:B,A56)</f>
        <v>0</v>
      </c>
    </row>
    <row r="57">
      <c r="A57" s="83">
        <v>215.0</v>
      </c>
      <c r="B57" s="86" t="str">
        <f>IFERROR(__xludf.DUMMYFUNCTION("IF(ISBLANK(A57),,FILTER('Leetcode List'!B:C,'Leetcode List'!A:A = A57))"),"Kth Largest Element in an Array")</f>
        <v>Kth Largest Element in an Array</v>
      </c>
      <c r="C57" s="47" t="str">
        <f>IFERROR(__xludf.DUMMYFUNCTION("""COMPUTED_VALUE"""),"Medium")</f>
        <v>Medium</v>
      </c>
      <c r="D57" s="83" t="s">
        <v>502</v>
      </c>
      <c r="E57" s="87" t="str">
        <f>IFERROR(__xludf.DUMMYFUNCTION("IF(ISBLANK(A57),,FILTER('Leetcode List'!E:J,'Leetcode List'!A:A = A57))"),"Accolite,Roblox,Zillow,Paypal,Cisco,Pocket Gems,Atlassian,Grab,ByteDance,Salesforce,VMware,Walmart Labs,Snapchat,JPMorgan,Expedia,Oracle,Spotify,EBay,Baidu,Apple,Airbnb,Uber,Yahoo,Tencent,Bloomberg,Adobe,Facebook,Amazon,LinkedIn,Microsoft,Alibaba,Goldman "&amp;"Sachs,Google")</f>
        <v>Accolite,Roblox,Zillow,Paypal,Cisco,Pocket Gems,Atlassian,Grab,ByteDance,Salesforce,VMware,Walmart Labs,Snapchat,JPMorgan,Expedia,Oracle,Spotify,EBay,Baidu,Apple,Airbnb,Uber,Yahoo,Tencent,Bloomberg,Adobe,Facebook,Amazon,LinkedIn,Microsoft,Alibaba,Goldman Sachs,Google</v>
      </c>
      <c r="F57" s="47" t="str">
        <f>IFERROR(__xludf.DUMMYFUNCTION("""COMPUTED_VALUE"""),"Facebook,Amazon,Walmart Labs,Apple,ByteDance,LinkedIn,Microsoft,Bloomberg,Adobe,Oracle,Salesforce,Google,Goldman Sachs,Spotify,Zillow")</f>
        <v>Facebook,Amazon,Walmart Labs,Apple,ByteDance,LinkedIn,Microsoft,Bloomberg,Adobe,Oracle,Salesforce,Google,Goldman Sachs,Spotify,Zillow</v>
      </c>
      <c r="G57" s="47" t="str">
        <f>IFERROR(__xludf.DUMMYFUNCTION("""COMPUTED_VALUE"""),"eBay,Uber,Expedia,Facebook,Amazon,Walmart Labs,Apple,ByteDance,LinkedIn,Microsoft,Bloomberg,Adobe,Oracle,Salesforce,Google,Goldman Sachs,Spotify,Zillow")</f>
        <v>eBay,Uber,Expedia,Facebook,Amazon,Walmart Labs,Apple,ByteDance,LinkedIn,Microsoft,Bloomberg,Adobe,Oracle,Salesforce,Google,Goldman Sachs,Spotify,Zillow</v>
      </c>
      <c r="H57" s="47" t="str">
        <f>IFERROR(__xludf.DUMMYFUNCTION("""COMPUTED_VALUE"""),"Yahoo,Alibaba,Tencent,VMware,Paypal,Atlassian,Roblox,Grab,Cisco,JPMorgan,Accolite,Pocket Gems,eBay,Uber,Expedia,Facebook,Amazon,Walmart Labs,Apple,ByteDance,LinkedIn,Microsoft,Bloomberg,Adobe,Oracle,Salesforce,Google,Goldman Sachs,Spotify,Zillow")</f>
        <v>Yahoo,Alibaba,Tencent,VMware,Paypal,Atlassian,Roblox,Grab,Cisco,JPMorgan,Accolite,Pocket Gems,eBay,Uber,Expedia,Facebook,Amazon,Walmart Labs,Apple,ByteDance,LinkedIn,Microsoft,Bloomberg,Adobe,Oracle,Salesforce,Google,Goldman Sachs,Spotify,Zillow</v>
      </c>
      <c r="I57" s="47">
        <f>IFERROR(__xludf.DUMMYFUNCTION("""COMPUTED_VALUE"""),58.66)</f>
        <v>58.66</v>
      </c>
      <c r="J57" s="47" t="str">
        <f>IFERROR(__xludf.DUMMYFUNCTION("""COMPUTED_VALUE"""),"算法")</f>
        <v>算法</v>
      </c>
      <c r="K57" s="2" t="s">
        <v>4983</v>
      </c>
      <c r="L57" s="6">
        <f>COUNTIF('Coder-1'!B:B,A57)</f>
        <v>0</v>
      </c>
      <c r="M57" s="6">
        <f>COUNTIF('Coder-2'!B:B,A57)</f>
        <v>0</v>
      </c>
      <c r="N57" s="6">
        <f>COUNTIF('Coder-3'!B:B,A57)</f>
        <v>0</v>
      </c>
      <c r="O57" s="6">
        <f>COUNTIF('Coder-4'!B:B,A57)</f>
        <v>0</v>
      </c>
    </row>
    <row r="58">
      <c r="A58" s="83">
        <v>287.0</v>
      </c>
      <c r="B58" s="86" t="str">
        <f>IFERROR(__xludf.DUMMYFUNCTION("IF(ISBLANK(A58),,FILTER('Leetcode List'!B:C,'Leetcode List'!A:A = A58))"),"Find the Duplicate Number")</f>
        <v>Find the Duplicate Number</v>
      </c>
      <c r="C58" s="47" t="str">
        <f>IFERROR(__xludf.DUMMYFUNCTION("""COMPUTED_VALUE"""),"Medium")</f>
        <v>Medium</v>
      </c>
      <c r="D58" s="83" t="s">
        <v>502</v>
      </c>
      <c r="E58" s="87" t="str">
        <f>IFERROR(__xludf.DUMMYFUNCTION("IF(ISBLANK(A58),,FILTER('Leetcode List'!E:J,'Leetcode List'!A:A = A58))"),"Zynga,Nutanix,Wish,Citadel,Paypal,Yahoo,Goldman Sachs,Salesforce,VMware,Oracle,Intuit,EBay,Apple,Tencent,Morgan Stanley,Bloomberg,Adobe,Facebook,Amazon,Microsoft,Google")</f>
        <v>Zynga,Nutanix,Wish,Citadel,Paypal,Yahoo,Goldman Sachs,Salesforce,VMware,Oracle,Intuit,EBay,Apple,Tencent,Morgan Stanley,Bloomberg,Adobe,Facebook,Amazon,Microsoft,Google</v>
      </c>
      <c r="F58" s="47" t="str">
        <f>IFERROR(__xludf.DUMMYFUNCTION("""COMPUTED_VALUE"""),"Microsoft,Amazon,Apple,Google,Bloomberg,Paypal,Goldman Sachs")</f>
        <v>Microsoft,Amazon,Apple,Google,Bloomberg,Paypal,Goldman Sachs</v>
      </c>
      <c r="G58" s="47" t="str">
        <f>IFERROR(__xludf.DUMMYFUNCTION("""COMPUTED_VALUE"""),"Adobe,eBay,Zynga,Microsoft,Amazon,Apple,Google,Bloomberg,Paypal,Goldman Sachs")</f>
        <v>Adobe,eBay,Zynga,Microsoft,Amazon,Apple,Google,Bloomberg,Paypal,Goldman Sachs</v>
      </c>
      <c r="H58" s="47" t="str">
        <f>IFERROR(__xludf.DUMMYFUNCTION("""COMPUTED_VALUE"""),"Facebook,Yahoo,Salesforce,VMware,Citadel,Intuit,Wish,Nutanix,Adobe,eBay,Zynga,Microsoft,Amazon,Apple,Google,Bloomberg,Paypal,Goldman Sachs")</f>
        <v>Facebook,Yahoo,Salesforce,VMware,Citadel,Intuit,Wish,Nutanix,Adobe,eBay,Zynga,Microsoft,Amazon,Apple,Google,Bloomberg,Paypal,Goldman Sachs</v>
      </c>
      <c r="I58" s="47">
        <f>IFERROR(__xludf.DUMMYFUNCTION("""COMPUTED_VALUE"""),57.72)</f>
        <v>57.72</v>
      </c>
      <c r="J58" s="47" t="str">
        <f>IFERROR(__xludf.DUMMYFUNCTION("""COMPUTED_VALUE"""),"算法")</f>
        <v>算法</v>
      </c>
      <c r="K58" s="2" t="s">
        <v>4983</v>
      </c>
      <c r="L58" s="6">
        <f>COUNTIF('Coder-1'!B:B,A58)</f>
        <v>0</v>
      </c>
      <c r="M58" s="6">
        <f>COUNTIF('Coder-2'!B:B,A58)</f>
        <v>0</v>
      </c>
      <c r="N58" s="6">
        <f>COUNTIF('Coder-3'!B:B,A58)</f>
        <v>0</v>
      </c>
      <c r="O58" s="6">
        <f>COUNTIF('Coder-4'!B:B,A58)</f>
        <v>0</v>
      </c>
    </row>
    <row r="59">
      <c r="A59" s="83">
        <v>378.0</v>
      </c>
      <c r="B59" s="86" t="str">
        <f>IFERROR(__xludf.DUMMYFUNCTION("IF(ISBLANK(A59),,FILTER('Leetcode List'!B:C,'Leetcode List'!A:A = A59))"),"Kth Smallest Element in a Sorted Matrix")</f>
        <v>Kth Smallest Element in a Sorted Matrix</v>
      </c>
      <c r="C59" s="47" t="str">
        <f>IFERROR(__xludf.DUMMYFUNCTION("""COMPUTED_VALUE"""),"Medium")</f>
        <v>Medium</v>
      </c>
      <c r="D59" s="83" t="s">
        <v>502</v>
      </c>
      <c r="E59" s="87" t="str">
        <f>IFERROR(__xludf.DUMMYFUNCTION("IF(ISBLANK(A59),,FILTER('Leetcode List'!E:J,'Leetcode List'!A:A = A59))"),"Walmart Labs,Twitter,Apple,Uber,Yahoo,Bloomberg,Adobe,Facebook,Amazon,Microsoft,Google")</f>
        <v>Walmart Labs,Twitter,Apple,Uber,Yahoo,Bloomberg,Adobe,Facebook,Amazon,Microsoft,Google</v>
      </c>
      <c r="F59" s="47" t="str">
        <f>IFERROR(__xludf.DUMMYFUNCTION("""COMPUTED_VALUE"""),"Facebook,Amazon,Google")</f>
        <v>Facebook,Amazon,Google</v>
      </c>
      <c r="G59" s="47" t="str">
        <f>IFERROR(__xludf.DUMMYFUNCTION("""COMPUTED_VALUE"""),"Microsoft,Facebook,Amazon,Google")</f>
        <v>Microsoft,Facebook,Amazon,Google</v>
      </c>
      <c r="H59" s="47" t="str">
        <f>IFERROR(__xludf.DUMMYFUNCTION("""COMPUTED_VALUE"""),"Apple,Adobe,Yahoo,Uber,Walmart Labs,Twitter,Microsoft,Facebook,Amazon,Google")</f>
        <v>Apple,Adobe,Yahoo,Uber,Walmart Labs,Twitter,Microsoft,Facebook,Amazon,Google</v>
      </c>
      <c r="I59" s="47">
        <f>IFERROR(__xludf.DUMMYFUNCTION("""COMPUTED_VALUE"""),56.29)</f>
        <v>56.29</v>
      </c>
      <c r="J59" s="47" t="str">
        <f>IFERROR(__xludf.DUMMYFUNCTION("""COMPUTED_VALUE"""),"算法")</f>
        <v>算法</v>
      </c>
      <c r="K59" s="2" t="s">
        <v>4983</v>
      </c>
      <c r="L59" s="6">
        <f>COUNTIF('Coder-1'!B:B,A59)</f>
        <v>0</v>
      </c>
      <c r="M59" s="6">
        <f>COUNTIF('Coder-2'!B:B,A59)</f>
        <v>0</v>
      </c>
      <c r="N59" s="6">
        <f>COUNTIF('Coder-3'!B:B,A59)</f>
        <v>0</v>
      </c>
      <c r="O59" s="6">
        <f>COUNTIF('Coder-4'!B:B,A59)</f>
        <v>0</v>
      </c>
    </row>
    <row r="60">
      <c r="A60" s="83">
        <v>373.0</v>
      </c>
      <c r="B60" s="86" t="str">
        <f>IFERROR(__xludf.DUMMYFUNCTION("IF(ISBLANK(A60),,FILTER('Leetcode List'!B:C,'Leetcode List'!A:A = A60))"),"Find K Pairs with Smallest Sums")</f>
        <v>Find K Pairs with Smallest Sums</v>
      </c>
      <c r="C60" s="47" t="str">
        <f>IFERROR(__xludf.DUMMYFUNCTION("""COMPUTED_VALUE"""),"Medium")</f>
        <v>Medium</v>
      </c>
      <c r="D60" s="83" t="s">
        <v>502</v>
      </c>
      <c r="E60" s="87" t="str">
        <f>IFERROR(__xludf.DUMMYFUNCTION("IF(ISBLANK(A60),,FILTER('Leetcode List'!E:J,'Leetcode List'!A:A = A60))"),"Pinterest,Walmart Labs,Apple,Uber,Facebook,Amazon,LinkedIn,Microsoft,Google")</f>
        <v>Pinterest,Walmart Labs,Apple,Uber,Facebook,Amazon,LinkedIn,Microsoft,Google</v>
      </c>
      <c r="F60" s="47" t="str">
        <f>IFERROR(__xludf.DUMMYFUNCTION("""COMPUTED_VALUE"""),"Amazon,Walmart Labs")</f>
        <v>Amazon,Walmart Labs</v>
      </c>
      <c r="G60" s="47" t="str">
        <f>IFERROR(__xludf.DUMMYFUNCTION("""COMPUTED_VALUE"""),"Facebook,Amazon,Walmart Labs")</f>
        <v>Facebook,Amazon,Walmart Labs</v>
      </c>
      <c r="H60" s="47" t="str">
        <f>IFERROR(__xludf.DUMMYFUNCTION("""COMPUTED_VALUE"""),"LinkedIn,Google,Pinterest,Uber,Facebook,Amazon,Walmart Labs")</f>
        <v>LinkedIn,Google,Pinterest,Uber,Facebook,Amazon,Walmart Labs</v>
      </c>
      <c r="I60" s="47">
        <f>IFERROR(__xludf.DUMMYFUNCTION("""COMPUTED_VALUE"""),37.81)</f>
        <v>37.81</v>
      </c>
      <c r="J60" s="47" t="str">
        <f>IFERROR(__xludf.DUMMYFUNCTION("""COMPUTED_VALUE"""),"算法")</f>
        <v>算法</v>
      </c>
      <c r="K60" s="2" t="s">
        <v>4983</v>
      </c>
      <c r="L60" s="6">
        <f>COUNTIF('Coder-1'!B:B,A60)</f>
        <v>0</v>
      </c>
      <c r="M60" s="6">
        <f>COUNTIF('Coder-2'!B:B,A60)</f>
        <v>0</v>
      </c>
      <c r="N60" s="6">
        <f>COUNTIF('Coder-3'!B:B,A60)</f>
        <v>0</v>
      </c>
      <c r="O60" s="6">
        <f>COUNTIF('Coder-4'!B:B,A60)</f>
        <v>0</v>
      </c>
    </row>
    <row r="61">
      <c r="A61" s="83">
        <v>668.0</v>
      </c>
      <c r="B61" s="86" t="str">
        <f>IFERROR(__xludf.DUMMYFUNCTION("IF(ISBLANK(A61),,FILTER('Leetcode List'!B:C,'Leetcode List'!A:A = A61))"),"Kth Smallest Number in Multiplication Table")</f>
        <v>Kth Smallest Number in Multiplication Table</v>
      </c>
      <c r="C61" s="47" t="str">
        <f>IFERROR(__xludf.DUMMYFUNCTION("""COMPUTED_VALUE"""),"Hard")</f>
        <v>Hard</v>
      </c>
      <c r="D61" s="83" t="s">
        <v>502</v>
      </c>
      <c r="E61" s="87" t="str">
        <f>IFERROR(__xludf.DUMMYFUNCTION("IF(ISBLANK(A61),,FILTER('Leetcode List'!E:J,'Leetcode List'!A:A = A61))"),"Uber,Google")</f>
        <v>Uber,Google</v>
      </c>
      <c r="F61" s="47"/>
      <c r="G61" s="47"/>
      <c r="H61" s="47" t="str">
        <f>IFERROR(__xludf.DUMMYFUNCTION("""COMPUTED_VALUE"""),"Uber,Google")</f>
        <v>Uber,Google</v>
      </c>
      <c r="I61" s="47">
        <f>IFERROR(__xludf.DUMMYFUNCTION("""COMPUTED_VALUE"""),47.81)</f>
        <v>47.81</v>
      </c>
      <c r="J61" s="47" t="str">
        <f>IFERROR(__xludf.DUMMYFUNCTION("""COMPUTED_VALUE"""),"算法")</f>
        <v>算法</v>
      </c>
      <c r="K61" s="2" t="s">
        <v>4983</v>
      </c>
      <c r="L61" s="6">
        <f>COUNTIF('Coder-1'!B:B,A61)</f>
        <v>0</v>
      </c>
      <c r="M61" s="6">
        <f>COUNTIF('Coder-2'!B:B,A61)</f>
        <v>0</v>
      </c>
      <c r="N61" s="6">
        <f>COUNTIF('Coder-3'!B:B,A61)</f>
        <v>0</v>
      </c>
      <c r="O61" s="6">
        <f>COUNTIF('Coder-4'!B:B,A61)</f>
        <v>0</v>
      </c>
    </row>
    <row r="62">
      <c r="A62" s="83">
        <v>719.0</v>
      </c>
      <c r="B62" s="86" t="str">
        <f>IFERROR(__xludf.DUMMYFUNCTION("IF(ISBLANK(A62),,FILTER('Leetcode List'!B:C,'Leetcode List'!A:A = A62))"),"Find K-th Smallest Pair Distance")</f>
        <v>Find K-th Smallest Pair Distance</v>
      </c>
      <c r="C62" s="47" t="str">
        <f>IFERROR(__xludf.DUMMYFUNCTION("""COMPUTED_VALUE"""),"Hard")</f>
        <v>Hard</v>
      </c>
      <c r="D62" s="83" t="s">
        <v>502</v>
      </c>
      <c r="E62" s="87" t="str">
        <f>IFERROR(__xludf.DUMMYFUNCTION("IF(ISBLANK(A62),,FILTER('Leetcode List'!E:J,'Leetcode List'!A:A = A62))"),"Amazon,Google")</f>
        <v>Amazon,Google</v>
      </c>
      <c r="F62" s="47"/>
      <c r="G62" s="47"/>
      <c r="H62" s="47" t="str">
        <f>IFERROR(__xludf.DUMMYFUNCTION("""COMPUTED_VALUE"""),"Google,Amazon")</f>
        <v>Google,Amazon</v>
      </c>
      <c r="I62" s="47">
        <f>IFERROR(__xludf.DUMMYFUNCTION("""COMPUTED_VALUE"""),32.62)</f>
        <v>32.62</v>
      </c>
      <c r="J62" s="47" t="str">
        <f>IFERROR(__xludf.DUMMYFUNCTION("""COMPUTED_VALUE"""),"算法")</f>
        <v>算法</v>
      </c>
      <c r="K62" s="2" t="s">
        <v>4983</v>
      </c>
      <c r="L62" s="6">
        <f>COUNTIF('Coder-1'!B:B,A62)</f>
        <v>0</v>
      </c>
      <c r="M62" s="6">
        <f>COUNTIF('Coder-2'!B:B,A62)</f>
        <v>0</v>
      </c>
      <c r="N62" s="6">
        <f>COUNTIF('Coder-3'!B:B,A62)</f>
        <v>0</v>
      </c>
      <c r="O62" s="6">
        <f>COUNTIF('Coder-4'!B:B,A62)</f>
        <v>0</v>
      </c>
    </row>
    <row r="63">
      <c r="A63" s="83">
        <v>774.0</v>
      </c>
      <c r="B63" s="86" t="str">
        <f>IFERROR(__xludf.DUMMYFUNCTION("IF(ISBLANK(A63),,FILTER('Leetcode List'!B:C,'Leetcode List'!A:A = A63))"),"Minimize Max Distance to Gas Station")</f>
        <v>Minimize Max Distance to Gas Station</v>
      </c>
      <c r="C63" s="47" t="str">
        <f>IFERROR(__xludf.DUMMYFUNCTION("""COMPUTED_VALUE"""),"Hard")</f>
        <v>Hard</v>
      </c>
      <c r="D63" s="83" t="s">
        <v>502</v>
      </c>
      <c r="E63" s="87" t="str">
        <f>IFERROR(__xludf.DUMMYFUNCTION("IF(ISBLANK(A63),,FILTER('Leetcode List'!E:J,'Leetcode List'!A:A = A63))"),"Google")</f>
        <v>Google</v>
      </c>
      <c r="F63" s="47"/>
      <c r="G63" s="47"/>
      <c r="H63" s="47" t="str">
        <f>IFERROR(__xludf.DUMMYFUNCTION("""COMPUTED_VALUE"""),"Google")</f>
        <v>Google</v>
      </c>
      <c r="I63" s="47">
        <f>IFERROR(__xludf.DUMMYFUNCTION("""COMPUTED_VALUE"""),48.35)</f>
        <v>48.35</v>
      </c>
      <c r="J63" s="47" t="str">
        <f>IFERROR(__xludf.DUMMYFUNCTION("""COMPUTED_VALUE"""),"算法")</f>
        <v>算法</v>
      </c>
      <c r="K63" s="2" t="s">
        <v>4983</v>
      </c>
      <c r="L63" s="6">
        <f>COUNTIF('Coder-1'!B:B,A63)</f>
        <v>0</v>
      </c>
      <c r="M63" s="6">
        <f>COUNTIF('Coder-2'!B:B,A63)</f>
        <v>0</v>
      </c>
      <c r="N63" s="6">
        <f>COUNTIF('Coder-3'!B:B,A63)</f>
        <v>0</v>
      </c>
      <c r="O63" s="6">
        <f>COUNTIF('Coder-4'!B:B,A63)</f>
        <v>0</v>
      </c>
    </row>
    <row r="64">
      <c r="A64" s="83">
        <v>786.0</v>
      </c>
      <c r="B64" s="86" t="str">
        <f>IFERROR(__xludf.DUMMYFUNCTION("IF(ISBLANK(A64),,FILTER('Leetcode List'!B:C,'Leetcode List'!A:A = A64))"),"K-th Smallest Prime Fraction")</f>
        <v>K-th Smallest Prime Fraction</v>
      </c>
      <c r="C64" s="47" t="str">
        <f>IFERROR(__xludf.DUMMYFUNCTION("""COMPUTED_VALUE"""),"Hard")</f>
        <v>Hard</v>
      </c>
      <c r="D64" s="83" t="s">
        <v>502</v>
      </c>
      <c r="E64" s="87" t="str">
        <f>IFERROR(__xludf.DUMMYFUNCTION("IF(ISBLANK(A64),,FILTER('Leetcode List'!E:J,'Leetcode List'!A:A = A64))"),"Robinhood,Pony.ai")</f>
        <v>Robinhood,Pony.ai</v>
      </c>
      <c r="F64" s="47" t="str">
        <f>IFERROR(__xludf.DUMMYFUNCTION("""COMPUTED_VALUE"""),"Robinhood")</f>
        <v>Robinhood</v>
      </c>
      <c r="G64" s="47" t="str">
        <f>IFERROR(__xludf.DUMMYFUNCTION("""COMPUTED_VALUE"""),"Robinhood")</f>
        <v>Robinhood</v>
      </c>
      <c r="H64" s="47" t="str">
        <f>IFERROR(__xludf.DUMMYFUNCTION("""COMPUTED_VALUE"""),"Pony.ai,Robinhood")</f>
        <v>Pony.ai,Robinhood</v>
      </c>
      <c r="I64" s="47">
        <f>IFERROR(__xludf.DUMMYFUNCTION("""COMPUTED_VALUE"""),42.96)</f>
        <v>42.96</v>
      </c>
      <c r="J64" s="47" t="str">
        <f>IFERROR(__xludf.DUMMYFUNCTION("""COMPUTED_VALUE"""),"算法")</f>
        <v>算法</v>
      </c>
      <c r="K64" s="2" t="s">
        <v>4983</v>
      </c>
      <c r="L64" s="6">
        <f>COUNTIF('Coder-1'!B:B,A64)</f>
        <v>0</v>
      </c>
      <c r="M64" s="6">
        <f>COUNTIF('Coder-2'!B:B,A64)</f>
        <v>0</v>
      </c>
      <c r="N64" s="6">
        <f>COUNTIF('Coder-3'!B:B,A64)</f>
        <v>0</v>
      </c>
      <c r="O64" s="6">
        <f>COUNTIF('Coder-4'!B:B,A64)</f>
        <v>0</v>
      </c>
    </row>
    <row r="65">
      <c r="A65" s="83">
        <v>793.0</v>
      </c>
      <c r="B65" s="86" t="str">
        <f>IFERROR(__xludf.DUMMYFUNCTION("IF(ISBLANK(A65),,FILTER('Leetcode List'!B:C,'Leetcode List'!A:A = A65))"),"Preimage Size of Factorial Zeroes Function")</f>
        <v>Preimage Size of Factorial Zeroes Function</v>
      </c>
      <c r="C65" s="47" t="str">
        <f>IFERROR(__xludf.DUMMYFUNCTION("""COMPUTED_VALUE"""),"Hard")</f>
        <v>Hard</v>
      </c>
      <c r="D65" s="83" t="s">
        <v>502</v>
      </c>
      <c r="E65" s="87" t="str">
        <f>IFERROR(__xludf.DUMMYFUNCTION("IF(ISBLANK(A65),,FILTER('Leetcode List'!E:J,'Leetcode List'!A:A = A65))"),"Adobe,Amazon")</f>
        <v>Adobe,Amazon</v>
      </c>
      <c r="F65" s="47"/>
      <c r="G65" s="47"/>
      <c r="H65" s="47" t="str">
        <f>IFERROR(__xludf.DUMMYFUNCTION("""COMPUTED_VALUE"""),"Adobe")</f>
        <v>Adobe</v>
      </c>
      <c r="I65" s="47">
        <f>IFERROR(__xludf.DUMMYFUNCTION("""COMPUTED_VALUE"""),40.6)</f>
        <v>40.6</v>
      </c>
      <c r="J65" s="47" t="str">
        <f>IFERROR(__xludf.DUMMYFUNCTION("""COMPUTED_VALUE"""),"算法")</f>
        <v>算法</v>
      </c>
      <c r="K65" s="2" t="s">
        <v>4983</v>
      </c>
      <c r="L65" s="6">
        <f>COUNTIF('Coder-1'!B:B,A65)</f>
        <v>0</v>
      </c>
      <c r="M65" s="6">
        <f>COUNTIF('Coder-2'!B:B,A65)</f>
        <v>0</v>
      </c>
      <c r="N65" s="6">
        <f>COUNTIF('Coder-3'!B:B,A65)</f>
        <v>0</v>
      </c>
      <c r="O65" s="6">
        <f>COUNTIF('Coder-4'!B:B,A65)</f>
        <v>0</v>
      </c>
    </row>
    <row r="66">
      <c r="A66" s="83">
        <v>1060.0</v>
      </c>
      <c r="B66" s="86" t="str">
        <f>IFERROR(__xludf.DUMMYFUNCTION("IF(ISBLANK(A66),,FILTER('Leetcode List'!B:C,'Leetcode List'!A:A = A66))"),"Missing Element in Sorted Array")</f>
        <v>Missing Element in Sorted Array</v>
      </c>
      <c r="C66" s="47" t="str">
        <f>IFERROR(__xludf.DUMMYFUNCTION("""COMPUTED_VALUE"""),"Medium")</f>
        <v>Medium</v>
      </c>
      <c r="D66" s="83" t="s">
        <v>502</v>
      </c>
      <c r="E66" s="87" t="str">
        <f>IFERROR(__xludf.DUMMYFUNCTION("IF(ISBLANK(A66),,FILTER('Leetcode List'!E:J,'Leetcode List'!A:A = A66))"),"Microsoft,Lyft,Apple,Bloomberg,Facebook,Amazon,Google")</f>
        <v>Microsoft,Lyft,Apple,Bloomberg,Facebook,Amazon,Google</v>
      </c>
      <c r="F66" s="47" t="str">
        <f>IFERROR(__xludf.DUMMYFUNCTION("""COMPUTED_VALUE"""),"Bloomberg,Facebook")</f>
        <v>Bloomberg,Facebook</v>
      </c>
      <c r="G66" s="47" t="str">
        <f>IFERROR(__xludf.DUMMYFUNCTION("""COMPUTED_VALUE"""),"Google,Apple,Bloomberg,Facebook")</f>
        <v>Google,Apple,Bloomberg,Facebook</v>
      </c>
      <c r="H66" s="47" t="str">
        <f>IFERROR(__xludf.DUMMYFUNCTION("""COMPUTED_VALUE"""),"Amazon,Microsoft,Lyft,Google,Apple,Bloomberg,Facebook")</f>
        <v>Amazon,Microsoft,Lyft,Google,Apple,Bloomberg,Facebook</v>
      </c>
      <c r="I66" s="47">
        <f>IFERROR(__xludf.DUMMYFUNCTION("""COMPUTED_VALUE"""),54.77)</f>
        <v>54.77</v>
      </c>
      <c r="J66" s="47" t="str">
        <f>IFERROR(__xludf.DUMMYFUNCTION("""COMPUTED_VALUE"""),"算法")</f>
        <v>算法</v>
      </c>
      <c r="K66" s="2" t="s">
        <v>4983</v>
      </c>
      <c r="L66" s="6">
        <f>COUNTIF('Coder-1'!B:B,A66)</f>
        <v>0</v>
      </c>
      <c r="M66" s="6">
        <f>COUNTIF('Coder-2'!B:B,A66)</f>
        <v>0</v>
      </c>
      <c r="N66" s="6">
        <f>COUNTIF('Coder-3'!B:B,A66)</f>
        <v>0</v>
      </c>
      <c r="O66" s="6">
        <f>COUNTIF('Coder-4'!B:B,A66)</f>
        <v>0</v>
      </c>
    </row>
    <row r="67">
      <c r="A67" s="83">
        <v>1102.0</v>
      </c>
      <c r="B67" s="86" t="str">
        <f>IFERROR(__xludf.DUMMYFUNCTION("IF(ISBLANK(A67),,FILTER('Leetcode List'!B:C,'Leetcode List'!A:A = A67))"),"Path With Maximum Minimum Value")</f>
        <v>Path With Maximum Minimum Value</v>
      </c>
      <c r="C67" s="47" t="str">
        <f>IFERROR(__xludf.DUMMYFUNCTION("""COMPUTED_VALUE"""),"Medium")</f>
        <v>Medium</v>
      </c>
      <c r="D67" s="83" t="s">
        <v>502</v>
      </c>
      <c r="E67" s="87" t="str">
        <f>IFERROR(__xludf.DUMMYFUNCTION("IF(ISBLANK(A67),,FILTER('Leetcode List'!E:J,'Leetcode List'!A:A = A67))"),"Facebook,Amazon,Google")</f>
        <v>Facebook,Amazon,Google</v>
      </c>
      <c r="F67" s="47" t="str">
        <f>IFERROR(__xludf.DUMMYFUNCTION("""COMPUTED_VALUE"""),"Facebook,Google")</f>
        <v>Facebook,Google</v>
      </c>
      <c r="G67" s="47" t="str">
        <f>IFERROR(__xludf.DUMMYFUNCTION("""COMPUTED_VALUE"""),"Amazon,Facebook,Google")</f>
        <v>Amazon,Facebook,Google</v>
      </c>
      <c r="H67" s="47" t="str">
        <f>IFERROR(__xludf.DUMMYFUNCTION("""COMPUTED_VALUE"""),"Amazon,Facebook,Google")</f>
        <v>Amazon,Facebook,Google</v>
      </c>
      <c r="I67" s="47">
        <f>IFERROR(__xludf.DUMMYFUNCTION("""COMPUTED_VALUE"""),50.62)</f>
        <v>50.62</v>
      </c>
      <c r="J67" s="47" t="str">
        <f>IFERROR(__xludf.DUMMYFUNCTION("""COMPUTED_VALUE"""),"算法")</f>
        <v>算法</v>
      </c>
      <c r="K67" s="2" t="s">
        <v>4983</v>
      </c>
      <c r="L67" s="6">
        <f>COUNTIF('Coder-1'!B:B,A67)</f>
        <v>0</v>
      </c>
      <c r="M67" s="6">
        <f>COUNTIF('Coder-2'!B:B,A67)</f>
        <v>0</v>
      </c>
      <c r="N67" s="6">
        <f>COUNTIF('Coder-3'!B:B,A67)</f>
        <v>0</v>
      </c>
      <c r="O67" s="6">
        <f>COUNTIF('Coder-4'!B:B,A67)</f>
        <v>0</v>
      </c>
    </row>
    <row r="68">
      <c r="A68" s="83">
        <v>1539.0</v>
      </c>
      <c r="B68" s="86" t="str">
        <f>IFERROR(__xludf.DUMMYFUNCTION("IF(ISBLANK(A68),,FILTER('Leetcode List'!B:C,'Leetcode List'!A:A = A68))"),"Kth Missing Positive Number")</f>
        <v>Kth Missing Positive Number</v>
      </c>
      <c r="C68" s="47" t="str">
        <f>IFERROR(__xludf.DUMMYFUNCTION("""COMPUTED_VALUE"""),"Easy")</f>
        <v>Easy</v>
      </c>
      <c r="D68" s="83" t="s">
        <v>502</v>
      </c>
      <c r="E68" s="87" t="str">
        <f>IFERROR(__xludf.DUMMYFUNCTION("IF(ISBLANK(A68),,FILTER('Leetcode List'!E:J,'Leetcode List'!A:A = A68))"),"Apple,Facebook,Amazon,Microsoft")</f>
        <v>Apple,Facebook,Amazon,Microsoft</v>
      </c>
      <c r="F68" s="47" t="str">
        <f>IFERROR(__xludf.DUMMYFUNCTION("""COMPUTED_VALUE"""),"Facebook,Amazon,Microsoft,Apple")</f>
        <v>Facebook,Amazon,Microsoft,Apple</v>
      </c>
      <c r="G68" s="47" t="str">
        <f>IFERROR(__xludf.DUMMYFUNCTION("""COMPUTED_VALUE"""),"Facebook,Amazon,Microsoft,Apple")</f>
        <v>Facebook,Amazon,Microsoft,Apple</v>
      </c>
      <c r="H68" s="47" t="str">
        <f>IFERROR(__xludf.DUMMYFUNCTION("""COMPUTED_VALUE"""),"Facebook,Amazon,Microsoft,Apple")</f>
        <v>Facebook,Amazon,Microsoft,Apple</v>
      </c>
      <c r="I68" s="47">
        <f>IFERROR(__xludf.DUMMYFUNCTION("""COMPUTED_VALUE"""),54.94)</f>
        <v>54.94</v>
      </c>
      <c r="J68" s="47" t="str">
        <f>IFERROR(__xludf.DUMMYFUNCTION("""COMPUTED_VALUE"""),"算法")</f>
        <v>算法</v>
      </c>
      <c r="K68" s="2" t="s">
        <v>4983</v>
      </c>
      <c r="L68" s="6">
        <f>COUNTIF('Coder-1'!B:B,A68)</f>
        <v>0</v>
      </c>
      <c r="M68" s="6">
        <f>COUNTIF('Coder-2'!B:B,A68)</f>
        <v>0</v>
      </c>
      <c r="N68" s="6">
        <f>COUNTIF('Coder-3'!B:B,A68)</f>
        <v>0</v>
      </c>
      <c r="O68" s="6">
        <f>COUNTIF('Coder-4'!B:B,A68)</f>
        <v>0</v>
      </c>
    </row>
    <row r="69">
      <c r="A69" s="83">
        <v>1201.0</v>
      </c>
      <c r="B69" s="86" t="str">
        <f>IFERROR(__xludf.DUMMYFUNCTION("IF(ISBLANK(A69),,FILTER('Leetcode List'!B:C,'Leetcode List'!A:A = A69))"),"Ugly Number III")</f>
        <v>Ugly Number III</v>
      </c>
      <c r="C69" s="47" t="str">
        <f>IFERROR(__xludf.DUMMYFUNCTION("""COMPUTED_VALUE"""),"Medium")</f>
        <v>Medium</v>
      </c>
      <c r="D69" s="83" t="s">
        <v>502</v>
      </c>
      <c r="E69" s="87" t="str">
        <f>IFERROR(__xludf.DUMMYFUNCTION("IF(ISBLANK(A69),,FILTER('Leetcode List'!E:J,'Leetcode List'!A:A = A69))"),"American Express")</f>
        <v>American Express</v>
      </c>
      <c r="F69" s="47"/>
      <c r="G69" s="47"/>
      <c r="H69" s="47" t="str">
        <f>IFERROR(__xludf.DUMMYFUNCTION("""COMPUTED_VALUE"""),"American Express")</f>
        <v>American Express</v>
      </c>
      <c r="I69" s="47">
        <f>IFERROR(__xludf.DUMMYFUNCTION("""COMPUTED_VALUE"""),26.39)</f>
        <v>26.39</v>
      </c>
      <c r="J69" s="47" t="str">
        <f>IFERROR(__xludf.DUMMYFUNCTION("""COMPUTED_VALUE"""),"算法")</f>
        <v>算法</v>
      </c>
      <c r="K69" s="2" t="s">
        <v>4983</v>
      </c>
      <c r="L69" s="6">
        <f>COUNTIF('Coder-1'!B:B,A69)</f>
        <v>0</v>
      </c>
      <c r="M69" s="6">
        <f>COUNTIF('Coder-2'!B:B,A69)</f>
        <v>0</v>
      </c>
      <c r="N69" s="6">
        <f>COUNTIF('Coder-3'!B:B,A69)</f>
        <v>0</v>
      </c>
      <c r="O69" s="6">
        <f>COUNTIF('Coder-4'!B:B,A69)</f>
        <v>0</v>
      </c>
    </row>
    <row r="70">
      <c r="A70" s="83">
        <v>1231.0</v>
      </c>
      <c r="B70" s="86" t="str">
        <f>IFERROR(__xludf.DUMMYFUNCTION("IF(ISBLANK(A70),,FILTER('Leetcode List'!B:C,'Leetcode List'!A:A = A70))"),"Divide Chocolate")</f>
        <v>Divide Chocolate</v>
      </c>
      <c r="C70" s="46" t="str">
        <f>IFERROR(__xludf.DUMMYFUNCTION("""COMPUTED_VALUE"""),"Hard")</f>
        <v>Hard</v>
      </c>
      <c r="D70" s="83" t="s">
        <v>502</v>
      </c>
      <c r="E70" s="87" t="str">
        <f>IFERROR(__xludf.DUMMYFUNCTION("IF(ISBLANK(A70),,FILTER('Leetcode List'!E:J,'Leetcode List'!A:A = A70))"),"Google")</f>
        <v>Google</v>
      </c>
      <c r="F70" s="47"/>
      <c r="G70" s="47" t="str">
        <f>IFERROR(__xludf.DUMMYFUNCTION("""COMPUTED_VALUE"""),"Google")</f>
        <v>Google</v>
      </c>
      <c r="H70" s="47" t="str">
        <f>IFERROR(__xludf.DUMMYFUNCTION("""COMPUTED_VALUE"""),"Google")</f>
        <v>Google</v>
      </c>
      <c r="I70" s="47">
        <f>IFERROR(__xludf.DUMMYFUNCTION("""COMPUTED_VALUE"""),53.59)</f>
        <v>53.59</v>
      </c>
      <c r="J70" s="47" t="str">
        <f>IFERROR(__xludf.DUMMYFUNCTION("""COMPUTED_VALUE"""),"算法")</f>
        <v>算法</v>
      </c>
      <c r="K70" s="2" t="s">
        <v>4983</v>
      </c>
      <c r="L70" s="6">
        <f>COUNTIF('Coder-1'!B:B,A70)</f>
        <v>0</v>
      </c>
      <c r="M70" s="6">
        <f>COUNTIF('Coder-2'!B:B,A70)</f>
        <v>0</v>
      </c>
      <c r="N70" s="6">
        <f>COUNTIF('Coder-3'!B:B,A70)</f>
        <v>0</v>
      </c>
      <c r="O70" s="6">
        <f>COUNTIF('Coder-4'!B:B,A70)</f>
        <v>0</v>
      </c>
    </row>
    <row r="71">
      <c r="A71" s="83">
        <v>1283.0</v>
      </c>
      <c r="B71" s="86" t="str">
        <f>IFERROR(__xludf.DUMMYFUNCTION("IF(ISBLANK(A71),,FILTER('Leetcode List'!B:C,'Leetcode List'!A:A = A71))"),"Find the Smallest Divisor Given a Threshold")</f>
        <v>Find the Smallest Divisor Given a Threshold</v>
      </c>
      <c r="C71" s="46" t="str">
        <f>IFERROR(__xludf.DUMMYFUNCTION("""COMPUTED_VALUE"""),"Medium")</f>
        <v>Medium</v>
      </c>
      <c r="D71" s="83" t="s">
        <v>502</v>
      </c>
      <c r="E71" s="87" t="str">
        <f>IFERROR(__xludf.DUMMYFUNCTION("IF(ISBLANK(A71),,FILTER('Leetcode List'!E:J,'Leetcode List'!A:A = A71))"),"AppDynamics,Walmart Labs,SAP,Amazon,Google,ByteDance,Salesforce,Expedia")</f>
        <v>AppDynamics,Walmart Labs,SAP,Amazon,Google,ByteDance,Salesforce,Expedia</v>
      </c>
      <c r="F71" s="47" t="str">
        <f>IFERROR(__xludf.DUMMYFUNCTION("""COMPUTED_VALUE"""),"SAP,Salesforce,Google")</f>
        <v>SAP,Salesforce,Google</v>
      </c>
      <c r="G71" s="47" t="str">
        <f>IFERROR(__xludf.DUMMYFUNCTION("""COMPUTED_VALUE"""),"Walmart Labs,Amazon,ByteDance,AppDynamics,SAP,Salesforce,Google")</f>
        <v>Walmart Labs,Amazon,ByteDance,AppDynamics,SAP,Salesforce,Google</v>
      </c>
      <c r="H71" s="47" t="str">
        <f>IFERROR(__xludf.DUMMYFUNCTION("""COMPUTED_VALUE"""),"Expedia,Walmart Labs,Amazon,ByteDance,AppDynamics,SAP,Salesforce,Google")</f>
        <v>Expedia,Walmart Labs,Amazon,ByteDance,AppDynamics,SAP,Salesforce,Google</v>
      </c>
      <c r="I71" s="47">
        <f>IFERROR(__xludf.DUMMYFUNCTION("""COMPUTED_VALUE"""),49.69)</f>
        <v>49.69</v>
      </c>
      <c r="J71" s="47" t="str">
        <f>IFERROR(__xludf.DUMMYFUNCTION("""COMPUTED_VALUE"""),"算法")</f>
        <v>算法</v>
      </c>
      <c r="K71" s="2" t="s">
        <v>4983</v>
      </c>
      <c r="L71" s="6">
        <f>COUNTIF('Coder-1'!B:B,A71)</f>
        <v>0</v>
      </c>
      <c r="M71" s="6">
        <f>COUNTIF('Coder-2'!B:B,A71)</f>
        <v>0</v>
      </c>
      <c r="N71" s="6">
        <f>COUNTIF('Coder-3'!B:B,A71)</f>
        <v>0</v>
      </c>
      <c r="O71" s="6">
        <f>COUNTIF('Coder-4'!B:B,A71)</f>
        <v>0</v>
      </c>
    </row>
    <row r="72">
      <c r="A72" s="83">
        <v>1292.0</v>
      </c>
      <c r="B72" s="86" t="str">
        <f>IFERROR(__xludf.DUMMYFUNCTION("IF(ISBLANK(A72),,FILTER('Leetcode List'!B:C,'Leetcode List'!A:A = A72))"),"Maximum Side Length of a Square with Sum Less than or Equal to Threshold")</f>
        <v>Maximum Side Length of a Square with Sum Less than or Equal to Threshold</v>
      </c>
      <c r="C72" s="46" t="str">
        <f>IFERROR(__xludf.DUMMYFUNCTION("""COMPUTED_VALUE"""),"Medium")</f>
        <v>Medium</v>
      </c>
      <c r="D72" s="83" t="s">
        <v>502</v>
      </c>
      <c r="E72" s="87" t="str">
        <f>IFERROR(__xludf.DUMMYFUNCTION("IF(ISBLANK(A72),,FILTER('Leetcode List'!E:J,'Leetcode List'!A:A = A72))"),"Roblox,Google")</f>
        <v>Roblox,Google</v>
      </c>
      <c r="F72" s="47" t="str">
        <f>IFERROR(__xludf.DUMMYFUNCTION("""COMPUTED_VALUE"""),"Roblox")</f>
        <v>Roblox</v>
      </c>
      <c r="G72" s="47" t="str">
        <f>IFERROR(__xludf.DUMMYFUNCTION("""COMPUTED_VALUE"""),"Google,Roblox")</f>
        <v>Google,Roblox</v>
      </c>
      <c r="H72" s="47" t="str">
        <f>IFERROR(__xludf.DUMMYFUNCTION("""COMPUTED_VALUE"""),"Google,Roblox")</f>
        <v>Google,Roblox</v>
      </c>
      <c r="I72" s="47">
        <f>IFERROR(__xludf.DUMMYFUNCTION("""COMPUTED_VALUE"""),50.84)</f>
        <v>50.84</v>
      </c>
      <c r="J72" s="47" t="str">
        <f>IFERROR(__xludf.DUMMYFUNCTION("""COMPUTED_VALUE"""),"算法")</f>
        <v>算法</v>
      </c>
      <c r="K72" s="2" t="s">
        <v>4983</v>
      </c>
      <c r="L72" s="6">
        <f>COUNTIF('Coder-1'!B:B,A72)</f>
        <v>0</v>
      </c>
      <c r="M72" s="6">
        <f>COUNTIF('Coder-2'!B:B,A72)</f>
        <v>0</v>
      </c>
      <c r="N72" s="6">
        <f>COUNTIF('Coder-3'!B:B,A72)</f>
        <v>0</v>
      </c>
      <c r="O72" s="6">
        <f>COUNTIF('Coder-4'!B:B,A72)</f>
        <v>0</v>
      </c>
    </row>
    <row r="73">
      <c r="A73" s="83">
        <v>1300.0</v>
      </c>
      <c r="B73" s="86" t="str">
        <f>IFERROR(__xludf.DUMMYFUNCTION("IF(ISBLANK(A73),,FILTER('Leetcode List'!B:C,'Leetcode List'!A:A = A73))"),"Sum of Mutated Array Closest to Target")</f>
        <v>Sum of Mutated Array Closest to Target</v>
      </c>
      <c r="C73" s="46" t="str">
        <f>IFERROR(__xludf.DUMMYFUNCTION("""COMPUTED_VALUE"""),"Medium")</f>
        <v>Medium</v>
      </c>
      <c r="D73" s="83" t="s">
        <v>502</v>
      </c>
      <c r="E73" s="87" t="str">
        <f>IFERROR(__xludf.DUMMYFUNCTION("IF(ISBLANK(A73),,FILTER('Leetcode List'!E:J,'Leetcode List'!A:A = A73))"),"Bloomberg,Google")</f>
        <v>Bloomberg,Google</v>
      </c>
      <c r="F73" s="47"/>
      <c r="G73" s="47" t="str">
        <f>IFERROR(__xludf.DUMMYFUNCTION("""COMPUTED_VALUE"""),"Bloomberg")</f>
        <v>Bloomberg</v>
      </c>
      <c r="H73" s="47" t="str">
        <f>IFERROR(__xludf.DUMMYFUNCTION("""COMPUTED_VALUE"""),"Google,Bloomberg")</f>
        <v>Google,Bloomberg</v>
      </c>
      <c r="I73" s="47">
        <f>IFERROR(__xludf.DUMMYFUNCTION("""COMPUTED_VALUE"""),43.02)</f>
        <v>43.02</v>
      </c>
      <c r="J73" s="47" t="str">
        <f>IFERROR(__xludf.DUMMYFUNCTION("""COMPUTED_VALUE"""),"算法")</f>
        <v>算法</v>
      </c>
      <c r="K73" s="2" t="s">
        <v>4983</v>
      </c>
      <c r="L73" s="6">
        <f>COUNTIF('Coder-1'!B:B,A73)</f>
        <v>0</v>
      </c>
      <c r="M73" s="6">
        <f>COUNTIF('Coder-2'!B:B,A73)</f>
        <v>0</v>
      </c>
      <c r="N73" s="6">
        <f>COUNTIF('Coder-3'!B:B,A73)</f>
        <v>0</v>
      </c>
      <c r="O73" s="6">
        <f>COUNTIF('Coder-4'!B:B,A73)</f>
        <v>0</v>
      </c>
    </row>
    <row r="74">
      <c r="A74" s="83">
        <v>1482.0</v>
      </c>
      <c r="B74" s="86" t="str">
        <f>IFERROR(__xludf.DUMMYFUNCTION("IF(ISBLANK(A74),,FILTER('Leetcode List'!B:C,'Leetcode List'!A:A = A74))"),"Minimum Number of Days to Make m Bouquets")</f>
        <v>Minimum Number of Days to Make m Bouquets</v>
      </c>
      <c r="C74" s="46" t="str">
        <f>IFERROR(__xludf.DUMMYFUNCTION("""COMPUTED_VALUE"""),"Medium")</f>
        <v>Medium</v>
      </c>
      <c r="D74" s="83" t="s">
        <v>502</v>
      </c>
      <c r="E74" s="87" t="str">
        <f>IFERROR(__xludf.DUMMYFUNCTION("IF(ISBLANK(A74),,FILTER('Leetcode List'!E:J,'Leetcode List'!A:A = A74))"),"Google")</f>
        <v>Google</v>
      </c>
      <c r="F74" s="47"/>
      <c r="G74" s="47"/>
      <c r="H74" s="47" t="str">
        <f>IFERROR(__xludf.DUMMYFUNCTION("""COMPUTED_VALUE"""),"Google")</f>
        <v>Google</v>
      </c>
      <c r="I74" s="47">
        <f>IFERROR(__xludf.DUMMYFUNCTION("""COMPUTED_VALUE"""),50.36)</f>
        <v>50.36</v>
      </c>
      <c r="J74" s="47" t="str">
        <f>IFERROR(__xludf.DUMMYFUNCTION("""COMPUTED_VALUE"""),"算法")</f>
        <v>算法</v>
      </c>
      <c r="K74" s="2" t="s">
        <v>4983</v>
      </c>
      <c r="L74" s="6">
        <f>COUNTIF('Coder-1'!B:B,A74)</f>
        <v>0</v>
      </c>
      <c r="M74" s="6">
        <f>COUNTIF('Coder-2'!B:B,A74)</f>
        <v>0</v>
      </c>
      <c r="N74" s="6">
        <f>COUNTIF('Coder-3'!B:B,A74)</f>
        <v>0</v>
      </c>
      <c r="O74" s="6">
        <f>COUNTIF('Coder-4'!B:B,A74)</f>
        <v>0</v>
      </c>
    </row>
    <row r="75">
      <c r="A75" s="83">
        <v>1508.0</v>
      </c>
      <c r="B75" s="86" t="str">
        <f>IFERROR(__xludf.DUMMYFUNCTION("IF(ISBLANK(A75),,FILTER('Leetcode List'!B:C,'Leetcode List'!A:A = A75))"),"Range Sum of Sorted Subarray Sums")</f>
        <v>Range Sum of Sorted Subarray Sums</v>
      </c>
      <c r="C75" s="46" t="str">
        <f>IFERROR(__xludf.DUMMYFUNCTION("""COMPUTED_VALUE"""),"Medium")</f>
        <v>Medium</v>
      </c>
      <c r="D75" s="83" t="s">
        <v>502</v>
      </c>
      <c r="E75" s="87" t="str">
        <f>IFERROR(__xludf.DUMMYFUNCTION("IF(ISBLANK(A75),,FILTER('Leetcode List'!E:J,'Leetcode List'!A:A = A75))"),"Google")</f>
        <v>Google</v>
      </c>
      <c r="F75" s="47"/>
      <c r="G75" s="47"/>
      <c r="H75" s="47" t="str">
        <f>IFERROR(__xludf.DUMMYFUNCTION("""COMPUTED_VALUE"""),"Google")</f>
        <v>Google</v>
      </c>
      <c r="I75" s="47">
        <f>IFERROR(__xludf.DUMMYFUNCTION("""COMPUTED_VALUE"""),60.66)</f>
        <v>60.66</v>
      </c>
      <c r="J75" s="47" t="str">
        <f>IFERROR(__xludf.DUMMYFUNCTION("""COMPUTED_VALUE"""),"算法")</f>
        <v>算法</v>
      </c>
      <c r="K75" s="2" t="s">
        <v>4983</v>
      </c>
      <c r="L75" s="6">
        <f>COUNTIF('Coder-1'!B:B,A75)</f>
        <v>0</v>
      </c>
      <c r="M75" s="6">
        <f>COUNTIF('Coder-2'!B:B,A75)</f>
        <v>0</v>
      </c>
      <c r="N75" s="6">
        <f>COUNTIF('Coder-3'!B:B,A75)</f>
        <v>0</v>
      </c>
      <c r="O75" s="6">
        <f>COUNTIF('Coder-4'!B:B,A75)</f>
        <v>0</v>
      </c>
    </row>
    <row r="76">
      <c r="A76" s="83">
        <v>1552.0</v>
      </c>
      <c r="B76" s="86" t="str">
        <f>IFERROR(__xludf.DUMMYFUNCTION("IF(ISBLANK(A76),,FILTER('Leetcode List'!B:C,'Leetcode List'!A:A = A76))"),"Magnetic Force Between Two Balls")</f>
        <v>Magnetic Force Between Two Balls</v>
      </c>
      <c r="C76" s="46" t="str">
        <f>IFERROR(__xludf.DUMMYFUNCTION("""COMPUTED_VALUE"""),"Medium")</f>
        <v>Medium</v>
      </c>
      <c r="D76" s="83" t="s">
        <v>502</v>
      </c>
      <c r="E76" s="87" t="str">
        <f>IFERROR(__xludf.DUMMYFUNCTION("IF(ISBLANK(A76),,FILTER('Leetcode List'!E:J,'Leetcode List'!A:A = A76))"),"Roblox")</f>
        <v>Roblox</v>
      </c>
      <c r="F76" s="47"/>
      <c r="G76" s="47"/>
      <c r="H76" s="47" t="str">
        <f>IFERROR(__xludf.DUMMYFUNCTION("""COMPUTED_VALUE"""),"Roblox")</f>
        <v>Roblox</v>
      </c>
      <c r="I76" s="47">
        <f>IFERROR(__xludf.DUMMYFUNCTION("""COMPUTED_VALUE"""),49.11)</f>
        <v>49.11</v>
      </c>
      <c r="J76" s="47" t="str">
        <f>IFERROR(__xludf.DUMMYFUNCTION("""COMPUTED_VALUE"""),"算法")</f>
        <v>算法</v>
      </c>
      <c r="K76" s="2" t="s">
        <v>4983</v>
      </c>
      <c r="L76" s="6">
        <f>COUNTIF('Coder-1'!B:B,A76)</f>
        <v>0</v>
      </c>
      <c r="M76" s="6">
        <f>COUNTIF('Coder-2'!B:B,A76)</f>
        <v>0</v>
      </c>
      <c r="N76" s="6">
        <f>COUNTIF('Coder-3'!B:B,A76)</f>
        <v>0</v>
      </c>
      <c r="O76" s="6">
        <f>COUNTIF('Coder-4'!B:B,A76)</f>
        <v>0</v>
      </c>
    </row>
    <row r="77">
      <c r="A77" s="83">
        <v>1608.0</v>
      </c>
      <c r="B77" s="86" t="str">
        <f>IFERROR(__xludf.DUMMYFUNCTION("IF(ISBLANK(A77),,FILTER('Leetcode List'!B:C,'Leetcode List'!A:A = A77))"),"Special Array With X Elements Greater Than or Equal X")</f>
        <v>Special Array With X Elements Greater Than or Equal X</v>
      </c>
      <c r="C77" s="46" t="str">
        <f>IFERROR(__xludf.DUMMYFUNCTION("""COMPUTED_VALUE"""),"Easy")</f>
        <v>Easy</v>
      </c>
      <c r="D77" s="83" t="s">
        <v>502</v>
      </c>
      <c r="E77" s="87" t="str">
        <f>IFERROR(__xludf.DUMMYFUNCTION("IF(ISBLANK(A77),,FILTER('Leetcode List'!E:J,'Leetcode List'!A:A = A77))"),"Google")</f>
        <v>Google</v>
      </c>
      <c r="F77" s="47"/>
      <c r="G77" s="47"/>
      <c r="H77" s="47" t="str">
        <f>IFERROR(__xludf.DUMMYFUNCTION("""COMPUTED_VALUE"""),"Google")</f>
        <v>Google</v>
      </c>
      <c r="I77" s="47">
        <f>IFERROR(__xludf.DUMMYFUNCTION("""COMPUTED_VALUE"""),61.37)</f>
        <v>61.37</v>
      </c>
      <c r="J77" s="47" t="str">
        <f>IFERROR(__xludf.DUMMYFUNCTION("""COMPUTED_VALUE"""),"算法")</f>
        <v>算法</v>
      </c>
      <c r="K77" s="2" t="s">
        <v>4983</v>
      </c>
      <c r="L77" s="6">
        <f>COUNTIF('Coder-1'!B:B,A77)</f>
        <v>0</v>
      </c>
      <c r="M77" s="6">
        <f>COUNTIF('Coder-2'!B:B,A77)</f>
        <v>0</v>
      </c>
      <c r="N77" s="6">
        <f>COUNTIF('Coder-3'!B:B,A77)</f>
        <v>0</v>
      </c>
      <c r="O77" s="6">
        <f>COUNTIF('Coder-4'!B:B,A77)</f>
        <v>0</v>
      </c>
    </row>
    <row r="78">
      <c r="A78" s="83">
        <v>1648.0</v>
      </c>
      <c r="B78" s="86" t="str">
        <f>IFERROR(__xludf.DUMMYFUNCTION("IF(ISBLANK(A78),,FILTER('Leetcode List'!B:C,'Leetcode List'!A:A = A78))"),"Sell Diminishing-Valued Colored Balls")</f>
        <v>Sell Diminishing-Valued Colored Balls</v>
      </c>
      <c r="C78" s="46" t="str">
        <f>IFERROR(__xludf.DUMMYFUNCTION("""COMPUTED_VALUE"""),"Medium")</f>
        <v>Medium</v>
      </c>
      <c r="D78" s="83" t="s">
        <v>502</v>
      </c>
      <c r="E78" s="87" t="str">
        <f>IFERROR(__xludf.DUMMYFUNCTION("IF(ISBLANK(A78),,FILTER('Leetcode List'!E:J,'Leetcode List'!A:A = A78))"),"Groupon,Amazon")</f>
        <v>Groupon,Amazon</v>
      </c>
      <c r="F78" s="47" t="str">
        <f>IFERROR(__xludf.DUMMYFUNCTION("""COMPUTED_VALUE"""),"Amazon")</f>
        <v>Amazon</v>
      </c>
      <c r="G78" s="47" t="str">
        <f>IFERROR(__xludf.DUMMYFUNCTION("""COMPUTED_VALUE"""),"Amazon")</f>
        <v>Amazon</v>
      </c>
      <c r="H78" s="47" t="str">
        <f>IFERROR(__xludf.DUMMYFUNCTION("""COMPUTED_VALUE"""),"Groupon,Amazon")</f>
        <v>Groupon,Amazon</v>
      </c>
      <c r="I78" s="47">
        <f>IFERROR(__xludf.DUMMYFUNCTION("""COMPUTED_VALUE"""),30.53)</f>
        <v>30.53</v>
      </c>
      <c r="J78" s="47" t="str">
        <f>IFERROR(__xludf.DUMMYFUNCTION("""COMPUTED_VALUE"""),"算法")</f>
        <v>算法</v>
      </c>
      <c r="K78" s="2" t="s">
        <v>4983</v>
      </c>
      <c r="L78" s="6">
        <f>COUNTIF('Coder-1'!B:B,A78)</f>
        <v>0</v>
      </c>
      <c r="M78" s="6">
        <f>COUNTIF('Coder-2'!B:B,A78)</f>
        <v>0</v>
      </c>
      <c r="N78" s="6">
        <f>COUNTIF('Coder-3'!B:B,A78)</f>
        <v>0</v>
      </c>
      <c r="O78" s="6">
        <f>COUNTIF('Coder-4'!B:B,A78)</f>
        <v>0</v>
      </c>
    </row>
    <row r="79">
      <c r="A79" s="83">
        <v>49.0</v>
      </c>
      <c r="B79" s="86" t="str">
        <f>IFERROR(__xludf.DUMMYFUNCTION("IF(ISBLANK(A79),,FILTER('Leetcode List'!B:C,'Leetcode List'!A:A = A79))"),"Group Anagrams")</f>
        <v>Group Anagrams</v>
      </c>
      <c r="C79" s="46" t="str">
        <f>IFERROR(__xludf.DUMMYFUNCTION("""COMPUTED_VALUE"""),"Medium")</f>
        <v>Medium</v>
      </c>
      <c r="D79" s="83" t="s">
        <v>284</v>
      </c>
      <c r="E79" s="87" t="str">
        <f>IFERROR(__xludf.DUMMYFUNCTION("IF(ISBLANK(A79),,FILTER('Leetcode List'!E:J,'Leetcode List'!A:A = A79))"),"Splunk,ByteDance,Intel,Citadel,Paypal,Expedia,Docusign,Electronic Arts,Hulu,Tesla,Nutanix,Qualtrics,Zulily,Twilio,Salesforce,Booking.com,Visa,VMware,Affirm,Walmart Labs,Snapchat,ServiceNow,Wish,Yelp,Oracle,Intuit,Cisco,Mathworks,Yandex,EBay,Apple,Uber,Yah"&amp;"oo,Bloomberg,Adobe,Facebook,Amazon,Microsoft,Goldman Sachs,Google")</f>
        <v>Splunk,ByteDance,Intel,Citadel,Paypal,Expedia,Docusign,Electronic Arts,Hulu,Tesla,Nutanix,Qualtrics,Zulily,Twilio,Salesforce,Booking.com,Visa,VMware,Affirm,Walmart Labs,Snapchat,ServiceNow,Wish,Yelp,Oracle,Intuit,Cisco,Mathworks,Yandex,EBay,Apple,Uber,Yahoo,Bloomberg,Adobe,Facebook,Amazon,Microsoft,Goldman Sachs,Google</v>
      </c>
      <c r="F79" s="47" t="str">
        <f>IFERROR(__xludf.DUMMYFUNCTION("""COMPUTED_VALUE"""),"Amazon,Goldman Sachs,Microsoft,Apple,Uber,VMware,eBay,Twilio,Oracle,Yandex,Expedia,Affirm,ByteDance,Bloomberg,Citadel,Cisco,Intel")</f>
        <v>Amazon,Goldman Sachs,Microsoft,Apple,Uber,VMware,eBay,Twilio,Oracle,Yandex,Expedia,Affirm,ByteDance,Bloomberg,Citadel,Cisco,Intel</v>
      </c>
      <c r="G79" s="47" t="str">
        <f>IFERROR(__xludf.DUMMYFUNCTION("""COMPUTED_VALUE"""),"Facebook,Google,Docusign,Mathworks,Adobe,Walmart Labs,Paypal,ServiceNow,Amazon,Goldman Sachs,Microsoft,Apple,Uber,VMware,eBay,Twilio,Oracle,Yandex,Expedia,Affirm,ByteDance,Bloomberg,Citadel,Cisco,Intel")</f>
        <v>Facebook,Google,Docusign,Mathworks,Adobe,Walmart Labs,Paypal,ServiceNow,Amazon,Goldman Sachs,Microsoft,Apple,Uber,VMware,eBay,Twilio,Oracle,Yandex,Expedia,Affirm,ByteDance,Bloomberg,Citadel,Cisco,Intel</v>
      </c>
      <c r="H79" s="47" t="str">
        <f>IFERROR(__xludf.DUMMYFUNCTION("""COMPUTED_VALUE"""),"Wish,Yahoo,Salesforce,Snapchat,Booking.com,Intuit,Tesla,Hulu,Visa,Splunk,Nutanix,Yelp,Facebook,Google,Docusign,Mathworks,Adobe,Walmart Labs,Paypal,ServiceNow,Amazon,Goldman Sachs,Microsoft,Apple,Uber,VMware,eBay,Twilio,Oracle,Yandex,Expedia,Affirm,ByteDan"&amp;"ce,Bloomberg,Citadel,Cisco,Intel")</f>
        <v>Wish,Yahoo,Salesforce,Snapchat,Booking.com,Intuit,Tesla,Hulu,Visa,Splunk,Nutanix,Yelp,Facebook,Google,Docusign,Mathworks,Adobe,Walmart Labs,Paypal,ServiceNow,Amazon,Goldman Sachs,Microsoft,Apple,Uber,VMware,eBay,Twilio,Oracle,Yandex,Expedia,Affirm,ByteDance,Bloomberg,Citadel,Cisco,Intel</v>
      </c>
      <c r="I79" s="47">
        <f>IFERROR(__xludf.DUMMYFUNCTION("""COMPUTED_VALUE"""),59.5)</f>
        <v>59.5</v>
      </c>
      <c r="J79" s="47" t="str">
        <f>IFERROR(__xludf.DUMMYFUNCTION("""COMPUTED_VALUE"""),"算法")</f>
        <v>算法</v>
      </c>
      <c r="L79" s="6">
        <f>COUNTIF('Coder-1'!B:B,A79)</f>
        <v>0</v>
      </c>
      <c r="M79" s="6">
        <f>COUNTIF('Coder-2'!B:B,A79)</f>
        <v>0</v>
      </c>
      <c r="N79" s="6">
        <f>COUNTIF('Coder-3'!B:B,A79)</f>
        <v>0</v>
      </c>
      <c r="O79" s="6">
        <f>COUNTIF('Coder-4'!B:B,A79)</f>
        <v>0</v>
      </c>
    </row>
    <row r="80">
      <c r="A80" s="83">
        <v>149.0</v>
      </c>
      <c r="B80" s="86" t="str">
        <f>IFERROR(__xludf.DUMMYFUNCTION("IF(ISBLANK(A80),,FILTER('Leetcode List'!B:C,'Leetcode List'!A:A = A80))"),"Max Points on a Line")</f>
        <v>Max Points on a Line</v>
      </c>
      <c r="C80" s="46" t="str">
        <f>IFERROR(__xludf.DUMMYFUNCTION("""COMPUTED_VALUE"""),"Hard")</f>
        <v>Hard</v>
      </c>
      <c r="D80" s="83" t="s">
        <v>284</v>
      </c>
      <c r="E80" s="87" t="str">
        <f>IFERROR(__xludf.DUMMYFUNCTION("IF(ISBLANK(A80),,FILTER('Leetcode List'!E:J,'Leetcode List'!A:A = A80))"),"Paypal,Yahoo,Adobe,TripAdvisor,Twitter,Apple,Uber,Bloomberg,Amazon,LinkedIn,Microsoft,Alibaba,Google")</f>
        <v>Paypal,Yahoo,Adobe,TripAdvisor,Twitter,Apple,Uber,Bloomberg,Amazon,LinkedIn,Microsoft,Alibaba,Google</v>
      </c>
      <c r="F80" s="47" t="str">
        <f>IFERROR(__xludf.DUMMYFUNCTION("""COMPUTED_VALUE"""),"Apple,Google,LinkedIn,Amazon,Paypal")</f>
        <v>Apple,Google,LinkedIn,Amazon,Paypal</v>
      </c>
      <c r="G80" s="47" t="str">
        <f>IFERROR(__xludf.DUMMYFUNCTION("""COMPUTED_VALUE"""),"Adobe,Microsoft,Uber,Apple,Google,LinkedIn,Amazon,Paypal")</f>
        <v>Adobe,Microsoft,Uber,Apple,Google,LinkedIn,Amazon,Paypal</v>
      </c>
      <c r="H80" s="47" t="str">
        <f>IFERROR(__xludf.DUMMYFUNCTION("""COMPUTED_VALUE"""),"Bloomberg,TripAdvisor,Yahoo,Twitter,Adobe,Microsoft,Uber,Apple,Google,LinkedIn,Amazon,Paypal")</f>
        <v>Bloomberg,TripAdvisor,Yahoo,Twitter,Adobe,Microsoft,Uber,Apple,Google,LinkedIn,Amazon,Paypal</v>
      </c>
      <c r="I80" s="47">
        <f>IFERROR(__xludf.DUMMYFUNCTION("""COMPUTED_VALUE"""),17.51)</f>
        <v>17.51</v>
      </c>
      <c r="J80" s="47" t="str">
        <f>IFERROR(__xludf.DUMMYFUNCTION("""COMPUTED_VALUE"""),"算法")</f>
        <v>算法</v>
      </c>
      <c r="L80" s="6">
        <f>COUNTIF('Coder-1'!B:B,A80)</f>
        <v>0</v>
      </c>
      <c r="M80" s="6">
        <f>COUNTIF('Coder-2'!B:B,A80)</f>
        <v>0</v>
      </c>
      <c r="N80" s="6">
        <f>COUNTIF('Coder-3'!B:B,A80)</f>
        <v>0</v>
      </c>
      <c r="O80" s="6">
        <f>COUNTIF('Coder-4'!B:B,A80)</f>
        <v>0</v>
      </c>
    </row>
    <row r="81">
      <c r="A81" s="83">
        <v>166.0</v>
      </c>
      <c r="B81" s="86" t="str">
        <f>IFERROR(__xludf.DUMMYFUNCTION("IF(ISBLANK(A81),,FILTER('Leetcode List'!B:C,'Leetcode List'!A:A = A81))"),"Fraction to Recurring Decimal")</f>
        <v>Fraction to Recurring Decimal</v>
      </c>
      <c r="C81" s="46" t="str">
        <f>IFERROR(__xludf.DUMMYFUNCTION("""COMPUTED_VALUE"""),"Medium")</f>
        <v>Medium</v>
      </c>
      <c r="D81" s="83" t="s">
        <v>284</v>
      </c>
      <c r="E81" s="87" t="str">
        <f>IFERROR(__xludf.DUMMYFUNCTION("IF(ISBLANK(A81),,FILTER('Leetcode List'!E:J,'Leetcode List'!A:A = A81))"),"ByteDance,Oracle,Apple,Microsoft,Cohesity,IXL,Rubrik,Airbnb,Uber,Tencent,Facebook,Amazon,Goldman Sachs,Google")</f>
        <v>ByteDance,Oracle,Apple,Microsoft,Cohesity,IXL,Rubrik,Airbnb,Uber,Tencent,Facebook,Amazon,Goldman Sachs,Google</v>
      </c>
      <c r="F81" s="47" t="str">
        <f>IFERROR(__xludf.DUMMYFUNCTION("""COMPUTED_VALUE"""),"Goldman Sachs,Facebook")</f>
        <v>Goldman Sachs,Facebook</v>
      </c>
      <c r="G81" s="47" t="str">
        <f>IFERROR(__xludf.DUMMYFUNCTION("""COMPUTED_VALUE"""),"IXL,Google,ByteDance,Goldman Sachs,Facebook")</f>
        <v>IXL,Google,ByteDance,Goldman Sachs,Facebook</v>
      </c>
      <c r="H81" s="47" t="str">
        <f>IFERROR(__xludf.DUMMYFUNCTION("""COMPUTED_VALUE"""),"Airbnb,Uber,Amazon,Rubrik,Oracle,Apple,Microsoft,IXL,Google,ByteDance,Goldman Sachs,Facebook")</f>
        <v>Airbnb,Uber,Amazon,Rubrik,Oracle,Apple,Microsoft,IXL,Google,ByteDance,Goldman Sachs,Facebook</v>
      </c>
      <c r="I81" s="47">
        <f>IFERROR(__xludf.DUMMYFUNCTION("""COMPUTED_VALUE"""),22.35)</f>
        <v>22.35</v>
      </c>
      <c r="J81" s="47" t="str">
        <f>IFERROR(__xludf.DUMMYFUNCTION("""COMPUTED_VALUE"""),"算法")</f>
        <v>算法</v>
      </c>
      <c r="L81" s="6">
        <f>COUNTIF('Coder-1'!B:B,A81)</f>
        <v>0</v>
      </c>
      <c r="M81" s="6">
        <f>COUNTIF('Coder-2'!B:B,A81)</f>
        <v>0</v>
      </c>
      <c r="N81" s="6">
        <f>COUNTIF('Coder-3'!B:B,A81)</f>
        <v>0</v>
      </c>
      <c r="O81" s="6">
        <f>COUNTIF('Coder-4'!B:B,A81)</f>
        <v>0</v>
      </c>
    </row>
    <row r="82">
      <c r="A82" s="83">
        <v>170.0</v>
      </c>
      <c r="B82" s="86" t="str">
        <f>IFERROR(__xludf.DUMMYFUNCTION("IF(ISBLANK(A82),,FILTER('Leetcode List'!B:C,'Leetcode List'!A:A = A82))"),"Two Sum III - Data structure design")</f>
        <v>Two Sum III - Data structure design</v>
      </c>
      <c r="C82" s="46" t="str">
        <f>IFERROR(__xludf.DUMMYFUNCTION("""COMPUTED_VALUE"""),"Easy")</f>
        <v>Easy</v>
      </c>
      <c r="D82" s="83" t="s">
        <v>284</v>
      </c>
      <c r="E82" s="87" t="str">
        <f>IFERROR(__xludf.DUMMYFUNCTION("IF(ISBLANK(A82),,FILTER('Leetcode List'!E:J,'Leetcode List'!A:A = A82))"),"Facebook,LinkedIn")</f>
        <v>Facebook,LinkedIn</v>
      </c>
      <c r="F82" s="47"/>
      <c r="G82" s="47"/>
      <c r="H82" s="47" t="str">
        <f>IFERROR(__xludf.DUMMYFUNCTION("""COMPUTED_VALUE"""),"LinkedIn")</f>
        <v>LinkedIn</v>
      </c>
      <c r="I82" s="47">
        <f>IFERROR(__xludf.DUMMYFUNCTION("""COMPUTED_VALUE"""),34.95)</f>
        <v>34.95</v>
      </c>
      <c r="J82" s="47" t="str">
        <f>IFERROR(__xludf.DUMMYFUNCTION("""COMPUTED_VALUE"""),"算法")</f>
        <v>算法</v>
      </c>
      <c r="L82" s="6">
        <f>COUNTIF('Coder-1'!B:B,A82)</f>
        <v>0</v>
      </c>
      <c r="M82" s="6">
        <f>COUNTIF('Coder-2'!B:B,A82)</f>
        <v>0</v>
      </c>
      <c r="N82" s="6">
        <f>COUNTIF('Coder-3'!B:B,A82)</f>
        <v>0</v>
      </c>
      <c r="O82" s="6">
        <f>COUNTIF('Coder-4'!B:B,A82)</f>
        <v>0</v>
      </c>
    </row>
    <row r="83">
      <c r="A83" s="83">
        <v>392.0</v>
      </c>
      <c r="B83" s="86" t="str">
        <f>IFERROR(__xludf.DUMMYFUNCTION("IF(ISBLANK(A83),,FILTER('Leetcode List'!B:C,'Leetcode List'!A:A = A83))"),"Is Subsequence")</f>
        <v>Is Subsequence</v>
      </c>
      <c r="C83" s="46" t="str">
        <f>IFERROR(__xludf.DUMMYFUNCTION("""COMPUTED_VALUE"""),"Easy")</f>
        <v>Easy</v>
      </c>
      <c r="D83" s="83" t="s">
        <v>284</v>
      </c>
      <c r="E83" s="87" t="str">
        <f>IFERROR(__xludf.DUMMYFUNCTION("IF(ISBLANK(A83),,FILTER('Leetcode List'!E:J,'Leetcode List'!A:A = A83))"),"Yandex,Adobe,Microsoft,Pinterest,Coursera,Bloomberg,Facebook,Amazon,Google")</f>
        <v>Yandex,Adobe,Microsoft,Pinterest,Coursera,Bloomberg,Facebook,Amazon,Google</v>
      </c>
      <c r="F83" s="47" t="str">
        <f>IFERROR(__xludf.DUMMYFUNCTION("""COMPUTED_VALUE"""),"Facebook,Adobe,Bloomberg")</f>
        <v>Facebook,Adobe,Bloomberg</v>
      </c>
      <c r="G83" s="47" t="str">
        <f>IFERROR(__xludf.DUMMYFUNCTION("""COMPUTED_VALUE"""),"Google,Microsoft,Yandex,Facebook,Adobe,Bloomberg")</f>
        <v>Google,Microsoft,Yandex,Facebook,Adobe,Bloomberg</v>
      </c>
      <c r="H83" s="47" t="str">
        <f>IFERROR(__xludf.DUMMYFUNCTION("""COMPUTED_VALUE"""),"Amazon,Pinterest,Google,Microsoft,Yandex,Facebook,Adobe,Bloomberg")</f>
        <v>Amazon,Pinterest,Google,Microsoft,Yandex,Facebook,Adobe,Bloomberg</v>
      </c>
      <c r="I83" s="47">
        <f>IFERROR(__xludf.DUMMYFUNCTION("""COMPUTED_VALUE"""),49.48)</f>
        <v>49.48</v>
      </c>
      <c r="J83" s="47" t="str">
        <f>IFERROR(__xludf.DUMMYFUNCTION("""COMPUTED_VALUE"""),"算法")</f>
        <v>算法</v>
      </c>
      <c r="L83" s="6">
        <f>COUNTIF('Coder-1'!B:B,A83)</f>
        <v>0</v>
      </c>
      <c r="M83" s="6">
        <f>COUNTIF('Coder-2'!B:B,A83)</f>
        <v>0</v>
      </c>
      <c r="N83" s="6">
        <f>COUNTIF('Coder-3'!B:B,A83)</f>
        <v>0</v>
      </c>
      <c r="O83" s="6">
        <f>COUNTIF('Coder-4'!B:B,A83)</f>
        <v>0</v>
      </c>
    </row>
    <row r="84">
      <c r="A84" s="83">
        <v>204.0</v>
      </c>
      <c r="B84" s="86" t="str">
        <f>IFERROR(__xludf.DUMMYFUNCTION("IF(ISBLANK(A84),,FILTER('Leetcode List'!B:C,'Leetcode List'!A:A = A84))"),"Count Primes")</f>
        <v>Count Primes</v>
      </c>
      <c r="C84" s="46" t="str">
        <f>IFERROR(__xludf.DUMMYFUNCTION("""COMPUTED_VALUE"""),"Easy")</f>
        <v>Easy</v>
      </c>
      <c r="D84" s="83" t="s">
        <v>284</v>
      </c>
      <c r="E84" s="87" t="str">
        <f>IFERROR(__xludf.DUMMYFUNCTION("IF(ISBLANK(A84),,FILTER('Leetcode List'!E:J,'Leetcode List'!A:A = A84))"),"Docusign,Tcs,Citadel,Spotify,Uber,Capital One,Intel,Oracle,Yandex,EBay,Apple,Yahoo,Bloomberg,Adobe,Facebook,Amazon,Microsoft,Goldman Sachs,Google")</f>
        <v>Docusign,Tcs,Citadel,Spotify,Uber,Capital One,Intel,Oracle,Yandex,EBay,Apple,Yahoo,Bloomberg,Adobe,Facebook,Amazon,Microsoft,Goldman Sachs,Google</v>
      </c>
      <c r="F84" s="47" t="str">
        <f>IFERROR(__xludf.DUMMYFUNCTION("""COMPUTED_VALUE"""),"Capital One,Amazon,Apple,Microsoft")</f>
        <v>Capital One,Amazon,Apple,Microsoft</v>
      </c>
      <c r="G84" s="47" t="str">
        <f>IFERROR(__xludf.DUMMYFUNCTION("""COMPUTED_VALUE"""),"Google,Oracle,Adobe,Capital One,Amazon,Apple,Microsoft")</f>
        <v>Google,Oracle,Adobe,Capital One,Amazon,Apple,Microsoft</v>
      </c>
      <c r="H84" s="47" t="str">
        <f>IFERROR(__xludf.DUMMYFUNCTION("""COMPUTED_VALUE"""),"Facebook,Goldman Sachs,Uber,Bloomberg,eBay,Citadel,Intel,Spotify,Docusign,tcs,Google,Oracle,Adobe,Capital One,Amazon,Apple,Microsoft")</f>
        <v>Facebook,Goldman Sachs,Uber,Bloomberg,eBay,Citadel,Intel,Spotify,Docusign,tcs,Google,Oracle,Adobe,Capital One,Amazon,Apple,Microsoft</v>
      </c>
      <c r="I84" s="47">
        <f>IFERROR(__xludf.DUMMYFUNCTION("""COMPUTED_VALUE"""),32.29)</f>
        <v>32.29</v>
      </c>
      <c r="J84" s="47" t="str">
        <f>IFERROR(__xludf.DUMMYFUNCTION("""COMPUTED_VALUE"""),"算法")</f>
        <v>算法</v>
      </c>
      <c r="L84" s="6">
        <f>COUNTIF('Coder-1'!B:B,A84)</f>
        <v>0</v>
      </c>
      <c r="M84" s="6">
        <f>COUNTIF('Coder-2'!B:B,A84)</f>
        <v>0</v>
      </c>
      <c r="N84" s="6">
        <f>COUNTIF('Coder-3'!B:B,A84)</f>
        <v>0</v>
      </c>
      <c r="O84" s="6">
        <f>COUNTIF('Coder-4'!B:B,A84)</f>
        <v>0</v>
      </c>
    </row>
    <row r="85">
      <c r="A85" s="83">
        <v>274.0</v>
      </c>
      <c r="B85" s="86" t="str">
        <f>IFERROR(__xludf.DUMMYFUNCTION("IF(ISBLANK(A85),,FILTER('Leetcode List'!B:C,'Leetcode List'!A:A = A85))"),"H-Index")</f>
        <v>H-Index</v>
      </c>
      <c r="C85" s="46" t="str">
        <f>IFERROR(__xludf.DUMMYFUNCTION("""COMPUTED_VALUE"""),"Medium")</f>
        <v>Medium</v>
      </c>
      <c r="D85" s="83" t="s">
        <v>284</v>
      </c>
      <c r="E85" s="87" t="str">
        <f>IFERROR(__xludf.DUMMYFUNCTION("IF(ISBLANK(A85),,FILTER('Leetcode List'!E:J,'Leetcode List'!A:A = A85))"),"Walmart Labs,Nvidia,Amazon,Goldman Sachs,TripAdvisor,Yahoo,Bloomberg,Adobe,Facebook,Google")</f>
        <v>Walmart Labs,Nvidia,Amazon,Goldman Sachs,TripAdvisor,Yahoo,Bloomberg,Adobe,Facebook,Google</v>
      </c>
      <c r="F85" s="47" t="str">
        <f>IFERROR(__xludf.DUMMYFUNCTION("""COMPUTED_VALUE"""),"Nvidia,Goldman Sachs")</f>
        <v>Nvidia,Goldman Sachs</v>
      </c>
      <c r="G85" s="47" t="str">
        <f>IFERROR(__xludf.DUMMYFUNCTION("""COMPUTED_VALUE"""),"Google,Nvidia,Goldman Sachs")</f>
        <v>Google,Nvidia,Goldman Sachs</v>
      </c>
      <c r="H85" s="47" t="str">
        <f>IFERROR(__xludf.DUMMYFUNCTION("""COMPUTED_VALUE"""),"Adobe,TripAdvisor,Amazon,Facebook,Bloomberg,Walmart Labs,Google,Nvidia,Goldman Sachs")</f>
        <v>Adobe,TripAdvisor,Amazon,Facebook,Bloomberg,Walmart Labs,Google,Nvidia,Goldman Sachs</v>
      </c>
      <c r="I85" s="47">
        <f>IFERROR(__xludf.DUMMYFUNCTION("""COMPUTED_VALUE"""),36.37)</f>
        <v>36.37</v>
      </c>
      <c r="J85" s="47" t="str">
        <f>IFERROR(__xludf.DUMMYFUNCTION("""COMPUTED_VALUE"""),"算法")</f>
        <v>算法</v>
      </c>
      <c r="L85" s="6">
        <f>COUNTIF('Coder-1'!B:B,A85)</f>
        <v>0</v>
      </c>
      <c r="M85" s="6">
        <f>COUNTIF('Coder-2'!B:B,A85)</f>
        <v>0</v>
      </c>
      <c r="N85" s="6">
        <f>COUNTIF('Coder-3'!B:B,A85)</f>
        <v>0</v>
      </c>
      <c r="O85" s="6">
        <f>COUNTIF('Coder-4'!B:B,A85)</f>
        <v>0</v>
      </c>
    </row>
    <row r="86">
      <c r="A86" s="83">
        <v>325.0</v>
      </c>
      <c r="B86" s="86" t="str">
        <f>IFERROR(__xludf.DUMMYFUNCTION("IF(ISBLANK(A86),,FILTER('Leetcode List'!B:C,'Leetcode List'!A:A = A86))"),"Maximum Size Subarray Sum Equals k")</f>
        <v>Maximum Size Subarray Sum Equals k</v>
      </c>
      <c r="C86" s="46" t="str">
        <f>IFERROR(__xludf.DUMMYFUNCTION("""COMPUTED_VALUE"""),"Medium")</f>
        <v>Medium</v>
      </c>
      <c r="D86" s="83" t="s">
        <v>284</v>
      </c>
      <c r="E86" s="87" t="str">
        <f>IFERROR(__xludf.DUMMYFUNCTION("IF(ISBLANK(A86),,FILTER('Leetcode List'!E:J,'Leetcode List'!A:A = A86))"),"Palantir Technologies,Facebook,Amazon,Microsoft,Google")</f>
        <v>Palantir Technologies,Facebook,Amazon,Microsoft,Google</v>
      </c>
      <c r="F86" s="47" t="str">
        <f>IFERROR(__xludf.DUMMYFUNCTION("""COMPUTED_VALUE"""),"Facebook,Microsoft")</f>
        <v>Facebook,Microsoft</v>
      </c>
      <c r="G86" s="47" t="str">
        <f>IFERROR(__xludf.DUMMYFUNCTION("""COMPUTED_VALUE"""),"Google,Amazon,Facebook,Microsoft")</f>
        <v>Google,Amazon,Facebook,Microsoft</v>
      </c>
      <c r="H86" s="47" t="str">
        <f>IFERROR(__xludf.DUMMYFUNCTION("""COMPUTED_VALUE"""),"Palantir Technologies,Google,Amazon,Facebook,Microsoft")</f>
        <v>Palantir Technologies,Google,Amazon,Facebook,Microsoft</v>
      </c>
      <c r="I86" s="47">
        <f>IFERROR(__xludf.DUMMYFUNCTION("""COMPUTED_VALUE"""),47.47)</f>
        <v>47.47</v>
      </c>
      <c r="J86" s="47" t="str">
        <f>IFERROR(__xludf.DUMMYFUNCTION("""COMPUTED_VALUE"""),"算法")</f>
        <v>算法</v>
      </c>
      <c r="L86" s="6">
        <f>COUNTIF('Coder-1'!B:B,A86)</f>
        <v>0</v>
      </c>
      <c r="M86" s="6">
        <f>COUNTIF('Coder-2'!B:B,A86)</f>
        <v>0</v>
      </c>
      <c r="N86" s="6">
        <f>COUNTIF('Coder-3'!B:B,A86)</f>
        <v>0</v>
      </c>
      <c r="O86" s="6">
        <f>COUNTIF('Coder-4'!B:B,A86)</f>
        <v>0</v>
      </c>
    </row>
    <row r="87">
      <c r="A87" s="83">
        <v>409.0</v>
      </c>
      <c r="B87" s="86" t="str">
        <f>IFERROR(__xludf.DUMMYFUNCTION("IF(ISBLANK(A87),,FILTER('Leetcode List'!B:C,'Leetcode List'!A:A = A87))"),"Longest Palindrome")</f>
        <v>Longest Palindrome</v>
      </c>
      <c r="C87" s="46" t="str">
        <f>IFERROR(__xludf.DUMMYFUNCTION("""COMPUTED_VALUE"""),"Easy")</f>
        <v>Easy</v>
      </c>
      <c r="D87" s="83" t="s">
        <v>284</v>
      </c>
      <c r="E87" s="87" t="str">
        <f>IFERROR(__xludf.DUMMYFUNCTION("IF(ISBLANK(A87),,FILTER('Leetcode List'!E:J,'Leetcode List'!A:A = A87))"),"Lyft,Bloomberg,Microsoft,Intuit,Amazon,Google")</f>
        <v>Lyft,Bloomberg,Microsoft,Intuit,Amazon,Google</v>
      </c>
      <c r="F87" s="47"/>
      <c r="G87" s="47" t="str">
        <f>IFERROR(__xludf.DUMMYFUNCTION("""COMPUTED_VALUE"""),"Lyft,Amazon,Google")</f>
        <v>Lyft,Amazon,Google</v>
      </c>
      <c r="H87" s="47" t="str">
        <f>IFERROR(__xludf.DUMMYFUNCTION("""COMPUTED_VALUE"""),"Intuit,Microsoft,Bloomberg,Lyft,Amazon,Google")</f>
        <v>Intuit,Microsoft,Bloomberg,Lyft,Amazon,Google</v>
      </c>
      <c r="I87" s="47">
        <f>IFERROR(__xludf.DUMMYFUNCTION("""COMPUTED_VALUE"""),52.24)</f>
        <v>52.24</v>
      </c>
      <c r="J87" s="47" t="str">
        <f>IFERROR(__xludf.DUMMYFUNCTION("""COMPUTED_VALUE"""),"算法")</f>
        <v>算法</v>
      </c>
      <c r="L87" s="6">
        <f>COUNTIF('Coder-1'!B:B,A87)</f>
        <v>0</v>
      </c>
      <c r="M87" s="6">
        <f>COUNTIF('Coder-2'!B:B,A87)</f>
        <v>0</v>
      </c>
      <c r="N87" s="6">
        <f>COUNTIF('Coder-3'!B:B,A87)</f>
        <v>0</v>
      </c>
      <c r="O87" s="6">
        <f>COUNTIF('Coder-4'!B:B,A87)</f>
        <v>0</v>
      </c>
    </row>
    <row r="88">
      <c r="A88" s="83">
        <v>447.0</v>
      </c>
      <c r="B88" s="86" t="str">
        <f>IFERROR(__xludf.DUMMYFUNCTION("IF(ISBLANK(A88),,FILTER('Leetcode List'!B:C,'Leetcode List'!A:A = A88))"),"Number of Boomerangs")</f>
        <v>Number of Boomerangs</v>
      </c>
      <c r="C88" s="46" t="str">
        <f>IFERROR(__xludf.DUMMYFUNCTION("""COMPUTED_VALUE"""),"Medium")</f>
        <v>Medium</v>
      </c>
      <c r="D88" s="83" t="s">
        <v>284</v>
      </c>
      <c r="E88" s="87" t="str">
        <f>IFERROR(__xludf.DUMMYFUNCTION("IF(ISBLANK(A88),,FILTER('Leetcode List'!E:J,'Leetcode List'!A:A = A88))"),"Google")</f>
        <v>Google</v>
      </c>
      <c r="F88" s="47"/>
      <c r="G88" s="47"/>
      <c r="H88" s="47" t="str">
        <f>IFERROR(__xludf.DUMMYFUNCTION("""COMPUTED_VALUE"""),"Google")</f>
        <v>Google</v>
      </c>
      <c r="I88" s="47">
        <f>IFERROR(__xludf.DUMMYFUNCTION("""COMPUTED_VALUE"""),52.48)</f>
        <v>52.48</v>
      </c>
      <c r="J88" s="47" t="str">
        <f>IFERROR(__xludf.DUMMYFUNCTION("""COMPUTED_VALUE"""),"算法")</f>
        <v>算法</v>
      </c>
      <c r="L88" s="6">
        <f>COUNTIF('Coder-1'!B:B,A88)</f>
        <v>0</v>
      </c>
      <c r="M88" s="6">
        <f>COUNTIF('Coder-2'!B:B,A88)</f>
        <v>0</v>
      </c>
      <c r="N88" s="6">
        <f>COUNTIF('Coder-3'!B:B,A88)</f>
        <v>0</v>
      </c>
      <c r="O88" s="6">
        <f>COUNTIF('Coder-4'!B:B,A88)</f>
        <v>0</v>
      </c>
    </row>
    <row r="89">
      <c r="A89" s="83">
        <v>438.0</v>
      </c>
      <c r="B89" s="86" t="str">
        <f>IFERROR(__xludf.DUMMYFUNCTION("IF(ISBLANK(A89),,FILTER('Leetcode List'!B:C,'Leetcode List'!A:A = A89))"),"Find All Anagrams in a String")</f>
        <v>Find All Anagrams in a String</v>
      </c>
      <c r="C89" s="46" t="str">
        <f>IFERROR(__xludf.DUMMYFUNCTION("""COMPUTED_VALUE"""),"Medium")</f>
        <v>Medium</v>
      </c>
      <c r="D89" s="83" t="s">
        <v>284</v>
      </c>
      <c r="E89" s="87" t="str">
        <f>IFERROR(__xludf.DUMMYFUNCTION("IF(ISBLANK(A89),,FILTER('Leetcode List'!E:J,'Leetcode List'!A:A = A89))"),"Snapchat,ServiceNow,Apple,Robinhood,Oracle,Uber,Bloomberg,Facebook,Amazon,Microsoft,Goldman Sachs,Google")</f>
        <v>Snapchat,ServiceNow,Apple,Robinhood,Oracle,Uber,Bloomberg,Facebook,Amazon,Microsoft,Goldman Sachs,Google</v>
      </c>
      <c r="F89" s="47" t="str">
        <f>IFERROR(__xludf.DUMMYFUNCTION("""COMPUTED_VALUE"""),"Facebook,Amazon,Bloomberg,Microsoft,Snapchat,Apple")</f>
        <v>Facebook,Amazon,Bloomberg,Microsoft,Snapchat,Apple</v>
      </c>
      <c r="G89" s="47" t="str">
        <f>IFERROR(__xludf.DUMMYFUNCTION("""COMPUTED_VALUE"""),"Google,Uber,Oracle,ServiceNow,Facebook,Amazon,Bloomberg,Microsoft,Snapchat,Apple")</f>
        <v>Google,Uber,Oracle,ServiceNow,Facebook,Amazon,Bloomberg,Microsoft,Snapchat,Apple</v>
      </c>
      <c r="H89" s="47" t="str">
        <f>IFERROR(__xludf.DUMMYFUNCTION("""COMPUTED_VALUE"""),"Robinhood,Google,Uber,Oracle,ServiceNow,Facebook,Amazon,Bloomberg,Microsoft,Snapchat,Apple")</f>
        <v>Robinhood,Google,Uber,Oracle,ServiceNow,Facebook,Amazon,Bloomberg,Microsoft,Snapchat,Apple</v>
      </c>
      <c r="I89" s="47">
        <f>IFERROR(__xludf.DUMMYFUNCTION("""COMPUTED_VALUE"""),45.07)</f>
        <v>45.07</v>
      </c>
      <c r="J89" s="47" t="str">
        <f>IFERROR(__xludf.DUMMYFUNCTION("""COMPUTED_VALUE"""),"算法")</f>
        <v>算法</v>
      </c>
      <c r="L89" s="6">
        <f>COUNTIF('Coder-1'!B:B,A89)</f>
        <v>0</v>
      </c>
      <c r="M89" s="6">
        <f>COUNTIF('Coder-2'!B:B,A89)</f>
        <v>0</v>
      </c>
      <c r="N89" s="6">
        <f>COUNTIF('Coder-3'!B:B,A89)</f>
        <v>0</v>
      </c>
      <c r="O89" s="6">
        <f>COUNTIF('Coder-4'!B:B,A89)</f>
        <v>0</v>
      </c>
    </row>
    <row r="90">
      <c r="A90" s="83">
        <v>525.0</v>
      </c>
      <c r="B90" s="86" t="str">
        <f>IFERROR(__xludf.DUMMYFUNCTION("IF(ISBLANK(A90),,FILTER('Leetcode List'!B:C,'Leetcode List'!A:A = A90))"),"Contiguous Array")</f>
        <v>Contiguous Array</v>
      </c>
      <c r="C90" s="46" t="str">
        <f>IFERROR(__xludf.DUMMYFUNCTION("""COMPUTED_VALUE"""),"Medium")</f>
        <v>Medium</v>
      </c>
      <c r="D90" s="83" t="s">
        <v>284</v>
      </c>
      <c r="E90" s="87" t="str">
        <f>IFERROR(__xludf.DUMMYFUNCTION("IF(ISBLANK(A90),,FILTER('Leetcode List'!E:J,'Leetcode List'!A:A = A90))"),"Robinhood,VMware,Quora,Apple,Adobe,Facebook,Amazon,Microsoft,Google")</f>
        <v>Robinhood,VMware,Quora,Apple,Adobe,Facebook,Amazon,Microsoft,Google</v>
      </c>
      <c r="F90" s="47" t="str">
        <f>IFERROR(__xludf.DUMMYFUNCTION("""COMPUTED_VALUE"""),"Facebook,Amazon")</f>
        <v>Facebook,Amazon</v>
      </c>
      <c r="G90" s="47" t="str">
        <f>IFERROR(__xludf.DUMMYFUNCTION("""COMPUTED_VALUE"""),"Google,Adobe,Apple,Facebook,Amazon")</f>
        <v>Google,Adobe,Apple,Facebook,Amazon</v>
      </c>
      <c r="H90" s="47" t="str">
        <f>IFERROR(__xludf.DUMMYFUNCTION("""COMPUTED_VALUE"""),"Quora,Robinhood,Google,Adobe,Apple,Facebook,Amazon")</f>
        <v>Quora,Robinhood,Google,Adobe,Apple,Facebook,Amazon</v>
      </c>
      <c r="I90" s="47">
        <f>IFERROR(__xludf.DUMMYFUNCTION("""COMPUTED_VALUE"""),43.53)</f>
        <v>43.53</v>
      </c>
      <c r="J90" s="47" t="str">
        <f>IFERROR(__xludf.DUMMYFUNCTION("""COMPUTED_VALUE"""),"算法")</f>
        <v>算法</v>
      </c>
      <c r="L90" s="6">
        <f>COUNTIF('Coder-1'!B:B,A90)</f>
        <v>0</v>
      </c>
      <c r="M90" s="6">
        <f>COUNTIF('Coder-2'!B:B,A90)</f>
        <v>0</v>
      </c>
      <c r="N90" s="6">
        <f>COUNTIF('Coder-3'!B:B,A90)</f>
        <v>0</v>
      </c>
      <c r="O90" s="6">
        <f>COUNTIF('Coder-4'!B:B,A90)</f>
        <v>0</v>
      </c>
    </row>
    <row r="91">
      <c r="A91" s="83">
        <v>356.0</v>
      </c>
      <c r="B91" s="86" t="str">
        <f>IFERROR(__xludf.DUMMYFUNCTION("IF(ISBLANK(A91),,FILTER('Leetcode List'!B:C,'Leetcode List'!A:A = A91))"),"Line Reflection")</f>
        <v>Line Reflection</v>
      </c>
      <c r="C91" s="46" t="str">
        <f>IFERROR(__xludf.DUMMYFUNCTION("""COMPUTED_VALUE"""),"Medium")</f>
        <v>Medium</v>
      </c>
      <c r="D91" s="83" t="s">
        <v>284</v>
      </c>
      <c r="E91" s="87" t="str">
        <f>IFERROR(__xludf.DUMMYFUNCTION("IF(ISBLANK(A91),,FILTER('Leetcode List'!E:J,'Leetcode List'!A:A = A91))"),"Yandex,Amazon,Google")</f>
        <v>Yandex,Amazon,Google</v>
      </c>
      <c r="F91" s="47" t="str">
        <f>IFERROR(__xludf.DUMMYFUNCTION("""COMPUTED_VALUE"""),"Yandex")</f>
        <v>Yandex</v>
      </c>
      <c r="G91" s="47" t="str">
        <f>IFERROR(__xludf.DUMMYFUNCTION("""COMPUTED_VALUE"""),"Amazon,Yandex")</f>
        <v>Amazon,Yandex</v>
      </c>
      <c r="H91" s="47" t="str">
        <f>IFERROR(__xludf.DUMMYFUNCTION("""COMPUTED_VALUE"""),"Google,Amazon,Yandex")</f>
        <v>Google,Amazon,Yandex</v>
      </c>
      <c r="I91" s="47">
        <f>IFERROR(__xludf.DUMMYFUNCTION("""COMPUTED_VALUE"""),32.98)</f>
        <v>32.98</v>
      </c>
      <c r="J91" s="47" t="str">
        <f>IFERROR(__xludf.DUMMYFUNCTION("""COMPUTED_VALUE"""),"算法")</f>
        <v>算法</v>
      </c>
      <c r="L91" s="6">
        <f>COUNTIF('Coder-1'!B:B,A91)</f>
        <v>0</v>
      </c>
      <c r="M91" s="6">
        <f>COUNTIF('Coder-2'!B:B,A91)</f>
        <v>0</v>
      </c>
      <c r="N91" s="6">
        <f>COUNTIF('Coder-3'!B:B,A91)</f>
        <v>0</v>
      </c>
      <c r="O91" s="6">
        <f>COUNTIF('Coder-4'!B:B,A91)</f>
        <v>0</v>
      </c>
    </row>
    <row r="92">
      <c r="A92" s="83">
        <v>594.0</v>
      </c>
      <c r="B92" s="86" t="str">
        <f>IFERROR(__xludf.DUMMYFUNCTION("IF(ISBLANK(A92),,FILTER('Leetcode List'!B:C,'Leetcode List'!A:A = A92))"),"Longest Harmonious Subsequence")</f>
        <v>Longest Harmonious Subsequence</v>
      </c>
      <c r="C92" s="46" t="str">
        <f>IFERROR(__xludf.DUMMYFUNCTION("""COMPUTED_VALUE"""),"Easy")</f>
        <v>Easy</v>
      </c>
      <c r="D92" s="83" t="s">
        <v>284</v>
      </c>
      <c r="E92" s="87" t="str">
        <f>IFERROR(__xludf.DUMMYFUNCTION("IF(ISBLANK(A92),,FILTER('Leetcode List'!E:J,'Leetcode List'!A:A = A92))"),"LiveRamp,Apple")</f>
        <v>LiveRamp,Apple</v>
      </c>
      <c r="F92" s="47"/>
      <c r="G92" s="47"/>
      <c r="H92" s="47" t="str">
        <f>IFERROR(__xludf.DUMMYFUNCTION("""COMPUTED_VALUE"""),"Apple,LiveRamp")</f>
        <v>Apple,LiveRamp</v>
      </c>
      <c r="I92" s="47">
        <f>IFERROR(__xludf.DUMMYFUNCTION("""COMPUTED_VALUE"""),51.21)</f>
        <v>51.21</v>
      </c>
      <c r="J92" s="47" t="str">
        <f>IFERROR(__xludf.DUMMYFUNCTION("""COMPUTED_VALUE"""),"算法")</f>
        <v>算法</v>
      </c>
      <c r="L92" s="6">
        <f>COUNTIF('Coder-1'!B:B,A92)</f>
        <v>0</v>
      </c>
      <c r="M92" s="6">
        <f>COUNTIF('Coder-2'!B:B,A92)</f>
        <v>0</v>
      </c>
      <c r="N92" s="6">
        <f>COUNTIF('Coder-3'!B:B,A92)</f>
        <v>0</v>
      </c>
      <c r="O92" s="6">
        <f>COUNTIF('Coder-4'!B:B,A92)</f>
        <v>0</v>
      </c>
    </row>
    <row r="93">
      <c r="A93" s="83">
        <v>532.0</v>
      </c>
      <c r="B93" s="86" t="str">
        <f>IFERROR(__xludf.DUMMYFUNCTION("IF(ISBLANK(A93),,FILTER('Leetcode List'!B:C,'Leetcode List'!A:A = A93))"),"K-diff Pairs in an Array")</f>
        <v>K-diff Pairs in an Array</v>
      </c>
      <c r="C93" s="46" t="str">
        <f>IFERROR(__xludf.DUMMYFUNCTION("""COMPUTED_VALUE"""),"Medium")</f>
        <v>Medium</v>
      </c>
      <c r="D93" s="83" t="s">
        <v>284</v>
      </c>
      <c r="E93" s="87" t="str">
        <f>IFERROR(__xludf.DUMMYFUNCTION("IF(ISBLANK(A93),,FILTER('Leetcode List'!E:J,'Leetcode List'!A:A = A93))"),"VMware,Expedia,Nvidia,Citrix,Goldman Sachs,Twilio,Salesforce,Paypal,Twitter,Oracle,Bloomberg,Amazon,Microsoft")</f>
        <v>VMware,Expedia,Nvidia,Citrix,Goldman Sachs,Twilio,Salesforce,Paypal,Twitter,Oracle,Bloomberg,Amazon,Microsoft</v>
      </c>
      <c r="F93" s="47" t="str">
        <f>IFERROR(__xludf.DUMMYFUNCTION("""COMPUTED_VALUE"""),"Citrix,Twitter,Goldman Sachs,Amazon,Salesforce,Expedia")</f>
        <v>Citrix,Twitter,Goldman Sachs,Amazon,Salesforce,Expedia</v>
      </c>
      <c r="G93" s="47" t="str">
        <f>IFERROR(__xludf.DUMMYFUNCTION("""COMPUTED_VALUE"""),"Microsoft,Nvidia,Citrix,Twitter,Goldman Sachs,Amazon,Salesforce,Expedia")</f>
        <v>Microsoft,Nvidia,Citrix,Twitter,Goldman Sachs,Amazon,Salesforce,Expedia</v>
      </c>
      <c r="H93" s="47" t="str">
        <f>IFERROR(__xludf.DUMMYFUNCTION("""COMPUTED_VALUE"""),"Bloomberg,Oracle,Twilio,VMware,Microsoft,Nvidia,Citrix,Twitter,Goldman Sachs,Amazon,Salesforce,Expedia")</f>
        <v>Bloomberg,Oracle,Twilio,VMware,Microsoft,Nvidia,Citrix,Twitter,Goldman Sachs,Amazon,Salesforce,Expedia</v>
      </c>
      <c r="I93" s="47">
        <f>IFERROR(__xludf.DUMMYFUNCTION("""COMPUTED_VALUE"""),35.37)</f>
        <v>35.37</v>
      </c>
      <c r="J93" s="47" t="str">
        <f>IFERROR(__xludf.DUMMYFUNCTION("""COMPUTED_VALUE"""),"算法")</f>
        <v>算法</v>
      </c>
      <c r="L93" s="6">
        <f>COUNTIF('Coder-1'!B:B,A93)</f>
        <v>0</v>
      </c>
      <c r="M93" s="6">
        <f>COUNTIF('Coder-2'!B:B,A93)</f>
        <v>0</v>
      </c>
      <c r="N93" s="6">
        <f>COUNTIF('Coder-3'!B:B,A93)</f>
        <v>0</v>
      </c>
      <c r="O93" s="6">
        <f>COUNTIF('Coder-4'!B:B,A93)</f>
        <v>0</v>
      </c>
    </row>
    <row r="94">
      <c r="A94" s="83">
        <v>424.0</v>
      </c>
      <c r="B94" s="86" t="str">
        <f>IFERROR(__xludf.DUMMYFUNCTION("IF(ISBLANK(A94),,FILTER('Leetcode List'!B:C,'Leetcode List'!A:A = A94))"),"Longest Repeating Character Replacement")</f>
        <v>Longest Repeating Character Replacement</v>
      </c>
      <c r="C94" s="46" t="str">
        <f>IFERROR(__xludf.DUMMYFUNCTION("""COMPUTED_VALUE"""),"Medium")</f>
        <v>Medium</v>
      </c>
      <c r="D94" s="83" t="s">
        <v>284</v>
      </c>
      <c r="E94" s="87" t="str">
        <f>IFERROR(__xludf.DUMMYFUNCTION("IF(ISBLANK(A94),,FILTER('Leetcode List'!E:J,'Leetcode List'!A:A = A94))"),"Wish,Bloomberg,Adobe,Facebook,Amazon,Pocket Gems,Google")</f>
        <v>Wish,Bloomberg,Adobe,Facebook,Amazon,Pocket Gems,Google</v>
      </c>
      <c r="F94" s="47" t="str">
        <f>IFERROR(__xludf.DUMMYFUNCTION("""COMPUTED_VALUE"""),"Google,Wish,Amazon")</f>
        <v>Google,Wish,Amazon</v>
      </c>
      <c r="G94" s="47" t="str">
        <f>IFERROR(__xludf.DUMMYFUNCTION("""COMPUTED_VALUE"""),"Bloomberg,Facebook,Adobe,Google,Wish,Amazon")</f>
        <v>Bloomberg,Facebook,Adobe,Google,Wish,Amazon</v>
      </c>
      <c r="H94" s="47" t="str">
        <f>IFERROR(__xludf.DUMMYFUNCTION("""COMPUTED_VALUE"""),"Pocket Gems,Bloomberg,Facebook,Adobe,Google,Wish,Amazon")</f>
        <v>Pocket Gems,Bloomberg,Facebook,Adobe,Google,Wish,Amazon</v>
      </c>
      <c r="I94" s="47">
        <f>IFERROR(__xludf.DUMMYFUNCTION("""COMPUTED_VALUE"""),48.25)</f>
        <v>48.25</v>
      </c>
      <c r="J94" s="47" t="str">
        <f>IFERROR(__xludf.DUMMYFUNCTION("""COMPUTED_VALUE"""),"算法")</f>
        <v>算法</v>
      </c>
      <c r="L94" s="6">
        <f>COUNTIF('Coder-1'!B:B,A94)</f>
        <v>0</v>
      </c>
      <c r="M94" s="6">
        <f>COUNTIF('Coder-2'!B:B,A94)</f>
        <v>0</v>
      </c>
      <c r="N94" s="6">
        <f>COUNTIF('Coder-3'!B:B,A94)</f>
        <v>0</v>
      </c>
      <c r="O94" s="6">
        <f>COUNTIF('Coder-4'!B:B,A94)</f>
        <v>0</v>
      </c>
    </row>
    <row r="95">
      <c r="A95" s="83">
        <v>446.0</v>
      </c>
      <c r="B95" s="86" t="str">
        <f>IFERROR(__xludf.DUMMYFUNCTION("IF(ISBLANK(A95),,FILTER('Leetcode List'!B:C,'Leetcode List'!A:A = A95))"),"Arithmetic Slices II - Subsequence")</f>
        <v>Arithmetic Slices II - Subsequence</v>
      </c>
      <c r="C95" s="46" t="str">
        <f>IFERROR(__xludf.DUMMYFUNCTION("""COMPUTED_VALUE"""),"Hard")</f>
        <v>Hard</v>
      </c>
      <c r="D95" s="83" t="s">
        <v>284</v>
      </c>
      <c r="E95" s="87" t="str">
        <f>IFERROR(__xludf.DUMMYFUNCTION("IF(ISBLANK(A95),,FILTER('Leetcode List'!E:J,'Leetcode List'!A:A = A95))"),"Adobe,Google,Baidu,Facebook,Alibaba")</f>
        <v>Adobe,Google,Baidu,Facebook,Alibaba</v>
      </c>
      <c r="F95" s="47"/>
      <c r="G95" s="47" t="str">
        <f>IFERROR(__xludf.DUMMYFUNCTION("""COMPUTED_VALUE"""),"Google")</f>
        <v>Google</v>
      </c>
      <c r="H95" s="47" t="str">
        <f>IFERROR(__xludf.DUMMYFUNCTION("""COMPUTED_VALUE"""),"Adobe,Baidu,Google")</f>
        <v>Adobe,Baidu,Google</v>
      </c>
      <c r="I95" s="47">
        <f>IFERROR(__xludf.DUMMYFUNCTION("""COMPUTED_VALUE"""),33.53)</f>
        <v>33.53</v>
      </c>
      <c r="J95" s="47" t="str">
        <f>IFERROR(__xludf.DUMMYFUNCTION("""COMPUTED_VALUE"""),"算法")</f>
        <v>算法</v>
      </c>
      <c r="L95" s="6">
        <f>COUNTIF('Coder-1'!B:B,A95)</f>
        <v>0</v>
      </c>
      <c r="M95" s="6">
        <f>COUNTIF('Coder-2'!B:B,A95)</f>
        <v>0</v>
      </c>
      <c r="N95" s="6">
        <f>COUNTIF('Coder-3'!B:B,A95)</f>
        <v>0</v>
      </c>
      <c r="O95" s="6">
        <f>COUNTIF('Coder-4'!B:B,A95)</f>
        <v>0</v>
      </c>
    </row>
    <row r="96">
      <c r="A96" s="83">
        <v>128.0</v>
      </c>
      <c r="B96" s="86" t="str">
        <f>IFERROR(__xludf.DUMMYFUNCTION("IF(ISBLANK(A96),,FILTER('Leetcode List'!B:C,'Leetcode List'!A:A = A96))"),"Longest Consecutive Sequence")</f>
        <v>Longest Consecutive Sequence</v>
      </c>
      <c r="C96" s="46" t="str">
        <f>IFERROR(__xludf.DUMMYFUNCTION("""COMPUTED_VALUE"""),"Hard")</f>
        <v>Hard</v>
      </c>
      <c r="D96" s="83" t="s">
        <v>284</v>
      </c>
      <c r="E96" s="87" t="str">
        <f>IFERROR(__xludf.DUMMYFUNCTION("IF(ISBLANK(A96),,FILTER('Leetcode List'!E:J,'Leetcode List'!A:A = A96))"),"Qualtrics,Twitter,Adobe,Goldman Sachs,Nutanix,Paypal,Wish,Oracle,Spotify,Apple,Uber,Bloomberg,Facebook,Amazon,Microsoft,Google")</f>
        <v>Qualtrics,Twitter,Adobe,Goldman Sachs,Nutanix,Paypal,Wish,Oracle,Spotify,Apple,Uber,Bloomberg,Facebook,Amazon,Microsoft,Google</v>
      </c>
      <c r="F96" s="47" t="str">
        <f>IFERROR(__xludf.DUMMYFUNCTION("""COMPUTED_VALUE"""),"Amazon,Microsoft,Bloomberg,Google,Facebook,Oracle,Goldman Sachs")</f>
        <v>Amazon,Microsoft,Bloomberg,Google,Facebook,Oracle,Goldman Sachs</v>
      </c>
      <c r="G96" s="47" t="str">
        <f>IFERROR(__xludf.DUMMYFUNCTION("""COMPUTED_VALUE"""),"Uber,Adobe,Apple,Paypal,Spotify,Amazon,Microsoft,Bloomberg,Google,Facebook,Oracle,Goldman Sachs")</f>
        <v>Uber,Adobe,Apple,Paypal,Spotify,Amazon,Microsoft,Bloomberg,Google,Facebook,Oracle,Goldman Sachs</v>
      </c>
      <c r="H96" s="47" t="str">
        <f>IFERROR(__xludf.DUMMYFUNCTION("""COMPUTED_VALUE"""),"Wish,Twitter,Nutanix,Qualtrics,Uber,Adobe,Apple,Paypal,Spotify,Amazon,Microsoft,Bloomberg,Google,Facebook,Oracle,Goldman Sachs")</f>
        <v>Wish,Twitter,Nutanix,Qualtrics,Uber,Adobe,Apple,Paypal,Spotify,Amazon,Microsoft,Bloomberg,Google,Facebook,Oracle,Goldman Sachs</v>
      </c>
      <c r="I96" s="47">
        <f>IFERROR(__xludf.DUMMYFUNCTION("""COMPUTED_VALUE"""),46.36)</f>
        <v>46.36</v>
      </c>
      <c r="J96" s="47" t="str">
        <f>IFERROR(__xludf.DUMMYFUNCTION("""COMPUTED_VALUE"""),"算法")</f>
        <v>算法</v>
      </c>
      <c r="L96" s="6">
        <f>COUNTIF('Coder-1'!B:B,A96)</f>
        <v>0</v>
      </c>
      <c r="M96" s="6">
        <f>COUNTIF('Coder-2'!B:B,A96)</f>
        <v>0</v>
      </c>
      <c r="N96" s="6">
        <f>COUNTIF('Coder-3'!B:B,A96)</f>
        <v>0</v>
      </c>
      <c r="O96" s="6">
        <f>COUNTIF('Coder-4'!B:B,A96)</f>
        <v>0</v>
      </c>
    </row>
    <row r="97">
      <c r="A97" s="83">
        <v>753.0</v>
      </c>
      <c r="B97" s="86" t="str">
        <f>IFERROR(__xludf.DUMMYFUNCTION("IF(ISBLANK(A97),,FILTER('Leetcode List'!B:C,'Leetcode List'!A:A = A97))"),"Cracking the Safe")</f>
        <v>Cracking the Safe</v>
      </c>
      <c r="C97" s="46" t="str">
        <f>IFERROR(__xludf.DUMMYFUNCTION("""COMPUTED_VALUE"""),"Hard")</f>
        <v>Hard</v>
      </c>
      <c r="D97" s="83" t="s">
        <v>284</v>
      </c>
      <c r="E97" s="87" t="str">
        <f>IFERROR(__xludf.DUMMYFUNCTION("IF(ISBLANK(A97),,FILTER('Leetcode List'!E:J,'Leetcode List'!A:A = A97))"),"Google")</f>
        <v>Google</v>
      </c>
      <c r="F97" s="47" t="str">
        <f>IFERROR(__xludf.DUMMYFUNCTION("""COMPUTED_VALUE"""),"Google")</f>
        <v>Google</v>
      </c>
      <c r="G97" s="47" t="str">
        <f>IFERROR(__xludf.DUMMYFUNCTION("""COMPUTED_VALUE"""),"Google")</f>
        <v>Google</v>
      </c>
      <c r="H97" s="47" t="str">
        <f>IFERROR(__xludf.DUMMYFUNCTION("""COMPUTED_VALUE"""),"Google")</f>
        <v>Google</v>
      </c>
      <c r="I97" s="47">
        <f>IFERROR(__xludf.DUMMYFUNCTION("""COMPUTED_VALUE"""),52.43)</f>
        <v>52.43</v>
      </c>
      <c r="J97" s="47" t="str">
        <f>IFERROR(__xludf.DUMMYFUNCTION("""COMPUTED_VALUE"""),"算法")</f>
        <v>算法</v>
      </c>
      <c r="L97" s="6">
        <f>COUNTIF('Coder-1'!B:B,A97)</f>
        <v>0</v>
      </c>
      <c r="M97" s="6">
        <f>COUNTIF('Coder-2'!B:B,A97)</f>
        <v>0</v>
      </c>
      <c r="N97" s="6">
        <f>COUNTIF('Coder-3'!B:B,A97)</f>
        <v>0</v>
      </c>
      <c r="O97" s="6">
        <f>COUNTIF('Coder-4'!B:B,A97)</f>
        <v>0</v>
      </c>
    </row>
    <row r="98">
      <c r="A98" s="83">
        <v>939.0</v>
      </c>
      <c r="B98" s="86" t="str">
        <f>IFERROR(__xludf.DUMMYFUNCTION("IF(ISBLANK(A98),,FILTER('Leetcode List'!B:C,'Leetcode List'!A:A = A98))"),"Minimum Area Rectangle")</f>
        <v>Minimum Area Rectangle</v>
      </c>
      <c r="C98" s="46" t="str">
        <f>IFERROR(__xludf.DUMMYFUNCTION("""COMPUTED_VALUE"""),"Medium")</f>
        <v>Medium</v>
      </c>
      <c r="D98" s="83" t="s">
        <v>284</v>
      </c>
      <c r="E98" s="87" t="str">
        <f>IFERROR(__xludf.DUMMYFUNCTION("IF(ISBLANK(A98),,FILTER('Leetcode List'!E:J,'Leetcode List'!A:A = A98))"),"Snapchat,Goldman Sachs,Nvidia,Facebook,Amazon,Microsoft,Google")</f>
        <v>Snapchat,Goldman Sachs,Nvidia,Facebook,Amazon,Microsoft,Google</v>
      </c>
      <c r="F98" s="47" t="str">
        <f>IFERROR(__xludf.DUMMYFUNCTION("""COMPUTED_VALUE"""),"Facebook,Snapchat,Amazon")</f>
        <v>Facebook,Snapchat,Amazon</v>
      </c>
      <c r="G98" s="47" t="str">
        <f>IFERROR(__xludf.DUMMYFUNCTION("""COMPUTED_VALUE"""),"Google,Goldman Sachs,Facebook,Snapchat,Amazon")</f>
        <v>Google,Goldman Sachs,Facebook,Snapchat,Amazon</v>
      </c>
      <c r="H98" s="47" t="str">
        <f>IFERROR(__xludf.DUMMYFUNCTION("""COMPUTED_VALUE"""),"Microsoft,Nvidia,Google,Goldman Sachs,Facebook,Snapchat,Amazon")</f>
        <v>Microsoft,Nvidia,Google,Goldman Sachs,Facebook,Snapchat,Amazon</v>
      </c>
      <c r="I98" s="47">
        <f>IFERROR(__xludf.DUMMYFUNCTION("""COMPUTED_VALUE"""),52.0)</f>
        <v>52</v>
      </c>
      <c r="J98" s="47" t="str">
        <f>IFERROR(__xludf.DUMMYFUNCTION("""COMPUTED_VALUE"""),"算法")</f>
        <v>算法</v>
      </c>
      <c r="L98" s="6">
        <f>COUNTIF('Coder-1'!B:B,A98)</f>
        <v>0</v>
      </c>
      <c r="M98" s="6">
        <f>COUNTIF('Coder-2'!B:B,A98)</f>
        <v>0</v>
      </c>
      <c r="N98" s="6">
        <f>COUNTIF('Coder-3'!B:B,A98)</f>
        <v>0</v>
      </c>
      <c r="O98" s="6">
        <f>COUNTIF('Coder-4'!B:B,A98)</f>
        <v>0</v>
      </c>
    </row>
    <row r="99">
      <c r="A99" s="46">
        <v>982.0</v>
      </c>
      <c r="B99" s="86" t="str">
        <f>IFERROR(__xludf.DUMMYFUNCTION("IF(ISBLANK(A99),,FILTER('Leetcode List'!B:C,'Leetcode List'!A:A = A99))"),"Triples with Bitwise AND Equal To Zero")</f>
        <v>Triples with Bitwise AND Equal To Zero</v>
      </c>
      <c r="C99" s="46" t="str">
        <f>IFERROR(__xludf.DUMMYFUNCTION("""COMPUTED_VALUE"""),"Hard")</f>
        <v>Hard</v>
      </c>
      <c r="D99" s="83" t="s">
        <v>284</v>
      </c>
      <c r="E99" s="87" t="str">
        <f>IFERROR(__xludf.DUMMYFUNCTION("IF(ISBLANK(A99),,FILTER('Leetcode List'!E:J,'Leetcode List'!A:A = A99))"),"Flipkart,Google")</f>
        <v>Flipkart,Google</v>
      </c>
      <c r="F99" s="47"/>
      <c r="G99" s="47"/>
      <c r="H99" s="47" t="str">
        <f>IFERROR(__xludf.DUMMYFUNCTION("""COMPUTED_VALUE"""),"Flipkart")</f>
        <v>Flipkart</v>
      </c>
      <c r="I99" s="47">
        <f>IFERROR(__xludf.DUMMYFUNCTION("""COMPUTED_VALUE"""),56.33)</f>
        <v>56.33</v>
      </c>
      <c r="J99" s="47" t="str">
        <f>IFERROR(__xludf.DUMMYFUNCTION("""COMPUTED_VALUE"""),"算法")</f>
        <v>算法</v>
      </c>
      <c r="L99" s="6">
        <f>COUNTIF('Coder-1'!B:B,A99)</f>
        <v>0</v>
      </c>
      <c r="M99" s="6">
        <f>COUNTIF('Coder-2'!B:B,A99)</f>
        <v>0</v>
      </c>
      <c r="N99" s="6">
        <f>COUNTIF('Coder-3'!B:B,A99)</f>
        <v>0</v>
      </c>
      <c r="O99" s="6">
        <f>COUNTIF('Coder-4'!B:B,A99)</f>
        <v>0</v>
      </c>
    </row>
    <row r="100">
      <c r="A100" s="83">
        <v>1074.0</v>
      </c>
      <c r="B100" s="86" t="str">
        <f>IFERROR(__xludf.DUMMYFUNCTION("IF(ISBLANK(A100),,FILTER('Leetcode List'!B:C,'Leetcode List'!A:A = A100))"),"Number of Submatrices That Sum to Target")</f>
        <v>Number of Submatrices That Sum to Target</v>
      </c>
      <c r="C100" s="46" t="str">
        <f>IFERROR(__xludf.DUMMYFUNCTION("""COMPUTED_VALUE"""),"Hard")</f>
        <v>Hard</v>
      </c>
      <c r="D100" s="83" t="s">
        <v>284</v>
      </c>
      <c r="E100" s="87" t="str">
        <f>IFERROR(__xludf.DUMMYFUNCTION("IF(ISBLANK(A100),,FILTER('Leetcode List'!E:J,'Leetcode List'!A:A = A100))"),"Facebook,Amazon,Google")</f>
        <v>Facebook,Amazon,Google</v>
      </c>
      <c r="F100" s="47" t="str">
        <f>IFERROR(__xludf.DUMMYFUNCTION("""COMPUTED_VALUE"""),"Google")</f>
        <v>Google</v>
      </c>
      <c r="G100" s="47" t="str">
        <f>IFERROR(__xludf.DUMMYFUNCTION("""COMPUTED_VALUE"""),"Google")</f>
        <v>Google</v>
      </c>
      <c r="H100" s="47" t="str">
        <f>IFERROR(__xludf.DUMMYFUNCTION("""COMPUTED_VALUE"""),"Amazon,Facebook,Google")</f>
        <v>Amazon,Facebook,Google</v>
      </c>
      <c r="I100" s="47">
        <f>IFERROR(__xludf.DUMMYFUNCTION("""COMPUTED_VALUE"""),61.89)</f>
        <v>61.89</v>
      </c>
      <c r="J100" s="47" t="str">
        <f>IFERROR(__xludf.DUMMYFUNCTION("""COMPUTED_VALUE"""),"算法")</f>
        <v>算法</v>
      </c>
      <c r="L100" s="6">
        <f>COUNTIF('Coder-1'!B:B,A100)</f>
        <v>0</v>
      </c>
      <c r="M100" s="6">
        <f>COUNTIF('Coder-2'!B:B,A100)</f>
        <v>0</v>
      </c>
      <c r="N100" s="6">
        <f>COUNTIF('Coder-3'!B:B,A100)</f>
        <v>0</v>
      </c>
      <c r="O100" s="6">
        <f>COUNTIF('Coder-4'!B:B,A100)</f>
        <v>0</v>
      </c>
    </row>
    <row r="101">
      <c r="A101" s="46">
        <v>1224.0</v>
      </c>
      <c r="B101" s="86" t="str">
        <f>IFERROR(__xludf.DUMMYFUNCTION("IF(ISBLANK(A101),,FILTER('Leetcode List'!B:C,'Leetcode List'!A:A = A101))"),"Maximum Equal Frequency")</f>
        <v>Maximum Equal Frequency</v>
      </c>
      <c r="C101" s="46" t="str">
        <f>IFERROR(__xludf.DUMMYFUNCTION("""COMPUTED_VALUE"""),"Hard")</f>
        <v>Hard</v>
      </c>
      <c r="D101" s="83" t="s">
        <v>284</v>
      </c>
      <c r="E101" s="87" t="str">
        <f>IFERROR(__xludf.DUMMYFUNCTION("IF(ISBLANK(A101),,FILTER('Leetcode List'!E:J,'Leetcode List'!A:A = A101))"),"American Express")</f>
        <v>American Express</v>
      </c>
      <c r="F101" s="47"/>
      <c r="G101" s="47"/>
      <c r="H101" s="47" t="str">
        <f>IFERROR(__xludf.DUMMYFUNCTION("""COMPUTED_VALUE"""),"American Express")</f>
        <v>American Express</v>
      </c>
      <c r="I101" s="47">
        <f>IFERROR(__xludf.DUMMYFUNCTION("""COMPUTED_VALUE"""),35.14)</f>
        <v>35.14</v>
      </c>
      <c r="J101" s="47" t="str">
        <f>IFERROR(__xludf.DUMMYFUNCTION("""COMPUTED_VALUE"""),"算法")</f>
        <v>算法</v>
      </c>
      <c r="L101" s="6">
        <f>COUNTIF('Coder-1'!B:B,A101)</f>
        <v>0</v>
      </c>
      <c r="M101" s="6">
        <f>COUNTIF('Coder-2'!B:B,A101)</f>
        <v>0</v>
      </c>
      <c r="N101" s="6">
        <f>COUNTIF('Coder-3'!B:B,A101)</f>
        <v>0</v>
      </c>
      <c r="O101" s="6">
        <f>COUNTIF('Coder-4'!B:B,A101)</f>
        <v>0</v>
      </c>
    </row>
    <row r="102">
      <c r="A102" s="83">
        <v>1487.0</v>
      </c>
      <c r="B102" s="86" t="str">
        <f>IFERROR(__xludf.DUMMYFUNCTION("IF(ISBLANK(A102),,FILTER('Leetcode List'!B:C,'Leetcode List'!A:A = A102))"),"Making File Names Unique")</f>
        <v>Making File Names Unique</v>
      </c>
      <c r="C102" s="46" t="str">
        <f>IFERROR(__xludf.DUMMYFUNCTION("""COMPUTED_VALUE"""),"Medium")</f>
        <v>Medium</v>
      </c>
      <c r="D102" s="83" t="s">
        <v>284</v>
      </c>
      <c r="E102" s="87" t="str">
        <f>IFERROR(__xludf.DUMMYFUNCTION("IF(ISBLANK(A102),,FILTER('Leetcode List'!E:J,'Leetcode List'!A:A = A102))"),"Oasis Labs")</f>
        <v>Oasis Labs</v>
      </c>
      <c r="F102" s="47"/>
      <c r="G102" s="47"/>
      <c r="H102" s="47" t="str">
        <f>IFERROR(__xludf.DUMMYFUNCTION("""COMPUTED_VALUE"""),"Oasis Labs")</f>
        <v>Oasis Labs</v>
      </c>
      <c r="I102" s="47">
        <f>IFERROR(__xludf.DUMMYFUNCTION("""COMPUTED_VALUE"""),30.8)</f>
        <v>30.8</v>
      </c>
      <c r="J102" s="47" t="str">
        <f>IFERROR(__xludf.DUMMYFUNCTION("""COMPUTED_VALUE"""),"算法")</f>
        <v>算法</v>
      </c>
      <c r="L102" s="6">
        <f>COUNTIF('Coder-1'!B:B,A102)</f>
        <v>0</v>
      </c>
      <c r="M102" s="6">
        <f>COUNTIF('Coder-2'!B:B,A102)</f>
        <v>0</v>
      </c>
      <c r="N102" s="6">
        <f>COUNTIF('Coder-3'!B:B,A102)</f>
        <v>0</v>
      </c>
      <c r="O102" s="6">
        <f>COUNTIF('Coder-4'!B:B,A102)</f>
        <v>0</v>
      </c>
    </row>
    <row r="103">
      <c r="A103" s="83">
        <v>1573.0</v>
      </c>
      <c r="B103" s="86" t="str">
        <f>IFERROR(__xludf.DUMMYFUNCTION("IF(ISBLANK(A103),,FILTER('Leetcode List'!B:C,'Leetcode List'!A:A = A103))"),"Number of Ways to Split a String")</f>
        <v>Number of Ways to Split a String</v>
      </c>
      <c r="C103" s="46" t="str">
        <f>IFERROR(__xludf.DUMMYFUNCTION("""COMPUTED_VALUE"""),"Medium")</f>
        <v>Medium</v>
      </c>
      <c r="D103" s="83" t="s">
        <v>284</v>
      </c>
      <c r="E103" s="87" t="str">
        <f>IFERROR(__xludf.DUMMYFUNCTION("IF(ISBLANK(A103),,FILTER('Leetcode List'!E:J,'Leetcode List'!A:A = A103))"),"Microsoft")</f>
        <v>Microsoft</v>
      </c>
      <c r="F103" s="47" t="str">
        <f>IFERROR(__xludf.DUMMYFUNCTION("""COMPUTED_VALUE"""),"Microsoft")</f>
        <v>Microsoft</v>
      </c>
      <c r="G103" s="47" t="str">
        <f>IFERROR(__xludf.DUMMYFUNCTION("""COMPUTED_VALUE"""),"Microsoft")</f>
        <v>Microsoft</v>
      </c>
      <c r="H103" s="47" t="str">
        <f>IFERROR(__xludf.DUMMYFUNCTION("""COMPUTED_VALUE"""),"Microsoft")</f>
        <v>Microsoft</v>
      </c>
      <c r="I103" s="47">
        <f>IFERROR(__xludf.DUMMYFUNCTION("""COMPUTED_VALUE"""),31.3)</f>
        <v>31.3</v>
      </c>
      <c r="J103" s="47" t="str">
        <f>IFERROR(__xludf.DUMMYFUNCTION("""COMPUTED_VALUE"""),"算法")</f>
        <v>算法</v>
      </c>
      <c r="L103" s="6">
        <f>COUNTIF('Coder-1'!B:B,A103)</f>
        <v>0</v>
      </c>
      <c r="M103" s="6">
        <f>COUNTIF('Coder-2'!B:B,A103)</f>
        <v>0</v>
      </c>
      <c r="N103" s="6">
        <f>COUNTIF('Coder-3'!B:B,A103)</f>
        <v>0</v>
      </c>
      <c r="O103" s="6">
        <f>COUNTIF('Coder-4'!B:B,A103)</f>
        <v>0</v>
      </c>
    </row>
    <row r="104">
      <c r="A104" s="83">
        <v>930.0</v>
      </c>
      <c r="B104" s="86" t="str">
        <f>IFERROR(__xludf.DUMMYFUNCTION("IF(ISBLANK(A104),,FILTER('Leetcode List'!B:C,'Leetcode List'!A:A = A104))"),"Binary Subarrays With Sum")</f>
        <v>Binary Subarrays With Sum</v>
      </c>
      <c r="C104" s="46" t="str">
        <f>IFERROR(__xludf.DUMMYFUNCTION("""COMPUTED_VALUE"""),"Medium")</f>
        <v>Medium</v>
      </c>
      <c r="D104" s="83" t="s">
        <v>284</v>
      </c>
      <c r="E104" s="87" t="str">
        <f>IFERROR(__xludf.DUMMYFUNCTION("IF(ISBLANK(A104),,FILTER('Leetcode List'!E:J,'Leetcode List'!A:A = A104))"),"C3 IoT")</f>
        <v>C3 IoT</v>
      </c>
      <c r="F104" s="47"/>
      <c r="G104" s="47"/>
      <c r="H104" s="47" t="str">
        <f>IFERROR(__xludf.DUMMYFUNCTION("""COMPUTED_VALUE"""),"C3 IoT")</f>
        <v>C3 IoT</v>
      </c>
      <c r="I104" s="47">
        <f>IFERROR(__xludf.DUMMYFUNCTION("""COMPUTED_VALUE"""),44.66)</f>
        <v>44.66</v>
      </c>
      <c r="J104" s="47" t="str">
        <f>IFERROR(__xludf.DUMMYFUNCTION("""COMPUTED_VALUE"""),"算法")</f>
        <v>算法</v>
      </c>
      <c r="K104" s="2" t="s">
        <v>4984</v>
      </c>
      <c r="L104" s="6">
        <f>COUNTIF('Coder-1'!B:B,A104)</f>
        <v>0</v>
      </c>
      <c r="M104" s="6">
        <f>COUNTIF('Coder-2'!B:B,A104)</f>
        <v>0</v>
      </c>
      <c r="N104" s="6">
        <f>COUNTIF('Coder-3'!B:B,A104)</f>
        <v>0</v>
      </c>
      <c r="O104" s="6">
        <f>COUNTIF('Coder-4'!B:B,A104)</f>
        <v>0</v>
      </c>
    </row>
    <row r="105">
      <c r="A105" s="83">
        <v>1371.0</v>
      </c>
      <c r="B105" s="86" t="str">
        <f>IFERROR(__xludf.DUMMYFUNCTION("IF(ISBLANK(A105),,FILTER('Leetcode List'!B:C,'Leetcode List'!A:A = A105))"),"Find the Longest Substring Containing Vowels in Even Counts")</f>
        <v>Find the Longest Substring Containing Vowels in Even Counts</v>
      </c>
      <c r="C105" s="46" t="str">
        <f>IFERROR(__xludf.DUMMYFUNCTION("""COMPUTED_VALUE"""),"Medium")</f>
        <v>Medium</v>
      </c>
      <c r="D105" s="83" t="s">
        <v>284</v>
      </c>
      <c r="E105" s="87" t="str">
        <f>IFERROR(__xludf.DUMMYFUNCTION("IF(ISBLANK(A105),,FILTER('Leetcode List'!E:J,'Leetcode List'!A:A = A105))"),"Microsoft")</f>
        <v>Microsoft</v>
      </c>
      <c r="F105" s="47"/>
      <c r="G105" s="47"/>
      <c r="H105" s="47" t="str">
        <f>IFERROR(__xludf.DUMMYFUNCTION("""COMPUTED_VALUE"""),"Microsoft")</f>
        <v>Microsoft</v>
      </c>
      <c r="I105" s="47">
        <f>IFERROR(__xludf.DUMMYFUNCTION("""COMPUTED_VALUE"""),60.89)</f>
        <v>60.89</v>
      </c>
      <c r="J105" s="47" t="str">
        <f>IFERROR(__xludf.DUMMYFUNCTION("""COMPUTED_VALUE"""),"算法")</f>
        <v>算法</v>
      </c>
      <c r="K105" s="2" t="s">
        <v>4984</v>
      </c>
      <c r="L105" s="6">
        <f>COUNTIF('Coder-1'!B:B,A105)</f>
        <v>0</v>
      </c>
      <c r="M105" s="6">
        <f>COUNTIF('Coder-2'!B:B,A105)</f>
        <v>0</v>
      </c>
      <c r="N105" s="6">
        <f>COUNTIF('Coder-3'!B:B,A105)</f>
        <v>0</v>
      </c>
      <c r="O105" s="6">
        <f>COUNTIF('Coder-4'!B:B,A105)</f>
        <v>0</v>
      </c>
    </row>
    <row r="106">
      <c r="A106" s="83">
        <v>1442.0</v>
      </c>
      <c r="B106" s="86" t="str">
        <f>IFERROR(__xludf.DUMMYFUNCTION("IF(ISBLANK(A106),,FILTER('Leetcode List'!B:C,'Leetcode List'!A:A = A106))"),"Count Triplets That Can Form Two Arrays of Equal XOR")</f>
        <v>Count Triplets That Can Form Two Arrays of Equal XOR</v>
      </c>
      <c r="C106" s="46" t="str">
        <f>IFERROR(__xludf.DUMMYFUNCTION("""COMPUTED_VALUE"""),"Medium")</f>
        <v>Medium</v>
      </c>
      <c r="D106" s="83" t="s">
        <v>284</v>
      </c>
      <c r="E106" s="87" t="str">
        <f>IFERROR(__xludf.DUMMYFUNCTION("IF(ISBLANK(A106),,FILTER('Leetcode List'!E:J,'Leetcode List'!A:A = A106))"),"")</f>
        <v/>
      </c>
      <c r="F106" s="47"/>
      <c r="G106" s="47"/>
      <c r="H106" s="47"/>
      <c r="I106" s="47">
        <f>IFERROR(__xludf.DUMMYFUNCTION("""COMPUTED_VALUE"""),71.69)</f>
        <v>71.69</v>
      </c>
      <c r="J106" s="47" t="str">
        <f>IFERROR(__xludf.DUMMYFUNCTION("""COMPUTED_VALUE"""),"算法")</f>
        <v>算法</v>
      </c>
      <c r="K106" s="2" t="s">
        <v>4984</v>
      </c>
      <c r="L106" s="6">
        <f>COUNTIF('Coder-1'!B:B,A106)</f>
        <v>0</v>
      </c>
      <c r="M106" s="6">
        <f>COUNTIF('Coder-2'!B:B,A106)</f>
        <v>0</v>
      </c>
      <c r="N106" s="6">
        <f>COUNTIF('Coder-3'!B:B,A106)</f>
        <v>0</v>
      </c>
      <c r="O106" s="6">
        <f>COUNTIF('Coder-4'!B:B,A106)</f>
        <v>0</v>
      </c>
    </row>
    <row r="107">
      <c r="A107" s="83">
        <v>1542.0</v>
      </c>
      <c r="B107" s="86" t="str">
        <f>IFERROR(__xludf.DUMMYFUNCTION("IF(ISBLANK(A107),,FILTER('Leetcode List'!B:C,'Leetcode List'!A:A = A107))"),"Find Longest Awesome Substring")</f>
        <v>Find Longest Awesome Substring</v>
      </c>
      <c r="C107" s="46" t="str">
        <f>IFERROR(__xludf.DUMMYFUNCTION("""COMPUTED_VALUE"""),"Hard")</f>
        <v>Hard</v>
      </c>
      <c r="D107" s="83" t="s">
        <v>284</v>
      </c>
      <c r="E107" s="87" t="str">
        <f>IFERROR(__xludf.DUMMYFUNCTION("IF(ISBLANK(A107),,FILTER('Leetcode List'!E:J,'Leetcode List'!A:A = A107))"),"Directi")</f>
        <v>Directi</v>
      </c>
      <c r="F107" s="47"/>
      <c r="G107" s="47"/>
      <c r="H107" s="47" t="str">
        <f>IFERROR(__xludf.DUMMYFUNCTION("""COMPUTED_VALUE"""),"Directi")</f>
        <v>Directi</v>
      </c>
      <c r="I107" s="47">
        <f>IFERROR(__xludf.DUMMYFUNCTION("""COMPUTED_VALUE"""),36.61)</f>
        <v>36.61</v>
      </c>
      <c r="J107" s="47" t="str">
        <f>IFERROR(__xludf.DUMMYFUNCTION("""COMPUTED_VALUE"""),"算法")</f>
        <v>算法</v>
      </c>
      <c r="K107" s="2" t="s">
        <v>4984</v>
      </c>
      <c r="L107" s="6">
        <f>COUNTIF('Coder-1'!B:B,A107)</f>
        <v>0</v>
      </c>
      <c r="M107" s="6">
        <f>COUNTIF('Coder-2'!B:B,A107)</f>
        <v>0</v>
      </c>
      <c r="N107" s="6">
        <f>COUNTIF('Coder-3'!B:B,A107)</f>
        <v>0</v>
      </c>
      <c r="O107" s="6">
        <f>COUNTIF('Coder-4'!B:B,A107)</f>
        <v>0</v>
      </c>
    </row>
    <row r="108">
      <c r="A108" s="83">
        <v>1567.0</v>
      </c>
      <c r="B108" s="86" t="str">
        <f>IFERROR(__xludf.DUMMYFUNCTION("IF(ISBLANK(A108),,FILTER('Leetcode List'!B:C,'Leetcode List'!A:A = A108))"),"Maximum Length of Subarray With Positive Product")</f>
        <v>Maximum Length of Subarray With Positive Product</v>
      </c>
      <c r="C108" s="46" t="str">
        <f>IFERROR(__xludf.DUMMYFUNCTION("""COMPUTED_VALUE"""),"Medium")</f>
        <v>Medium</v>
      </c>
      <c r="D108" s="83" t="s">
        <v>284</v>
      </c>
      <c r="E108" s="87" t="str">
        <f>IFERROR(__xludf.DUMMYFUNCTION("IF(ISBLANK(A108),,FILTER('Leetcode List'!E:J,'Leetcode List'!A:A = A108))"),"Arcesium")</f>
        <v>Arcesium</v>
      </c>
      <c r="F108" s="47"/>
      <c r="G108" s="47"/>
      <c r="H108" s="47" t="str">
        <f>IFERROR(__xludf.DUMMYFUNCTION("""COMPUTED_VALUE"""),"Arcesium")</f>
        <v>Arcesium</v>
      </c>
      <c r="I108" s="47">
        <f>IFERROR(__xludf.DUMMYFUNCTION("""COMPUTED_VALUE"""),36.75)</f>
        <v>36.75</v>
      </c>
      <c r="J108" s="47" t="str">
        <f>IFERROR(__xludf.DUMMYFUNCTION("""COMPUTED_VALUE"""),"算法")</f>
        <v>算法</v>
      </c>
      <c r="K108" s="2" t="s">
        <v>4984</v>
      </c>
      <c r="L108" s="6">
        <f>COUNTIF('Coder-1'!B:B,A108)</f>
        <v>0</v>
      </c>
      <c r="M108" s="6">
        <f>COUNTIF('Coder-2'!B:B,A108)</f>
        <v>0</v>
      </c>
      <c r="N108" s="6">
        <f>COUNTIF('Coder-3'!B:B,A108)</f>
        <v>0</v>
      </c>
      <c r="O108" s="6">
        <f>COUNTIF('Coder-4'!B:B,A108)</f>
        <v>0</v>
      </c>
    </row>
    <row r="109">
      <c r="A109" s="83">
        <v>1590.0</v>
      </c>
      <c r="B109" s="86" t="str">
        <f>IFERROR(__xludf.DUMMYFUNCTION("IF(ISBLANK(A109),,FILTER('Leetcode List'!B:C,'Leetcode List'!A:A = A109))"),"Make Sum Divisible by P")</f>
        <v>Make Sum Divisible by P</v>
      </c>
      <c r="C109" s="46" t="str">
        <f>IFERROR(__xludf.DUMMYFUNCTION("""COMPUTED_VALUE"""),"Medium")</f>
        <v>Medium</v>
      </c>
      <c r="D109" s="83" t="s">
        <v>284</v>
      </c>
      <c r="E109" s="87" t="str">
        <f>IFERROR(__xludf.DUMMYFUNCTION("IF(ISBLANK(A109),,FILTER('Leetcode List'!E:J,'Leetcode List'!A:A = A109))"),"Amazon")</f>
        <v>Amazon</v>
      </c>
      <c r="F109" s="47"/>
      <c r="G109" s="47"/>
      <c r="H109" s="47" t="str">
        <f>IFERROR(__xludf.DUMMYFUNCTION("""COMPUTED_VALUE"""),"Amazon")</f>
        <v>Amazon</v>
      </c>
      <c r="I109" s="47">
        <f>IFERROR(__xludf.DUMMYFUNCTION("""COMPUTED_VALUE"""),26.88)</f>
        <v>26.88</v>
      </c>
      <c r="J109" s="47" t="str">
        <f>IFERROR(__xludf.DUMMYFUNCTION("""COMPUTED_VALUE"""),"算法")</f>
        <v>算法</v>
      </c>
      <c r="K109" s="2" t="s">
        <v>4984</v>
      </c>
      <c r="L109" s="6">
        <f>COUNTIF('Coder-1'!B:B,A109)</f>
        <v>0</v>
      </c>
      <c r="M109" s="6">
        <f>COUNTIF('Coder-2'!B:B,A109)</f>
        <v>0</v>
      </c>
      <c r="N109" s="6">
        <f>COUNTIF('Coder-3'!B:B,A109)</f>
        <v>0</v>
      </c>
      <c r="O109" s="6">
        <f>COUNTIF('Coder-4'!B:B,A109)</f>
        <v>0</v>
      </c>
    </row>
    <row r="110">
      <c r="A110" s="83">
        <v>1658.0</v>
      </c>
      <c r="B110" s="86" t="str">
        <f>IFERROR(__xludf.DUMMYFUNCTION("IF(ISBLANK(A110),,FILTER('Leetcode List'!B:C,'Leetcode List'!A:A = A110))"),"Minimum Operations to Reduce X to Zero")</f>
        <v>Minimum Operations to Reduce X to Zero</v>
      </c>
      <c r="C110" s="46" t="str">
        <f>IFERROR(__xludf.DUMMYFUNCTION("""COMPUTED_VALUE"""),"Medium")</f>
        <v>Medium</v>
      </c>
      <c r="D110" s="83" t="s">
        <v>284</v>
      </c>
      <c r="E110" s="87" t="str">
        <f>IFERROR(__xludf.DUMMYFUNCTION("IF(ISBLANK(A110),,FILTER('Leetcode List'!E:J,'Leetcode List'!A:A = A110))"),"Google")</f>
        <v>Google</v>
      </c>
      <c r="F110" s="47" t="str">
        <f>IFERROR(__xludf.DUMMYFUNCTION("""COMPUTED_VALUE"""),"Google")</f>
        <v>Google</v>
      </c>
      <c r="G110" s="47" t="str">
        <f>IFERROR(__xludf.DUMMYFUNCTION("""COMPUTED_VALUE"""),"Google")</f>
        <v>Google</v>
      </c>
      <c r="H110" s="47" t="str">
        <f>IFERROR(__xludf.DUMMYFUNCTION("""COMPUTED_VALUE"""),"Google")</f>
        <v>Google</v>
      </c>
      <c r="I110" s="47">
        <f>IFERROR(__xludf.DUMMYFUNCTION("""COMPUTED_VALUE"""),33.32)</f>
        <v>33.32</v>
      </c>
      <c r="J110" s="47" t="str">
        <f>IFERROR(__xludf.DUMMYFUNCTION("""COMPUTED_VALUE"""),"算法")</f>
        <v>算法</v>
      </c>
      <c r="K110" s="2" t="s">
        <v>4984</v>
      </c>
      <c r="L110" s="6">
        <f>COUNTIF('Coder-1'!B:B,A110)</f>
        <v>0</v>
      </c>
      <c r="M110" s="6">
        <f>COUNTIF('Coder-2'!B:B,A110)</f>
        <v>0</v>
      </c>
      <c r="N110" s="6">
        <f>COUNTIF('Coder-3'!B:B,A110)</f>
        <v>0</v>
      </c>
      <c r="O110" s="6">
        <f>COUNTIF('Coder-4'!B:B,A110)</f>
        <v>0</v>
      </c>
    </row>
    <row r="111">
      <c r="A111" s="83">
        <v>295.0</v>
      </c>
      <c r="B111" s="86" t="str">
        <f>IFERROR(__xludf.DUMMYFUNCTION("IF(ISBLANK(A111),,FILTER('Leetcode List'!B:C,'Leetcode List'!A:A = A111))"),"Find Median from Data Stream")</f>
        <v>Find Median from Data Stream</v>
      </c>
      <c r="C111" s="46" t="str">
        <f>IFERROR(__xludf.DUMMYFUNCTION("""COMPUTED_VALUE"""),"Hard")</f>
        <v>Hard</v>
      </c>
      <c r="D111" s="83" t="s">
        <v>63</v>
      </c>
      <c r="E111" s="87" t="str">
        <f>IFERROR(__xludf.DUMMYFUNCTION("IF(ISBLANK(A111),,FILTER('Leetcode List'!E:J,'Leetcode List'!A:A = A111))"),"Indeed,Twilio,Wish,Citadel,Walmart Labs,Zillow,Nvidia,Netflix,Pinterest,Qualtrics,Atlassian,ByteDance,Salesforce,VMware,Snapchat,Twitter,Expedia,Oracle,EBay,Apple,Uber,Yahoo,Bloomberg,Adobe,Facebook,Amazon,Microsoft,Goldman Sachs,Google")</f>
        <v>Indeed,Twilio,Wish,Citadel,Walmart Labs,Zillow,Nvidia,Netflix,Pinterest,Qualtrics,Atlassian,ByteDance,Salesforce,VMware,Snapchat,Twitter,Expedia,Oracle,EBay,Apple,Uber,Yahoo,Bloomberg,Adobe,Facebook,Amazon,Microsoft,Goldman Sachs,Google</v>
      </c>
      <c r="F111" s="47" t="str">
        <f>IFERROR(__xludf.DUMMYFUNCTION("""COMPUTED_VALUE"""),"Amazon,Facebook,Google,ByteDance,Microsoft,Apple,eBay,Bloomberg,Salesforce,Goldman Sachs,Oracle,VMware,Uber,Walmart Labs,Nvidia,Twilio")</f>
        <v>Amazon,Facebook,Google,ByteDance,Microsoft,Apple,eBay,Bloomberg,Salesforce,Goldman Sachs,Oracle,VMware,Uber,Walmart Labs,Nvidia,Twilio</v>
      </c>
      <c r="G111" s="47" t="str">
        <f>IFERROR(__xludf.DUMMYFUNCTION("""COMPUTED_VALUE"""),"Twitter,Zillow,Amazon,Facebook,Google,ByteDance,Microsoft,Apple,eBay,Bloomberg,Salesforce,Goldman Sachs,Oracle,VMware,Uber,Walmart Labs,Nvidia,Twilio")</f>
        <v>Twitter,Zillow,Amazon,Facebook,Google,ByteDance,Microsoft,Apple,eBay,Bloomberg,Salesforce,Goldman Sachs,Oracle,VMware,Uber,Walmart Labs,Nvidia,Twilio</v>
      </c>
      <c r="H111" s="47" t="str">
        <f>IFERROR(__xludf.DUMMYFUNCTION("""COMPUTED_VALUE"""),"Snapchat,Netflix,Qualtrics,Yahoo,Wish,Atlassian,Indeed,Adobe,Citadel,Twitter,Zillow,Amazon,Facebook,Google,ByteDance,Microsoft,Apple,eBay,Bloomberg,Salesforce,Goldman Sachs,Oracle,VMware,Uber,Walmart Labs,Nvidia,Twilio")</f>
        <v>Snapchat,Netflix,Qualtrics,Yahoo,Wish,Atlassian,Indeed,Adobe,Citadel,Twitter,Zillow,Amazon,Facebook,Google,ByteDance,Microsoft,Apple,eBay,Bloomberg,Salesforce,Goldman Sachs,Oracle,VMware,Uber,Walmart Labs,Nvidia,Twilio</v>
      </c>
      <c r="I111" s="47">
        <f>IFERROR(__xludf.DUMMYFUNCTION("""COMPUTED_VALUE"""),47.17)</f>
        <v>47.17</v>
      </c>
      <c r="J111" s="47" t="str">
        <f>IFERROR(__xludf.DUMMYFUNCTION("""COMPUTED_VALUE"""),"算法")</f>
        <v>算法</v>
      </c>
      <c r="L111" s="6">
        <f>COUNTIF('Coder-1'!B:B,A111)</f>
        <v>0</v>
      </c>
      <c r="M111" s="6">
        <f>COUNTIF('Coder-2'!B:B,A111)</f>
        <v>0</v>
      </c>
      <c r="N111" s="6">
        <f>COUNTIF('Coder-3'!B:B,A111)</f>
        <v>0</v>
      </c>
      <c r="O111" s="6">
        <f>COUNTIF('Coder-4'!B:B,A111)</f>
        <v>0</v>
      </c>
    </row>
    <row r="112">
      <c r="A112" s="83">
        <v>363.0</v>
      </c>
      <c r="B112" s="86" t="str">
        <f>IFERROR(__xludf.DUMMYFUNCTION("IF(ISBLANK(A112),,FILTER('Leetcode List'!B:C,'Leetcode List'!A:A = A112))"),"Max Sum of Rectangle No Larger Than K")</f>
        <v>Max Sum of Rectangle No Larger Than K</v>
      </c>
      <c r="C112" s="46" t="str">
        <f>IFERROR(__xludf.DUMMYFUNCTION("""COMPUTED_VALUE"""),"Hard")</f>
        <v>Hard</v>
      </c>
      <c r="D112" s="83" t="s">
        <v>63</v>
      </c>
      <c r="E112" s="87" t="str">
        <f>IFERROR(__xludf.DUMMYFUNCTION("IF(ISBLANK(A112),,FILTER('Leetcode List'!E:J,'Leetcode List'!A:A = A112))"),"Roblox,Facebook,Google")</f>
        <v>Roblox,Facebook,Google</v>
      </c>
      <c r="F112" s="47" t="str">
        <f>IFERROR(__xludf.DUMMYFUNCTION("""COMPUTED_VALUE"""),"Roblox")</f>
        <v>Roblox</v>
      </c>
      <c r="G112" s="47" t="str">
        <f>IFERROR(__xludf.DUMMYFUNCTION("""COMPUTED_VALUE"""),"Google,Roblox")</f>
        <v>Google,Roblox</v>
      </c>
      <c r="H112" s="47" t="str">
        <f>IFERROR(__xludf.DUMMYFUNCTION("""COMPUTED_VALUE"""),"Facebook,Google,Roblox")</f>
        <v>Facebook,Google,Roblox</v>
      </c>
      <c r="I112" s="47">
        <f>IFERROR(__xludf.DUMMYFUNCTION("""COMPUTED_VALUE"""),38.45)</f>
        <v>38.45</v>
      </c>
      <c r="J112" s="47" t="str">
        <f>IFERROR(__xludf.DUMMYFUNCTION("""COMPUTED_VALUE"""),"算法")</f>
        <v>算法</v>
      </c>
      <c r="L112" s="6">
        <f>COUNTIF('Coder-1'!B:B,A112)</f>
        <v>0</v>
      </c>
      <c r="M112" s="6">
        <f>COUNTIF('Coder-2'!B:B,A112)</f>
        <v>0</v>
      </c>
      <c r="N112" s="6">
        <f>COUNTIF('Coder-3'!B:B,A112)</f>
        <v>0</v>
      </c>
      <c r="O112" s="6">
        <f>COUNTIF('Coder-4'!B:B,A112)</f>
        <v>0</v>
      </c>
    </row>
    <row r="113">
      <c r="A113" s="83">
        <v>352.0</v>
      </c>
      <c r="B113" s="86" t="str">
        <f>IFERROR(__xludf.DUMMYFUNCTION("IF(ISBLANK(A113),,FILTER('Leetcode List'!B:C,'Leetcode List'!A:A = A113))"),"Data Stream as Disjoint Intervals")</f>
        <v>Data Stream as Disjoint Intervals</v>
      </c>
      <c r="C113" s="46" t="str">
        <f>IFERROR(__xludf.DUMMYFUNCTION("""COMPUTED_VALUE"""),"Hard")</f>
        <v>Hard</v>
      </c>
      <c r="D113" s="83" t="s">
        <v>63</v>
      </c>
      <c r="E113" s="87" t="str">
        <f>IFERROR(__xludf.DUMMYFUNCTION("IF(ISBLANK(A113),,FILTER('Leetcode List'!E:J,'Leetcode List'!A:A = A113))"),"Uber,Oracle,Facebook,Amazon,Google")</f>
        <v>Uber,Oracle,Facebook,Amazon,Google</v>
      </c>
      <c r="F113" s="47" t="str">
        <f>IFERROR(__xludf.DUMMYFUNCTION("""COMPUTED_VALUE"""),"Oracle")</f>
        <v>Oracle</v>
      </c>
      <c r="G113" s="47" t="str">
        <f>IFERROR(__xludf.DUMMYFUNCTION("""COMPUTED_VALUE"""),"Amazon,Oracle")</f>
        <v>Amazon,Oracle</v>
      </c>
      <c r="H113" s="47" t="str">
        <f>IFERROR(__xludf.DUMMYFUNCTION("""COMPUTED_VALUE"""),"Facebook,Google,Uber,Amazon,Oracle")</f>
        <v>Facebook,Google,Uber,Amazon,Oracle</v>
      </c>
      <c r="I113" s="47">
        <f>IFERROR(__xludf.DUMMYFUNCTION("""COMPUTED_VALUE"""),48.72)</f>
        <v>48.72</v>
      </c>
      <c r="J113" s="47" t="str">
        <f>IFERROR(__xludf.DUMMYFUNCTION("""COMPUTED_VALUE"""),"算法")</f>
        <v>算法</v>
      </c>
      <c r="L113" s="6">
        <f>COUNTIF('Coder-1'!B:B,A113)</f>
        <v>0</v>
      </c>
      <c r="M113" s="6">
        <f>COUNTIF('Coder-2'!B:B,A113)</f>
        <v>0</v>
      </c>
      <c r="N113" s="6">
        <f>COUNTIF('Coder-3'!B:B,A113)</f>
        <v>0</v>
      </c>
      <c r="O113" s="6">
        <f>COUNTIF('Coder-4'!B:B,A113)</f>
        <v>0</v>
      </c>
    </row>
    <row r="114">
      <c r="A114" s="83">
        <v>480.0</v>
      </c>
      <c r="B114" s="86" t="str">
        <f>IFERROR(__xludf.DUMMYFUNCTION("IF(ISBLANK(A114),,FILTER('Leetcode List'!B:C,'Leetcode List'!A:A = A114))"),"Sliding Window Median")</f>
        <v>Sliding Window Median</v>
      </c>
      <c r="C114" s="46" t="str">
        <f>IFERROR(__xludf.DUMMYFUNCTION("""COMPUTED_VALUE"""),"Hard")</f>
        <v>Hard</v>
      </c>
      <c r="D114" s="83" t="s">
        <v>63</v>
      </c>
      <c r="E114" s="87" t="str">
        <f>IFERROR(__xludf.DUMMYFUNCTION("IF(ISBLANK(A114),,FILTER('Leetcode List'!E:J,'Leetcode List'!A:A = A114))"),"Indeed,Flipkart,JPMorgan,Adobe,Microsoft,Snapchat,Oracle,Spotify,Apple,Facebook,Amazon,Google")</f>
        <v>Indeed,Flipkart,JPMorgan,Adobe,Microsoft,Snapchat,Oracle,Spotify,Apple,Facebook,Amazon,Google</v>
      </c>
      <c r="F114" s="47" t="str">
        <f>IFERROR(__xludf.DUMMYFUNCTION("""COMPUTED_VALUE"""),"Facebook,JPMorgan,Google,Amazon,Spotify,Flipkart,Adobe")</f>
        <v>Facebook,JPMorgan,Google,Amazon,Spotify,Flipkart,Adobe</v>
      </c>
      <c r="G114" s="47" t="str">
        <f>IFERROR(__xludf.DUMMYFUNCTION("""COMPUTED_VALUE"""),"Microsoft,Apple,Facebook,JPMorgan,Google,Amazon,Spotify,Flipkart,Adobe")</f>
        <v>Microsoft,Apple,Facebook,JPMorgan,Google,Amazon,Spotify,Flipkart,Adobe</v>
      </c>
      <c r="H114" s="47" t="str">
        <f>IFERROR(__xludf.DUMMYFUNCTION("""COMPUTED_VALUE"""),"Indeed,Microsoft,Apple,Facebook,JPMorgan,Google,Amazon,Spotify,Flipkart,Adobe")</f>
        <v>Indeed,Microsoft,Apple,Facebook,JPMorgan,Google,Amazon,Spotify,Flipkart,Adobe</v>
      </c>
      <c r="I114" s="47">
        <f>IFERROR(__xludf.DUMMYFUNCTION("""COMPUTED_VALUE"""),38.8)</f>
        <v>38.8</v>
      </c>
      <c r="J114" s="47" t="str">
        <f>IFERROR(__xludf.DUMMYFUNCTION("""COMPUTED_VALUE"""),"算法")</f>
        <v>算法</v>
      </c>
      <c r="L114" s="6">
        <f>COUNTIF('Coder-1'!B:B,A114)</f>
        <v>0</v>
      </c>
      <c r="M114" s="6">
        <f>COUNTIF('Coder-2'!B:B,A114)</f>
        <v>0</v>
      </c>
      <c r="N114" s="6">
        <f>COUNTIF('Coder-3'!B:B,A114)</f>
        <v>0</v>
      </c>
      <c r="O114" s="6">
        <f>COUNTIF('Coder-4'!B:B,A114)</f>
        <v>0</v>
      </c>
    </row>
    <row r="115">
      <c r="A115" s="83">
        <v>218.0</v>
      </c>
      <c r="B115" s="86" t="str">
        <f>IFERROR(__xludf.DUMMYFUNCTION("IF(ISBLANK(A115),,FILTER('Leetcode List'!B:C,'Leetcode List'!A:A = A115))"),"The Skyline Problem")</f>
        <v>The Skyline Problem</v>
      </c>
      <c r="C115" s="46" t="str">
        <f>IFERROR(__xludf.DUMMYFUNCTION("""COMPUTED_VALUE"""),"Hard")</f>
        <v>Hard</v>
      </c>
      <c r="D115" s="83" t="s">
        <v>63</v>
      </c>
      <c r="E115" s="87" t="str">
        <f>IFERROR(__xludf.DUMMYFUNCTION("IF(ISBLANK(A115),,FILTER('Leetcode List'!E:J,'Leetcode List'!A:A = A115))"),"Databricks,Houzz,Tableau,Salesforce,Twitter,Yelp,Apple,Uber,Adobe,Facebook,Amazon,Microsoft,Goldman Sachs,Google")</f>
        <v>Databricks,Houzz,Tableau,Salesforce,Twitter,Yelp,Apple,Uber,Adobe,Facebook,Amazon,Microsoft,Goldman Sachs,Google</v>
      </c>
      <c r="F115" s="47" t="str">
        <f>IFERROR(__xludf.DUMMYFUNCTION("""COMPUTED_VALUE"""),"Microsoft,Amazon,Google,Twitter")</f>
        <v>Microsoft,Amazon,Google,Twitter</v>
      </c>
      <c r="G115" s="47" t="str">
        <f>IFERROR(__xludf.DUMMYFUNCTION("""COMPUTED_VALUE"""),"Facebook,Adobe,Microsoft,Amazon,Google,Twitter")</f>
        <v>Facebook,Adobe,Microsoft,Amazon,Google,Twitter</v>
      </c>
      <c r="H115" s="47" t="str">
        <f>IFERROR(__xludf.DUMMYFUNCTION("""COMPUTED_VALUE"""),"Databricks,Uber,Apple,Goldman Sachs,Salesforce,Tableau,Yelp,Facebook,Adobe,Microsoft,Amazon,Google,Twitter")</f>
        <v>Databricks,Uber,Apple,Goldman Sachs,Salesforce,Tableau,Yelp,Facebook,Adobe,Microsoft,Amazon,Google,Twitter</v>
      </c>
      <c r="I115" s="47">
        <f>IFERROR(__xludf.DUMMYFUNCTION("""COMPUTED_VALUE"""),36.44)</f>
        <v>36.44</v>
      </c>
      <c r="J115" s="47" t="str">
        <f>IFERROR(__xludf.DUMMYFUNCTION("""COMPUTED_VALUE"""),"算法")</f>
        <v>算法</v>
      </c>
      <c r="L115" s="6">
        <f>COUNTIF('Coder-1'!B:B,A115)</f>
        <v>0</v>
      </c>
      <c r="M115" s="6">
        <f>COUNTIF('Coder-2'!B:B,A115)</f>
        <v>0</v>
      </c>
      <c r="N115" s="6">
        <f>COUNTIF('Coder-3'!B:B,A115)</f>
        <v>0</v>
      </c>
      <c r="O115" s="6">
        <f>COUNTIF('Coder-4'!B:B,A115)</f>
        <v>0</v>
      </c>
    </row>
    <row r="116">
      <c r="A116" s="83">
        <v>699.0</v>
      </c>
      <c r="B116" s="86" t="str">
        <f>IFERROR(__xludf.DUMMYFUNCTION("IF(ISBLANK(A116),,FILTER('Leetcode List'!B:C,'Leetcode List'!A:A = A116))"),"Falling Squares")</f>
        <v>Falling Squares</v>
      </c>
      <c r="C116" s="46" t="str">
        <f>IFERROR(__xludf.DUMMYFUNCTION("""COMPUTED_VALUE"""),"Hard")</f>
        <v>Hard</v>
      </c>
      <c r="D116" s="83" t="s">
        <v>63</v>
      </c>
      <c r="E116" s="87" t="str">
        <f>IFERROR(__xludf.DUMMYFUNCTION("IF(ISBLANK(A116),,FILTER('Leetcode List'!E:J,'Leetcode List'!A:A = A116))"),"Square,Uber,Amazon")</f>
        <v>Square,Uber,Amazon</v>
      </c>
      <c r="F116" s="47"/>
      <c r="G116" s="47"/>
      <c r="H116" s="47" t="str">
        <f>IFERROR(__xludf.DUMMYFUNCTION("""COMPUTED_VALUE"""),"Amazon,Uber,Square")</f>
        <v>Amazon,Uber,Square</v>
      </c>
      <c r="I116" s="47">
        <f>IFERROR(__xludf.DUMMYFUNCTION("""COMPUTED_VALUE"""),42.62)</f>
        <v>42.62</v>
      </c>
      <c r="J116" s="47" t="str">
        <f>IFERROR(__xludf.DUMMYFUNCTION("""COMPUTED_VALUE"""),"算法")</f>
        <v>算法</v>
      </c>
      <c r="L116" s="6">
        <f>COUNTIF('Coder-1'!B:B,A116)</f>
        <v>0</v>
      </c>
      <c r="M116" s="6">
        <f>COUNTIF('Coder-2'!B:B,A116)</f>
        <v>0</v>
      </c>
      <c r="N116" s="6">
        <f>COUNTIF('Coder-3'!B:B,A116)</f>
        <v>0</v>
      </c>
      <c r="O116" s="6">
        <f>COUNTIF('Coder-4'!B:B,A116)</f>
        <v>0</v>
      </c>
    </row>
    <row r="117">
      <c r="A117" s="83">
        <v>715.0</v>
      </c>
      <c r="B117" s="86" t="str">
        <f>IFERROR(__xludf.DUMMYFUNCTION("IF(ISBLANK(A117),,FILTER('Leetcode List'!B:C,'Leetcode List'!A:A = A117))"),"Range Module")</f>
        <v>Range Module</v>
      </c>
      <c r="C117" s="46" t="str">
        <f>IFERROR(__xludf.DUMMYFUNCTION("""COMPUTED_VALUE"""),"Hard")</f>
        <v>Hard</v>
      </c>
      <c r="D117" s="83" t="s">
        <v>63</v>
      </c>
      <c r="E117" s="87" t="str">
        <f>IFERROR(__xludf.DUMMYFUNCTION("IF(ISBLANK(A117),,FILTER('Leetcode List'!E:J,'Leetcode List'!A:A = A117))"),"Machine Zone,Coupang,Oracle,Amazon,LinkedIn,Google")</f>
        <v>Machine Zone,Coupang,Oracle,Amazon,LinkedIn,Google</v>
      </c>
      <c r="F117" s="47" t="str">
        <f>IFERROR(__xludf.DUMMYFUNCTION("""COMPUTED_VALUE"""),"Google,Amazon")</f>
        <v>Google,Amazon</v>
      </c>
      <c r="G117" s="47" t="str">
        <f>IFERROR(__xludf.DUMMYFUNCTION("""COMPUTED_VALUE"""),"Google,Amazon")</f>
        <v>Google,Amazon</v>
      </c>
      <c r="H117" s="47" t="str">
        <f>IFERROR(__xludf.DUMMYFUNCTION("""COMPUTED_VALUE"""),"Oracle,Machine Zone,Coupang,Google,Amazon")</f>
        <v>Oracle,Machine Zone,Coupang,Google,Amazon</v>
      </c>
      <c r="I117" s="47">
        <f>IFERROR(__xludf.DUMMYFUNCTION("""COMPUTED_VALUE"""),40.37)</f>
        <v>40.37</v>
      </c>
      <c r="J117" s="47" t="str">
        <f>IFERROR(__xludf.DUMMYFUNCTION("""COMPUTED_VALUE"""),"算法")</f>
        <v>算法</v>
      </c>
      <c r="L117" s="6">
        <f>COUNTIF('Coder-1'!B:B,A117)</f>
        <v>0</v>
      </c>
      <c r="M117" s="6">
        <f>COUNTIF('Coder-2'!B:B,A117)</f>
        <v>0</v>
      </c>
      <c r="N117" s="6">
        <f>COUNTIF('Coder-3'!B:B,A117)</f>
        <v>0</v>
      </c>
      <c r="O117" s="6">
        <f>COUNTIF('Coder-4'!B:B,A117)</f>
        <v>0</v>
      </c>
    </row>
    <row r="118">
      <c r="A118" s="83">
        <v>729.0</v>
      </c>
      <c r="B118" s="86" t="str">
        <f>IFERROR(__xludf.DUMMYFUNCTION("IF(ISBLANK(A118),,FILTER('Leetcode List'!B:C,'Leetcode List'!A:A = A118))"),"My Calendar I")</f>
        <v>My Calendar I</v>
      </c>
      <c r="C118" s="46" t="str">
        <f>IFERROR(__xludf.DUMMYFUNCTION("""COMPUTED_VALUE"""),"Medium")</f>
        <v>Medium</v>
      </c>
      <c r="D118" s="83" t="s">
        <v>63</v>
      </c>
      <c r="E118" s="87" t="str">
        <f>IFERROR(__xludf.DUMMYFUNCTION("IF(ISBLANK(A118),,FILTER('Leetcode List'!E:J,'Leetcode List'!A:A = A118))"),"Qualtrics,Wish,Bloomberg,Intuit,Apple,Uber,Amazon,Microsoft,Google")</f>
        <v>Qualtrics,Wish,Bloomberg,Intuit,Apple,Uber,Amazon,Microsoft,Google</v>
      </c>
      <c r="F118" s="47" t="str">
        <f>IFERROR(__xludf.DUMMYFUNCTION("""COMPUTED_VALUE"""),"Google,Intuit,Amazon,Qualtrics")</f>
        <v>Google,Intuit,Amazon,Qualtrics</v>
      </c>
      <c r="G118" s="47" t="str">
        <f>IFERROR(__xludf.DUMMYFUNCTION("""COMPUTED_VALUE"""),"Bloomberg,Apple,Google,Intuit,Amazon,Qualtrics")</f>
        <v>Bloomberg,Apple,Google,Intuit,Amazon,Qualtrics</v>
      </c>
      <c r="H118" s="47" t="str">
        <f>IFERROR(__xludf.DUMMYFUNCTION("""COMPUTED_VALUE"""),"Uber,Microsoft,Wish,Bloomberg,Apple,Google,Intuit,Amazon,Qualtrics")</f>
        <v>Uber,Microsoft,Wish,Bloomberg,Apple,Google,Intuit,Amazon,Qualtrics</v>
      </c>
      <c r="I118" s="47">
        <f>IFERROR(__xludf.DUMMYFUNCTION("""COMPUTED_VALUE"""),53.46)</f>
        <v>53.46</v>
      </c>
      <c r="J118" s="47" t="str">
        <f>IFERROR(__xludf.DUMMYFUNCTION("""COMPUTED_VALUE"""),"算法")</f>
        <v>算法</v>
      </c>
      <c r="L118" s="6">
        <f>COUNTIF('Coder-1'!B:B,A118)</f>
        <v>0</v>
      </c>
      <c r="M118" s="6">
        <f>COUNTIF('Coder-2'!B:B,A118)</f>
        <v>0</v>
      </c>
      <c r="N118" s="6">
        <f>COUNTIF('Coder-3'!B:B,A118)</f>
        <v>0</v>
      </c>
      <c r="O118" s="6">
        <f>COUNTIF('Coder-4'!B:B,A118)</f>
        <v>0</v>
      </c>
    </row>
    <row r="119">
      <c r="A119" s="83">
        <v>975.0</v>
      </c>
      <c r="B119" s="86" t="str">
        <f>IFERROR(__xludf.DUMMYFUNCTION("IF(ISBLANK(A119),,FILTER('Leetcode List'!B:C,'Leetcode List'!A:A = A119))"),"Odd Even Jump")</f>
        <v>Odd Even Jump</v>
      </c>
      <c r="C119" s="46" t="str">
        <f>IFERROR(__xludf.DUMMYFUNCTION("""COMPUTED_VALUE"""),"Hard")</f>
        <v>Hard</v>
      </c>
      <c r="D119" s="83" t="s">
        <v>63</v>
      </c>
      <c r="E119" s="87" t="str">
        <f>IFERROR(__xludf.DUMMYFUNCTION("IF(ISBLANK(A119),,FILTER('Leetcode List'!E:J,'Leetcode List'!A:A = A119))"),"Google")</f>
        <v>Google</v>
      </c>
      <c r="F119" s="47"/>
      <c r="G119" s="47"/>
      <c r="H119" s="47" t="str">
        <f>IFERROR(__xludf.DUMMYFUNCTION("""COMPUTED_VALUE"""),"Google")</f>
        <v>Google</v>
      </c>
      <c r="I119" s="47">
        <f>IFERROR(__xludf.DUMMYFUNCTION("""COMPUTED_VALUE"""),41.53)</f>
        <v>41.53</v>
      </c>
      <c r="J119" s="47" t="str">
        <f>IFERROR(__xludf.DUMMYFUNCTION("""COMPUTED_VALUE"""),"算法")</f>
        <v>算法</v>
      </c>
      <c r="L119" s="6">
        <f>COUNTIF('Coder-1'!B:B,A119)</f>
        <v>0</v>
      </c>
      <c r="M119" s="6">
        <f>COUNTIF('Coder-2'!B:B,A119)</f>
        <v>0</v>
      </c>
      <c r="N119" s="6">
        <f>COUNTIF('Coder-3'!B:B,A119)</f>
        <v>0</v>
      </c>
      <c r="O119" s="6">
        <f>COUNTIF('Coder-4'!B:B,A119)</f>
        <v>0</v>
      </c>
    </row>
    <row r="120">
      <c r="A120" s="83">
        <v>1296.0</v>
      </c>
      <c r="B120" s="86" t="str">
        <f>IFERROR(__xludf.DUMMYFUNCTION("IF(ISBLANK(A120),,FILTER('Leetcode List'!B:C,'Leetcode List'!A:A = A120))"),"Divide Array in Sets of K Consecutive Numbers")</f>
        <v>Divide Array in Sets of K Consecutive Numbers</v>
      </c>
      <c r="C120" s="46" t="str">
        <f>IFERROR(__xludf.DUMMYFUNCTION("""COMPUTED_VALUE"""),"Medium")</f>
        <v>Medium</v>
      </c>
      <c r="D120" s="83" t="s">
        <v>63</v>
      </c>
      <c r="E120" s="87" t="str">
        <f>IFERROR(__xludf.DUMMYFUNCTION("IF(ISBLANK(A120),,FILTER('Leetcode List'!E:J,'Leetcode List'!A:A = A120))"),"Coupang,ByteDance,Goldman Sachs,Google")</f>
        <v>Coupang,ByteDance,Goldman Sachs,Google</v>
      </c>
      <c r="F120" s="47" t="str">
        <f>IFERROR(__xludf.DUMMYFUNCTION("""COMPUTED_VALUE"""),"Goldman Sachs,Google,ByteDance")</f>
        <v>Goldman Sachs,Google,ByteDance</v>
      </c>
      <c r="G120" s="47" t="str">
        <f>IFERROR(__xludf.DUMMYFUNCTION("""COMPUTED_VALUE"""),"Coupang,Goldman Sachs,Google,ByteDance")</f>
        <v>Coupang,Goldman Sachs,Google,ByteDance</v>
      </c>
      <c r="H120" s="47" t="str">
        <f>IFERROR(__xludf.DUMMYFUNCTION("""COMPUTED_VALUE"""),"Coupang,Goldman Sachs,Google,ByteDance")</f>
        <v>Coupang,Goldman Sachs,Google,ByteDance</v>
      </c>
      <c r="I120" s="47">
        <f>IFERROR(__xludf.DUMMYFUNCTION("""COMPUTED_VALUE"""),55.58)</f>
        <v>55.58</v>
      </c>
      <c r="J120" s="47" t="str">
        <f>IFERROR(__xludf.DUMMYFUNCTION("""COMPUTED_VALUE"""),"算法")</f>
        <v>算法</v>
      </c>
      <c r="L120" s="6">
        <f>COUNTIF('Coder-1'!B:B,A120)</f>
        <v>0</v>
      </c>
      <c r="M120" s="6">
        <f>COUNTIF('Coder-2'!B:B,A120)</f>
        <v>0</v>
      </c>
      <c r="N120" s="6">
        <f>COUNTIF('Coder-3'!B:B,A120)</f>
        <v>0</v>
      </c>
      <c r="O120" s="6">
        <f>COUNTIF('Coder-4'!B:B,A120)</f>
        <v>0</v>
      </c>
    </row>
    <row r="121">
      <c r="A121" s="46">
        <v>1348.0</v>
      </c>
      <c r="B121" s="86" t="str">
        <f>IFERROR(__xludf.DUMMYFUNCTION("IF(ISBLANK(A121),,FILTER('Leetcode List'!B:C,'Leetcode List'!A:A = A121))"),"Tweet Counts Per Frequency")</f>
        <v>Tweet Counts Per Frequency</v>
      </c>
      <c r="C121" s="46" t="str">
        <f>IFERROR(__xludf.DUMMYFUNCTION("""COMPUTED_VALUE"""),"Medium")</f>
        <v>Medium</v>
      </c>
      <c r="D121" s="83" t="s">
        <v>63</v>
      </c>
      <c r="E121" s="87" t="str">
        <f>IFERROR(__xludf.DUMMYFUNCTION("IF(ISBLANK(A121),,FILTER('Leetcode List'!E:J,'Leetcode List'!A:A = A121))"),"Twitter")</f>
        <v>Twitter</v>
      </c>
      <c r="F121" s="47" t="str">
        <f>IFERROR(__xludf.DUMMYFUNCTION("""COMPUTED_VALUE"""),"Twitter")</f>
        <v>Twitter</v>
      </c>
      <c r="G121" s="47" t="str">
        <f>IFERROR(__xludf.DUMMYFUNCTION("""COMPUTED_VALUE"""),"Twitter")</f>
        <v>Twitter</v>
      </c>
      <c r="H121" s="47" t="str">
        <f>IFERROR(__xludf.DUMMYFUNCTION("""COMPUTED_VALUE"""),"Twitter")</f>
        <v>Twitter</v>
      </c>
      <c r="I121" s="47">
        <f>IFERROR(__xludf.DUMMYFUNCTION("""COMPUTED_VALUE"""),36.55)</f>
        <v>36.55</v>
      </c>
      <c r="J121" s="47" t="str">
        <f>IFERROR(__xludf.DUMMYFUNCTION("""COMPUTED_VALUE"""),"算法")</f>
        <v>算法</v>
      </c>
      <c r="L121" s="6">
        <f>COUNTIF('Coder-1'!B:B,A121)</f>
        <v>0</v>
      </c>
      <c r="M121" s="6">
        <f>COUNTIF('Coder-2'!B:B,A121)</f>
        <v>0</v>
      </c>
      <c r="N121" s="6">
        <f>COUNTIF('Coder-3'!B:B,A121)</f>
        <v>0</v>
      </c>
      <c r="O121" s="6">
        <f>COUNTIF('Coder-4'!B:B,A121)</f>
        <v>0</v>
      </c>
    </row>
    <row r="122">
      <c r="A122" s="83">
        <v>1439.0</v>
      </c>
      <c r="B122" s="86" t="str">
        <f>IFERROR(__xludf.DUMMYFUNCTION("IF(ISBLANK(A122),,FILTER('Leetcode List'!B:C,'Leetcode List'!A:A = A122))"),"Find the Kth Smallest Sum of a Matrix With Sorted Rows")</f>
        <v>Find the Kth Smallest Sum of a Matrix With Sorted Rows</v>
      </c>
      <c r="C122" s="46" t="str">
        <f>IFERROR(__xludf.DUMMYFUNCTION("""COMPUTED_VALUE"""),"Hard")</f>
        <v>Hard</v>
      </c>
      <c r="D122" s="83" t="s">
        <v>63</v>
      </c>
      <c r="E122" s="87" t="str">
        <f>IFERROR(__xludf.DUMMYFUNCTION("IF(ISBLANK(A122),,FILTER('Leetcode List'!E:J,'Leetcode List'!A:A = A122))"),"Facebook")</f>
        <v>Facebook</v>
      </c>
      <c r="F122" s="47" t="str">
        <f>IFERROR(__xludf.DUMMYFUNCTION("""COMPUTED_VALUE"""),"Facebook")</f>
        <v>Facebook</v>
      </c>
      <c r="G122" s="47" t="str">
        <f>IFERROR(__xludf.DUMMYFUNCTION("""COMPUTED_VALUE"""),"Facebook")</f>
        <v>Facebook</v>
      </c>
      <c r="H122" s="47" t="str">
        <f>IFERROR(__xludf.DUMMYFUNCTION("""COMPUTED_VALUE"""),"Facebook")</f>
        <v>Facebook</v>
      </c>
      <c r="I122" s="47">
        <f>IFERROR(__xludf.DUMMYFUNCTION("""COMPUTED_VALUE"""),60.12)</f>
        <v>60.12</v>
      </c>
      <c r="J122" s="47" t="str">
        <f>IFERROR(__xludf.DUMMYFUNCTION("""COMPUTED_VALUE"""),"算法")</f>
        <v>算法</v>
      </c>
      <c r="L122" s="6">
        <f>COUNTIF('Coder-1'!B:B,A122)</f>
        <v>0</v>
      </c>
      <c r="M122" s="6">
        <f>COUNTIF('Coder-2'!B:B,A122)</f>
        <v>0</v>
      </c>
      <c r="N122" s="6">
        <f>COUNTIF('Coder-3'!B:B,A122)</f>
        <v>0</v>
      </c>
      <c r="O122" s="6">
        <f>COUNTIF('Coder-4'!B:B,A122)</f>
        <v>0</v>
      </c>
    </row>
    <row r="123">
      <c r="A123" s="83">
        <v>1606.0</v>
      </c>
      <c r="B123" s="86" t="str">
        <f>IFERROR(__xludf.DUMMYFUNCTION("IF(ISBLANK(A123),,FILTER('Leetcode List'!B:C,'Leetcode List'!A:A = A123))"),"Find Servers That Handled Most Number of Requests")</f>
        <v>Find Servers That Handled Most Number of Requests</v>
      </c>
      <c r="C123" s="46" t="str">
        <f>IFERROR(__xludf.DUMMYFUNCTION("""COMPUTED_VALUE"""),"Hard")</f>
        <v>Hard</v>
      </c>
      <c r="D123" s="83" t="s">
        <v>63</v>
      </c>
      <c r="E123" s="87" t="str">
        <f>IFERROR(__xludf.DUMMYFUNCTION("IF(ISBLANK(A123),,FILTER('Leetcode List'!E:J,'Leetcode List'!A:A = A123))"),"Wish")</f>
        <v>Wish</v>
      </c>
      <c r="F123" s="47"/>
      <c r="G123" s="47"/>
      <c r="H123" s="47" t="str">
        <f>IFERROR(__xludf.DUMMYFUNCTION("""COMPUTED_VALUE"""),"Wish")</f>
        <v>Wish</v>
      </c>
      <c r="I123" s="47">
        <f>IFERROR(__xludf.DUMMYFUNCTION("""COMPUTED_VALUE"""),37.2)</f>
        <v>37.2</v>
      </c>
      <c r="J123" s="47" t="str">
        <f>IFERROR(__xludf.DUMMYFUNCTION("""COMPUTED_VALUE"""),"算法")</f>
        <v>算法</v>
      </c>
      <c r="L123" s="6">
        <f>COUNTIF('Coder-1'!B:B,A123)</f>
        <v>0</v>
      </c>
      <c r="M123" s="6">
        <f>COUNTIF('Coder-2'!B:B,A123)</f>
        <v>0</v>
      </c>
      <c r="N123" s="6">
        <f>COUNTIF('Coder-3'!B:B,A123)</f>
        <v>0</v>
      </c>
      <c r="O123" s="6">
        <f>COUNTIF('Coder-4'!B:B,A123)</f>
        <v>0</v>
      </c>
    </row>
    <row r="124">
      <c r="A124" s="83">
        <v>270.0</v>
      </c>
      <c r="B124" s="86" t="str">
        <f>IFERROR(__xludf.DUMMYFUNCTION("IF(ISBLANK(A124),,FILTER('Leetcode List'!B:C,'Leetcode List'!A:A = A124))"),"Closest Binary Search Tree Value")</f>
        <v>Closest Binary Search Tree Value</v>
      </c>
      <c r="C124" s="83" t="str">
        <f>IFERROR(__xludf.DUMMYFUNCTION("""COMPUTED_VALUE"""),"Easy")</f>
        <v>Easy</v>
      </c>
      <c r="D124" s="83" t="s">
        <v>320</v>
      </c>
      <c r="E124" s="87" t="str">
        <f>IFERROR(__xludf.DUMMYFUNCTION("IF(ISBLANK(A124),,FILTER('Leetcode List'!E:J,'Leetcode List'!A:A = A124))"),"Coupang,Snapchat,Bloomberg,Facebook,Amazon,LinkedIn,Microsoft,Google")</f>
        <v>Coupang,Snapchat,Bloomberg,Facebook,Amazon,LinkedIn,Microsoft,Google</v>
      </c>
      <c r="F124" s="47" t="str">
        <f>IFERROR(__xludf.DUMMYFUNCTION("""COMPUTED_VALUE"""),"Facebook,Bloomberg,Microsoft")</f>
        <v>Facebook,Bloomberg,Microsoft</v>
      </c>
      <c r="G124" s="47" t="str">
        <f>IFERROR(__xludf.DUMMYFUNCTION("""COMPUTED_VALUE"""),"Amazon,Facebook,Bloomberg,Microsoft")</f>
        <v>Amazon,Facebook,Bloomberg,Microsoft</v>
      </c>
      <c r="H124" s="47" t="str">
        <f>IFERROR(__xludf.DUMMYFUNCTION("""COMPUTED_VALUE"""),"Google,Coupang,Snapchat,Amazon,Facebook,Bloomberg,Microsoft")</f>
        <v>Google,Coupang,Snapchat,Amazon,Facebook,Bloomberg,Microsoft</v>
      </c>
      <c r="I124" s="47">
        <f>IFERROR(__xludf.DUMMYFUNCTION("""COMPUTED_VALUE"""),50.09)</f>
        <v>50.09</v>
      </c>
      <c r="J124" s="47" t="str">
        <f>IFERROR(__xludf.DUMMYFUNCTION("""COMPUTED_VALUE"""),"算法")</f>
        <v>算法</v>
      </c>
      <c r="L124" s="6">
        <f>COUNTIF('Coder-1'!B:B,A124)</f>
        <v>0</v>
      </c>
      <c r="M124" s="6">
        <f>COUNTIF('Coder-2'!B:B,A124)</f>
        <v>0</v>
      </c>
      <c r="N124" s="6">
        <f>COUNTIF('Coder-3'!B:B,A124)</f>
        <v>0</v>
      </c>
      <c r="O124" s="6">
        <f>COUNTIF('Coder-4'!B:B,A124)</f>
        <v>0</v>
      </c>
    </row>
    <row r="125">
      <c r="A125" s="83">
        <v>95.0</v>
      </c>
      <c r="B125" s="86" t="str">
        <f>IFERROR(__xludf.DUMMYFUNCTION("IF(ISBLANK(A125),,FILTER('Leetcode List'!B:C,'Leetcode List'!A:A = A125))"),"Unique Binary Search Trees II")</f>
        <v>Unique Binary Search Trees II</v>
      </c>
      <c r="C125" s="83" t="str">
        <f>IFERROR(__xludf.DUMMYFUNCTION("""COMPUTED_VALUE"""),"Medium")</f>
        <v>Medium</v>
      </c>
      <c r="D125" s="83" t="s">
        <v>320</v>
      </c>
      <c r="E125" s="87" t="str">
        <f>IFERROR(__xludf.DUMMYFUNCTION("IF(ISBLANK(A125),,FILTER('Leetcode List'!E:J,'Leetcode List'!A:A = A125))"),"Apple,Yahoo,Adobe,Facebook,Amazon,Microsoft,Google")</f>
        <v>Apple,Yahoo,Adobe,Facebook,Amazon,Microsoft,Google</v>
      </c>
      <c r="F125" s="47" t="str">
        <f>IFERROR(__xludf.DUMMYFUNCTION("""COMPUTED_VALUE"""),"Amazon,Google")</f>
        <v>Amazon,Google</v>
      </c>
      <c r="G125" s="47" t="str">
        <f>IFERROR(__xludf.DUMMYFUNCTION("""COMPUTED_VALUE"""),"Amazon,Google")</f>
        <v>Amazon,Google</v>
      </c>
      <c r="H125" s="47" t="str">
        <f>IFERROR(__xludf.DUMMYFUNCTION("""COMPUTED_VALUE"""),"Yahoo,Apple,Microsoft,Facebook,Amazon,Google")</f>
        <v>Yahoo,Apple,Microsoft,Facebook,Amazon,Google</v>
      </c>
      <c r="I125" s="47">
        <f>IFERROR(__xludf.DUMMYFUNCTION("""COMPUTED_VALUE"""),42.8)</f>
        <v>42.8</v>
      </c>
      <c r="J125" s="47" t="str">
        <f>IFERROR(__xludf.DUMMYFUNCTION("""COMPUTED_VALUE"""),"算法")</f>
        <v>算法</v>
      </c>
      <c r="L125" s="6">
        <f>COUNTIF('Coder-1'!B:B,A125)</f>
        <v>0</v>
      </c>
      <c r="M125" s="6">
        <f>COUNTIF('Coder-2'!B:B,A125)</f>
        <v>0</v>
      </c>
      <c r="N125" s="6">
        <f>COUNTIF('Coder-3'!B:B,A125)</f>
        <v>0</v>
      </c>
      <c r="O125" s="6">
        <f>COUNTIF('Coder-4'!B:B,A125)</f>
        <v>0</v>
      </c>
    </row>
    <row r="126">
      <c r="A126" s="83">
        <v>94.0</v>
      </c>
      <c r="B126" s="86" t="str">
        <f>IFERROR(__xludf.DUMMYFUNCTION("IF(ISBLANK(A126),,FILTER('Leetcode List'!B:C,'Leetcode List'!A:A = A126))"),"Binary Tree Inorder Traversal")</f>
        <v>Binary Tree Inorder Traversal</v>
      </c>
      <c r="C126" s="83" t="str">
        <f>IFERROR(__xludf.DUMMYFUNCTION("""COMPUTED_VALUE"""),"Medium")</f>
        <v>Medium</v>
      </c>
      <c r="D126" s="83" t="s">
        <v>320</v>
      </c>
      <c r="E126" s="87" t="str">
        <f>IFERROR(__xludf.DUMMYFUNCTION("IF(ISBLANK(A126),,FILTER('Leetcode List'!E:J,'Leetcode List'!A:A = A126))"),"Cisco,Goldman Sachs,ByteDance,Oracle,EBay,Apple,Uber,SAP,Bloomberg,Facebook,Amazon,Microsoft,Alibaba,Google")</f>
        <v>Cisco,Goldman Sachs,ByteDance,Oracle,EBay,Apple,Uber,SAP,Bloomberg,Facebook,Amazon,Microsoft,Alibaba,Google</v>
      </c>
      <c r="F126" s="47" t="str">
        <f>IFERROR(__xludf.DUMMYFUNCTION("""COMPUTED_VALUE"""),"Microsoft,Oracle,Facebook,Amazon")</f>
        <v>Microsoft,Oracle,Facebook,Amazon</v>
      </c>
      <c r="G126" s="47" t="str">
        <f>IFERROR(__xludf.DUMMYFUNCTION("""COMPUTED_VALUE"""),"Google,Apple,Bloomberg,Microsoft,Oracle,Facebook,Amazon")</f>
        <v>Google,Apple,Bloomberg,Microsoft,Oracle,Facebook,Amazon</v>
      </c>
      <c r="H126" s="47" t="str">
        <f>IFERROR(__xludf.DUMMYFUNCTION("""COMPUTED_VALUE"""),"SAP,Cisco,Goldman Sachs,Google,Apple,Bloomberg,Microsoft,Oracle,Facebook,Amazon")</f>
        <v>SAP,Cisco,Goldman Sachs,Google,Apple,Bloomberg,Microsoft,Oracle,Facebook,Amazon</v>
      </c>
      <c r="I126" s="47">
        <f>IFERROR(__xludf.DUMMYFUNCTION("""COMPUTED_VALUE"""),66.07)</f>
        <v>66.07</v>
      </c>
      <c r="J126" s="47" t="str">
        <f>IFERROR(__xludf.DUMMYFUNCTION("""COMPUTED_VALUE"""),"算法")</f>
        <v>算法</v>
      </c>
      <c r="L126" s="6">
        <f>COUNTIF('Coder-1'!B:B,A126)</f>
        <v>0</v>
      </c>
      <c r="M126" s="6">
        <f>COUNTIF('Coder-2'!B:B,A126)</f>
        <v>0</v>
      </c>
      <c r="N126" s="6">
        <f>COUNTIF('Coder-3'!B:B,A126)</f>
        <v>0</v>
      </c>
      <c r="O126" s="6">
        <f>COUNTIF('Coder-4'!B:B,A126)</f>
        <v>0</v>
      </c>
    </row>
    <row r="127">
      <c r="A127" s="83">
        <v>144.0</v>
      </c>
      <c r="B127" s="86" t="str">
        <f>IFERROR(__xludf.DUMMYFUNCTION("IF(ISBLANK(A127),,FILTER('Leetcode List'!B:C,'Leetcode List'!A:A = A127))"),"Binary Tree Preorder Traversal")</f>
        <v>Binary Tree Preorder Traversal</v>
      </c>
      <c r="C127" s="83" t="str">
        <f>IFERROR(__xludf.DUMMYFUNCTION("""COMPUTED_VALUE"""),"Medium")</f>
        <v>Medium</v>
      </c>
      <c r="D127" s="83" t="s">
        <v>320</v>
      </c>
      <c r="E127" s="87" t="str">
        <f>IFERROR(__xludf.DUMMYFUNCTION("IF(ISBLANK(A127),,FILTER('Leetcode List'!E:J,'Leetcode List'!A:A = A127))"),"Oracle,Cisco,Bloomberg,Amazon,Microsoft,Google")</f>
        <v>Oracle,Cisco,Bloomberg,Amazon,Microsoft,Google</v>
      </c>
      <c r="F127" s="47" t="str">
        <f>IFERROR(__xludf.DUMMYFUNCTION("""COMPUTED_VALUE"""),"Amazon,Microsoft")</f>
        <v>Amazon,Microsoft</v>
      </c>
      <c r="G127" s="47" t="str">
        <f>IFERROR(__xludf.DUMMYFUNCTION("""COMPUTED_VALUE"""),"Google,Amazon,Microsoft")</f>
        <v>Google,Amazon,Microsoft</v>
      </c>
      <c r="H127" s="47" t="str">
        <f>IFERROR(__xludf.DUMMYFUNCTION("""COMPUTED_VALUE"""),"Oracle,Bloomberg,Google,Amazon,Microsoft")</f>
        <v>Oracle,Bloomberg,Google,Amazon,Microsoft</v>
      </c>
      <c r="I127" s="47">
        <f>IFERROR(__xludf.DUMMYFUNCTION("""COMPUTED_VALUE"""),57.66)</f>
        <v>57.66</v>
      </c>
      <c r="J127" s="47" t="str">
        <f>IFERROR(__xludf.DUMMYFUNCTION("""COMPUTED_VALUE"""),"算法")</f>
        <v>算法</v>
      </c>
      <c r="L127" s="6">
        <f>COUNTIF('Coder-1'!B:B,A127)</f>
        <v>0</v>
      </c>
      <c r="M127" s="6">
        <f>COUNTIF('Coder-2'!B:B,A127)</f>
        <v>0</v>
      </c>
      <c r="N127" s="6">
        <f>COUNTIF('Coder-3'!B:B,A127)</f>
        <v>0</v>
      </c>
      <c r="O127" s="6">
        <f>COUNTIF('Coder-4'!B:B,A127)</f>
        <v>0</v>
      </c>
    </row>
    <row r="128">
      <c r="A128" s="83">
        <v>145.0</v>
      </c>
      <c r="B128" s="86" t="str">
        <f>IFERROR(__xludf.DUMMYFUNCTION("IF(ISBLANK(A128),,FILTER('Leetcode List'!B:C,'Leetcode List'!A:A = A128))"),"Binary Tree Postorder Traversal")</f>
        <v>Binary Tree Postorder Traversal</v>
      </c>
      <c r="C128" s="83" t="str">
        <f>IFERROR(__xludf.DUMMYFUNCTION("""COMPUTED_VALUE"""),"Medium")</f>
        <v>Medium</v>
      </c>
      <c r="D128" s="83" t="s">
        <v>320</v>
      </c>
      <c r="E128" s="87" t="str">
        <f>IFERROR(__xludf.DUMMYFUNCTION("IF(ISBLANK(A128),,FILTER('Leetcode List'!E:J,'Leetcode List'!A:A = A128))"),"Microsoft,Uber,Adobe,Facebook,Amazon,Google")</f>
        <v>Microsoft,Uber,Adobe,Facebook,Amazon,Google</v>
      </c>
      <c r="F128" s="47" t="str">
        <f>IFERROR(__xludf.DUMMYFUNCTION("""COMPUTED_VALUE"""),"Amazon")</f>
        <v>Amazon</v>
      </c>
      <c r="G128" s="47" t="str">
        <f>IFERROR(__xludf.DUMMYFUNCTION("""COMPUTED_VALUE"""),"Facebook,Microsoft,Amazon")</f>
        <v>Facebook,Microsoft,Amazon</v>
      </c>
      <c r="H128" s="47" t="str">
        <f>IFERROR(__xludf.DUMMYFUNCTION("""COMPUTED_VALUE"""),"Google,Uber,Facebook,Microsoft,Amazon")</f>
        <v>Google,Uber,Facebook,Microsoft,Amazon</v>
      </c>
      <c r="I128" s="47">
        <f>IFERROR(__xludf.DUMMYFUNCTION("""COMPUTED_VALUE"""),57.82)</f>
        <v>57.82</v>
      </c>
      <c r="J128" s="47" t="str">
        <f>IFERROR(__xludf.DUMMYFUNCTION("""COMPUTED_VALUE"""),"算法")</f>
        <v>算法</v>
      </c>
      <c r="L128" s="6">
        <f>COUNTIF('Coder-1'!B:B,A128)</f>
        <v>0</v>
      </c>
      <c r="M128" s="6">
        <f>COUNTIF('Coder-2'!B:B,A128)</f>
        <v>0</v>
      </c>
      <c r="N128" s="6">
        <f>COUNTIF('Coder-3'!B:B,A128)</f>
        <v>0</v>
      </c>
      <c r="O128" s="6">
        <f>COUNTIF('Coder-4'!B:B,A128)</f>
        <v>0</v>
      </c>
    </row>
    <row r="129">
      <c r="A129" s="83">
        <v>110.0</v>
      </c>
      <c r="B129" s="86" t="str">
        <f>IFERROR(__xludf.DUMMYFUNCTION("IF(ISBLANK(A129),,FILTER('Leetcode List'!B:C,'Leetcode List'!A:A = A129))"),"Balanced Binary Tree")</f>
        <v>Balanced Binary Tree</v>
      </c>
      <c r="C129" s="83" t="str">
        <f>IFERROR(__xludf.DUMMYFUNCTION("""COMPUTED_VALUE"""),"Easy")</f>
        <v>Easy</v>
      </c>
      <c r="D129" s="83" t="s">
        <v>320</v>
      </c>
      <c r="E129" s="87" t="str">
        <f>IFERROR(__xludf.DUMMYFUNCTION("IF(ISBLANK(A129),,FILTER('Leetcode List'!E:J,'Leetcode List'!A:A = A129))"),"ByteDance,VMware,Cisco,Apple,Bloomberg,Adobe,Facebook,Amazon,Microsoft,Google")</f>
        <v>ByteDance,VMware,Cisco,Apple,Bloomberg,Adobe,Facebook,Amazon,Microsoft,Google</v>
      </c>
      <c r="F129" s="47" t="str">
        <f>IFERROR(__xludf.DUMMYFUNCTION("""COMPUTED_VALUE"""),"Amazon,Google")</f>
        <v>Amazon,Google</v>
      </c>
      <c r="G129" s="47" t="str">
        <f>IFERROR(__xludf.DUMMYFUNCTION("""COMPUTED_VALUE"""),"Microsoft,Bloomberg,ByteDance,Amazon,Google")</f>
        <v>Microsoft,Bloomberg,ByteDance,Amazon,Google</v>
      </c>
      <c r="H129" s="47" t="str">
        <f>IFERROR(__xludf.DUMMYFUNCTION("""COMPUTED_VALUE"""),"Facebook,Adobe,VMware,Apple,Microsoft,Bloomberg,ByteDance,Amazon,Google")</f>
        <v>Facebook,Adobe,VMware,Apple,Microsoft,Bloomberg,ByteDance,Amazon,Google</v>
      </c>
      <c r="I129" s="47">
        <f>IFERROR(__xludf.DUMMYFUNCTION("""COMPUTED_VALUE"""),44.77)</f>
        <v>44.77</v>
      </c>
      <c r="J129" s="47" t="str">
        <f>IFERROR(__xludf.DUMMYFUNCTION("""COMPUTED_VALUE"""),"算法")</f>
        <v>算法</v>
      </c>
      <c r="L129" s="6">
        <f>COUNTIF('Coder-1'!B:B,A129)</f>
        <v>0</v>
      </c>
      <c r="M129" s="6">
        <f>COUNTIF('Coder-2'!B:B,A129)</f>
        <v>0</v>
      </c>
      <c r="N129" s="6">
        <f>COUNTIF('Coder-3'!B:B,A129)</f>
        <v>0</v>
      </c>
      <c r="O129" s="6">
        <f>COUNTIF('Coder-4'!B:B,A129)</f>
        <v>0</v>
      </c>
    </row>
    <row r="130">
      <c r="A130" s="83">
        <v>124.0</v>
      </c>
      <c r="B130" s="86" t="str">
        <f>IFERROR(__xludf.DUMMYFUNCTION("IF(ISBLANK(A130),,FILTER('Leetcode List'!B:C,'Leetcode List'!A:A = A130))"),"Binary Tree Maximum Path Sum")</f>
        <v>Binary Tree Maximum Path Sum</v>
      </c>
      <c r="C130" s="83" t="str">
        <f>IFERROR(__xludf.DUMMYFUNCTION("""COMPUTED_VALUE"""),"Hard")</f>
        <v>Hard</v>
      </c>
      <c r="D130" s="83" t="s">
        <v>320</v>
      </c>
      <c r="E130" s="87" t="str">
        <f>IFERROR(__xludf.DUMMYFUNCTION("IF(ISBLANK(A130),,FILTER('Leetcode List'!E:J,'Leetcode List'!A:A = A130))"),"Oracle,Yahoo,AppDynamics,ByteDance,VMware,Walmart Labs,Twitter,Intuit,Baidu,Apple,Uber,Bloomberg,Adobe,Facebook,Amazon,Microsoft,Google")</f>
        <v>Oracle,Yahoo,AppDynamics,ByteDance,VMware,Walmart Labs,Twitter,Intuit,Baidu,Apple,Uber,Bloomberg,Adobe,Facebook,Amazon,Microsoft,Google</v>
      </c>
      <c r="F130" s="47" t="str">
        <f>IFERROR(__xludf.DUMMYFUNCTION("""COMPUTED_VALUE"""),"Facebook,Amazon,Google,Microsoft,Bloomberg,Oracle,Adobe,Apple,Yahoo,ByteDance")</f>
        <v>Facebook,Amazon,Google,Microsoft,Bloomberg,Oracle,Adobe,Apple,Yahoo,ByteDance</v>
      </c>
      <c r="G130" s="47" t="str">
        <f>IFERROR(__xludf.DUMMYFUNCTION("""COMPUTED_VALUE"""),"Uber,Facebook,Amazon,Google,Microsoft,Bloomberg,Oracle,Adobe,Apple,Yahoo,ByteDance")</f>
        <v>Uber,Facebook,Amazon,Google,Microsoft,Bloomberg,Oracle,Adobe,Apple,Yahoo,ByteDance</v>
      </c>
      <c r="H130" s="47" t="str">
        <f>IFERROR(__xludf.DUMMYFUNCTION("""COMPUTED_VALUE"""),"Intuit,AppDynamics,Baidu,Uber,Facebook,Amazon,Google,Microsoft,Bloomberg,Oracle,Adobe,Apple,Yahoo,ByteDance")</f>
        <v>Intuit,AppDynamics,Baidu,Uber,Facebook,Amazon,Google,Microsoft,Bloomberg,Oracle,Adobe,Apple,Yahoo,ByteDance</v>
      </c>
      <c r="I130" s="47">
        <f>IFERROR(__xludf.DUMMYFUNCTION("""COMPUTED_VALUE"""),35.55)</f>
        <v>35.55</v>
      </c>
      <c r="J130" s="47" t="str">
        <f>IFERROR(__xludf.DUMMYFUNCTION("""COMPUTED_VALUE"""),"算法")</f>
        <v>算法</v>
      </c>
      <c r="L130" s="6">
        <f>COUNTIF('Coder-1'!B:B,A130)</f>
        <v>0</v>
      </c>
      <c r="M130" s="6">
        <f>COUNTIF('Coder-2'!B:B,A130)</f>
        <v>0</v>
      </c>
      <c r="N130" s="6">
        <f>COUNTIF('Coder-3'!B:B,A130)</f>
        <v>0</v>
      </c>
      <c r="O130" s="6">
        <f>COUNTIF('Coder-4'!B:B,A130)</f>
        <v>0</v>
      </c>
    </row>
    <row r="131">
      <c r="A131" s="83">
        <v>222.0</v>
      </c>
      <c r="B131" s="86" t="str">
        <f>IFERROR(__xludf.DUMMYFUNCTION("IF(ISBLANK(A131),,FILTER('Leetcode List'!B:C,'Leetcode List'!A:A = A131))"),"Count Complete Tree Nodes")</f>
        <v>Count Complete Tree Nodes</v>
      </c>
      <c r="C131" s="83" t="str">
        <f>IFERROR(__xludf.DUMMYFUNCTION("""COMPUTED_VALUE"""),"Medium")</f>
        <v>Medium</v>
      </c>
      <c r="D131" s="83" t="s">
        <v>320</v>
      </c>
      <c r="E131" s="87" t="str">
        <f>IFERROR(__xludf.DUMMYFUNCTION("IF(ISBLANK(A131),,FILTER('Leetcode List'!E:J,'Leetcode List'!A:A = A131))"),"ByteDance,Yahoo,Bloomberg,Facebook,Amazon,Microsoft,Google")</f>
        <v>ByteDance,Yahoo,Bloomberg,Facebook,Amazon,Microsoft,Google</v>
      </c>
      <c r="F131" s="47" t="str">
        <f>IFERROR(__xludf.DUMMYFUNCTION("""COMPUTED_VALUE"""),"Google,Bloomberg,Microsoft")</f>
        <v>Google,Bloomberg,Microsoft</v>
      </c>
      <c r="G131" s="47" t="str">
        <f>IFERROR(__xludf.DUMMYFUNCTION("""COMPUTED_VALUE"""),"Amazon,ByteDance,Google,Bloomberg,Microsoft")</f>
        <v>Amazon,ByteDance,Google,Bloomberg,Microsoft</v>
      </c>
      <c r="H131" s="47" t="str">
        <f>IFERROR(__xludf.DUMMYFUNCTION("""COMPUTED_VALUE"""),"Facebook,Amazon,ByteDance,Google,Bloomberg,Microsoft")</f>
        <v>Facebook,Amazon,ByteDance,Google,Bloomberg,Microsoft</v>
      </c>
      <c r="I131" s="47">
        <f>IFERROR(__xludf.DUMMYFUNCTION("""COMPUTED_VALUE"""),49.51)</f>
        <v>49.51</v>
      </c>
      <c r="J131" s="47" t="str">
        <f>IFERROR(__xludf.DUMMYFUNCTION("""COMPUTED_VALUE"""),"算法")</f>
        <v>算法</v>
      </c>
      <c r="L131" s="6">
        <f>COUNTIF('Coder-1'!B:B,A131)</f>
        <v>0</v>
      </c>
      <c r="M131" s="6">
        <f>COUNTIF('Coder-2'!B:B,A131)</f>
        <v>0</v>
      </c>
      <c r="N131" s="6">
        <f>COUNTIF('Coder-3'!B:B,A131)</f>
        <v>0</v>
      </c>
      <c r="O131" s="6">
        <f>COUNTIF('Coder-4'!B:B,A131)</f>
        <v>0</v>
      </c>
    </row>
    <row r="132">
      <c r="A132" s="83">
        <v>297.0</v>
      </c>
      <c r="B132" s="86" t="str">
        <f>IFERROR(__xludf.DUMMYFUNCTION("IF(ISBLANK(A132),,FILTER('Leetcode List'!B:C,'Leetcode List'!A:A = A132))"),"Serialize and Deserialize Binary Tree")</f>
        <v>Serialize and Deserialize Binary Tree</v>
      </c>
      <c r="C132" s="83" t="str">
        <f>IFERROR(__xludf.DUMMYFUNCTION("""COMPUTED_VALUE"""),"Hard")</f>
        <v>Hard</v>
      </c>
      <c r="D132" s="83" t="s">
        <v>320</v>
      </c>
      <c r="E132" s="87" t="str">
        <f>IFERROR(__xludf.DUMMYFUNCTION("IF(ISBLANK(A132),,FILTER('Leetcode List'!E:J,'Leetcode List'!A:A = A132))"),"Square,Walmart Labs,Paypal,Qualtrics,Tableau,Salesforce,Groupon,VMware,Citadel,Quora,Snapchat,Indeed,Expedia,Oracle,EBay,Apple,Uber,Yahoo,Bloomberg,Facebook,Amazon,LinkedIn,Microsoft,Google")</f>
        <v>Square,Walmart Labs,Paypal,Qualtrics,Tableau,Salesforce,Groupon,VMware,Citadel,Quora,Snapchat,Indeed,Expedia,Oracle,EBay,Apple,Uber,Yahoo,Bloomberg,Facebook,Amazon,LinkedIn,Microsoft,Google</v>
      </c>
      <c r="F132" s="47" t="str">
        <f>IFERROR(__xludf.DUMMYFUNCTION("""COMPUTED_VALUE"""),"Facebook,Amazon,Microsoft,LinkedIn,Uber,Bloomberg,eBay,Quora,Google,Oracle,Qualtrics,Citadel,Walmart Labs")</f>
        <v>Facebook,Amazon,Microsoft,LinkedIn,Uber,Bloomberg,eBay,Quora,Google,Oracle,Qualtrics,Citadel,Walmart Labs</v>
      </c>
      <c r="G132" s="47" t="str">
        <f>IFERROR(__xludf.DUMMYFUNCTION("""COMPUTED_VALUE"""),"Apple,Snapchat,VMware,Square,Facebook,Amazon,Microsoft,LinkedIn,Uber,Bloomberg,eBay,Quora,Google,Oracle,Qualtrics,Citadel,Walmart Labs")</f>
        <v>Apple,Snapchat,VMware,Square,Facebook,Amazon,Microsoft,LinkedIn,Uber,Bloomberg,eBay,Quora,Google,Oracle,Qualtrics,Citadel,Walmart Labs</v>
      </c>
      <c r="H132" s="47" t="str">
        <f>IFERROR(__xludf.DUMMYFUNCTION("""COMPUTED_VALUE"""),"Expedia,Paypal,Yahoo,Apple,Snapchat,VMware,Square,Facebook,Amazon,Microsoft,LinkedIn,Uber,Bloomberg,eBay,Quora,Google,Oracle,Qualtrics,Citadel,Walmart Labs")</f>
        <v>Expedia,Paypal,Yahoo,Apple,Snapchat,VMware,Square,Facebook,Amazon,Microsoft,LinkedIn,Uber,Bloomberg,eBay,Quora,Google,Oracle,Qualtrics,Citadel,Walmart Labs</v>
      </c>
      <c r="I132" s="47">
        <f>IFERROR(__xludf.DUMMYFUNCTION("""COMPUTED_VALUE"""),49.99)</f>
        <v>49.99</v>
      </c>
      <c r="J132" s="47" t="str">
        <f>IFERROR(__xludf.DUMMYFUNCTION("""COMPUTED_VALUE"""),"算法")</f>
        <v>算法</v>
      </c>
      <c r="L132" s="6">
        <f>COUNTIF('Coder-1'!B:B,A132)</f>
        <v>0</v>
      </c>
      <c r="M132" s="6">
        <f>COUNTIF('Coder-2'!B:B,A132)</f>
        <v>0</v>
      </c>
      <c r="N132" s="6">
        <f>COUNTIF('Coder-3'!B:B,A132)</f>
        <v>0</v>
      </c>
      <c r="O132" s="6">
        <f>COUNTIF('Coder-4'!B:B,A132)</f>
        <v>0</v>
      </c>
    </row>
    <row r="133">
      <c r="A133" s="83">
        <v>105.0</v>
      </c>
      <c r="B133" s="86" t="str">
        <f>IFERROR(__xludf.DUMMYFUNCTION("IF(ISBLANK(A133),,FILTER('Leetcode List'!B:C,'Leetcode List'!A:A = A133))"),"Construct Binary Tree from Preorder and Inorder Traversal")</f>
        <v>Construct Binary Tree from Preorder and Inorder Traversal</v>
      </c>
      <c r="C133" s="83" t="str">
        <f>IFERROR(__xludf.DUMMYFUNCTION("""COMPUTED_VALUE"""),"Medium")</f>
        <v>Medium</v>
      </c>
      <c r="D133" s="83" t="s">
        <v>320</v>
      </c>
      <c r="E133" s="87" t="str">
        <f>IFERROR(__xludf.DUMMYFUNCTION("IF(ISBLANK(A133),,FILTER('Leetcode List'!E:J,'Leetcode List'!A:A = A133))"),"Salesforce,Uber,Square,ByteDance,Citadel,Twitter,Oracle,Apple,Yahoo,Bloomberg,Adobe,Facebook,Amazon,Microsoft,Google")</f>
        <v>Salesforce,Uber,Square,ByteDance,Citadel,Twitter,Oracle,Apple,Yahoo,Bloomberg,Adobe,Facebook,Amazon,Microsoft,Google</v>
      </c>
      <c r="F133" s="47" t="str">
        <f>IFERROR(__xludf.DUMMYFUNCTION("""COMPUTED_VALUE"""),"Amazon,Microsoft,ByteDance,Facebook,Citadel,Oracle,Bloomberg")</f>
        <v>Amazon,Microsoft,ByteDance,Facebook,Citadel,Oracle,Bloomberg</v>
      </c>
      <c r="G133" s="47" t="str">
        <f>IFERROR(__xludf.DUMMYFUNCTION("""COMPUTED_VALUE"""),"Google,Apple,Amazon,Microsoft,ByteDance,Facebook,Citadel,Oracle,Bloomberg")</f>
        <v>Google,Apple,Amazon,Microsoft,ByteDance,Facebook,Citadel,Oracle,Bloomberg</v>
      </c>
      <c r="H133" s="47" t="str">
        <f>IFERROR(__xludf.DUMMYFUNCTION("""COMPUTED_VALUE"""),"Square,Salesforce,Twitter,Uber,Google,Apple,Amazon,Microsoft,ByteDance,Facebook,Citadel,Oracle,Bloomberg")</f>
        <v>Square,Salesforce,Twitter,Uber,Google,Apple,Amazon,Microsoft,ByteDance,Facebook,Citadel,Oracle,Bloomberg</v>
      </c>
      <c r="I133" s="47">
        <f>IFERROR(__xludf.DUMMYFUNCTION("""COMPUTED_VALUE"""),52.1)</f>
        <v>52.1</v>
      </c>
      <c r="J133" s="47" t="str">
        <f>IFERROR(__xludf.DUMMYFUNCTION("""COMPUTED_VALUE"""),"算法")</f>
        <v>算法</v>
      </c>
      <c r="L133" s="6">
        <f>COUNTIF('Coder-1'!B:B,A133)</f>
        <v>0</v>
      </c>
      <c r="M133" s="6">
        <f>COUNTIF('Coder-2'!B:B,A133)</f>
        <v>0</v>
      </c>
      <c r="N133" s="6">
        <f>COUNTIF('Coder-3'!B:B,A133)</f>
        <v>0</v>
      </c>
      <c r="O133" s="6">
        <f>COUNTIF('Coder-4'!B:B,A133)</f>
        <v>0</v>
      </c>
    </row>
    <row r="134">
      <c r="A134" s="83">
        <v>106.0</v>
      </c>
      <c r="B134" s="86" t="str">
        <f>IFERROR(__xludf.DUMMYFUNCTION("IF(ISBLANK(A134),,FILTER('Leetcode List'!B:C,'Leetcode List'!A:A = A134))"),"Construct Binary Tree from Inorder and Postorder Traversal")</f>
        <v>Construct Binary Tree from Inorder and Postorder Traversal</v>
      </c>
      <c r="C134" s="83" t="str">
        <f>IFERROR(__xludf.DUMMYFUNCTION("""COMPUTED_VALUE"""),"Medium")</f>
        <v>Medium</v>
      </c>
      <c r="D134" s="83" t="s">
        <v>320</v>
      </c>
      <c r="E134" s="87" t="str">
        <f>IFERROR(__xludf.DUMMYFUNCTION("IF(ISBLANK(A134),,FILTER('Leetcode List'!E:J,'Leetcode List'!A:A = A134))"),"Google,Twitter,Mathworks,Bloomberg,Facebook,Amazon,Microsoft")</f>
        <v>Google,Twitter,Mathworks,Bloomberg,Facebook,Amazon,Microsoft</v>
      </c>
      <c r="F134" s="47" t="str">
        <f>IFERROR(__xludf.DUMMYFUNCTION("""COMPUTED_VALUE"""),"Bloomberg,Microsoft")</f>
        <v>Bloomberg,Microsoft</v>
      </c>
      <c r="G134" s="47" t="str">
        <f>IFERROR(__xludf.DUMMYFUNCTION("""COMPUTED_VALUE"""),"Amazon,Bloomberg,Microsoft")</f>
        <v>Amazon,Bloomberg,Microsoft</v>
      </c>
      <c r="H134" s="47" t="str">
        <f>IFERROR(__xludf.DUMMYFUNCTION("""COMPUTED_VALUE"""),"Facebook,Google,Mathworks,Amazon,Bloomberg,Microsoft")</f>
        <v>Facebook,Google,Mathworks,Amazon,Bloomberg,Microsoft</v>
      </c>
      <c r="I134" s="47">
        <f>IFERROR(__xludf.DUMMYFUNCTION("""COMPUTED_VALUE"""),49.89)</f>
        <v>49.89</v>
      </c>
      <c r="J134" s="47" t="str">
        <f>IFERROR(__xludf.DUMMYFUNCTION("""COMPUTED_VALUE"""),"算法")</f>
        <v>算法</v>
      </c>
      <c r="L134" s="6">
        <f>COUNTIF('Coder-1'!B:B,A134)</f>
        <v>0</v>
      </c>
      <c r="M134" s="6">
        <f>COUNTIF('Coder-2'!B:B,A134)</f>
        <v>0</v>
      </c>
      <c r="N134" s="6">
        <f>COUNTIF('Coder-3'!B:B,A134)</f>
        <v>0</v>
      </c>
      <c r="O134" s="6">
        <f>COUNTIF('Coder-4'!B:B,A134)</f>
        <v>0</v>
      </c>
    </row>
    <row r="135">
      <c r="A135" s="83">
        <v>99.0</v>
      </c>
      <c r="B135" s="86" t="str">
        <f>IFERROR(__xludf.DUMMYFUNCTION("IF(ISBLANK(A135),,FILTER('Leetcode List'!B:C,'Leetcode List'!A:A = A135))"),"Recover Binary Search Tree")</f>
        <v>Recover Binary Search Tree</v>
      </c>
      <c r="C135" s="83" t="str">
        <f>IFERROR(__xludf.DUMMYFUNCTION("""COMPUTED_VALUE"""),"Hard")</f>
        <v>Hard</v>
      </c>
      <c r="D135" s="83" t="s">
        <v>320</v>
      </c>
      <c r="E135" s="87" t="str">
        <f>IFERROR(__xludf.DUMMYFUNCTION("IF(ISBLANK(A135),,FILTER('Leetcode List'!E:J,'Leetcode List'!A:A = A135))"),"ByteDance,VMware,Oracle,Uber,Bloomberg,Facebook,Amazon,Microsoft,Goldman Sachs,Google")</f>
        <v>ByteDance,VMware,Oracle,Uber,Bloomberg,Facebook,Amazon,Microsoft,Goldman Sachs,Google</v>
      </c>
      <c r="F135" s="47" t="str">
        <f>IFERROR(__xludf.DUMMYFUNCTION("""COMPUTED_VALUE"""),"Oracle,Microsoft,Amazon,Uber")</f>
        <v>Oracle,Microsoft,Amazon,Uber</v>
      </c>
      <c r="G135" s="47" t="str">
        <f>IFERROR(__xludf.DUMMYFUNCTION("""COMPUTED_VALUE"""),"Google,ByteDance,Oracle,Microsoft,Amazon,Uber")</f>
        <v>Google,ByteDance,Oracle,Microsoft,Amazon,Uber</v>
      </c>
      <c r="H135" s="47" t="str">
        <f>IFERROR(__xludf.DUMMYFUNCTION("""COMPUTED_VALUE"""),"Bloomberg,Goldman Sachs,VMware,Google,ByteDance,Oracle,Microsoft,Amazon,Uber")</f>
        <v>Bloomberg,Goldman Sachs,VMware,Google,ByteDance,Oracle,Microsoft,Amazon,Uber</v>
      </c>
      <c r="I135" s="47">
        <f>IFERROR(__xludf.DUMMYFUNCTION("""COMPUTED_VALUE"""),42.6)</f>
        <v>42.6</v>
      </c>
      <c r="J135" s="47" t="str">
        <f>IFERROR(__xludf.DUMMYFUNCTION("""COMPUTED_VALUE"""),"算法")</f>
        <v>算法</v>
      </c>
      <c r="L135" s="6">
        <f>COUNTIF('Coder-1'!B:B,A135)</f>
        <v>0</v>
      </c>
      <c r="M135" s="6">
        <f>COUNTIF('Coder-2'!B:B,A135)</f>
        <v>0</v>
      </c>
      <c r="N135" s="6">
        <f>COUNTIF('Coder-3'!B:B,A135)</f>
        <v>0</v>
      </c>
      <c r="O135" s="6">
        <f>COUNTIF('Coder-4'!B:B,A135)</f>
        <v>0</v>
      </c>
    </row>
    <row r="136">
      <c r="A136" s="83">
        <v>114.0</v>
      </c>
      <c r="B136" s="86" t="str">
        <f>IFERROR(__xludf.DUMMYFUNCTION("IF(ISBLANK(A136),,FILTER('Leetcode List'!B:C,'Leetcode List'!A:A = A136))"),"Flatten Binary Tree to Linked List")</f>
        <v>Flatten Binary Tree to Linked List</v>
      </c>
      <c r="C136" s="83" t="str">
        <f>IFERROR(__xludf.DUMMYFUNCTION("""COMPUTED_VALUE"""),"Medium")</f>
        <v>Medium</v>
      </c>
      <c r="D136" s="83" t="s">
        <v>320</v>
      </c>
      <c r="E136" s="87" t="str">
        <f>IFERROR(__xludf.DUMMYFUNCTION("IF(ISBLANK(A136),,FILTER('Leetcode List'!E:J,'Leetcode List'!A:A = A136))"),"ByteDance,Databricks,Coupang,Nvidia,Oracle,Apple,Uber,Yahoo,Bloomberg,Adobe,Facebook,Amazon,Microsoft,Google")</f>
        <v>ByteDance,Databricks,Coupang,Nvidia,Oracle,Apple,Uber,Yahoo,Bloomberg,Adobe,Facebook,Amazon,Microsoft,Google</v>
      </c>
      <c r="F136" s="47" t="str">
        <f>IFERROR(__xludf.DUMMYFUNCTION("""COMPUTED_VALUE"""),"Facebook,Amazon,Microsoft")</f>
        <v>Facebook,Amazon,Microsoft</v>
      </c>
      <c r="G136" s="47" t="str">
        <f>IFERROR(__xludf.DUMMYFUNCTION("""COMPUTED_VALUE"""),"Bloomberg,Adobe,Google,ByteDance,Facebook,Amazon,Microsoft")</f>
        <v>Bloomberg,Adobe,Google,ByteDance,Facebook,Amazon,Microsoft</v>
      </c>
      <c r="H136" s="47" t="str">
        <f>IFERROR(__xludf.DUMMYFUNCTION("""COMPUTED_VALUE"""),"Oracle,Coupang,Apple,Nvidia,Uber,Yahoo,Databricks,Bloomberg,Adobe,Google,ByteDance,Facebook,Amazon,Microsoft")</f>
        <v>Oracle,Coupang,Apple,Nvidia,Uber,Yahoo,Databricks,Bloomberg,Adobe,Google,ByteDance,Facebook,Amazon,Microsoft</v>
      </c>
      <c r="I136" s="47">
        <f>IFERROR(__xludf.DUMMYFUNCTION("""COMPUTED_VALUE"""),52.17)</f>
        <v>52.17</v>
      </c>
      <c r="J136" s="47" t="str">
        <f>IFERROR(__xludf.DUMMYFUNCTION("""COMPUTED_VALUE"""),"算法")</f>
        <v>算法</v>
      </c>
      <c r="L136" s="6">
        <f>COUNTIF('Coder-1'!B:B,A136)</f>
        <v>0</v>
      </c>
      <c r="M136" s="6">
        <f>COUNTIF('Coder-2'!B:B,A136)</f>
        <v>0</v>
      </c>
      <c r="N136" s="6">
        <f>COUNTIF('Coder-3'!B:B,A136)</f>
        <v>0</v>
      </c>
      <c r="O136" s="6">
        <f>COUNTIF('Coder-4'!B:B,A136)</f>
        <v>0</v>
      </c>
    </row>
    <row r="137">
      <c r="A137" s="83">
        <v>98.0</v>
      </c>
      <c r="B137" s="86" t="str">
        <f>IFERROR(__xludf.DUMMYFUNCTION("IF(ISBLANK(A137),,FILTER('Leetcode List'!B:C,'Leetcode List'!A:A = A137))"),"Validate Binary Search Tree")</f>
        <v>Validate Binary Search Tree</v>
      </c>
      <c r="C137" s="83" t="str">
        <f>IFERROR(__xludf.DUMMYFUNCTION("""COMPUTED_VALUE"""),"Medium")</f>
        <v>Medium</v>
      </c>
      <c r="D137" s="83" t="s">
        <v>320</v>
      </c>
      <c r="E137" s="87" t="str">
        <f>IFERROR(__xludf.DUMMYFUNCTION("IF(ISBLANK(A137),,FILTER('Leetcode List'!E:J,'Leetcode List'!A:A = A137))"),"Qualtrics,Audible,ByteDance,Citadel,Zillow,Yahoo,Asana,TripAdvisor,Atlassian,Capital One,Salesforce,Visa,VMware,Walmart Labs,Oracle,Mathworks,Yandex,EBay,Apple,Uber,SAP,Bloomberg,Adobe,Facebook,Amazon,LinkedIn,Microsoft,Goldman Sachs,Google")</f>
        <v>Qualtrics,Audible,ByteDance,Citadel,Zillow,Yahoo,Asana,TripAdvisor,Atlassian,Capital One,Salesforce,Visa,VMware,Walmart Labs,Oracle,Mathworks,Yandex,EBay,Apple,Uber,SAP,Bloomberg,Adobe,Facebook,Amazon,LinkedIn,Microsoft,Goldman Sachs,Google</v>
      </c>
      <c r="F137" s="47" t="str">
        <f>IFERROR(__xludf.DUMMYFUNCTION("""COMPUTED_VALUE"""),"Bloomberg,Amazon,Microsoft,Facebook,Asana,Apple,Qualtrics,Zillow,Citadel,VMware,ByteDance,Oracle,Atlassian")</f>
        <v>Bloomberg,Amazon,Microsoft,Facebook,Asana,Apple,Qualtrics,Zillow,Citadel,VMware,ByteDance,Oracle,Atlassian</v>
      </c>
      <c r="G137" s="47" t="str">
        <f>IFERROR(__xludf.DUMMYFUNCTION("""COMPUTED_VALUE"""),"Google,Adobe,Yahoo,Walmart Labs,eBay,Bloomberg,Amazon,Microsoft,Facebook,Asana,Apple,Qualtrics,Zillow,Citadel,VMware,ByteDance,Oracle,Atlassian")</f>
        <v>Google,Adobe,Yahoo,Walmart Labs,eBay,Bloomberg,Amazon,Microsoft,Facebook,Asana,Apple,Qualtrics,Zillow,Citadel,VMware,ByteDance,Oracle,Atlassian</v>
      </c>
      <c r="H137" s="47" t="str">
        <f>IFERROR(__xludf.DUMMYFUNCTION("""COMPUTED_VALUE"""),"Yandex,Salesforce,Visa,Mathworks,Goldman Sachs,Audible,Google,Adobe,Yahoo,Walmart Labs,eBay,Bloomberg,Amazon,Microsoft,Facebook,Asana,Apple,Qualtrics,Zillow,Citadel,VMware,ByteDance,Oracle,Atlassian")</f>
        <v>Yandex,Salesforce,Visa,Mathworks,Goldman Sachs,Audible,Google,Adobe,Yahoo,Walmart Labs,eBay,Bloomberg,Amazon,Microsoft,Facebook,Asana,Apple,Qualtrics,Zillow,Citadel,VMware,ByteDance,Oracle,Atlassian</v>
      </c>
      <c r="I137" s="47">
        <f>IFERROR(__xludf.DUMMYFUNCTION("""COMPUTED_VALUE"""),28.84)</f>
        <v>28.84</v>
      </c>
      <c r="J137" s="47" t="str">
        <f>IFERROR(__xludf.DUMMYFUNCTION("""COMPUTED_VALUE"""),"算法")</f>
        <v>算法</v>
      </c>
      <c r="L137" s="6">
        <f>COUNTIF('Coder-1'!B:B,A137)</f>
        <v>0</v>
      </c>
      <c r="M137" s="6">
        <f>COUNTIF('Coder-2'!B:B,A137)</f>
        <v>0</v>
      </c>
      <c r="N137" s="6">
        <f>COUNTIF('Coder-3'!B:B,A137)</f>
        <v>0</v>
      </c>
      <c r="O137" s="6">
        <f>COUNTIF('Coder-4'!B:B,A137)</f>
        <v>0</v>
      </c>
    </row>
    <row r="138">
      <c r="A138" s="83">
        <v>117.0</v>
      </c>
      <c r="B138" s="86" t="str">
        <f>IFERROR(__xludf.DUMMYFUNCTION("IF(ISBLANK(A138),,FILTER('Leetcode List'!B:C,'Leetcode List'!A:A = A138))"),"Populating Next Right Pointers in Each Node II")</f>
        <v>Populating Next Right Pointers in Each Node II</v>
      </c>
      <c r="C138" s="83" t="str">
        <f>IFERROR(__xludf.DUMMYFUNCTION("""COMPUTED_VALUE"""),"Medium")</f>
        <v>Medium</v>
      </c>
      <c r="D138" s="83" t="s">
        <v>320</v>
      </c>
      <c r="E138" s="87" t="str">
        <f>IFERROR(__xludf.DUMMYFUNCTION("IF(ISBLANK(A138),,FILTER('Leetcode List'!E:J,'Leetcode List'!A:A = A138))"),"Oracle,Apple,Bloomberg,Facebook,Amazon,Microsoft,Google")</f>
        <v>Oracle,Apple,Bloomberg,Facebook,Amazon,Microsoft,Google</v>
      </c>
      <c r="F138" s="47" t="str">
        <f>IFERROR(__xludf.DUMMYFUNCTION("""COMPUTED_VALUE"""),"Microsoft,Amazon,Bloomberg")</f>
        <v>Microsoft,Amazon,Bloomberg</v>
      </c>
      <c r="G138" s="47" t="str">
        <f>IFERROR(__xludf.DUMMYFUNCTION("""COMPUTED_VALUE"""),"Facebook,Google,Microsoft,Amazon,Bloomberg")</f>
        <v>Facebook,Google,Microsoft,Amazon,Bloomberg</v>
      </c>
      <c r="H138" s="47" t="str">
        <f>IFERROR(__xludf.DUMMYFUNCTION("""COMPUTED_VALUE"""),"Apple,Oracle,Facebook,Google,Microsoft,Amazon,Bloomberg")</f>
        <v>Apple,Oracle,Facebook,Google,Microsoft,Amazon,Bloomberg</v>
      </c>
      <c r="I138" s="47">
        <f>IFERROR(__xludf.DUMMYFUNCTION("""COMPUTED_VALUE"""),42.25)</f>
        <v>42.25</v>
      </c>
      <c r="J138" s="47" t="str">
        <f>IFERROR(__xludf.DUMMYFUNCTION("""COMPUTED_VALUE"""),"算法")</f>
        <v>算法</v>
      </c>
      <c r="L138" s="6">
        <f>COUNTIF('Coder-1'!B:B,A138)</f>
        <v>0</v>
      </c>
      <c r="M138" s="6">
        <f>COUNTIF('Coder-2'!B:B,A138)</f>
        <v>0</v>
      </c>
      <c r="N138" s="6">
        <f>COUNTIF('Coder-3'!B:B,A138)</f>
        <v>0</v>
      </c>
      <c r="O138" s="6">
        <f>COUNTIF('Coder-4'!B:B,A138)</f>
        <v>0</v>
      </c>
    </row>
    <row r="139">
      <c r="A139" s="83">
        <v>156.0</v>
      </c>
      <c r="B139" s="86" t="str">
        <f>IFERROR(__xludf.DUMMYFUNCTION("IF(ISBLANK(A139),,FILTER('Leetcode List'!B:C,'Leetcode List'!A:A = A139))"),"Binary Tree Upside Down")</f>
        <v>Binary Tree Upside Down</v>
      </c>
      <c r="C139" s="83" t="str">
        <f>IFERROR(__xludf.DUMMYFUNCTION("""COMPUTED_VALUE"""),"Medium")</f>
        <v>Medium</v>
      </c>
      <c r="D139" s="83" t="s">
        <v>320</v>
      </c>
      <c r="E139" s="87" t="str">
        <f>IFERROR(__xludf.DUMMYFUNCTION("IF(ISBLANK(A139),,FILTER('Leetcode List'!E:J,'Leetcode List'!A:A = A139))"),"LinkedIn,Google")</f>
        <v>LinkedIn,Google</v>
      </c>
      <c r="F139" s="47"/>
      <c r="G139" s="47" t="str">
        <f>IFERROR(__xludf.DUMMYFUNCTION("""COMPUTED_VALUE"""),"LinkedIn")</f>
        <v>LinkedIn</v>
      </c>
      <c r="H139" s="47" t="str">
        <f>IFERROR(__xludf.DUMMYFUNCTION("""COMPUTED_VALUE"""),"LinkedIn")</f>
        <v>LinkedIn</v>
      </c>
      <c r="I139" s="47">
        <f>IFERROR(__xludf.DUMMYFUNCTION("""COMPUTED_VALUE"""),56.49)</f>
        <v>56.49</v>
      </c>
      <c r="J139" s="47" t="str">
        <f>IFERROR(__xludf.DUMMYFUNCTION("""COMPUTED_VALUE"""),"算法")</f>
        <v>算法</v>
      </c>
      <c r="L139" s="6">
        <f>COUNTIF('Coder-1'!B:B,A139)</f>
        <v>0</v>
      </c>
      <c r="M139" s="6">
        <f>COUNTIF('Coder-2'!B:B,A139)</f>
        <v>0</v>
      </c>
      <c r="N139" s="6">
        <f>COUNTIF('Coder-3'!B:B,A139)</f>
        <v>0</v>
      </c>
      <c r="O139" s="6">
        <f>COUNTIF('Coder-4'!B:B,A139)</f>
        <v>0</v>
      </c>
    </row>
    <row r="140">
      <c r="A140" s="83">
        <v>285.0</v>
      </c>
      <c r="B140" s="86" t="str">
        <f>IFERROR(__xludf.DUMMYFUNCTION("IF(ISBLANK(A140),,FILTER('Leetcode List'!B:C,'Leetcode List'!A:A = A140))"),"Inorder Successor in BST")</f>
        <v>Inorder Successor in BST</v>
      </c>
      <c r="C140" s="83" t="str">
        <f>IFERROR(__xludf.DUMMYFUNCTION("""COMPUTED_VALUE"""),"Medium")</f>
        <v>Medium</v>
      </c>
      <c r="D140" s="83" t="s">
        <v>320</v>
      </c>
      <c r="E140" s="87" t="str">
        <f>IFERROR(__xludf.DUMMYFUNCTION("IF(ISBLANK(A140),,FILTER('Leetcode List'!E:J,'Leetcode List'!A:A = A140))"),"Adobe,Quip (Salesforce),Pocket Gems,Palantir Technologies,Citadel,Zillow,Bloomberg,Facebook,Amazon,Microsoft,Google")</f>
        <v>Adobe,Quip (Salesforce),Pocket Gems,Palantir Technologies,Citadel,Zillow,Bloomberg,Facebook,Amazon,Microsoft,Google</v>
      </c>
      <c r="F140" s="47" t="str">
        <f>IFERROR(__xludf.DUMMYFUNCTION("""COMPUTED_VALUE"""),"Amazon,Microsoft")</f>
        <v>Amazon,Microsoft</v>
      </c>
      <c r="G140" s="47" t="str">
        <f>IFERROR(__xludf.DUMMYFUNCTION("""COMPUTED_VALUE"""),"Citadel,Facebook,Google,Bloomberg,Amazon,Microsoft")</f>
        <v>Citadel,Facebook,Google,Bloomberg,Amazon,Microsoft</v>
      </c>
      <c r="H140" s="47" t="str">
        <f>IFERROR(__xludf.DUMMYFUNCTION("""COMPUTED_VALUE"""),"Quip (Salesforce),Zillow,Adobe,Pocket Gems,Citadel,Facebook,Google,Bloomberg,Amazon,Microsoft")</f>
        <v>Quip (Salesforce),Zillow,Adobe,Pocket Gems,Citadel,Facebook,Google,Bloomberg,Amazon,Microsoft</v>
      </c>
      <c r="I140" s="47">
        <f>IFERROR(__xludf.DUMMYFUNCTION("""COMPUTED_VALUE"""),43.08)</f>
        <v>43.08</v>
      </c>
      <c r="J140" s="47" t="str">
        <f>IFERROR(__xludf.DUMMYFUNCTION("""COMPUTED_VALUE"""),"算法")</f>
        <v>算法</v>
      </c>
      <c r="L140" s="6">
        <f>COUNTIF('Coder-1'!B:B,A140)</f>
        <v>0</v>
      </c>
      <c r="M140" s="6">
        <f>COUNTIF('Coder-2'!B:B,A140)</f>
        <v>0</v>
      </c>
      <c r="N140" s="6">
        <f>COUNTIF('Coder-3'!B:B,A140)</f>
        <v>0</v>
      </c>
      <c r="O140" s="6">
        <f>COUNTIF('Coder-4'!B:B,A140)</f>
        <v>0</v>
      </c>
    </row>
    <row r="141">
      <c r="A141" s="83">
        <v>298.0</v>
      </c>
      <c r="B141" s="86" t="str">
        <f>IFERROR(__xludf.DUMMYFUNCTION("IF(ISBLANK(A141),,FILTER('Leetcode List'!B:C,'Leetcode List'!A:A = A141))"),"Binary Tree Longest Consecutive Sequence")</f>
        <v>Binary Tree Longest Consecutive Sequence</v>
      </c>
      <c r="C141" s="83" t="str">
        <f>IFERROR(__xludf.DUMMYFUNCTION("""COMPUTED_VALUE"""),"Medium")</f>
        <v>Medium</v>
      </c>
      <c r="D141" s="83" t="s">
        <v>320</v>
      </c>
      <c r="E141" s="87" t="str">
        <f>IFERROR(__xludf.DUMMYFUNCTION("IF(ISBLANK(A141),,FILTER('Leetcode List'!E:J,'Leetcode List'!A:A = A141))"),"Uber,Facebook,Amazon,Google")</f>
        <v>Uber,Facebook,Amazon,Google</v>
      </c>
      <c r="F141" s="47" t="str">
        <f>IFERROR(__xludf.DUMMYFUNCTION("""COMPUTED_VALUE"""),"Google")</f>
        <v>Google</v>
      </c>
      <c r="G141" s="47" t="str">
        <f>IFERROR(__xludf.DUMMYFUNCTION("""COMPUTED_VALUE"""),"Amazon,Google")</f>
        <v>Amazon,Google</v>
      </c>
      <c r="H141" s="47" t="str">
        <f>IFERROR(__xludf.DUMMYFUNCTION("""COMPUTED_VALUE"""),"Facebook,Amazon,Google")</f>
        <v>Facebook,Amazon,Google</v>
      </c>
      <c r="I141" s="47">
        <f>IFERROR(__xludf.DUMMYFUNCTION("""COMPUTED_VALUE"""),48.08)</f>
        <v>48.08</v>
      </c>
      <c r="J141" s="47" t="str">
        <f>IFERROR(__xludf.DUMMYFUNCTION("""COMPUTED_VALUE"""),"算法")</f>
        <v>算法</v>
      </c>
      <c r="L141" s="6">
        <f>COUNTIF('Coder-1'!B:B,A141)</f>
        <v>0</v>
      </c>
      <c r="M141" s="6">
        <f>COUNTIF('Coder-2'!B:B,A141)</f>
        <v>0</v>
      </c>
      <c r="N141" s="6">
        <f>COUNTIF('Coder-3'!B:B,A141)</f>
        <v>0</v>
      </c>
      <c r="O141" s="6">
        <f>COUNTIF('Coder-4'!B:B,A141)</f>
        <v>0</v>
      </c>
    </row>
    <row r="142">
      <c r="A142" s="83">
        <v>450.0</v>
      </c>
      <c r="B142" s="86" t="str">
        <f>IFERROR(__xludf.DUMMYFUNCTION("IF(ISBLANK(A142),,FILTER('Leetcode List'!B:C,'Leetcode List'!A:A = A142))"),"Delete Node in a BST")</f>
        <v>Delete Node in a BST</v>
      </c>
      <c r="C142" s="83" t="str">
        <f>IFERROR(__xludf.DUMMYFUNCTION("""COMPUTED_VALUE"""),"Medium")</f>
        <v>Medium</v>
      </c>
      <c r="D142" s="83" t="s">
        <v>320</v>
      </c>
      <c r="E142" s="87" t="str">
        <f>IFERROR(__xludf.DUMMYFUNCTION("IF(ISBLANK(A142),,FILTER('Leetcode List'!E:J,'Leetcode List'!A:A = A142))"),"Oracle,Cisco,Apple,Uber,Yahoo,Bloomberg,Facebook,Amazon,LinkedIn,Microsoft,Google")</f>
        <v>Oracle,Cisco,Apple,Uber,Yahoo,Bloomberg,Facebook,Amazon,LinkedIn,Microsoft,Google</v>
      </c>
      <c r="F142" s="47" t="str">
        <f>IFERROR(__xludf.DUMMYFUNCTION("""COMPUTED_VALUE"""),"Oracle,Bloomberg,Google")</f>
        <v>Oracle,Bloomberg,Google</v>
      </c>
      <c r="G142" s="47" t="str">
        <f>IFERROR(__xludf.DUMMYFUNCTION("""COMPUTED_VALUE"""),"Microsoft,Amazon,Cisco,Oracle,Bloomberg,Google")</f>
        <v>Microsoft,Amazon,Cisco,Oracle,Bloomberg,Google</v>
      </c>
      <c r="H142" s="47" t="str">
        <f>IFERROR(__xludf.DUMMYFUNCTION("""COMPUTED_VALUE"""),"Facebook,Uber,Microsoft,Amazon,Cisco,Oracle,Bloomberg,Google")</f>
        <v>Facebook,Uber,Microsoft,Amazon,Cisco,Oracle,Bloomberg,Google</v>
      </c>
      <c r="I142" s="47">
        <f>IFERROR(__xludf.DUMMYFUNCTION("""COMPUTED_VALUE"""),45.4)</f>
        <v>45.4</v>
      </c>
      <c r="J142" s="47" t="str">
        <f>IFERROR(__xludf.DUMMYFUNCTION("""COMPUTED_VALUE"""),"算法")</f>
        <v>算法</v>
      </c>
      <c r="L142" s="6">
        <f>COUNTIF('Coder-1'!B:B,A142)</f>
        <v>0</v>
      </c>
      <c r="M142" s="6">
        <f>COUNTIF('Coder-2'!B:B,A142)</f>
        <v>0</v>
      </c>
      <c r="N142" s="6">
        <f>COUNTIF('Coder-3'!B:B,A142)</f>
        <v>0</v>
      </c>
      <c r="O142" s="6">
        <f>COUNTIF('Coder-4'!B:B,A142)</f>
        <v>0</v>
      </c>
    </row>
    <row r="143">
      <c r="A143" s="83">
        <v>437.0</v>
      </c>
      <c r="B143" s="86" t="str">
        <f>IFERROR(__xludf.DUMMYFUNCTION("IF(ISBLANK(A143),,FILTER('Leetcode List'!B:C,'Leetcode List'!A:A = A143))"),"Path Sum III")</f>
        <v>Path Sum III</v>
      </c>
      <c r="C143" s="83" t="str">
        <f>IFERROR(__xludf.DUMMYFUNCTION("""COMPUTED_VALUE"""),"Medium")</f>
        <v>Medium</v>
      </c>
      <c r="D143" s="83" t="s">
        <v>320</v>
      </c>
      <c r="E143" s="87" t="str">
        <f>IFERROR(__xludf.DUMMYFUNCTION("IF(ISBLANK(A143),,FILTER('Leetcode List'!E:J,'Leetcode List'!A:A = A143))"),"ByteDance,Oracle,Yahoo,Quora,Zillow,Uber,Bloomberg,Facebook,Amazon,Microsoft")</f>
        <v>ByteDance,Oracle,Yahoo,Quora,Zillow,Uber,Bloomberg,Facebook,Amazon,Microsoft</v>
      </c>
      <c r="F143" s="47" t="str">
        <f>IFERROR(__xludf.DUMMYFUNCTION("""COMPUTED_VALUE"""),"Amazon,ByteDance")</f>
        <v>Amazon,ByteDance</v>
      </c>
      <c r="G143" s="47" t="str">
        <f>IFERROR(__xludf.DUMMYFUNCTION("""COMPUTED_VALUE"""),"Oracle,Facebook,Amazon,ByteDance")</f>
        <v>Oracle,Facebook,Amazon,ByteDance</v>
      </c>
      <c r="H143" s="47" t="str">
        <f>IFERROR(__xludf.DUMMYFUNCTION("""COMPUTED_VALUE"""),"Quora,Zillow,Microsoft,Bloomberg,Yahoo,Oracle,Facebook,Amazon,ByteDance")</f>
        <v>Quora,Zillow,Microsoft,Bloomberg,Yahoo,Oracle,Facebook,Amazon,ByteDance</v>
      </c>
      <c r="I143" s="47">
        <f>IFERROR(__xludf.DUMMYFUNCTION("""COMPUTED_VALUE"""),48.21)</f>
        <v>48.21</v>
      </c>
      <c r="J143" s="47" t="str">
        <f>IFERROR(__xludf.DUMMYFUNCTION("""COMPUTED_VALUE"""),"算法")</f>
        <v>算法</v>
      </c>
      <c r="L143" s="6">
        <f>COUNTIF('Coder-1'!B:B,A143)</f>
        <v>0</v>
      </c>
      <c r="M143" s="6">
        <f>COUNTIF('Coder-2'!B:B,A143)</f>
        <v>0</v>
      </c>
      <c r="N143" s="6">
        <f>COUNTIF('Coder-3'!B:B,A143)</f>
        <v>0</v>
      </c>
      <c r="O143" s="6">
        <f>COUNTIF('Coder-4'!B:B,A143)</f>
        <v>0</v>
      </c>
    </row>
    <row r="144">
      <c r="A144" s="83">
        <v>449.0</v>
      </c>
      <c r="B144" s="86" t="str">
        <f>IFERROR(__xludf.DUMMYFUNCTION("IF(ISBLANK(A144),,FILTER('Leetcode List'!B:C,'Leetcode List'!A:A = A144))"),"Serialize and Deserialize BST")</f>
        <v>Serialize and Deserialize BST</v>
      </c>
      <c r="C144" s="83" t="str">
        <f>IFERROR(__xludf.DUMMYFUNCTION("""COMPUTED_VALUE"""),"Medium")</f>
        <v>Medium</v>
      </c>
      <c r="D144" s="83" t="s">
        <v>320</v>
      </c>
      <c r="E144" s="87" t="str">
        <f>IFERROR(__xludf.DUMMYFUNCTION("IF(ISBLANK(A144),,FILTER('Leetcode List'!E:J,'Leetcode List'!A:A = A144))"),"ByteDance,Apple,Qualtrics,Zillow,Oracle,Yandex,EBay,Uber,Facebook,Amazon,LinkedIn,Microsoft,Google")</f>
        <v>ByteDance,Apple,Qualtrics,Zillow,Oracle,Yandex,EBay,Uber,Facebook,Amazon,LinkedIn,Microsoft,Google</v>
      </c>
      <c r="F144" s="47" t="str">
        <f>IFERROR(__xludf.DUMMYFUNCTION("""COMPUTED_VALUE"""),"Facebook,Amazon,Microsoft,ByteDance")</f>
        <v>Facebook,Amazon,Microsoft,ByteDance</v>
      </c>
      <c r="G144" s="47" t="str">
        <f>IFERROR(__xludf.DUMMYFUNCTION("""COMPUTED_VALUE"""),"Facebook,Amazon,Microsoft,ByteDance")</f>
        <v>Facebook,Amazon,Microsoft,ByteDance</v>
      </c>
      <c r="H144" s="47" t="str">
        <f>IFERROR(__xludf.DUMMYFUNCTION("""COMPUTED_VALUE"""),"LinkedIn,Oracle,Apple,Uber,Google,Yandex,Facebook,Amazon,Microsoft,ByteDance")</f>
        <v>LinkedIn,Oracle,Apple,Uber,Google,Yandex,Facebook,Amazon,Microsoft,ByteDance</v>
      </c>
      <c r="I144" s="47">
        <f>IFERROR(__xludf.DUMMYFUNCTION("""COMPUTED_VALUE"""),54.15)</f>
        <v>54.15</v>
      </c>
      <c r="J144" s="47" t="str">
        <f>IFERROR(__xludf.DUMMYFUNCTION("""COMPUTED_VALUE"""),"算法")</f>
        <v>算法</v>
      </c>
      <c r="L144" s="6">
        <f>COUNTIF('Coder-1'!B:B,A144)</f>
        <v>0</v>
      </c>
      <c r="M144" s="6">
        <f>COUNTIF('Coder-2'!B:B,A144)</f>
        <v>0</v>
      </c>
      <c r="N144" s="6">
        <f>COUNTIF('Coder-3'!B:B,A144)</f>
        <v>0</v>
      </c>
      <c r="O144" s="6">
        <f>COUNTIF('Coder-4'!B:B,A144)</f>
        <v>0</v>
      </c>
    </row>
    <row r="145">
      <c r="A145" s="83">
        <v>333.0</v>
      </c>
      <c r="B145" s="86" t="str">
        <f>IFERROR(__xludf.DUMMYFUNCTION("IF(ISBLANK(A145),,FILTER('Leetcode List'!B:C,'Leetcode List'!A:A = A145))"),"Largest BST Subtree")</f>
        <v>Largest BST Subtree</v>
      </c>
      <c r="C145" s="83" t="str">
        <f>IFERROR(__xludf.DUMMYFUNCTION("""COMPUTED_VALUE"""),"Medium")</f>
        <v>Medium</v>
      </c>
      <c r="D145" s="83" t="s">
        <v>320</v>
      </c>
      <c r="E145" s="87" t="str">
        <f>IFERROR(__xludf.DUMMYFUNCTION("IF(ISBLANK(A145),,FILTER('Leetcode List'!E:J,'Leetcode List'!A:A = A145))"),"Bloomberg,Lyft,Apple,Facebook,Amazon,Microsoft,Google")</f>
        <v>Bloomberg,Lyft,Apple,Facebook,Amazon,Microsoft,Google</v>
      </c>
      <c r="F145" s="47" t="str">
        <f>IFERROR(__xludf.DUMMYFUNCTION("""COMPUTED_VALUE"""),"Facebook,Bloomberg")</f>
        <v>Facebook,Bloomberg</v>
      </c>
      <c r="G145" s="47" t="str">
        <f>IFERROR(__xludf.DUMMYFUNCTION("""COMPUTED_VALUE"""),"Amazon,Facebook,Bloomberg")</f>
        <v>Amazon,Facebook,Bloomberg</v>
      </c>
      <c r="H145" s="47" t="str">
        <f>IFERROR(__xludf.DUMMYFUNCTION("""COMPUTED_VALUE"""),"Lyft,Apple,Microsoft,Amazon,Facebook,Bloomberg")</f>
        <v>Lyft,Apple,Microsoft,Amazon,Facebook,Bloomberg</v>
      </c>
      <c r="I145" s="47">
        <f>IFERROR(__xludf.DUMMYFUNCTION("""COMPUTED_VALUE"""),38.08)</f>
        <v>38.08</v>
      </c>
      <c r="J145" s="47" t="str">
        <f>IFERROR(__xludf.DUMMYFUNCTION("""COMPUTED_VALUE"""),"算法")</f>
        <v>算法</v>
      </c>
      <c r="L145" s="6">
        <f>COUNTIF('Coder-1'!B:B,A145)</f>
        <v>0</v>
      </c>
      <c r="M145" s="6">
        <f>COUNTIF('Coder-2'!B:B,A145)</f>
        <v>0</v>
      </c>
      <c r="N145" s="6">
        <f>COUNTIF('Coder-3'!B:B,A145)</f>
        <v>0</v>
      </c>
      <c r="O145" s="6">
        <f>COUNTIF('Coder-4'!B:B,A145)</f>
        <v>0</v>
      </c>
    </row>
    <row r="146">
      <c r="A146" s="83">
        <v>543.0</v>
      </c>
      <c r="B146" s="86" t="str">
        <f>IFERROR(__xludf.DUMMYFUNCTION("IF(ISBLANK(A146),,FILTER('Leetcode List'!B:C,'Leetcode List'!A:A = A146))"),"Diameter of Binary Tree")</f>
        <v>Diameter of Binary Tree</v>
      </c>
      <c r="C146" s="83" t="str">
        <f>IFERROR(__xludf.DUMMYFUNCTION("""COMPUTED_VALUE"""),"Easy")</f>
        <v>Easy</v>
      </c>
      <c r="D146" s="83" t="s">
        <v>320</v>
      </c>
      <c r="E146" s="87" t="str">
        <f>IFERROR(__xludf.DUMMYFUNCTION("IF(ISBLANK(A146),,FILTER('Leetcode List'!E:J,'Leetcode List'!A:A = A146))"),"Deutsche Bank,Yahoo,Qualtrics,Atlassian,ByteDance,Intel,Oracle,Baidu,Apple,Tencent,Bloomberg,Adobe,Facebook,Amazon,Microsoft,Google")</f>
        <v>Deutsche Bank,Yahoo,Qualtrics,Atlassian,ByteDance,Intel,Oracle,Baidu,Apple,Tencent,Bloomberg,Adobe,Facebook,Amazon,Microsoft,Google</v>
      </c>
      <c r="F146" s="47" t="str">
        <f>IFERROR(__xludf.DUMMYFUNCTION("""COMPUTED_VALUE"""),"Facebook,Microsoft,Amazon,ByteDance,Google,Bloomberg,Oracle")</f>
        <v>Facebook,Microsoft,Amazon,ByteDance,Google,Bloomberg,Oracle</v>
      </c>
      <c r="G146" s="47" t="str">
        <f>IFERROR(__xludf.DUMMYFUNCTION("""COMPUTED_VALUE"""),"Yahoo,Adobe,Tencent,Deutsche Bank,Facebook,Microsoft,Amazon,ByteDance,Google,Bloomberg,Oracle")</f>
        <v>Yahoo,Adobe,Tencent,Deutsche Bank,Facebook,Microsoft,Amazon,ByteDance,Google,Bloomberg,Oracle</v>
      </c>
      <c r="H146" s="47" t="str">
        <f>IFERROR(__xludf.DUMMYFUNCTION("""COMPUTED_VALUE"""),"Apple,Qualtrics,Atlassian,Yahoo,Adobe,Tencent,Deutsche Bank,Facebook,Microsoft,Amazon,ByteDance,Google,Bloomberg,Oracle")</f>
        <v>Apple,Qualtrics,Atlassian,Yahoo,Adobe,Tencent,Deutsche Bank,Facebook,Microsoft,Amazon,ByteDance,Google,Bloomberg,Oracle</v>
      </c>
      <c r="I146" s="47">
        <f>IFERROR(__xludf.DUMMYFUNCTION("""COMPUTED_VALUE"""),49.27)</f>
        <v>49.27</v>
      </c>
      <c r="J146" s="47" t="str">
        <f>IFERROR(__xludf.DUMMYFUNCTION("""COMPUTED_VALUE"""),"算法")</f>
        <v>算法</v>
      </c>
      <c r="L146" s="6">
        <f>COUNTIF('Coder-1'!B:B,A146)</f>
        <v>0</v>
      </c>
      <c r="M146" s="6">
        <f>COUNTIF('Coder-2'!B:B,A146)</f>
        <v>0</v>
      </c>
      <c r="N146" s="6">
        <f>COUNTIF('Coder-3'!B:B,A146)</f>
        <v>0</v>
      </c>
      <c r="O146" s="6">
        <f>COUNTIF('Coder-4'!B:B,A146)</f>
        <v>0</v>
      </c>
    </row>
    <row r="147">
      <c r="A147" s="83">
        <v>572.0</v>
      </c>
      <c r="B147" s="86" t="str">
        <f>IFERROR(__xludf.DUMMYFUNCTION("IF(ISBLANK(A147),,FILTER('Leetcode List'!B:C,'Leetcode List'!A:A = A147))"),"Subtree of Another Tree")</f>
        <v>Subtree of Another Tree</v>
      </c>
      <c r="C147" s="83" t="str">
        <f>IFERROR(__xludf.DUMMYFUNCTION("""COMPUTED_VALUE"""),"Easy")</f>
        <v>Easy</v>
      </c>
      <c r="D147" s="83" t="s">
        <v>320</v>
      </c>
      <c r="E147" s="87" t="str">
        <f>IFERROR(__xludf.DUMMYFUNCTION("IF(ISBLANK(A147),,FILTER('Leetcode List'!E:J,'Leetcode List'!A:A = A147))"),"JPMorgan,EBay,Samsung,Bloomberg,Facebook,Amazon,Microsoft,Google")</f>
        <v>JPMorgan,EBay,Samsung,Bloomberg,Facebook,Amazon,Microsoft,Google</v>
      </c>
      <c r="F147" s="47" t="str">
        <f>IFERROR(__xludf.DUMMYFUNCTION("""COMPUTED_VALUE"""),"Amazon,Microsoft,Facebook")</f>
        <v>Amazon,Microsoft,Facebook</v>
      </c>
      <c r="G147" s="47" t="str">
        <f>IFERROR(__xludf.DUMMYFUNCTION("""COMPUTED_VALUE"""),"JPMorgan,Amazon,Microsoft,Facebook")</f>
        <v>JPMorgan,Amazon,Microsoft,Facebook</v>
      </c>
      <c r="H147" s="47" t="str">
        <f>IFERROR(__xludf.DUMMYFUNCTION("""COMPUTED_VALUE"""),"Google,Bloomberg,eBay,JPMorgan,Amazon,Microsoft,Facebook")</f>
        <v>Google,Bloomberg,eBay,JPMorgan,Amazon,Microsoft,Facebook</v>
      </c>
      <c r="I147" s="47">
        <f>IFERROR(__xludf.DUMMYFUNCTION("""COMPUTED_VALUE"""),44.54)</f>
        <v>44.54</v>
      </c>
      <c r="J147" s="47" t="str">
        <f>IFERROR(__xludf.DUMMYFUNCTION("""COMPUTED_VALUE"""),"算法")</f>
        <v>算法</v>
      </c>
      <c r="L147" s="6">
        <f>COUNTIF('Coder-1'!B:B,A147)</f>
        <v>0</v>
      </c>
      <c r="M147" s="6">
        <f>COUNTIF('Coder-2'!B:B,A147)</f>
        <v>0</v>
      </c>
      <c r="N147" s="6">
        <f>COUNTIF('Coder-3'!B:B,A147)</f>
        <v>0</v>
      </c>
      <c r="O147" s="6">
        <f>COUNTIF('Coder-4'!B:B,A147)</f>
        <v>0</v>
      </c>
    </row>
    <row r="148">
      <c r="A148" s="83">
        <v>549.0</v>
      </c>
      <c r="B148" s="86" t="str">
        <f>IFERROR(__xludf.DUMMYFUNCTION("IF(ISBLANK(A148),,FILTER('Leetcode List'!B:C,'Leetcode List'!A:A = A148))"),"Binary Tree Longest Consecutive Sequence II")</f>
        <v>Binary Tree Longest Consecutive Sequence II</v>
      </c>
      <c r="C148" s="83" t="str">
        <f>IFERROR(__xludf.DUMMYFUNCTION("""COMPUTED_VALUE"""),"Medium")</f>
        <v>Medium</v>
      </c>
      <c r="D148" s="83" t="s">
        <v>320</v>
      </c>
      <c r="E148" s="87" t="str">
        <f>IFERROR(__xludf.DUMMYFUNCTION("IF(ISBLANK(A148),,FILTER('Leetcode List'!E:J,'Leetcode List'!A:A = A148))"),"Apple,Facebook,Amazon,Google")</f>
        <v>Apple,Facebook,Amazon,Google</v>
      </c>
      <c r="F148" s="47"/>
      <c r="G148" s="47"/>
      <c r="H148" s="47" t="str">
        <f>IFERROR(__xludf.DUMMYFUNCTION("""COMPUTED_VALUE"""),"Facebook,Google")</f>
        <v>Facebook,Google</v>
      </c>
      <c r="I148" s="47">
        <f>IFERROR(__xludf.DUMMYFUNCTION("""COMPUTED_VALUE"""),47.24)</f>
        <v>47.24</v>
      </c>
      <c r="J148" s="47" t="str">
        <f>IFERROR(__xludf.DUMMYFUNCTION("""COMPUTED_VALUE"""),"算法")</f>
        <v>算法</v>
      </c>
      <c r="L148" s="6">
        <f>COUNTIF('Coder-1'!B:B,A148)</f>
        <v>0</v>
      </c>
      <c r="M148" s="6">
        <f>COUNTIF('Coder-2'!B:B,A148)</f>
        <v>0</v>
      </c>
      <c r="N148" s="6">
        <f>COUNTIF('Coder-3'!B:B,A148)</f>
        <v>0</v>
      </c>
      <c r="O148" s="6">
        <f>COUNTIF('Coder-4'!B:B,A148)</f>
        <v>0</v>
      </c>
    </row>
    <row r="149">
      <c r="A149" s="83">
        <v>173.0</v>
      </c>
      <c r="B149" s="86" t="str">
        <f>IFERROR(__xludf.DUMMYFUNCTION("IF(ISBLANK(A149),,FILTER('Leetcode List'!B:C,'Leetcode List'!A:A = A149))"),"Binary Search Tree Iterator")</f>
        <v>Binary Search Tree Iterator</v>
      </c>
      <c r="C149" s="83" t="str">
        <f>IFERROR(__xludf.DUMMYFUNCTION("""COMPUTED_VALUE"""),"Medium")</f>
        <v>Medium</v>
      </c>
      <c r="D149" s="83" t="s">
        <v>320</v>
      </c>
      <c r="E149" s="87" t="str">
        <f>IFERROR(__xludf.DUMMYFUNCTION("IF(ISBLANK(A149),,FILTER('Leetcode List'!E:J,'Leetcode List'!A:A = A149))"),"JPMorgan,Zillow,Adobe,Cloudera,Qualtrics,Atlassian,Redfin,Splunk,ByteDance,Walmart Labs,Oracle,Cisco,EBay,Apple,Uber,Bloomberg,Facebook,Amazon,LinkedIn,Microsoft,Alibaba,Google")</f>
        <v>JPMorgan,Zillow,Adobe,Cloudera,Qualtrics,Atlassian,Redfin,Splunk,ByteDance,Walmart Labs,Oracle,Cisco,EBay,Apple,Uber,Bloomberg,Facebook,Amazon,LinkedIn,Microsoft,Alibaba,Google</v>
      </c>
      <c r="F149" s="47" t="str">
        <f>IFERROR(__xludf.DUMMYFUNCTION("""COMPUTED_VALUE"""),"Facebook,ByteDance,Bloomberg,Microsoft,Oracle,Google,Amazon,Apple,Adobe")</f>
        <v>Facebook,ByteDance,Bloomberg,Microsoft,Oracle,Google,Amazon,Apple,Adobe</v>
      </c>
      <c r="G149" s="47" t="str">
        <f>IFERROR(__xludf.DUMMYFUNCTION("""COMPUTED_VALUE"""),"Cloudera,Zillow,Atlassian,Facebook,ByteDance,Bloomberg,Microsoft,Oracle,Google,Amazon,Apple,Adobe")</f>
        <v>Cloudera,Zillow,Atlassian,Facebook,ByteDance,Bloomberg,Microsoft,Oracle,Google,Amazon,Apple,Adobe</v>
      </c>
      <c r="H149" s="47" t="str">
        <f>IFERROR(__xludf.DUMMYFUNCTION("""COMPUTED_VALUE"""),"Uber,Qualtrics,LinkedIn,eBay,JPMorgan,Cloudera,Zillow,Atlassian,Facebook,ByteDance,Bloomberg,Microsoft,Oracle,Google,Amazon,Apple,Adobe")</f>
        <v>Uber,Qualtrics,LinkedIn,eBay,JPMorgan,Cloudera,Zillow,Atlassian,Facebook,ByteDance,Bloomberg,Microsoft,Oracle,Google,Amazon,Apple,Adobe</v>
      </c>
      <c r="I149" s="47">
        <f>IFERROR(__xludf.DUMMYFUNCTION("""COMPUTED_VALUE"""),60.37)</f>
        <v>60.37</v>
      </c>
      <c r="J149" s="47" t="str">
        <f>IFERROR(__xludf.DUMMYFUNCTION("""COMPUTED_VALUE"""),"算法")</f>
        <v>算法</v>
      </c>
      <c r="L149" s="6">
        <f>COUNTIF('Coder-1'!B:B,A149)</f>
        <v>0</v>
      </c>
      <c r="M149" s="6">
        <f>COUNTIF('Coder-2'!B:B,A149)</f>
        <v>0</v>
      </c>
      <c r="N149" s="6">
        <f>COUNTIF('Coder-3'!B:B,A149)</f>
        <v>0</v>
      </c>
      <c r="O149" s="6">
        <f>COUNTIF('Coder-4'!B:B,A149)</f>
        <v>0</v>
      </c>
    </row>
    <row r="150">
      <c r="A150" s="83">
        <v>545.0</v>
      </c>
      <c r="B150" s="86" t="str">
        <f>IFERROR(__xludf.DUMMYFUNCTION("IF(ISBLANK(A150),,FILTER('Leetcode List'!B:C,'Leetcode List'!A:A = A150))"),"Boundary of Binary Tree")</f>
        <v>Boundary of Binary Tree</v>
      </c>
      <c r="C150" s="83" t="str">
        <f>IFERROR(__xludf.DUMMYFUNCTION("""COMPUTED_VALUE"""),"Medium")</f>
        <v>Medium</v>
      </c>
      <c r="D150" s="83" t="s">
        <v>320</v>
      </c>
      <c r="E150" s="87" t="str">
        <f>IFERROR(__xludf.DUMMYFUNCTION("IF(ISBLANK(A150),,FILTER('Leetcode List'!E:J,'Leetcode List'!A:A = A150))"),"Facebook,Atlassian,Audible,Oracle,EBay,Apple,Adobe,Amazon,Microsoft,Google")</f>
        <v>Facebook,Atlassian,Audible,Oracle,EBay,Apple,Adobe,Amazon,Microsoft,Google</v>
      </c>
      <c r="F150" s="47" t="str">
        <f>IFERROR(__xludf.DUMMYFUNCTION("""COMPUTED_VALUE"""),"Microsoft,Amazon,eBay,Facebook,Oracle,Audible")</f>
        <v>Microsoft,Amazon,eBay,Facebook,Oracle,Audible</v>
      </c>
      <c r="G150" s="47" t="str">
        <f>IFERROR(__xludf.DUMMYFUNCTION("""COMPUTED_VALUE"""),"Microsoft,Amazon,eBay,Facebook,Oracle,Audible")</f>
        <v>Microsoft,Amazon,eBay,Facebook,Oracle,Audible</v>
      </c>
      <c r="H150" s="47" t="str">
        <f>IFERROR(__xludf.DUMMYFUNCTION("""COMPUTED_VALUE"""),"Apple,Google,Microsoft,Amazon,eBay,Facebook,Oracle,Audible")</f>
        <v>Apple,Google,Microsoft,Amazon,eBay,Facebook,Oracle,Audible</v>
      </c>
      <c r="I150" s="47">
        <f>IFERROR(__xludf.DUMMYFUNCTION("""COMPUTED_VALUE"""),40.05)</f>
        <v>40.05</v>
      </c>
      <c r="J150" s="47" t="str">
        <f>IFERROR(__xludf.DUMMYFUNCTION("""COMPUTED_VALUE"""),"算法")</f>
        <v>算法</v>
      </c>
      <c r="L150" s="6">
        <f>COUNTIF('Coder-1'!B:B,A150)</f>
        <v>0</v>
      </c>
      <c r="M150" s="6">
        <f>COUNTIF('Coder-2'!B:B,A150)</f>
        <v>0</v>
      </c>
      <c r="N150" s="6">
        <f>COUNTIF('Coder-3'!B:B,A150)</f>
        <v>0</v>
      </c>
      <c r="O150" s="6">
        <f>COUNTIF('Coder-4'!B:B,A150)</f>
        <v>0</v>
      </c>
    </row>
    <row r="151">
      <c r="A151" s="83">
        <v>272.0</v>
      </c>
      <c r="B151" s="86" t="str">
        <f>IFERROR(__xludf.DUMMYFUNCTION("IF(ISBLANK(A151),,FILTER('Leetcode List'!B:C,'Leetcode List'!A:A = A151))"),"Closest Binary Search Tree Value II")</f>
        <v>Closest Binary Search Tree Value II</v>
      </c>
      <c r="C151" s="83" t="str">
        <f>IFERROR(__xludf.DUMMYFUNCTION("""COMPUTED_VALUE"""),"Hard")</f>
        <v>Hard</v>
      </c>
      <c r="D151" s="83" t="s">
        <v>320</v>
      </c>
      <c r="E151" s="87" t="str">
        <f>IFERROR(__xludf.DUMMYFUNCTION("IF(ISBLANK(A151),,FILTER('Leetcode List'!E:J,'Leetcode List'!A:A = A151))"),"Oracle,ForUsAll,Facebook,Amazon,LinkedIn,Google")</f>
        <v>Oracle,ForUsAll,Facebook,Amazon,LinkedIn,Google</v>
      </c>
      <c r="F151" s="47" t="str">
        <f>IFERROR(__xludf.DUMMYFUNCTION("""COMPUTED_VALUE"""),"LinkedIn,Oracle")</f>
        <v>LinkedIn,Oracle</v>
      </c>
      <c r="G151" s="47" t="str">
        <f>IFERROR(__xludf.DUMMYFUNCTION("""COMPUTED_VALUE"""),"Facebook,LinkedIn,Oracle")</f>
        <v>Facebook,LinkedIn,Oracle</v>
      </c>
      <c r="H151" s="47" t="str">
        <f>IFERROR(__xludf.DUMMYFUNCTION("""COMPUTED_VALUE"""),"Amazon,Google,Facebook,LinkedIn,Oracle")</f>
        <v>Amazon,Google,Facebook,LinkedIn,Oracle</v>
      </c>
      <c r="I151" s="47">
        <f>IFERROR(__xludf.DUMMYFUNCTION("""COMPUTED_VALUE"""),52.47)</f>
        <v>52.47</v>
      </c>
      <c r="J151" s="47" t="str">
        <f>IFERROR(__xludf.DUMMYFUNCTION("""COMPUTED_VALUE"""),"算法")</f>
        <v>算法</v>
      </c>
      <c r="L151" s="6">
        <f>COUNTIF('Coder-1'!B:B,A151)</f>
        <v>0</v>
      </c>
      <c r="M151" s="6">
        <f>COUNTIF('Coder-2'!B:B,A151)</f>
        <v>0</v>
      </c>
      <c r="N151" s="6">
        <f>COUNTIF('Coder-3'!B:B,A151)</f>
        <v>0</v>
      </c>
      <c r="O151" s="6">
        <f>COUNTIF('Coder-4'!B:B,A151)</f>
        <v>0</v>
      </c>
    </row>
    <row r="152">
      <c r="A152" s="83">
        <v>310.0</v>
      </c>
      <c r="B152" s="86" t="str">
        <f>IFERROR(__xludf.DUMMYFUNCTION("IF(ISBLANK(A152),,FILTER('Leetcode List'!B:C,'Leetcode List'!A:A = A152))"),"Minimum Height Trees")</f>
        <v>Minimum Height Trees</v>
      </c>
      <c r="C152" s="83" t="str">
        <f>IFERROR(__xludf.DUMMYFUNCTION("""COMPUTED_VALUE"""),"Medium")</f>
        <v>Medium</v>
      </c>
      <c r="D152" s="83" t="s">
        <v>320</v>
      </c>
      <c r="E152" s="87" t="str">
        <f>IFERROR(__xludf.DUMMYFUNCTION("IF(ISBLANK(A152),,FILTER('Leetcode List'!E:J,'Leetcode List'!A:A = A152))"),"Apple,Snapchat,Bloomberg,Facebook,Amazon,Google")</f>
        <v>Apple,Snapchat,Bloomberg,Facebook,Amazon,Google</v>
      </c>
      <c r="F152" s="47" t="str">
        <f>IFERROR(__xludf.DUMMYFUNCTION("""COMPUTED_VALUE"""),"Facebook")</f>
        <v>Facebook</v>
      </c>
      <c r="G152" s="47" t="str">
        <f>IFERROR(__xludf.DUMMYFUNCTION("""COMPUTED_VALUE"""),"Amazon,Google,Bloomberg,Facebook")</f>
        <v>Amazon,Google,Bloomberg,Facebook</v>
      </c>
      <c r="H152" s="47" t="str">
        <f>IFERROR(__xludf.DUMMYFUNCTION("""COMPUTED_VALUE"""),"Snapchat,Apple,Amazon,Google,Bloomberg,Facebook")</f>
        <v>Snapchat,Apple,Amazon,Google,Bloomberg,Facebook</v>
      </c>
      <c r="I152" s="47">
        <f>IFERROR(__xludf.DUMMYFUNCTION("""COMPUTED_VALUE"""),34.77)</f>
        <v>34.77</v>
      </c>
      <c r="J152" s="47" t="str">
        <f>IFERROR(__xludf.DUMMYFUNCTION("""COMPUTED_VALUE"""),"算法")</f>
        <v>算法</v>
      </c>
      <c r="L152" s="6">
        <f>COUNTIF('Coder-1'!B:B,A152)</f>
        <v>0</v>
      </c>
      <c r="M152" s="6">
        <f>COUNTIF('Coder-2'!B:B,A152)</f>
        <v>0</v>
      </c>
      <c r="N152" s="6">
        <f>COUNTIF('Coder-3'!B:B,A152)</f>
        <v>0</v>
      </c>
      <c r="O152" s="6">
        <f>COUNTIF('Coder-4'!B:B,A152)</f>
        <v>0</v>
      </c>
    </row>
    <row r="153">
      <c r="A153" s="83">
        <v>331.0</v>
      </c>
      <c r="B153" s="86" t="str">
        <f>IFERROR(__xludf.DUMMYFUNCTION("IF(ISBLANK(A153),,FILTER('Leetcode List'!B:C,'Leetcode List'!A:A = A153))"),"Verify Preorder Serialization of a Binary Tree")</f>
        <v>Verify Preorder Serialization of a Binary Tree</v>
      </c>
      <c r="C153" s="83" t="str">
        <f>IFERROR(__xludf.DUMMYFUNCTION("""COMPUTED_VALUE"""),"Medium")</f>
        <v>Medium</v>
      </c>
      <c r="D153" s="83" t="s">
        <v>320</v>
      </c>
      <c r="E153" s="87" t="str">
        <f>IFERROR(__xludf.DUMMYFUNCTION("IF(ISBLANK(A153),,FILTER('Leetcode List'!E:J,'Leetcode List'!A:A = A153))"),"Google")</f>
        <v>Google</v>
      </c>
      <c r="F153" s="47"/>
      <c r="G153" s="47"/>
      <c r="H153" s="47" t="str">
        <f>IFERROR(__xludf.DUMMYFUNCTION("""COMPUTED_VALUE"""),"Google")</f>
        <v>Google</v>
      </c>
      <c r="I153" s="47">
        <f>IFERROR(__xludf.DUMMYFUNCTION("""COMPUTED_VALUE"""),41.05)</f>
        <v>41.05</v>
      </c>
      <c r="J153" s="47" t="str">
        <f>IFERROR(__xludf.DUMMYFUNCTION("""COMPUTED_VALUE"""),"算法")</f>
        <v>算法</v>
      </c>
      <c r="L153" s="6">
        <f>COUNTIF('Coder-1'!B:B,A153)</f>
        <v>0</v>
      </c>
      <c r="M153" s="6">
        <f>COUNTIF('Coder-2'!B:B,A153)</f>
        <v>0</v>
      </c>
      <c r="N153" s="6">
        <f>COUNTIF('Coder-3'!B:B,A153)</f>
        <v>0</v>
      </c>
      <c r="O153" s="6">
        <f>COUNTIF('Coder-4'!B:B,A153)</f>
        <v>0</v>
      </c>
    </row>
    <row r="154">
      <c r="A154" s="83">
        <v>226.0</v>
      </c>
      <c r="B154" s="86" t="str">
        <f>IFERROR(__xludf.DUMMYFUNCTION("IF(ISBLANK(A154),,FILTER('Leetcode List'!B:C,'Leetcode List'!A:A = A154))"),"Invert Binary Tree")</f>
        <v>Invert Binary Tree</v>
      </c>
      <c r="C154" s="83" t="str">
        <f>IFERROR(__xludf.DUMMYFUNCTION("""COMPUTED_VALUE"""),"Easy")</f>
        <v>Easy</v>
      </c>
      <c r="D154" s="83" t="s">
        <v>320</v>
      </c>
      <c r="E154" s="87" t="str">
        <f>IFERROR(__xludf.DUMMYFUNCTION("IF(ISBLANK(A154),,FILTER('Leetcode List'!E:J,'Leetcode List'!A:A = A154))"),"Walmart Labs,Paypal,Oracle,EBay,Salesforce,VMware,Apple,Uber,Bloomberg,Facebook,Amazon,Microsoft,Google")</f>
        <v>Walmart Labs,Paypal,Oracle,EBay,Salesforce,VMware,Apple,Uber,Bloomberg,Facebook,Amazon,Microsoft,Google</v>
      </c>
      <c r="F154" s="47" t="str">
        <f>IFERROR(__xludf.DUMMYFUNCTION("""COMPUTED_VALUE"""),"Microsoft,Amazon,Google,Facebook,eBay,Apple,VMware,Paypal")</f>
        <v>Microsoft,Amazon,Google,Facebook,eBay,Apple,VMware,Paypal</v>
      </c>
      <c r="G154" s="47" t="str">
        <f>IFERROR(__xludf.DUMMYFUNCTION("""COMPUTED_VALUE"""),"Oracle,Microsoft,Amazon,Google,Facebook,eBay,Apple,VMware,Paypal")</f>
        <v>Oracle,Microsoft,Amazon,Google,Facebook,eBay,Apple,VMware,Paypal</v>
      </c>
      <c r="H154" s="47" t="str">
        <f>IFERROR(__xludf.DUMMYFUNCTION("""COMPUTED_VALUE"""),"Bloomberg,Walmart Labs,Oracle,Microsoft,Amazon,Google,Facebook,eBay,Apple,VMware,Paypal")</f>
        <v>Bloomberg,Walmart Labs,Oracle,Microsoft,Amazon,Google,Facebook,eBay,Apple,VMware,Paypal</v>
      </c>
      <c r="I154" s="47">
        <f>IFERROR(__xludf.DUMMYFUNCTION("""COMPUTED_VALUE"""),67.16)</f>
        <v>67.16</v>
      </c>
      <c r="J154" s="47" t="str">
        <f>IFERROR(__xludf.DUMMYFUNCTION("""COMPUTED_VALUE"""),"算法")</f>
        <v>算法</v>
      </c>
      <c r="L154" s="6">
        <f>COUNTIF('Coder-1'!B:B,A154)</f>
        <v>0</v>
      </c>
      <c r="M154" s="6">
        <f>COUNTIF('Coder-2'!B:B,A154)</f>
        <v>0</v>
      </c>
      <c r="N154" s="6">
        <f>COUNTIF('Coder-3'!B:B,A154)</f>
        <v>0</v>
      </c>
      <c r="O154" s="6">
        <f>COUNTIF('Coder-4'!B:B,A154)</f>
        <v>0</v>
      </c>
    </row>
    <row r="155">
      <c r="A155" s="83">
        <v>655.0</v>
      </c>
      <c r="B155" s="86" t="str">
        <f>IFERROR(__xludf.DUMMYFUNCTION("IF(ISBLANK(A155),,FILTER('Leetcode List'!B:C,'Leetcode List'!A:A = A155))"),"Print Binary Tree")</f>
        <v>Print Binary Tree</v>
      </c>
      <c r="C155" s="83" t="str">
        <f>IFERROR(__xludf.DUMMYFUNCTION("""COMPUTED_VALUE"""),"Medium")</f>
        <v>Medium</v>
      </c>
      <c r="D155" s="83" t="s">
        <v>320</v>
      </c>
      <c r="E155" s="87" t="str">
        <f>IFERROR(__xludf.DUMMYFUNCTION("IF(ISBLANK(A155),,FILTER('Leetcode List'!E:J,'Leetcode List'!A:A = A155))"),"Poynt,Uber,Facebook,LinkedIn,Microsoft")</f>
        <v>Poynt,Uber,Facebook,LinkedIn,Microsoft</v>
      </c>
      <c r="F155" s="47" t="str">
        <f>IFERROR(__xludf.DUMMYFUNCTION("""COMPUTED_VALUE"""),"Uber")</f>
        <v>Uber</v>
      </c>
      <c r="G155" s="47" t="str">
        <f>IFERROR(__xludf.DUMMYFUNCTION("""COMPUTED_VALUE"""),"Uber")</f>
        <v>Uber</v>
      </c>
      <c r="H155" s="47" t="str">
        <f>IFERROR(__xludf.DUMMYFUNCTION("""COMPUTED_VALUE"""),"Facebook,Poynt,Uber")</f>
        <v>Facebook,Poynt,Uber</v>
      </c>
      <c r="I155" s="47">
        <f>IFERROR(__xludf.DUMMYFUNCTION("""COMPUTED_VALUE"""),56.22)</f>
        <v>56.22</v>
      </c>
      <c r="J155" s="47" t="str">
        <f>IFERROR(__xludf.DUMMYFUNCTION("""COMPUTED_VALUE"""),"算法")</f>
        <v>算法</v>
      </c>
      <c r="L155" s="6">
        <f>COUNTIF('Coder-1'!B:B,A155)</f>
        <v>0</v>
      </c>
      <c r="M155" s="6">
        <f>COUNTIF('Coder-2'!B:B,A155)</f>
        <v>0</v>
      </c>
      <c r="N155" s="6">
        <f>COUNTIF('Coder-3'!B:B,A155)</f>
        <v>0</v>
      </c>
      <c r="O155" s="6">
        <f>COUNTIF('Coder-4'!B:B,A155)</f>
        <v>0</v>
      </c>
    </row>
    <row r="156">
      <c r="A156" s="46">
        <v>501.0</v>
      </c>
      <c r="B156" s="86" t="str">
        <f>IFERROR(__xludf.DUMMYFUNCTION("IF(ISBLANK(A156),,FILTER('Leetcode List'!B:C,'Leetcode List'!A:A = A156))"),"Find Mode in Binary Search Tree")</f>
        <v>Find Mode in Binary Search Tree</v>
      </c>
      <c r="C156" s="83" t="str">
        <f>IFERROR(__xludf.DUMMYFUNCTION("""COMPUTED_VALUE"""),"Easy")</f>
        <v>Easy</v>
      </c>
      <c r="D156" s="83" t="s">
        <v>320</v>
      </c>
      <c r="E156" s="87" t="str">
        <f>IFERROR(__xludf.DUMMYFUNCTION("IF(ISBLANK(A156),,FILTER('Leetcode List'!E:J,'Leetcode List'!A:A = A156))"),"Amazon,Google")</f>
        <v>Amazon,Google</v>
      </c>
      <c r="F156" s="47" t="str">
        <f>IFERROR(__xludf.DUMMYFUNCTION("""COMPUTED_VALUE"""),"Google")</f>
        <v>Google</v>
      </c>
      <c r="G156" s="47" t="str">
        <f>IFERROR(__xludf.DUMMYFUNCTION("""COMPUTED_VALUE"""),"Amazon,Google")</f>
        <v>Amazon,Google</v>
      </c>
      <c r="H156" s="47" t="str">
        <f>IFERROR(__xludf.DUMMYFUNCTION("""COMPUTED_VALUE"""),"Amazon,Google")</f>
        <v>Amazon,Google</v>
      </c>
      <c r="I156" s="47">
        <f>IFERROR(__xludf.DUMMYFUNCTION("""COMPUTED_VALUE"""),43.59)</f>
        <v>43.59</v>
      </c>
      <c r="J156" s="47" t="str">
        <f>IFERROR(__xludf.DUMMYFUNCTION("""COMPUTED_VALUE"""),"算法")</f>
        <v>算法</v>
      </c>
      <c r="L156" s="6">
        <f>COUNTIF('Coder-1'!B:B,A156)</f>
        <v>0</v>
      </c>
      <c r="M156" s="6">
        <f>COUNTIF('Coder-2'!B:B,A156)</f>
        <v>0</v>
      </c>
      <c r="N156" s="6">
        <f>COUNTIF('Coder-3'!B:B,A156)</f>
        <v>0</v>
      </c>
      <c r="O156" s="6">
        <f>COUNTIF('Coder-4'!B:B,A156)</f>
        <v>0</v>
      </c>
    </row>
    <row r="157">
      <c r="A157" s="46">
        <v>558.0</v>
      </c>
      <c r="B157" s="86" t="str">
        <f>IFERROR(__xludf.DUMMYFUNCTION("IF(ISBLANK(A157),,FILTER('Leetcode List'!B:C,'Leetcode List'!A:A = A157))"),"Logical OR of Two Binary Grids Represented as Quad-Trees")</f>
        <v>Logical OR of Two Binary Grids Represented as Quad-Trees</v>
      </c>
      <c r="C157" s="83" t="str">
        <f>IFERROR(__xludf.DUMMYFUNCTION("""COMPUTED_VALUE"""),"Medium")</f>
        <v>Medium</v>
      </c>
      <c r="D157" s="83" t="s">
        <v>320</v>
      </c>
      <c r="E157" s="87" t="str">
        <f>IFERROR(__xludf.DUMMYFUNCTION("IF(ISBLANK(A157),,FILTER('Leetcode List'!E:J,'Leetcode List'!A:A = A157))"),"Sumologic,Amazon,Google")</f>
        <v>Sumologic,Amazon,Google</v>
      </c>
      <c r="F157" s="47"/>
      <c r="G157" s="47"/>
      <c r="H157" s="47" t="str">
        <f>IFERROR(__xludf.DUMMYFUNCTION("""COMPUTED_VALUE"""),"Sumologic")</f>
        <v>Sumologic</v>
      </c>
      <c r="I157" s="47">
        <f>IFERROR(__xludf.DUMMYFUNCTION("""COMPUTED_VALUE"""),45.62)</f>
        <v>45.62</v>
      </c>
      <c r="J157" s="47" t="str">
        <f>IFERROR(__xludf.DUMMYFUNCTION("""COMPUTED_VALUE"""),"算法")</f>
        <v>算法</v>
      </c>
      <c r="L157" s="6">
        <f>COUNTIF('Coder-1'!B:B,A157)</f>
        <v>0</v>
      </c>
      <c r="M157" s="6">
        <f>COUNTIF('Coder-2'!B:B,A157)</f>
        <v>0</v>
      </c>
      <c r="N157" s="6">
        <f>COUNTIF('Coder-3'!B:B,A157)</f>
        <v>0</v>
      </c>
      <c r="O157" s="6">
        <f>COUNTIF('Coder-4'!B:B,A157)</f>
        <v>0</v>
      </c>
    </row>
    <row r="158">
      <c r="A158" s="83">
        <v>662.0</v>
      </c>
      <c r="B158" s="86" t="str">
        <f>IFERROR(__xludf.DUMMYFUNCTION("IF(ISBLANK(A158),,FILTER('Leetcode List'!B:C,'Leetcode List'!A:A = A158))"),"Maximum Width of Binary Tree")</f>
        <v>Maximum Width of Binary Tree</v>
      </c>
      <c r="C158" s="83" t="str">
        <f>IFERROR(__xludf.DUMMYFUNCTION("""COMPUTED_VALUE"""),"Medium")</f>
        <v>Medium</v>
      </c>
      <c r="D158" s="83" t="s">
        <v>320</v>
      </c>
      <c r="E158" s="87" t="str">
        <f>IFERROR(__xludf.DUMMYFUNCTION("IF(ISBLANK(A158),,FILTER('Leetcode List'!E:J,'Leetcode List'!A:A = A158))"),"Oracle,EBay,Uber,Bloomberg,Facebook,Amazon,Microsoft,Google")</f>
        <v>Oracle,EBay,Uber,Bloomberg,Facebook,Amazon,Microsoft,Google</v>
      </c>
      <c r="F158" s="47" t="str">
        <f>IFERROR(__xludf.DUMMYFUNCTION("""COMPUTED_VALUE"""),"Microsoft")</f>
        <v>Microsoft</v>
      </c>
      <c r="G158" s="47" t="str">
        <f>IFERROR(__xludf.DUMMYFUNCTION("""COMPUTED_VALUE"""),"Amazon,eBay,Bloomberg,Facebook,Microsoft")</f>
        <v>Amazon,eBay,Bloomberg,Facebook,Microsoft</v>
      </c>
      <c r="H158" s="47" t="str">
        <f>IFERROR(__xludf.DUMMYFUNCTION("""COMPUTED_VALUE"""),"Google,Uber,Oracle,Amazon,eBay,Bloomberg,Facebook,Microsoft")</f>
        <v>Google,Uber,Oracle,Amazon,eBay,Bloomberg,Facebook,Microsoft</v>
      </c>
      <c r="I158" s="47">
        <f>IFERROR(__xludf.DUMMYFUNCTION("""COMPUTED_VALUE"""),39.8)</f>
        <v>39.8</v>
      </c>
      <c r="J158" s="47" t="str">
        <f>IFERROR(__xludf.DUMMYFUNCTION("""COMPUTED_VALUE"""),"算法")</f>
        <v>算法</v>
      </c>
      <c r="L158" s="6">
        <f>COUNTIF('Coder-1'!B:B,A158)</f>
        <v>0</v>
      </c>
      <c r="M158" s="6">
        <f>COUNTIF('Coder-2'!B:B,A158)</f>
        <v>0</v>
      </c>
      <c r="N158" s="6">
        <f>COUNTIF('Coder-3'!B:B,A158)</f>
        <v>0</v>
      </c>
      <c r="O158" s="6">
        <f>COUNTIF('Coder-4'!B:B,A158)</f>
        <v>0</v>
      </c>
    </row>
    <row r="159">
      <c r="A159" s="83">
        <v>652.0</v>
      </c>
      <c r="B159" s="86" t="str">
        <f>IFERROR(__xludf.DUMMYFUNCTION("IF(ISBLANK(A159),,FILTER('Leetcode List'!B:C,'Leetcode List'!A:A = A159))"),"Find Duplicate Subtrees")</f>
        <v>Find Duplicate Subtrees</v>
      </c>
      <c r="C159" s="83" t="str">
        <f>IFERROR(__xludf.DUMMYFUNCTION("""COMPUTED_VALUE"""),"Medium")</f>
        <v>Medium</v>
      </c>
      <c r="D159" s="83" t="s">
        <v>320</v>
      </c>
      <c r="E159" s="87" t="str">
        <f>IFERROR(__xludf.DUMMYFUNCTION("IF(ISBLANK(A159),,FILTER('Leetcode List'!E:J,'Leetcode List'!A:A = A159))"),"Rubrik,Oracle,Lyft,Uber,Bloomberg,Facebook,Amazon,Microsoft,Google")</f>
        <v>Rubrik,Oracle,Lyft,Uber,Bloomberg,Facebook,Amazon,Microsoft,Google</v>
      </c>
      <c r="F159" s="47" t="str">
        <f>IFERROR(__xludf.DUMMYFUNCTION("""COMPUTED_VALUE"""),"Google,Amazon")</f>
        <v>Google,Amazon</v>
      </c>
      <c r="G159" s="47" t="str">
        <f>IFERROR(__xludf.DUMMYFUNCTION("""COMPUTED_VALUE"""),"Microsoft,Google,Amazon")</f>
        <v>Microsoft,Google,Amazon</v>
      </c>
      <c r="H159" s="47" t="str">
        <f>IFERROR(__xludf.DUMMYFUNCTION("""COMPUTED_VALUE"""),"Bloomberg,Facebook,Oracle,Rubrik,Microsoft,Google,Amazon")</f>
        <v>Bloomberg,Facebook,Oracle,Rubrik,Microsoft,Google,Amazon</v>
      </c>
      <c r="I159" s="47">
        <f>IFERROR(__xludf.DUMMYFUNCTION("""COMPUTED_VALUE"""),52.7)</f>
        <v>52.7</v>
      </c>
      <c r="J159" s="47" t="str">
        <f>IFERROR(__xludf.DUMMYFUNCTION("""COMPUTED_VALUE"""),"算法")</f>
        <v>算法</v>
      </c>
      <c r="L159" s="6">
        <f>COUNTIF('Coder-1'!B:B,A159)</f>
        <v>0</v>
      </c>
      <c r="M159" s="6">
        <f>COUNTIF('Coder-2'!B:B,A159)</f>
        <v>0</v>
      </c>
      <c r="N159" s="6">
        <f>COUNTIF('Coder-3'!B:B,A159)</f>
        <v>0</v>
      </c>
      <c r="O159" s="6">
        <f>COUNTIF('Coder-4'!B:B,A159)</f>
        <v>0</v>
      </c>
    </row>
    <row r="160">
      <c r="A160" s="83">
        <v>687.0</v>
      </c>
      <c r="B160" s="86" t="str">
        <f>IFERROR(__xludf.DUMMYFUNCTION("IF(ISBLANK(A160),,FILTER('Leetcode List'!B:C,'Leetcode List'!A:A = A160))"),"Longest Univalue Path")</f>
        <v>Longest Univalue Path</v>
      </c>
      <c r="C160" s="83" t="str">
        <f>IFERROR(__xludf.DUMMYFUNCTION("""COMPUTED_VALUE"""),"Medium")</f>
        <v>Medium</v>
      </c>
      <c r="D160" s="83" t="s">
        <v>320</v>
      </c>
      <c r="E160" s="87" t="str">
        <f>IFERROR(__xludf.DUMMYFUNCTION("IF(ISBLANK(A160),,FILTER('Leetcode List'!E:J,'Leetcode List'!A:A = A160))"),"Bloomberg,Apple,Amazon,Google")</f>
        <v>Bloomberg,Apple,Amazon,Google</v>
      </c>
      <c r="F160" s="47" t="str">
        <f>IFERROR(__xludf.DUMMYFUNCTION("""COMPUTED_VALUE"""),"Bloomberg,Amazon")</f>
        <v>Bloomberg,Amazon</v>
      </c>
      <c r="G160" s="47" t="str">
        <f>IFERROR(__xludf.DUMMYFUNCTION("""COMPUTED_VALUE"""),"Bloomberg,Amazon")</f>
        <v>Bloomberg,Amazon</v>
      </c>
      <c r="H160" s="47" t="str">
        <f>IFERROR(__xludf.DUMMYFUNCTION("""COMPUTED_VALUE"""),"Apple,Google,Bloomberg,Amazon")</f>
        <v>Apple,Google,Bloomberg,Amazon</v>
      </c>
      <c r="I160" s="47">
        <f>IFERROR(__xludf.DUMMYFUNCTION("""COMPUTED_VALUE"""),37.36)</f>
        <v>37.36</v>
      </c>
      <c r="J160" s="47" t="str">
        <f>IFERROR(__xludf.DUMMYFUNCTION("""COMPUTED_VALUE"""),"算法")</f>
        <v>算法</v>
      </c>
      <c r="L160" s="6">
        <f>COUNTIF('Coder-1'!B:B,A160)</f>
        <v>0</v>
      </c>
      <c r="M160" s="6">
        <f>COUNTIF('Coder-2'!B:B,A160)</f>
        <v>0</v>
      </c>
      <c r="N160" s="6">
        <f>COUNTIF('Coder-3'!B:B,A160)</f>
        <v>0</v>
      </c>
      <c r="O160" s="6">
        <f>COUNTIF('Coder-4'!B:B,A160)</f>
        <v>0</v>
      </c>
    </row>
    <row r="161">
      <c r="A161" s="46">
        <v>742.0</v>
      </c>
      <c r="B161" s="86" t="str">
        <f>IFERROR(__xludf.DUMMYFUNCTION("IF(ISBLANK(A161),,FILTER('Leetcode List'!B:C,'Leetcode List'!A:A = A161))"),"Closest Leaf in a Binary Tree")</f>
        <v>Closest Leaf in a Binary Tree</v>
      </c>
      <c r="C161" s="83" t="str">
        <f>IFERROR(__xludf.DUMMYFUNCTION("""COMPUTED_VALUE"""),"Medium")</f>
        <v>Medium</v>
      </c>
      <c r="D161" s="83" t="s">
        <v>320</v>
      </c>
      <c r="E161" s="87" t="str">
        <f>IFERROR(__xludf.DUMMYFUNCTION("IF(ISBLANK(A161),,FILTER('Leetcode List'!E:J,'Leetcode List'!A:A = A161))"),"PayTM,JPMorgan,Databricks,Facebook,Amazon,Google")</f>
        <v>PayTM,JPMorgan,Databricks,Facebook,Amazon,Google</v>
      </c>
      <c r="F161" s="47" t="str">
        <f>IFERROR(__xludf.DUMMYFUNCTION("""COMPUTED_VALUE"""),"Facebook")</f>
        <v>Facebook</v>
      </c>
      <c r="G161" s="47" t="str">
        <f>IFERROR(__xludf.DUMMYFUNCTION("""COMPUTED_VALUE"""),"Databricks,JPMorgan,PayTM,Facebook")</f>
        <v>Databricks,JPMorgan,PayTM,Facebook</v>
      </c>
      <c r="H161" s="47" t="str">
        <f>IFERROR(__xludf.DUMMYFUNCTION("""COMPUTED_VALUE"""),"Google,Amazon,Databricks,JPMorgan,PayTM,Facebook")</f>
        <v>Google,Amazon,Databricks,JPMorgan,PayTM,Facebook</v>
      </c>
      <c r="I161" s="47">
        <f>IFERROR(__xludf.DUMMYFUNCTION("""COMPUTED_VALUE"""),44.48)</f>
        <v>44.48</v>
      </c>
      <c r="J161" s="47" t="str">
        <f>IFERROR(__xludf.DUMMYFUNCTION("""COMPUTED_VALUE"""),"算法")</f>
        <v>算法</v>
      </c>
      <c r="L161" s="6">
        <f>COUNTIF('Coder-1'!B:B,A161)</f>
        <v>0</v>
      </c>
      <c r="M161" s="6">
        <f>COUNTIF('Coder-2'!B:B,A161)</f>
        <v>0</v>
      </c>
      <c r="N161" s="6">
        <f>COUNTIF('Coder-3'!B:B,A161)</f>
        <v>0</v>
      </c>
      <c r="O161" s="6">
        <f>COUNTIF('Coder-4'!B:B,A161)</f>
        <v>0</v>
      </c>
    </row>
    <row r="162">
      <c r="A162" s="46">
        <v>834.0</v>
      </c>
      <c r="B162" s="86" t="str">
        <f>IFERROR(__xludf.DUMMYFUNCTION("IF(ISBLANK(A162),,FILTER('Leetcode List'!B:C,'Leetcode List'!A:A = A162))"),"Sum of Distances in Tree")</f>
        <v>Sum of Distances in Tree</v>
      </c>
      <c r="C162" s="83" t="str">
        <f>IFERROR(__xludf.DUMMYFUNCTION("""COMPUTED_VALUE"""),"Hard")</f>
        <v>Hard</v>
      </c>
      <c r="D162" s="83" t="s">
        <v>320</v>
      </c>
      <c r="E162" s="87" t="str">
        <f>IFERROR(__xludf.DUMMYFUNCTION("IF(ISBLANK(A162),,FILTER('Leetcode List'!E:J,'Leetcode List'!A:A = A162))"),"ByteDance,Apple,Google")</f>
        <v>ByteDance,Apple,Google</v>
      </c>
      <c r="F162" s="47" t="str">
        <f>IFERROR(__xludf.DUMMYFUNCTION("""COMPUTED_VALUE"""),"Google,Apple")</f>
        <v>Google,Apple</v>
      </c>
      <c r="G162" s="47" t="str">
        <f>IFERROR(__xludf.DUMMYFUNCTION("""COMPUTED_VALUE"""),"Google,Apple")</f>
        <v>Google,Apple</v>
      </c>
      <c r="H162" s="47" t="str">
        <f>IFERROR(__xludf.DUMMYFUNCTION("""COMPUTED_VALUE"""),"ByteDance,Google,Apple")</f>
        <v>ByteDance,Google,Apple</v>
      </c>
      <c r="I162" s="47">
        <f>IFERROR(__xludf.DUMMYFUNCTION("""COMPUTED_VALUE"""),46.3)</f>
        <v>46.3</v>
      </c>
      <c r="J162" s="47" t="str">
        <f>IFERROR(__xludf.DUMMYFUNCTION("""COMPUTED_VALUE"""),"算法")</f>
        <v>算法</v>
      </c>
      <c r="L162" s="6">
        <f>COUNTIF('Coder-1'!B:B,A162)</f>
        <v>0</v>
      </c>
      <c r="M162" s="6">
        <f>COUNTIF('Coder-2'!B:B,A162)</f>
        <v>0</v>
      </c>
      <c r="N162" s="6">
        <f>COUNTIF('Coder-3'!B:B,A162)</f>
        <v>0</v>
      </c>
      <c r="O162" s="6">
        <f>COUNTIF('Coder-4'!B:B,A162)</f>
        <v>0</v>
      </c>
    </row>
    <row r="163">
      <c r="A163" s="83">
        <v>863.0</v>
      </c>
      <c r="B163" s="86" t="str">
        <f>IFERROR(__xludf.DUMMYFUNCTION("IF(ISBLANK(A163),,FILTER('Leetcode List'!B:C,'Leetcode List'!A:A = A163))"),"All Nodes Distance K in Binary Tree")</f>
        <v>All Nodes Distance K in Binary Tree</v>
      </c>
      <c r="C163" s="83" t="str">
        <f>IFERROR(__xludf.DUMMYFUNCTION("""COMPUTED_VALUE"""),"Medium")</f>
        <v>Medium</v>
      </c>
      <c r="D163" s="83" t="s">
        <v>320</v>
      </c>
      <c r="E163" s="87" t="str">
        <f>IFERROR(__xludf.DUMMYFUNCTION("IF(ISBLANK(A163),,FILTER('Leetcode List'!E:J,'Leetcode List'!A:A = A163))"),"Adobe,Hulu,ByteDance,Oracle,DiDi,Apple,Uber,Yahoo,Bloomberg,Facebook,Amazon,Microsoft,Google")</f>
        <v>Adobe,Hulu,ByteDance,Oracle,DiDi,Apple,Uber,Yahoo,Bloomberg,Facebook,Amazon,Microsoft,Google</v>
      </c>
      <c r="F163" s="47" t="str">
        <f>IFERROR(__xludf.DUMMYFUNCTION("""COMPUTED_VALUE"""),"Amazon,Facebook,Google")</f>
        <v>Amazon,Facebook,Google</v>
      </c>
      <c r="G163" s="47" t="str">
        <f>IFERROR(__xludf.DUMMYFUNCTION("""COMPUTED_VALUE"""),"Microsoft,Apple,Bloomberg,Amazon,Facebook,Google")</f>
        <v>Microsoft,Apple,Bloomberg,Amazon,Facebook,Google</v>
      </c>
      <c r="H163" s="47" t="str">
        <f>IFERROR(__xludf.DUMMYFUNCTION("""COMPUTED_VALUE"""),"Uber,Oracle,DiDi,ByteDance,Adobe,Microsoft,Apple,Bloomberg,Amazon,Facebook,Google")</f>
        <v>Uber,Oracle,DiDi,ByteDance,Adobe,Microsoft,Apple,Bloomberg,Amazon,Facebook,Google</v>
      </c>
      <c r="I163" s="47">
        <f>IFERROR(__xludf.DUMMYFUNCTION("""COMPUTED_VALUE"""),58.05)</f>
        <v>58.05</v>
      </c>
      <c r="J163" s="47" t="str">
        <f>IFERROR(__xludf.DUMMYFUNCTION("""COMPUTED_VALUE"""),"算法")</f>
        <v>算法</v>
      </c>
      <c r="L163" s="6">
        <f>COUNTIF('Coder-1'!B:B,A163)</f>
        <v>0</v>
      </c>
      <c r="M163" s="6">
        <f>COUNTIF('Coder-2'!B:B,A163)</f>
        <v>0</v>
      </c>
      <c r="N163" s="6">
        <f>COUNTIF('Coder-3'!B:B,A163)</f>
        <v>0</v>
      </c>
      <c r="O163" s="6">
        <f>COUNTIF('Coder-4'!B:B,A163)</f>
        <v>0</v>
      </c>
    </row>
    <row r="164">
      <c r="A164" s="83">
        <v>954.0</v>
      </c>
      <c r="B164" s="86" t="str">
        <f>IFERROR(__xludf.DUMMYFUNCTION("IF(ISBLANK(A164),,FILTER('Leetcode List'!B:C,'Leetcode List'!A:A = A164))"),"Array of Doubled Pairs")</f>
        <v>Array of Doubled Pairs</v>
      </c>
      <c r="C164" s="83" t="str">
        <f>IFERROR(__xludf.DUMMYFUNCTION("""COMPUTED_VALUE"""),"Medium")</f>
        <v>Medium</v>
      </c>
      <c r="D164" s="83" t="s">
        <v>320</v>
      </c>
      <c r="E164" s="87" t="str">
        <f>IFERROR(__xludf.DUMMYFUNCTION("IF(ISBLANK(A164),,FILTER('Leetcode List'!E:J,'Leetcode List'!A:A = A164))"),"Uber,Google")</f>
        <v>Uber,Google</v>
      </c>
      <c r="F164" s="47"/>
      <c r="G164" s="47"/>
      <c r="H164" s="47" t="str">
        <f>IFERROR(__xludf.DUMMYFUNCTION("""COMPUTED_VALUE"""),"Google")</f>
        <v>Google</v>
      </c>
      <c r="I164" s="47">
        <f>IFERROR(__xludf.DUMMYFUNCTION("""COMPUTED_VALUE"""),35.12)</f>
        <v>35.12</v>
      </c>
      <c r="J164" s="47" t="str">
        <f>IFERROR(__xludf.DUMMYFUNCTION("""COMPUTED_VALUE"""),"算法")</f>
        <v>算法</v>
      </c>
      <c r="L164" s="6">
        <f>COUNTIF('Coder-1'!B:B,A164)</f>
        <v>0</v>
      </c>
      <c r="M164" s="6">
        <f>COUNTIF('Coder-2'!B:B,A164)</f>
        <v>0</v>
      </c>
      <c r="N164" s="6">
        <f>COUNTIF('Coder-3'!B:B,A164)</f>
        <v>0</v>
      </c>
      <c r="O164" s="6">
        <f>COUNTIF('Coder-4'!B:B,A164)</f>
        <v>0</v>
      </c>
    </row>
    <row r="165">
      <c r="A165" s="83">
        <v>1028.0</v>
      </c>
      <c r="B165" s="86" t="str">
        <f>IFERROR(__xludf.DUMMYFUNCTION("IF(ISBLANK(A165),,FILTER('Leetcode List'!B:C,'Leetcode List'!A:A = A165))"),"Recover a Tree From Preorder Traversal")</f>
        <v>Recover a Tree From Preorder Traversal</v>
      </c>
      <c r="C165" s="83" t="str">
        <f>IFERROR(__xludf.DUMMYFUNCTION("""COMPUTED_VALUE"""),"Hard")</f>
        <v>Hard</v>
      </c>
      <c r="D165" s="83" t="s">
        <v>320</v>
      </c>
      <c r="E165" s="87" t="str">
        <f>IFERROR(__xludf.DUMMYFUNCTION("IF(ISBLANK(A165),,FILTER('Leetcode List'!E:J,'Leetcode List'!A:A = A165))"),"Amazon,LinkedIn")</f>
        <v>Amazon,LinkedIn</v>
      </c>
      <c r="F165" s="47"/>
      <c r="G165" s="47" t="str">
        <f>IFERROR(__xludf.DUMMYFUNCTION("""COMPUTED_VALUE"""),"Amazon")</f>
        <v>Amazon</v>
      </c>
      <c r="H165" s="47" t="str">
        <f>IFERROR(__xludf.DUMMYFUNCTION("""COMPUTED_VALUE"""),"LinkedIn,Amazon")</f>
        <v>LinkedIn,Amazon</v>
      </c>
      <c r="I165" s="47">
        <f>IFERROR(__xludf.DUMMYFUNCTION("""COMPUTED_VALUE"""),70.94)</f>
        <v>70.94</v>
      </c>
      <c r="J165" s="47" t="str">
        <f>IFERROR(__xludf.DUMMYFUNCTION("""COMPUTED_VALUE"""),"算法")</f>
        <v>算法</v>
      </c>
      <c r="L165" s="6">
        <f>COUNTIF('Coder-1'!B:B,A165)</f>
        <v>0</v>
      </c>
      <c r="M165" s="6">
        <f>COUNTIF('Coder-2'!B:B,A165)</f>
        <v>0</v>
      </c>
      <c r="N165" s="6">
        <f>COUNTIF('Coder-3'!B:B,A165)</f>
        <v>0</v>
      </c>
      <c r="O165" s="6">
        <f>COUNTIF('Coder-4'!B:B,A165)</f>
        <v>0</v>
      </c>
    </row>
    <row r="166">
      <c r="A166" s="46">
        <v>1339.0</v>
      </c>
      <c r="B166" s="86" t="str">
        <f>IFERROR(__xludf.DUMMYFUNCTION("IF(ISBLANK(A166),,FILTER('Leetcode List'!B:C,'Leetcode List'!A:A = A166))"),"Maximum Product of Splitted Binary Tree")</f>
        <v>Maximum Product of Splitted Binary Tree</v>
      </c>
      <c r="C166" s="83" t="str">
        <f>IFERROR(__xludf.DUMMYFUNCTION("""COMPUTED_VALUE"""),"Medium")</f>
        <v>Medium</v>
      </c>
      <c r="D166" s="83" t="s">
        <v>320</v>
      </c>
      <c r="E166" s="87" t="str">
        <f>IFERROR(__xludf.DUMMYFUNCTION("IF(ISBLANK(A166),,FILTER('Leetcode List'!E:J,'Leetcode List'!A:A = A166))"),"Amazon,ByteDance,Microsoft")</f>
        <v>Amazon,ByteDance,Microsoft</v>
      </c>
      <c r="F166" s="47"/>
      <c r="G166" s="47" t="str">
        <f>IFERROR(__xludf.DUMMYFUNCTION("""COMPUTED_VALUE"""),"Amazon")</f>
        <v>Amazon</v>
      </c>
      <c r="H166" s="47" t="str">
        <f>IFERROR(__xludf.DUMMYFUNCTION("""COMPUTED_VALUE"""),"ByteDance,Microsoft,Amazon")</f>
        <v>ByteDance,Microsoft,Amazon</v>
      </c>
      <c r="I166" s="47">
        <f>IFERROR(__xludf.DUMMYFUNCTION("""COMPUTED_VALUE"""),38.37)</f>
        <v>38.37</v>
      </c>
      <c r="J166" s="47" t="str">
        <f>IFERROR(__xludf.DUMMYFUNCTION("""COMPUTED_VALUE"""),"算法")</f>
        <v>算法</v>
      </c>
      <c r="L166" s="6">
        <f>COUNTIF('Coder-1'!B:B,A166)</f>
        <v>0</v>
      </c>
      <c r="M166" s="6">
        <f>COUNTIF('Coder-2'!B:B,A166)</f>
        <v>0</v>
      </c>
      <c r="N166" s="6">
        <f>COUNTIF('Coder-3'!B:B,A166)</f>
        <v>0</v>
      </c>
      <c r="O166" s="6">
        <f>COUNTIF('Coder-4'!B:B,A166)</f>
        <v>0</v>
      </c>
    </row>
    <row r="167">
      <c r="A167" s="83">
        <v>1569.0</v>
      </c>
      <c r="B167" s="86" t="str">
        <f>IFERROR(__xludf.DUMMYFUNCTION("IF(ISBLANK(A167),,FILTER('Leetcode List'!B:C,'Leetcode List'!A:A = A167))"),"Number of Ways to Reorder Array to Get Same BST")</f>
        <v>Number of Ways to Reorder Array to Get Same BST</v>
      </c>
      <c r="C167" s="83" t="str">
        <f>IFERROR(__xludf.DUMMYFUNCTION("""COMPUTED_VALUE"""),"Hard")</f>
        <v>Hard</v>
      </c>
      <c r="D167" s="83" t="s">
        <v>320</v>
      </c>
      <c r="E167" s="87" t="str">
        <f>IFERROR(__xludf.DUMMYFUNCTION("IF(ISBLANK(A167),,FILTER('Leetcode List'!E:J,'Leetcode List'!A:A = A167))"),"Google")</f>
        <v>Google</v>
      </c>
      <c r="F167" s="47"/>
      <c r="G167" s="47"/>
      <c r="H167" s="47" t="str">
        <f>IFERROR(__xludf.DUMMYFUNCTION("""COMPUTED_VALUE"""),"Google")</f>
        <v>Google</v>
      </c>
      <c r="I167" s="47">
        <f>IFERROR(__xludf.DUMMYFUNCTION("""COMPUTED_VALUE"""),50.01)</f>
        <v>50.01</v>
      </c>
      <c r="J167" s="47" t="str">
        <f>IFERROR(__xludf.DUMMYFUNCTION("""COMPUTED_VALUE"""),"算法")</f>
        <v>算法</v>
      </c>
      <c r="L167" s="6">
        <f>COUNTIF('Coder-1'!B:B,A167)</f>
        <v>0</v>
      </c>
      <c r="M167" s="6">
        <f>COUNTIF('Coder-2'!B:B,A167)</f>
        <v>0</v>
      </c>
      <c r="N167" s="6">
        <f>COUNTIF('Coder-3'!B:B,A167)</f>
        <v>0</v>
      </c>
      <c r="O167" s="6">
        <f>COUNTIF('Coder-4'!B:B,A167)</f>
        <v>0</v>
      </c>
    </row>
    <row r="168">
      <c r="A168" s="83">
        <v>1597.0</v>
      </c>
      <c r="B168" s="86" t="str">
        <f>IFERROR(__xludf.DUMMYFUNCTION("IF(ISBLANK(A168),,FILTER('Leetcode List'!B:C,'Leetcode List'!A:A = A168))"),"Build Binary Expression Tree From Infix Expression")</f>
        <v>Build Binary Expression Tree From Infix Expression</v>
      </c>
      <c r="C168" s="83" t="str">
        <f>IFERROR(__xludf.DUMMYFUNCTION("""COMPUTED_VALUE"""),"Hard")</f>
        <v>Hard</v>
      </c>
      <c r="D168" s="83" t="s">
        <v>320</v>
      </c>
      <c r="E168" s="87" t="str">
        <f>IFERROR(__xludf.DUMMYFUNCTION("IF(ISBLANK(A168),,FILTER('Leetcode List'!E:J,'Leetcode List'!A:A = A168))"),"Amazon")</f>
        <v>Amazon</v>
      </c>
      <c r="F168" s="47" t="str">
        <f>IFERROR(__xludf.DUMMYFUNCTION("""COMPUTED_VALUE"""),"Amazon")</f>
        <v>Amazon</v>
      </c>
      <c r="G168" s="47" t="str">
        <f>IFERROR(__xludf.DUMMYFUNCTION("""COMPUTED_VALUE"""),"Amazon")</f>
        <v>Amazon</v>
      </c>
      <c r="H168" s="47" t="str">
        <f>IFERROR(__xludf.DUMMYFUNCTION("""COMPUTED_VALUE"""),"Amazon")</f>
        <v>Amazon</v>
      </c>
      <c r="I168" s="47">
        <f>IFERROR(__xludf.DUMMYFUNCTION("""COMPUTED_VALUE"""),59.49)</f>
        <v>59.49</v>
      </c>
      <c r="J168" s="47" t="str">
        <f>IFERROR(__xludf.DUMMYFUNCTION("""COMPUTED_VALUE"""),"算法")</f>
        <v>算法</v>
      </c>
      <c r="L168" s="6">
        <f>COUNTIF('Coder-1'!B:B,A168)</f>
        <v>0</v>
      </c>
      <c r="M168" s="6">
        <f>COUNTIF('Coder-2'!B:B,A168)</f>
        <v>0</v>
      </c>
      <c r="N168" s="6">
        <f>COUNTIF('Coder-3'!B:B,A168)</f>
        <v>0</v>
      </c>
      <c r="O168" s="6">
        <f>COUNTIF('Coder-4'!B:B,A168)</f>
        <v>0</v>
      </c>
    </row>
    <row r="169">
      <c r="A169" s="83">
        <v>1660.0</v>
      </c>
      <c r="B169" s="86" t="str">
        <f>IFERROR(__xludf.DUMMYFUNCTION("IF(ISBLANK(A169),,FILTER('Leetcode List'!B:C,'Leetcode List'!A:A = A169))"),"Correct a Binary Tree")</f>
        <v>Correct a Binary Tree</v>
      </c>
      <c r="C169" s="83" t="str">
        <f>IFERROR(__xludf.DUMMYFUNCTION("""COMPUTED_VALUE"""),"Medium")</f>
        <v>Medium</v>
      </c>
      <c r="D169" s="83" t="s">
        <v>320</v>
      </c>
      <c r="E169" s="87" t="str">
        <f>IFERROR(__xludf.DUMMYFUNCTION("IF(ISBLANK(A169),,FILTER('Leetcode List'!E:J,'Leetcode List'!A:A = A169))"),"Google")</f>
        <v>Google</v>
      </c>
      <c r="F169" s="47"/>
      <c r="G169" s="47"/>
      <c r="H169" s="47" t="str">
        <f>IFERROR(__xludf.DUMMYFUNCTION("""COMPUTED_VALUE"""),"Google")</f>
        <v>Google</v>
      </c>
      <c r="I169" s="47">
        <f>IFERROR(__xludf.DUMMYFUNCTION("""COMPUTED_VALUE"""),77.01)</f>
        <v>77.01</v>
      </c>
      <c r="J169" s="47" t="str">
        <f>IFERROR(__xludf.DUMMYFUNCTION("""COMPUTED_VALUE"""),"算法")</f>
        <v>算法</v>
      </c>
      <c r="L169" s="6">
        <f>COUNTIF('Coder-1'!B:B,A169)</f>
        <v>0</v>
      </c>
      <c r="M169" s="6">
        <f>COUNTIF('Coder-2'!B:B,A169)</f>
        <v>0</v>
      </c>
      <c r="N169" s="6">
        <f>COUNTIF('Coder-3'!B:B,A169)</f>
        <v>0</v>
      </c>
      <c r="O169" s="6">
        <f>COUNTIF('Coder-4'!B:B,A169)</f>
        <v>0</v>
      </c>
    </row>
    <row r="170">
      <c r="A170" s="83">
        <v>1666.0</v>
      </c>
      <c r="B170" s="86" t="str">
        <f>IFERROR(__xludf.DUMMYFUNCTION("IF(ISBLANK(A170),,FILTER('Leetcode List'!B:C,'Leetcode List'!A:A = A170))"),"Change the Root of a Binary Tree")</f>
        <v>Change the Root of a Binary Tree</v>
      </c>
      <c r="C170" s="83" t="str">
        <f>IFERROR(__xludf.DUMMYFUNCTION("""COMPUTED_VALUE"""),"Medium")</f>
        <v>Medium</v>
      </c>
      <c r="D170" s="83" t="s">
        <v>320</v>
      </c>
      <c r="E170" s="87" t="str">
        <f>IFERROR(__xludf.DUMMYFUNCTION("IF(ISBLANK(A170),,FILTER('Leetcode List'!E:J,'Leetcode List'!A:A = A170))"),"Google")</f>
        <v>Google</v>
      </c>
      <c r="F170" s="47"/>
      <c r="G170" s="47"/>
      <c r="H170" s="47" t="str">
        <f>IFERROR(__xludf.DUMMYFUNCTION("""COMPUTED_VALUE"""),"Google")</f>
        <v>Google</v>
      </c>
      <c r="I170" s="47">
        <f>IFERROR(__xludf.DUMMYFUNCTION("""COMPUTED_VALUE"""),67.99)</f>
        <v>67.99</v>
      </c>
      <c r="J170" s="47" t="str">
        <f>IFERROR(__xludf.DUMMYFUNCTION("""COMPUTED_VALUE"""),"算法")</f>
        <v>算法</v>
      </c>
      <c r="L170" s="6">
        <f>COUNTIF('Coder-1'!B:B,A170)</f>
        <v>0</v>
      </c>
      <c r="M170" s="6">
        <f>COUNTIF('Coder-2'!B:B,A170)</f>
        <v>0</v>
      </c>
      <c r="N170" s="6">
        <f>COUNTIF('Coder-3'!B:B,A170)</f>
        <v>0</v>
      </c>
      <c r="O170" s="6">
        <f>COUNTIF('Coder-4'!B:B,A170)</f>
        <v>0</v>
      </c>
    </row>
    <row r="171">
      <c r="A171" s="83">
        <v>236.0</v>
      </c>
      <c r="B171" s="86" t="str">
        <f>IFERROR(__xludf.DUMMYFUNCTION("IF(ISBLANK(A171),,FILTER('Leetcode List'!B:C,'Leetcode List'!A:A = A171))"),"Lowest Common Ancestor of a Binary Tree")</f>
        <v>Lowest Common Ancestor of a Binary Tree</v>
      </c>
      <c r="C171" s="83" t="str">
        <f>IFERROR(__xludf.DUMMYFUNCTION("""COMPUTED_VALUE"""),"Medium")</f>
        <v>Medium</v>
      </c>
      <c r="D171" s="83" t="s">
        <v>320</v>
      </c>
      <c r="E171" s="87" t="str">
        <f>IFERROR(__xludf.DUMMYFUNCTION("IF(ISBLANK(A171),,FILTER('Leetcode List'!E:J,'Leetcode List'!A:A = A171))"),"Pony.ai,Palantir Technologies,Roblox,VMware,Pinterest,Atlassian,Splunk,ByteDance,Salesforce,Visa,Walmart Labs,Zillow,Paypal,Oracle,Intuit,EBay,Apple,Airbnb,Uber,Yahoo,Bloomberg,Adobe,Facebook,Amazon,LinkedIn,Microsoft,Google")</f>
        <v>Pony.ai,Palantir Technologies,Roblox,VMware,Pinterest,Atlassian,Splunk,ByteDance,Salesforce,Visa,Walmart Labs,Zillow,Paypal,Oracle,Intuit,EBay,Apple,Airbnb,Uber,Yahoo,Bloomberg,Adobe,Facebook,Amazon,LinkedIn,Microsoft,Google</v>
      </c>
      <c r="F171" s="47" t="str">
        <f>IFERROR(__xludf.DUMMYFUNCTION("""COMPUTED_VALUE"""),"Facebook,Microsoft,Amazon,Oracle,LinkedIn,Apple,Bloomberg,Atlassian,Google,Uber,Zillow,Intuit,Palantir Technologies,Pony.ai")</f>
        <v>Facebook,Microsoft,Amazon,Oracle,LinkedIn,Apple,Bloomberg,Atlassian,Google,Uber,Zillow,Intuit,Palantir Technologies,Pony.ai</v>
      </c>
      <c r="G171" s="47" t="str">
        <f>IFERROR(__xludf.DUMMYFUNCTION("""COMPUTED_VALUE"""),"Adobe,ByteDance,Roblox,Facebook,Microsoft,Amazon,Oracle,LinkedIn,Apple,Bloomberg,Atlassian,Google,Uber,Zillow,Intuit,Palantir Technologies,Pony.ai")</f>
        <v>Adobe,ByteDance,Roblox,Facebook,Microsoft,Amazon,Oracle,LinkedIn,Apple,Bloomberg,Atlassian,Google,Uber,Zillow,Intuit,Palantir Technologies,Pony.ai</v>
      </c>
      <c r="H171" s="47" t="str">
        <f>IFERROR(__xludf.DUMMYFUNCTION("""COMPUTED_VALUE"""),"eBay,Airbnb,Visa,Paypal,VMware,Yahoo,Splunk,Adobe,ByteDance,Roblox,Facebook,Microsoft,Amazon,Oracle,LinkedIn,Apple,Bloomberg,Atlassian,Google,Uber,Zillow,Intuit,Palantir Technologies,Pony.ai")</f>
        <v>eBay,Airbnb,Visa,Paypal,VMware,Yahoo,Splunk,Adobe,ByteDance,Roblox,Facebook,Microsoft,Amazon,Oracle,LinkedIn,Apple,Bloomberg,Atlassian,Google,Uber,Zillow,Intuit,Palantir Technologies,Pony.ai</v>
      </c>
      <c r="I171" s="47">
        <f>IFERROR(__xludf.DUMMYFUNCTION("""COMPUTED_VALUE"""),49.03)</f>
        <v>49.03</v>
      </c>
      <c r="J171" s="47" t="str">
        <f>IFERROR(__xludf.DUMMYFUNCTION("""COMPUTED_VALUE"""),"算法")</f>
        <v>算法</v>
      </c>
      <c r="K171" s="2" t="s">
        <v>4985</v>
      </c>
      <c r="L171" s="6">
        <f>COUNTIF('Coder-1'!B:B,A171)</f>
        <v>0</v>
      </c>
      <c r="M171" s="6">
        <f>COUNTIF('Coder-2'!B:B,A171)</f>
        <v>0</v>
      </c>
      <c r="N171" s="6">
        <f>COUNTIF('Coder-3'!B:B,A171)</f>
        <v>0</v>
      </c>
      <c r="O171" s="6">
        <f>COUNTIF('Coder-4'!B:B,A171)</f>
        <v>0</v>
      </c>
    </row>
    <row r="172">
      <c r="A172" s="83">
        <v>1676.0</v>
      </c>
      <c r="B172" s="86" t="str">
        <f>IFERROR(__xludf.DUMMYFUNCTION("IF(ISBLANK(A172),,FILTER('Leetcode List'!B:C,'Leetcode List'!A:A = A172))"),"Lowest Common Ancestor of a Binary Tree IV")</f>
        <v>Lowest Common Ancestor of a Binary Tree IV</v>
      </c>
      <c r="C172" s="83" t="str">
        <f>IFERROR(__xludf.DUMMYFUNCTION("""COMPUTED_VALUE"""),"Medium")</f>
        <v>Medium</v>
      </c>
      <c r="D172" s="83" t="s">
        <v>320</v>
      </c>
      <c r="E172" s="87" t="str">
        <f>IFERROR(__xludf.DUMMYFUNCTION("IF(ISBLANK(A172),,FILTER('Leetcode List'!E:J,'Leetcode List'!A:A = A172))"),"Amazon")</f>
        <v>Amazon</v>
      </c>
      <c r="F172" s="47"/>
      <c r="G172" s="47"/>
      <c r="H172" s="47" t="str">
        <f>IFERROR(__xludf.DUMMYFUNCTION("""COMPUTED_VALUE"""),"Amazon")</f>
        <v>Amazon</v>
      </c>
      <c r="I172" s="47">
        <f>IFERROR(__xludf.DUMMYFUNCTION("""COMPUTED_VALUE"""),79.02)</f>
        <v>79.02</v>
      </c>
      <c r="J172" s="47" t="str">
        <f>IFERROR(__xludf.DUMMYFUNCTION("""COMPUTED_VALUE"""),"算法")</f>
        <v>算法</v>
      </c>
      <c r="K172" s="2" t="s">
        <v>4985</v>
      </c>
      <c r="L172" s="6">
        <f>COUNTIF('Coder-1'!B:B,A172)</f>
        <v>0</v>
      </c>
      <c r="M172" s="6">
        <f>COUNTIF('Coder-2'!B:B,A172)</f>
        <v>0</v>
      </c>
      <c r="N172" s="6">
        <f>COUNTIF('Coder-3'!B:B,A172)</f>
        <v>0</v>
      </c>
      <c r="O172" s="6">
        <f>COUNTIF('Coder-4'!B:B,A172)</f>
        <v>0</v>
      </c>
    </row>
    <row r="173">
      <c r="A173" s="83">
        <v>1740.0</v>
      </c>
      <c r="B173" s="86" t="str">
        <f>IFERROR(__xludf.DUMMYFUNCTION("IF(ISBLANK(A173),,FILTER('Leetcode List'!B:C,'Leetcode List'!A:A = A173))"),"Find Distance in a Binary Tree")</f>
        <v>Find Distance in a Binary Tree</v>
      </c>
      <c r="C173" s="83" t="str">
        <f>IFERROR(__xludf.DUMMYFUNCTION("""COMPUTED_VALUE"""),"Medium")</f>
        <v>Medium</v>
      </c>
      <c r="D173" s="83" t="s">
        <v>320</v>
      </c>
      <c r="E173" s="87" t="str">
        <f>IFERROR(__xludf.DUMMYFUNCTION("IF(ISBLANK(A173),,FILTER('Leetcode List'!E:J,'Leetcode List'!A:A = A173))"),"Amazon")</f>
        <v>Amazon</v>
      </c>
      <c r="F173" s="47" t="str">
        <f>IFERROR(__xludf.DUMMYFUNCTION("""COMPUTED_VALUE"""),"Amazon")</f>
        <v>Amazon</v>
      </c>
      <c r="G173" s="47" t="str">
        <f>IFERROR(__xludf.DUMMYFUNCTION("""COMPUTED_VALUE"""),"Amazon")</f>
        <v>Amazon</v>
      </c>
      <c r="H173" s="47" t="str">
        <f>IFERROR(__xludf.DUMMYFUNCTION("""COMPUTED_VALUE"""),"Amazon")</f>
        <v>Amazon</v>
      </c>
      <c r="I173" s="47">
        <f>IFERROR(__xludf.DUMMYFUNCTION("""COMPUTED_VALUE"""),68.52)</f>
        <v>68.52</v>
      </c>
      <c r="J173" s="47" t="str">
        <f>IFERROR(__xludf.DUMMYFUNCTION("""COMPUTED_VALUE"""),"算法")</f>
        <v>算法</v>
      </c>
      <c r="K173" s="2" t="s">
        <v>4985</v>
      </c>
      <c r="L173" s="6">
        <f>COUNTIF('Coder-1'!B:B,A173)</f>
        <v>0</v>
      </c>
      <c r="M173" s="6">
        <f>COUNTIF('Coder-2'!B:B,A173)</f>
        <v>0</v>
      </c>
      <c r="N173" s="6">
        <f>COUNTIF('Coder-3'!B:B,A173)</f>
        <v>0</v>
      </c>
      <c r="O173" s="6">
        <f>COUNTIF('Coder-4'!B:B,A173)</f>
        <v>0</v>
      </c>
    </row>
    <row r="174">
      <c r="A174" s="83">
        <v>428.0</v>
      </c>
      <c r="B174" s="86" t="str">
        <f>IFERROR(__xludf.DUMMYFUNCTION("IF(ISBLANK(A174),,FILTER('Leetcode List'!B:C,'Leetcode List'!A:A = A174))"),"Serialize and Deserialize N-ary Tree")</f>
        <v>Serialize and Deserialize N-ary Tree</v>
      </c>
      <c r="C174" s="83" t="str">
        <f>IFERROR(__xludf.DUMMYFUNCTION("""COMPUTED_VALUE"""),"Hard")</f>
        <v>Hard</v>
      </c>
      <c r="D174" s="83" t="s">
        <v>320</v>
      </c>
      <c r="E174" s="87" t="str">
        <f>IFERROR(__xludf.DUMMYFUNCTION("IF(ISBLANK(A174),,FILTER('Leetcode List'!E:J,'Leetcode List'!A:A = A174))"),"Zillow,Pinterest,EBay,Apple,Uber,Facebook,Amazon,LinkedIn,Microsoft,Google")</f>
        <v>Zillow,Pinterest,EBay,Apple,Uber,Facebook,Amazon,LinkedIn,Microsoft,Google</v>
      </c>
      <c r="F174" s="47" t="str">
        <f>IFERROR(__xludf.DUMMYFUNCTION("""COMPUTED_VALUE"""),"Microsoft,Google,Apple,Amazon")</f>
        <v>Microsoft,Google,Apple,Amazon</v>
      </c>
      <c r="G174" s="47" t="str">
        <f>IFERROR(__xludf.DUMMYFUNCTION("""COMPUTED_VALUE"""),"Facebook,Uber,Zillow,Microsoft,Google,Apple,Amazon")</f>
        <v>Facebook,Uber,Zillow,Microsoft,Google,Apple,Amazon</v>
      </c>
      <c r="H174" s="47" t="str">
        <f>IFERROR(__xludf.DUMMYFUNCTION("""COMPUTED_VALUE"""),"eBay,Facebook,Uber,Zillow,Microsoft,Google,Apple,Amazon")</f>
        <v>eBay,Facebook,Uber,Zillow,Microsoft,Google,Apple,Amazon</v>
      </c>
      <c r="I174" s="47">
        <f>IFERROR(__xludf.DUMMYFUNCTION("""COMPUTED_VALUE"""),61.66)</f>
        <v>61.66</v>
      </c>
      <c r="J174" s="47" t="str">
        <f>IFERROR(__xludf.DUMMYFUNCTION("""COMPUTED_VALUE"""),"算法")</f>
        <v>算法</v>
      </c>
      <c r="K174" s="2" t="s">
        <v>4986</v>
      </c>
      <c r="L174" s="6">
        <f>COUNTIF('Coder-1'!B:B,A174)</f>
        <v>0</v>
      </c>
      <c r="M174" s="6">
        <f>COUNTIF('Coder-2'!B:B,A174)</f>
        <v>0</v>
      </c>
      <c r="N174" s="6">
        <f>COUNTIF('Coder-3'!B:B,A174)</f>
        <v>0</v>
      </c>
      <c r="O174" s="6">
        <f>COUNTIF('Coder-4'!B:B,A174)</f>
        <v>0</v>
      </c>
    </row>
    <row r="175">
      <c r="A175" s="83">
        <v>431.0</v>
      </c>
      <c r="B175" s="86" t="str">
        <f>IFERROR(__xludf.DUMMYFUNCTION("IF(ISBLANK(A175),,FILTER('Leetcode List'!B:C,'Leetcode List'!A:A = A175))"),"Encode N-ary Tree to Binary Tree")</f>
        <v>Encode N-ary Tree to Binary Tree</v>
      </c>
      <c r="C175" s="83" t="str">
        <f>IFERROR(__xludf.DUMMYFUNCTION("""COMPUTED_VALUE"""),"Hard")</f>
        <v>Hard</v>
      </c>
      <c r="D175" s="83" t="s">
        <v>320</v>
      </c>
      <c r="E175" s="87" t="str">
        <f>IFERROR(__xludf.DUMMYFUNCTION("IF(ISBLANK(A175),,FILTER('Leetcode List'!E:J,'Leetcode List'!A:A = A175))"),"Flipkart,Google,Microsoft")</f>
        <v>Flipkart,Google,Microsoft</v>
      </c>
      <c r="F175" s="47"/>
      <c r="G175" s="47" t="str">
        <f>IFERROR(__xludf.DUMMYFUNCTION("""COMPUTED_VALUE"""),"Flipkart")</f>
        <v>Flipkart</v>
      </c>
      <c r="H175" s="47" t="str">
        <f>IFERROR(__xludf.DUMMYFUNCTION("""COMPUTED_VALUE"""),"Microsoft,Google,Flipkart")</f>
        <v>Microsoft,Google,Flipkart</v>
      </c>
      <c r="I175" s="47">
        <f>IFERROR(__xludf.DUMMYFUNCTION("""COMPUTED_VALUE"""),74.75)</f>
        <v>74.75</v>
      </c>
      <c r="J175" s="47" t="str">
        <f>IFERROR(__xludf.DUMMYFUNCTION("""COMPUTED_VALUE"""),"算法")</f>
        <v>算法</v>
      </c>
      <c r="K175" s="2" t="s">
        <v>4986</v>
      </c>
      <c r="L175" s="6">
        <f>COUNTIF('Coder-1'!B:B,A175)</f>
        <v>0</v>
      </c>
      <c r="M175" s="6">
        <f>COUNTIF('Coder-2'!B:B,A175)</f>
        <v>0</v>
      </c>
      <c r="N175" s="6">
        <f>COUNTIF('Coder-3'!B:B,A175)</f>
        <v>0</v>
      </c>
      <c r="O175" s="6">
        <f>COUNTIF('Coder-4'!B:B,A175)</f>
        <v>0</v>
      </c>
    </row>
    <row r="176">
      <c r="A176" s="83">
        <v>1516.0</v>
      </c>
      <c r="B176" s="86" t="str">
        <f>IFERROR(__xludf.DUMMYFUNCTION("IF(ISBLANK(A176),,FILTER('Leetcode List'!B:C,'Leetcode List'!A:A = A176))"),"Move Sub-Tree of N-Ary Tree")</f>
        <v>Move Sub-Tree of N-Ary Tree</v>
      </c>
      <c r="C176" s="83" t="str">
        <f>IFERROR(__xludf.DUMMYFUNCTION("""COMPUTED_VALUE"""),"Hard")</f>
        <v>Hard</v>
      </c>
      <c r="D176" s="83" t="s">
        <v>320</v>
      </c>
      <c r="E176" s="87" t="str">
        <f>IFERROR(__xludf.DUMMYFUNCTION("IF(ISBLANK(A176),,FILTER('Leetcode List'!E:J,'Leetcode List'!A:A = A176))"),"Google")</f>
        <v>Google</v>
      </c>
      <c r="F176" s="47"/>
      <c r="G176" s="47"/>
      <c r="H176" s="47" t="str">
        <f>IFERROR(__xludf.DUMMYFUNCTION("""COMPUTED_VALUE"""),"Google")</f>
        <v>Google</v>
      </c>
      <c r="I176" s="47">
        <f>IFERROR(__xludf.DUMMYFUNCTION("""COMPUTED_VALUE"""),63.93)</f>
        <v>63.93</v>
      </c>
      <c r="J176" s="47" t="str">
        <f>IFERROR(__xludf.DUMMYFUNCTION("""COMPUTED_VALUE"""),"算法")</f>
        <v>算法</v>
      </c>
      <c r="K176" s="2" t="s">
        <v>4986</v>
      </c>
      <c r="L176" s="6">
        <f>COUNTIF('Coder-1'!B:B,A176)</f>
        <v>0</v>
      </c>
      <c r="M176" s="6">
        <f>COUNTIF('Coder-2'!B:B,A176)</f>
        <v>0</v>
      </c>
      <c r="N176" s="6">
        <f>COUNTIF('Coder-3'!B:B,A176)</f>
        <v>0</v>
      </c>
      <c r="O176" s="6">
        <f>COUNTIF('Coder-4'!B:B,A176)</f>
        <v>0</v>
      </c>
    </row>
    <row r="177">
      <c r="A177" s="46">
        <v>1600.0</v>
      </c>
      <c r="B177" s="86" t="str">
        <f>IFERROR(__xludf.DUMMYFUNCTION("IF(ISBLANK(A177),,FILTER('Leetcode List'!B:C,'Leetcode List'!A:A = A177))"),"Throne Inheritance")</f>
        <v>Throne Inheritance</v>
      </c>
      <c r="C177" s="83" t="str">
        <f>IFERROR(__xludf.DUMMYFUNCTION("""COMPUTED_VALUE"""),"Medium")</f>
        <v>Medium</v>
      </c>
      <c r="D177" s="83" t="s">
        <v>320</v>
      </c>
      <c r="E177" s="87" t="str">
        <f>IFERROR(__xludf.DUMMYFUNCTION("IF(ISBLANK(A177),,FILTER('Leetcode List'!E:J,'Leetcode List'!A:A = A177))"),"Google")</f>
        <v>Google</v>
      </c>
      <c r="F177" s="47"/>
      <c r="G177" s="47"/>
      <c r="H177" s="47" t="str">
        <f>IFERROR(__xludf.DUMMYFUNCTION("""COMPUTED_VALUE"""),"Google")</f>
        <v>Google</v>
      </c>
      <c r="I177" s="47">
        <f>IFERROR(__xludf.DUMMYFUNCTION("""COMPUTED_VALUE"""),60.36)</f>
        <v>60.36</v>
      </c>
      <c r="J177" s="47" t="str">
        <f>IFERROR(__xludf.DUMMYFUNCTION("""COMPUTED_VALUE"""),"算法")</f>
        <v>算法</v>
      </c>
      <c r="K177" s="2" t="s">
        <v>4986</v>
      </c>
      <c r="L177" s="6">
        <f>COUNTIF('Coder-1'!B:B,A177)</f>
        <v>0</v>
      </c>
      <c r="M177" s="6">
        <f>COUNTIF('Coder-2'!B:B,A177)</f>
        <v>0</v>
      </c>
      <c r="N177" s="6">
        <f>COUNTIF('Coder-3'!B:B,A177)</f>
        <v>0</v>
      </c>
      <c r="O177" s="6">
        <f>COUNTIF('Coder-4'!B:B,A177)</f>
        <v>0</v>
      </c>
    </row>
    <row r="178">
      <c r="A178" s="46">
        <v>823.0</v>
      </c>
      <c r="B178" s="86" t="str">
        <f>IFERROR(__xludf.DUMMYFUNCTION("IF(ISBLANK(A178),,FILTER('Leetcode List'!B:C,'Leetcode List'!A:A = A178))"),"Binary Trees With Factors")</f>
        <v>Binary Trees With Factors</v>
      </c>
      <c r="C178" s="83" t="str">
        <f>IFERROR(__xludf.DUMMYFUNCTION("""COMPUTED_VALUE"""),"Medium")</f>
        <v>Medium</v>
      </c>
      <c r="D178" s="83" t="s">
        <v>320</v>
      </c>
      <c r="E178" s="87" t="str">
        <f>IFERROR(__xludf.DUMMYFUNCTION("IF(ISBLANK(A178),,FILTER('Leetcode List'!E:J,'Leetcode List'!A:A = A178))"),"")</f>
        <v/>
      </c>
      <c r="F178" s="47"/>
      <c r="G178" s="47"/>
      <c r="H178" s="47"/>
      <c r="I178" s="47">
        <f>IFERROR(__xludf.DUMMYFUNCTION("""COMPUTED_VALUE"""),43.77)</f>
        <v>43.77</v>
      </c>
      <c r="J178" s="47" t="str">
        <f>IFERROR(__xludf.DUMMYFUNCTION("""COMPUTED_VALUE"""),"算法")</f>
        <v>算法</v>
      </c>
      <c r="K178" s="2" t="s">
        <v>4987</v>
      </c>
      <c r="L178" s="6">
        <f>COUNTIF('Coder-1'!B:B,A178)</f>
        <v>0</v>
      </c>
      <c r="M178" s="6">
        <f>COUNTIF('Coder-2'!B:B,A178)</f>
        <v>0</v>
      </c>
      <c r="N178" s="6">
        <f>COUNTIF('Coder-3'!B:B,A178)</f>
        <v>0</v>
      </c>
      <c r="O178" s="6">
        <f>COUNTIF('Coder-4'!B:B,A178)</f>
        <v>0</v>
      </c>
    </row>
    <row r="179">
      <c r="A179" s="83">
        <v>307.0</v>
      </c>
      <c r="B179" s="86" t="str">
        <f>IFERROR(__xludf.DUMMYFUNCTION("IF(ISBLANK(A179),,FILTER('Leetcode List'!B:C,'Leetcode List'!A:A = A179))"),"Range Sum Query - Mutable")</f>
        <v>Range Sum Query - Mutable</v>
      </c>
      <c r="C179" s="83" t="str">
        <f>IFERROR(__xludf.DUMMYFUNCTION("""COMPUTED_VALUE"""),"Medium")</f>
        <v>Medium</v>
      </c>
      <c r="D179" s="83" t="s">
        <v>561</v>
      </c>
      <c r="E179" s="87" t="str">
        <f>IFERROR(__xludf.DUMMYFUNCTION("IF(ISBLANK(A179),,FILTER('Leetcode List'!E:J,'Leetcode List'!A:A = A179))"),"Adobe,Twitter,Facebook,Amazon,Google")</f>
        <v>Adobe,Twitter,Facebook,Amazon,Google</v>
      </c>
      <c r="F179" s="47" t="str">
        <f>IFERROR(__xludf.DUMMYFUNCTION("""COMPUTED_VALUE"""),"Facebook")</f>
        <v>Facebook</v>
      </c>
      <c r="G179" s="47" t="str">
        <f>IFERROR(__xludf.DUMMYFUNCTION("""COMPUTED_VALUE"""),"Google,Amazon,Adobe,Facebook")</f>
        <v>Google,Amazon,Adobe,Facebook</v>
      </c>
      <c r="H179" s="47" t="str">
        <f>IFERROR(__xludf.DUMMYFUNCTION("""COMPUTED_VALUE"""),"Twitter,Google,Amazon,Adobe,Facebook")</f>
        <v>Twitter,Google,Amazon,Adobe,Facebook</v>
      </c>
      <c r="I179" s="47">
        <f>IFERROR(__xludf.DUMMYFUNCTION("""COMPUTED_VALUE"""),36.82)</f>
        <v>36.82</v>
      </c>
      <c r="J179" s="47" t="str">
        <f>IFERROR(__xludf.DUMMYFUNCTION("""COMPUTED_VALUE"""),"算法")</f>
        <v>算法</v>
      </c>
      <c r="L179" s="6">
        <f>COUNTIF('Coder-1'!B:B,A179)</f>
        <v>0</v>
      </c>
      <c r="M179" s="6">
        <f>COUNTIF('Coder-2'!B:B,A179)</f>
        <v>0</v>
      </c>
      <c r="N179" s="6">
        <f>COUNTIF('Coder-3'!B:B,A179)</f>
        <v>0</v>
      </c>
      <c r="O179" s="6">
        <f>COUNTIF('Coder-4'!B:B,A179)</f>
        <v>0</v>
      </c>
    </row>
    <row r="180">
      <c r="A180" s="83">
        <v>370.0</v>
      </c>
      <c r="B180" s="86" t="str">
        <f>IFERROR(__xludf.DUMMYFUNCTION("IF(ISBLANK(A180),,FILTER('Leetcode List'!B:C,'Leetcode List'!A:A = A180))"),"Range Addition")</f>
        <v>Range Addition</v>
      </c>
      <c r="C180" s="83" t="str">
        <f>IFERROR(__xludf.DUMMYFUNCTION("""COMPUTED_VALUE"""),"Medium")</f>
        <v>Medium</v>
      </c>
      <c r="D180" s="83" t="s">
        <v>561</v>
      </c>
      <c r="E180" s="87" t="str">
        <f>IFERROR(__xludf.DUMMYFUNCTION("IF(ISBLANK(A180),,FILTER('Leetcode List'!E:J,'Leetcode List'!A:A = A180))"),"Google")</f>
        <v>Google</v>
      </c>
      <c r="F180" s="47"/>
      <c r="G180" s="47"/>
      <c r="H180" s="47" t="str">
        <f>IFERROR(__xludf.DUMMYFUNCTION("""COMPUTED_VALUE"""),"Google")</f>
        <v>Google</v>
      </c>
      <c r="I180" s="47">
        <f>IFERROR(__xludf.DUMMYFUNCTION("""COMPUTED_VALUE"""),63.64)</f>
        <v>63.64</v>
      </c>
      <c r="J180" s="47" t="str">
        <f>IFERROR(__xludf.DUMMYFUNCTION("""COMPUTED_VALUE"""),"算法")</f>
        <v>算法</v>
      </c>
      <c r="L180" s="6">
        <f>COUNTIF('Coder-1'!B:B,A180)</f>
        <v>0</v>
      </c>
      <c r="M180" s="6">
        <f>COUNTIF('Coder-2'!B:B,A180)</f>
        <v>0</v>
      </c>
      <c r="N180" s="6">
        <f>COUNTIF('Coder-3'!B:B,A180)</f>
        <v>0</v>
      </c>
      <c r="O180" s="6">
        <f>COUNTIF('Coder-4'!B:B,A180)</f>
        <v>0</v>
      </c>
    </row>
    <row r="181">
      <c r="A181" s="83">
        <v>218.0</v>
      </c>
      <c r="B181" s="86" t="str">
        <f>IFERROR(__xludf.DUMMYFUNCTION("IF(ISBLANK(A181),,FILTER('Leetcode List'!B:C,'Leetcode List'!A:A = A181))"),"The Skyline Problem")</f>
        <v>The Skyline Problem</v>
      </c>
      <c r="C181" s="83" t="str">
        <f>IFERROR(__xludf.DUMMYFUNCTION("""COMPUTED_VALUE"""),"Hard")</f>
        <v>Hard</v>
      </c>
      <c r="D181" s="83" t="s">
        <v>561</v>
      </c>
      <c r="E181" s="87" t="str">
        <f>IFERROR(__xludf.DUMMYFUNCTION("IF(ISBLANK(A181),,FILTER('Leetcode List'!E:J,'Leetcode List'!A:A = A181))"),"Databricks,Houzz,Tableau,Salesforce,Twitter,Yelp,Apple,Uber,Adobe,Facebook,Amazon,Microsoft,Goldman Sachs,Google")</f>
        <v>Databricks,Houzz,Tableau,Salesforce,Twitter,Yelp,Apple,Uber,Adobe,Facebook,Amazon,Microsoft,Goldman Sachs,Google</v>
      </c>
      <c r="F181" s="47" t="str">
        <f>IFERROR(__xludf.DUMMYFUNCTION("""COMPUTED_VALUE"""),"Microsoft,Amazon,Google,Twitter")</f>
        <v>Microsoft,Amazon,Google,Twitter</v>
      </c>
      <c r="G181" s="47" t="str">
        <f>IFERROR(__xludf.DUMMYFUNCTION("""COMPUTED_VALUE"""),"Facebook,Adobe,Microsoft,Amazon,Google,Twitter")</f>
        <v>Facebook,Adobe,Microsoft,Amazon,Google,Twitter</v>
      </c>
      <c r="H181" s="47" t="str">
        <f>IFERROR(__xludf.DUMMYFUNCTION("""COMPUTED_VALUE"""),"Databricks,Uber,Apple,Goldman Sachs,Salesforce,Tableau,Yelp,Facebook,Adobe,Microsoft,Amazon,Google,Twitter")</f>
        <v>Databricks,Uber,Apple,Goldman Sachs,Salesforce,Tableau,Yelp,Facebook,Adobe,Microsoft,Amazon,Google,Twitter</v>
      </c>
      <c r="I181" s="47">
        <f>IFERROR(__xludf.DUMMYFUNCTION("""COMPUTED_VALUE"""),36.44)</f>
        <v>36.44</v>
      </c>
      <c r="J181" s="47" t="str">
        <f>IFERROR(__xludf.DUMMYFUNCTION("""COMPUTED_VALUE"""),"算法")</f>
        <v>算法</v>
      </c>
      <c r="L181" s="6">
        <f>COUNTIF('Coder-1'!B:B,A181)</f>
        <v>0</v>
      </c>
      <c r="M181" s="6">
        <f>COUNTIF('Coder-2'!B:B,A181)</f>
        <v>0</v>
      </c>
      <c r="N181" s="6">
        <f>COUNTIF('Coder-3'!B:B,A181)</f>
        <v>0</v>
      </c>
      <c r="O181" s="6">
        <f>COUNTIF('Coder-4'!B:B,A181)</f>
        <v>0</v>
      </c>
    </row>
    <row r="182">
      <c r="A182" s="83">
        <v>699.0</v>
      </c>
      <c r="B182" s="86" t="str">
        <f>IFERROR(__xludf.DUMMYFUNCTION("IF(ISBLANK(A182),,FILTER('Leetcode List'!B:C,'Leetcode List'!A:A = A182))"),"Falling Squares")</f>
        <v>Falling Squares</v>
      </c>
      <c r="C182" s="83" t="str">
        <f>IFERROR(__xludf.DUMMYFUNCTION("""COMPUTED_VALUE"""),"Hard")</f>
        <v>Hard</v>
      </c>
      <c r="D182" s="83" t="s">
        <v>561</v>
      </c>
      <c r="E182" s="87" t="str">
        <f>IFERROR(__xludf.DUMMYFUNCTION("IF(ISBLANK(A182),,FILTER('Leetcode List'!E:J,'Leetcode List'!A:A = A182))"),"Square,Uber,Amazon")</f>
        <v>Square,Uber,Amazon</v>
      </c>
      <c r="F182" s="47"/>
      <c r="G182" s="47"/>
      <c r="H182" s="47" t="str">
        <f>IFERROR(__xludf.DUMMYFUNCTION("""COMPUTED_VALUE"""),"Amazon,Uber,Square")</f>
        <v>Amazon,Uber,Square</v>
      </c>
      <c r="I182" s="47">
        <f>IFERROR(__xludf.DUMMYFUNCTION("""COMPUTED_VALUE"""),42.62)</f>
        <v>42.62</v>
      </c>
      <c r="J182" s="47" t="str">
        <f>IFERROR(__xludf.DUMMYFUNCTION("""COMPUTED_VALUE"""),"算法")</f>
        <v>算法</v>
      </c>
      <c r="L182" s="6">
        <f>COUNTIF('Coder-1'!B:B,A182)</f>
        <v>0</v>
      </c>
      <c r="M182" s="6">
        <f>COUNTIF('Coder-2'!B:B,A182)</f>
        <v>0</v>
      </c>
      <c r="N182" s="6">
        <f>COUNTIF('Coder-3'!B:B,A182)</f>
        <v>0</v>
      </c>
      <c r="O182" s="6">
        <f>COUNTIF('Coder-4'!B:B,A182)</f>
        <v>0</v>
      </c>
    </row>
    <row r="183">
      <c r="A183" s="83">
        <v>715.0</v>
      </c>
      <c r="B183" s="86" t="str">
        <f>IFERROR(__xludf.DUMMYFUNCTION("IF(ISBLANK(A183),,FILTER('Leetcode List'!B:C,'Leetcode List'!A:A = A183))"),"Range Module")</f>
        <v>Range Module</v>
      </c>
      <c r="C183" s="83" t="str">
        <f>IFERROR(__xludf.DUMMYFUNCTION("""COMPUTED_VALUE"""),"Hard")</f>
        <v>Hard</v>
      </c>
      <c r="D183" s="83" t="s">
        <v>561</v>
      </c>
      <c r="E183" s="87" t="str">
        <f>IFERROR(__xludf.DUMMYFUNCTION("IF(ISBLANK(A183),,FILTER('Leetcode List'!E:J,'Leetcode List'!A:A = A183))"),"Machine Zone,Coupang,Oracle,Amazon,LinkedIn,Google")</f>
        <v>Machine Zone,Coupang,Oracle,Amazon,LinkedIn,Google</v>
      </c>
      <c r="F183" s="47" t="str">
        <f>IFERROR(__xludf.DUMMYFUNCTION("""COMPUTED_VALUE"""),"Google,Amazon")</f>
        <v>Google,Amazon</v>
      </c>
      <c r="G183" s="47" t="str">
        <f>IFERROR(__xludf.DUMMYFUNCTION("""COMPUTED_VALUE"""),"Google,Amazon")</f>
        <v>Google,Amazon</v>
      </c>
      <c r="H183" s="47" t="str">
        <f>IFERROR(__xludf.DUMMYFUNCTION("""COMPUTED_VALUE"""),"Oracle,Machine Zone,Coupang,Google,Amazon")</f>
        <v>Oracle,Machine Zone,Coupang,Google,Amazon</v>
      </c>
      <c r="I183" s="47">
        <f>IFERROR(__xludf.DUMMYFUNCTION("""COMPUTED_VALUE"""),40.37)</f>
        <v>40.37</v>
      </c>
      <c r="J183" s="47" t="str">
        <f>IFERROR(__xludf.DUMMYFUNCTION("""COMPUTED_VALUE"""),"算法")</f>
        <v>算法</v>
      </c>
      <c r="L183" s="6">
        <f>COUNTIF('Coder-1'!B:B,A183)</f>
        <v>0</v>
      </c>
      <c r="M183" s="6">
        <f>COUNTIF('Coder-2'!B:B,A183)</f>
        <v>0</v>
      </c>
      <c r="N183" s="6">
        <f>COUNTIF('Coder-3'!B:B,A183)</f>
        <v>0</v>
      </c>
      <c r="O183" s="6">
        <f>COUNTIF('Coder-4'!B:B,A183)</f>
        <v>0</v>
      </c>
    </row>
    <row r="184">
      <c r="A184" s="83">
        <v>1157.0</v>
      </c>
      <c r="B184" s="86" t="str">
        <f>IFERROR(__xludf.DUMMYFUNCTION("IF(ISBLANK(A184),,FILTER('Leetcode List'!B:C,'Leetcode List'!A:A = A184))"),"Online Majority Element In Subarray")</f>
        <v>Online Majority Element In Subarray</v>
      </c>
      <c r="C184" s="83" t="str">
        <f>IFERROR(__xludf.DUMMYFUNCTION("""COMPUTED_VALUE"""),"Hard")</f>
        <v>Hard</v>
      </c>
      <c r="D184" s="83" t="s">
        <v>561</v>
      </c>
      <c r="E184" s="87" t="str">
        <f>IFERROR(__xludf.DUMMYFUNCTION("IF(ISBLANK(A184),,FILTER('Leetcode List'!E:J,'Leetcode List'!A:A = A184))"),"Nutanix,Google")</f>
        <v>Nutanix,Google</v>
      </c>
      <c r="F184" s="47"/>
      <c r="G184" s="47"/>
      <c r="H184" s="47" t="str">
        <f>IFERROR(__xludf.DUMMYFUNCTION("""COMPUTED_VALUE"""),"Google,Nutanix")</f>
        <v>Google,Nutanix</v>
      </c>
      <c r="I184" s="47">
        <f>IFERROR(__xludf.DUMMYFUNCTION("""COMPUTED_VALUE"""),39.82)</f>
        <v>39.82</v>
      </c>
      <c r="J184" s="47" t="str">
        <f>IFERROR(__xludf.DUMMYFUNCTION("""COMPUTED_VALUE"""),"算法")</f>
        <v>算法</v>
      </c>
      <c r="L184" s="6">
        <f>COUNTIF('Coder-1'!B:B,A184)</f>
        <v>0</v>
      </c>
      <c r="M184" s="6">
        <f>COUNTIF('Coder-2'!B:B,A184)</f>
        <v>0</v>
      </c>
      <c r="N184" s="6">
        <f>COUNTIF('Coder-3'!B:B,A184)</f>
        <v>0</v>
      </c>
      <c r="O184" s="6">
        <f>COUNTIF('Coder-4'!B:B,A184)</f>
        <v>0</v>
      </c>
    </row>
    <row r="185">
      <c r="A185" s="83">
        <v>1526.0</v>
      </c>
      <c r="B185" s="86" t="str">
        <f>IFERROR(__xludf.DUMMYFUNCTION("IF(ISBLANK(A185),,FILTER('Leetcode List'!B:C,'Leetcode List'!A:A = A185))"),"Minimum Number of Increments on Subarrays to Form a Target Array")</f>
        <v>Minimum Number of Increments on Subarrays to Form a Target Array</v>
      </c>
      <c r="C185" s="83" t="str">
        <f>IFERROR(__xludf.DUMMYFUNCTION("""COMPUTED_VALUE"""),"Hard")</f>
        <v>Hard</v>
      </c>
      <c r="D185" s="83" t="s">
        <v>561</v>
      </c>
      <c r="E185" s="87" t="str">
        <f>IFERROR(__xludf.DUMMYFUNCTION("IF(ISBLANK(A185),,FILTER('Leetcode List'!E:J,'Leetcode List'!A:A = A185))"),"Google")</f>
        <v>Google</v>
      </c>
      <c r="F185" s="47"/>
      <c r="G185" s="47"/>
      <c r="H185" s="47" t="str">
        <f>IFERROR(__xludf.DUMMYFUNCTION("""COMPUTED_VALUE"""),"Google")</f>
        <v>Google</v>
      </c>
      <c r="I185" s="47">
        <f>IFERROR(__xludf.DUMMYFUNCTION("""COMPUTED_VALUE"""),60.01)</f>
        <v>60.01</v>
      </c>
      <c r="J185" s="47" t="str">
        <f>IFERROR(__xludf.DUMMYFUNCTION("""COMPUTED_VALUE"""),"算法")</f>
        <v>算法</v>
      </c>
      <c r="L185" s="6">
        <f>COUNTIF('Coder-1'!B:B,A185)</f>
        <v>0</v>
      </c>
      <c r="M185" s="6">
        <f>COUNTIF('Coder-2'!B:B,A185)</f>
        <v>0</v>
      </c>
      <c r="N185" s="6">
        <f>COUNTIF('Coder-3'!B:B,A185)</f>
        <v>0</v>
      </c>
      <c r="O185" s="6">
        <f>COUNTIF('Coder-4'!B:B,A185)</f>
        <v>0</v>
      </c>
    </row>
    <row r="186">
      <c r="A186" s="83">
        <v>307.0</v>
      </c>
      <c r="B186" s="86" t="str">
        <f>IFERROR(__xludf.DUMMYFUNCTION("IF(ISBLANK(A186),,FILTER('Leetcode List'!B:C,'Leetcode List'!A:A = A186))"),"Range Sum Query - Mutable")</f>
        <v>Range Sum Query - Mutable</v>
      </c>
      <c r="C186" s="83" t="str">
        <f>IFERROR(__xludf.DUMMYFUNCTION("""COMPUTED_VALUE"""),"Medium")</f>
        <v>Medium</v>
      </c>
      <c r="D186" s="46" t="s">
        <v>4988</v>
      </c>
      <c r="E186" s="87" t="str">
        <f>IFERROR(__xludf.DUMMYFUNCTION("IF(ISBLANK(A186),,FILTER('Leetcode List'!E:J,'Leetcode List'!A:A = A186))"),"Adobe,Twitter,Facebook,Amazon,Google")</f>
        <v>Adobe,Twitter,Facebook,Amazon,Google</v>
      </c>
      <c r="F186" s="47" t="str">
        <f>IFERROR(__xludf.DUMMYFUNCTION("""COMPUTED_VALUE"""),"Facebook")</f>
        <v>Facebook</v>
      </c>
      <c r="G186" s="47" t="str">
        <f>IFERROR(__xludf.DUMMYFUNCTION("""COMPUTED_VALUE"""),"Google,Amazon,Adobe,Facebook")</f>
        <v>Google,Amazon,Adobe,Facebook</v>
      </c>
      <c r="H186" s="47" t="str">
        <f>IFERROR(__xludf.DUMMYFUNCTION("""COMPUTED_VALUE"""),"Twitter,Google,Amazon,Adobe,Facebook")</f>
        <v>Twitter,Google,Amazon,Adobe,Facebook</v>
      </c>
      <c r="I186" s="47">
        <f>IFERROR(__xludf.DUMMYFUNCTION("""COMPUTED_VALUE"""),36.82)</f>
        <v>36.82</v>
      </c>
      <c r="J186" s="47" t="str">
        <f>IFERROR(__xludf.DUMMYFUNCTION("""COMPUTED_VALUE"""),"算法")</f>
        <v>算法</v>
      </c>
      <c r="L186" s="6">
        <f>COUNTIF('Coder-1'!B:B,A186)</f>
        <v>0</v>
      </c>
      <c r="M186" s="6">
        <f>COUNTIF('Coder-2'!B:B,A186)</f>
        <v>0</v>
      </c>
      <c r="N186" s="6">
        <f>COUNTIF('Coder-3'!B:B,A186)</f>
        <v>0</v>
      </c>
      <c r="O186" s="6">
        <f>COUNTIF('Coder-4'!B:B,A186)</f>
        <v>0</v>
      </c>
    </row>
    <row r="187">
      <c r="A187" s="83">
        <v>1649.0</v>
      </c>
      <c r="B187" s="86" t="str">
        <f>IFERROR(__xludf.DUMMYFUNCTION("IF(ISBLANK(A187),,FILTER('Leetcode List'!B:C,'Leetcode List'!A:A = A187))"),"Create Sorted Array through Instructions")</f>
        <v>Create Sorted Array through Instructions</v>
      </c>
      <c r="C187" s="83" t="str">
        <f>IFERROR(__xludf.DUMMYFUNCTION("""COMPUTED_VALUE"""),"Hard")</f>
        <v>Hard</v>
      </c>
      <c r="D187" s="46" t="s">
        <v>4988</v>
      </c>
      <c r="E187" s="87" t="str">
        <f>IFERROR(__xludf.DUMMYFUNCTION("IF(ISBLANK(A187),,FILTER('Leetcode List'!E:J,'Leetcode List'!A:A = A187))"),"Akuna Capital")</f>
        <v>Akuna Capital</v>
      </c>
      <c r="F187" s="47"/>
      <c r="G187" s="47"/>
      <c r="H187" s="47" t="str">
        <f>IFERROR(__xludf.DUMMYFUNCTION("""COMPUTED_VALUE"""),"Akuna Capital")</f>
        <v>Akuna Capital</v>
      </c>
      <c r="I187" s="47">
        <f>IFERROR(__xludf.DUMMYFUNCTION("""COMPUTED_VALUE"""),36.37)</f>
        <v>36.37</v>
      </c>
      <c r="J187" s="47" t="str">
        <f>IFERROR(__xludf.DUMMYFUNCTION("""COMPUTED_VALUE"""),"算法")</f>
        <v>算法</v>
      </c>
      <c r="L187" s="6">
        <f>COUNTIF('Coder-1'!B:B,A187)</f>
        <v>0</v>
      </c>
      <c r="M187" s="6">
        <f>COUNTIF('Coder-2'!B:B,A187)</f>
        <v>0</v>
      </c>
      <c r="N187" s="6">
        <f>COUNTIF('Coder-3'!B:B,A187)</f>
        <v>0</v>
      </c>
      <c r="O187" s="6">
        <f>COUNTIF('Coder-4'!B:B,A187)</f>
        <v>0</v>
      </c>
    </row>
    <row r="188">
      <c r="A188" s="83">
        <v>146.0</v>
      </c>
      <c r="B188" s="86" t="str">
        <f>IFERROR(__xludf.DUMMYFUNCTION("IF(ISBLANK(A188),,FILTER('Leetcode List'!B:C,'Leetcode List'!A:A = A188))"),"LRU Cache")</f>
        <v>LRU Cache</v>
      </c>
      <c r="C188" s="83" t="str">
        <f>IFERROR(__xludf.DUMMYFUNCTION("""COMPUTED_VALUE"""),"Medium")</f>
        <v>Medium</v>
      </c>
      <c r="D188" s="83" t="s">
        <v>440</v>
      </c>
      <c r="E188" s="87" t="str">
        <f>IFERROR(__xludf.DUMMYFUNCTION("IF(ISBLANK(A188),,FILTER('Leetcode List'!E:J,'Leetcode List'!A:A = A188))"),"MakeMyTrip,DiDi,Garena,Cohesity,Atlassian,Capital One,PayTM,Infosys,Intel,Cloudera,HBO,Asana,Docusign,TripAdvisor,Tesla,Nutanix,DoorDash,Pinterest,Palantir Technologies,Cruise Automation,Two Sigma,Zenefits,Twitch,Roblox,Splunk,ByteDance,Twilio,Salesforce,"&amp;"Groupon,Zynga,Visa,VMware,Citadel,Walmart Labs,Dropbox,GoDaddy,Snapchat,JPMorgan,Zillow,Paypal,Twitter,Expedia,Wish,Nvidia,Oracle,Spotify,Intuit,Lyft,Cisco,Yandex,EBay,Baidu,Apple,Uber,Yahoo,SAP,Morgan Stanley,Bloomberg,Adobe,Facebook,Amazon,LinkedIn,Micr"&amp;"osoft,Alibaba,Goldman Sachs,Google")</f>
        <v>MakeMyTrip,DiDi,Garena,Cohesity,Atlassian,Capital One,PayTM,Infosys,Intel,Cloudera,HBO,Asana,Docusign,TripAdvisor,Tesla,Nutanix,DoorDash,Pinterest,Palantir Technologies,Cruise Automation,Two Sigma,Zenefits,Twitch,Roblox,Splunk,ByteDance,Twilio,Salesforce,Groupon,Zynga,Visa,VMware,Citadel,Walmart Labs,Dropbox,GoDaddy,Snapchat,JPMorgan,Zillow,Paypal,Twitter,Expedia,Wish,Nvidia,Oracle,Spotify,Intuit,Lyft,Cisco,Yandex,EBay,Baidu,Apple,Uber,Yahoo,SAP,Morgan Stanley,Bloomberg,Adobe,Facebook,Amazon,LinkedIn,Microsoft,Alibaba,Goldman Sachs,Google</v>
      </c>
      <c r="F188" s="47" t="str">
        <f>IFERROR(__xludf.DUMMYFUNCTION("""COMPUTED_VALUE"""),"Amazon,Microsoft,Bloomberg,Facebook,Apple,Capital One,Snapchat,eBay,Oracle,Intuit,Google,ByteDance,Zillow,Uber,Paypal,Twilio,VMware,Dropbox,Adobe,Walmart Labs,Goldman Sachs,Cohesity,Citadel,Salesforce,Tesla,Cruise Automation,Wish,Nutanix,HBO,Morgan Stanle"&amp;"y")</f>
        <v>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G188" s="47" t="str">
        <f>IFERROR(__xludf.DUMMYFUNCTION("""COMPUTED_VALUE"""),"Cisco,Roblox,Pinterest,Nvidia,Yandex,Alibaba,Twitter,Expedia,Zynga,Docusign,Garena,DiDi,Infosys,Amazon,Microsoft,Bloomberg,Facebook,Apple,Capital One,Snapchat,eBay,Oracle,Intuit,Google,ByteDance,Zillow,Uber,Paypal,Twilio,VMware,Dropbox,Adobe,Walmart Labs,"&amp;"Goldman Sachs,Cohesity,Citadel,Salesforce,Tesla,Cruise Automation,Wish,Nutanix,HBO,Morgan Stanley")</f>
        <v>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H188" s="47" t="str">
        <f>IFERROR(__xludf.DUMMYFUNCTION("""COMPUTED_VALUE"""),"Two Sigma,Asana,Yahoo,LinkedIn,Spotify,Cloudera,GoDaddy,Groupon,DoorDash,PayTM,Baidu,Lyft,JPMorgan,TripAdvisor,Intel,Atlassian,Splunk,MakeMyTrip,Palantir Technologies,Zenefits,Cisco,Roblox,Pinterest,Nvidia,Yandex,Alibaba,Twitter,Expedia,Zynga,Docusign,Gar"&amp;"ena,DiDi,Infosys,Amazon,Microsoft,Bloomberg,Facebook,Apple,Capital One,Snapchat,eBay,Oracle,Intuit,Google,ByteDance,Zillow,Uber,Paypal,Twilio,VMware,Dropbox,Adobe,Walmart Labs,Goldman Sachs,Cohesity,Citadel,Salesforce,Tesla,Cruise Automation,Wish,Nutanix,"&amp;"HBO,Morgan Stanley")</f>
        <v>Two Sigma,Asana,Yahoo,LinkedIn,Spotify,Cloudera,GoDaddy,Groupon,DoorDash,PayTM,Baidu,Lyft,JPMorgan,TripAdvisor,Intel,Atlassian,Splunk,MakeMyTrip,Palantir Technologies,Zenefits,Cisco,Roblox,Pinterest,Nvidia,Yandex,Alibaba,Twitter,Expedia,Zynga,Docusign,Garena,DiDi,Infosys,Amazon,Microsoft,Bloomberg,Facebook,Apple,Capital One,Snapchat,eBay,Oracle,Intuit,Google,ByteDance,Zillow,Uber,Paypal,Twilio,VMware,Dropbox,Adobe,Walmart Labs,Goldman Sachs,Cohesity,Citadel,Salesforce,Tesla,Cruise Automation,Wish,Nutanix,HBO,Morgan Stanley</v>
      </c>
      <c r="I188" s="47">
        <f>IFERROR(__xludf.DUMMYFUNCTION("""COMPUTED_VALUE"""),36.03)</f>
        <v>36.03</v>
      </c>
      <c r="J188" s="47" t="str">
        <f>IFERROR(__xludf.DUMMYFUNCTION("""COMPUTED_VALUE"""),"算法")</f>
        <v>算法</v>
      </c>
      <c r="L188" s="6">
        <f>COUNTIF('Coder-1'!B:B,A188)</f>
        <v>0</v>
      </c>
      <c r="M188" s="6">
        <f>COUNTIF('Coder-2'!B:B,A188)</f>
        <v>0</v>
      </c>
      <c r="N188" s="6">
        <f>COUNTIF('Coder-3'!B:B,A188)</f>
        <v>0</v>
      </c>
      <c r="O188" s="6">
        <f>COUNTIF('Coder-4'!B:B,A188)</f>
        <v>0</v>
      </c>
    </row>
    <row r="189">
      <c r="A189" s="83">
        <v>460.0</v>
      </c>
      <c r="B189" s="86" t="str">
        <f>IFERROR(__xludf.DUMMYFUNCTION("IF(ISBLANK(A189),,FILTER('Leetcode List'!B:C,'Leetcode List'!A:A = A189))"),"LFU Cache")</f>
        <v>LFU Cache</v>
      </c>
      <c r="C189" s="83" t="str">
        <f>IFERROR(__xludf.DUMMYFUNCTION("""COMPUTED_VALUE"""),"Hard")</f>
        <v>Hard</v>
      </c>
      <c r="D189" s="83" t="s">
        <v>440</v>
      </c>
      <c r="E189" s="87" t="str">
        <f>IFERROR(__xludf.DUMMYFUNCTION("IF(ISBLANK(A189),,FILTER('Leetcode List'!E:J,'Leetcode List'!A:A = A189))"),"DiDi,Twitch,Nutanix,Citadel,Oracle,Facebook,Salesforce,VMware,Snapchat,Apple,Uber,Bloomberg,Adobe,Amazon,LinkedIn,Microsoft,Alibaba,Goldman Sachs,Google")</f>
        <v>DiDi,Twitch,Nutanix,Citadel,Oracle,Facebook,Salesforce,VMware,Snapchat,Apple,Uber,Bloomberg,Adobe,Amazon,LinkedIn,Microsoft,Alibaba,Goldman Sachs,Google</v>
      </c>
      <c r="F189" s="47" t="str">
        <f>IFERROR(__xludf.DUMMYFUNCTION("""COMPUTED_VALUE"""),"Amazon,Microsoft,Google,Citadel,Bloomberg,VMware,Goldman Sachs,Twitch")</f>
        <v>Amazon,Microsoft,Google,Citadel,Bloomberg,VMware,Goldman Sachs,Twitch</v>
      </c>
      <c r="G189" s="47" t="str">
        <f>IFERROR(__xludf.DUMMYFUNCTION("""COMPUTED_VALUE"""),"Oracle,DiDi,Amazon,Microsoft,Google,Citadel,Bloomberg,VMware,Goldman Sachs,Twitch")</f>
        <v>Oracle,DiDi,Amazon,Microsoft,Google,Citadel,Bloomberg,VMware,Goldman Sachs,Twitch</v>
      </c>
      <c r="H189" s="47" t="str">
        <f>IFERROR(__xludf.DUMMYFUNCTION("""COMPUTED_VALUE"""),"Salesforce,LinkedIn,Apple,Alibaba,Facebook,Nutanix,Oracle,DiDi,Amazon,Microsoft,Google,Citadel,Bloomberg,VMware,Goldman Sachs,Twitch")</f>
        <v>Salesforce,LinkedIn,Apple,Alibaba,Facebook,Nutanix,Oracle,DiDi,Amazon,Microsoft,Google,Citadel,Bloomberg,VMware,Goldman Sachs,Twitch</v>
      </c>
      <c r="I189" s="47">
        <f>IFERROR(__xludf.DUMMYFUNCTION("""COMPUTED_VALUE"""),36.23)</f>
        <v>36.23</v>
      </c>
      <c r="J189" s="47" t="str">
        <f>IFERROR(__xludf.DUMMYFUNCTION("""COMPUTED_VALUE"""),"算法")</f>
        <v>算法</v>
      </c>
      <c r="L189" s="6">
        <f>COUNTIF('Coder-1'!B:B,A189)</f>
        <v>0</v>
      </c>
      <c r="M189" s="6">
        <f>COUNTIF('Coder-2'!B:B,A189)</f>
        <v>0</v>
      </c>
      <c r="N189" s="6">
        <f>COUNTIF('Coder-3'!B:B,A189)</f>
        <v>0</v>
      </c>
      <c r="O189" s="6">
        <f>COUNTIF('Coder-4'!B:B,A189)</f>
        <v>0</v>
      </c>
    </row>
    <row r="190">
      <c r="A190" s="83">
        <v>432.0</v>
      </c>
      <c r="B190" s="86" t="str">
        <f>IFERROR(__xludf.DUMMYFUNCTION("IF(ISBLANK(A190),,FILTER('Leetcode List'!B:C,'Leetcode List'!A:A = A190))"),"All O`one Data Structure")</f>
        <v>All O`one Data Structure</v>
      </c>
      <c r="C190" s="83" t="str">
        <f>IFERROR(__xludf.DUMMYFUNCTION("""COMPUTED_VALUE"""),"Hard")</f>
        <v>Hard</v>
      </c>
      <c r="D190" s="83" t="s">
        <v>440</v>
      </c>
      <c r="E190" s="87" t="str">
        <f>IFERROR(__xludf.DUMMYFUNCTION("IF(ISBLANK(A190),,FILTER('Leetcode List'!E:J,'Leetcode List'!A:A = A190))"),"Media.net,Uber,Bloomberg,Facebook,Amazon,LinkedIn,Microsoft,Google")</f>
        <v>Media.net,Uber,Bloomberg,Facebook,Amazon,LinkedIn,Microsoft,Google</v>
      </c>
      <c r="F190" s="47" t="str">
        <f>IFERROR(__xludf.DUMMYFUNCTION("""COMPUTED_VALUE"""),"Amazon")</f>
        <v>Amazon</v>
      </c>
      <c r="G190" s="47" t="str">
        <f>IFERROR(__xludf.DUMMYFUNCTION("""COMPUTED_VALUE"""),"Facebook,Amazon")</f>
        <v>Facebook,Amazon</v>
      </c>
      <c r="H190" s="47" t="str">
        <f>IFERROR(__xludf.DUMMYFUNCTION("""COMPUTED_VALUE"""),"LinkedIn,Google,Microsoft,Media.net,Uber,Facebook,Amazon")</f>
        <v>LinkedIn,Google,Microsoft,Media.net,Uber,Facebook,Amazon</v>
      </c>
      <c r="I190" s="47">
        <f>IFERROR(__xludf.DUMMYFUNCTION("""COMPUTED_VALUE"""),33.18)</f>
        <v>33.18</v>
      </c>
      <c r="J190" s="47" t="str">
        <f>IFERROR(__xludf.DUMMYFUNCTION("""COMPUTED_VALUE"""),"算法")</f>
        <v>算法</v>
      </c>
      <c r="L190" s="6">
        <f>COUNTIF('Coder-1'!B:B,A190)</f>
        <v>0</v>
      </c>
      <c r="M190" s="6">
        <f>COUNTIF('Coder-2'!B:B,A190)</f>
        <v>0</v>
      </c>
      <c r="N190" s="6">
        <f>COUNTIF('Coder-3'!B:B,A190)</f>
        <v>0</v>
      </c>
      <c r="O190" s="6">
        <f>COUNTIF('Coder-4'!B:B,A190)</f>
        <v>0</v>
      </c>
    </row>
    <row r="191">
      <c r="A191" s="83">
        <v>380.0</v>
      </c>
      <c r="B191" s="86" t="str">
        <f>IFERROR(__xludf.DUMMYFUNCTION("IF(ISBLANK(A191),,FILTER('Leetcode List'!B:C,'Leetcode List'!A:A = A191))"),"Insert Delete GetRandom O(1)")</f>
        <v>Insert Delete GetRandom O(1)</v>
      </c>
      <c r="C191" s="83" t="str">
        <f>IFERROR(__xludf.DUMMYFUNCTION("""COMPUTED_VALUE"""),"Medium")</f>
        <v>Medium</v>
      </c>
      <c r="D191" s="83" t="s">
        <v>440</v>
      </c>
      <c r="E191" s="87" t="str">
        <f>IFERROR(__xludf.DUMMYFUNCTION("IF(ISBLANK(A191),,FILTER('Leetcode List'!E:J,'Leetcode List'!A:A = A191))"),"HRT,AppDynamics,Snapchat,ByteDance,Visa,Citadel,Zillow,Nvidia,Pinterest,Databricks,Pocket Gems,Pure Storage,Two Sigma,Flipkart,Twilio,Salesforce,VMware,Quora,Affirm,Walmart Labs,Indeed,Twitter,Yelp,Oracle,Yandex,Apple,Uber,Bloomberg,Adobe,Facebook,Amazon,"&amp;"LinkedIn,Microsoft,Goldman Sachs,Google")</f>
        <v>HRT,AppDynamics,Snapchat,ByteDance,Visa,Citadel,Zillow,Nvidia,Pinterest,Databricks,Pocket Gems,Pure Storage,Two Sigma,Flipkart,Twilio,Salesforce,VMware,Quora,Affirm,Walmart Labs,Indeed,Twitter,Yelp,Oracle,Yandex,Apple,Uber,Bloomberg,Adobe,Facebook,Amazon,LinkedIn,Microsoft,Goldman Sachs,Google</v>
      </c>
      <c r="F191" s="47" t="str">
        <f>IFERROR(__xludf.DUMMYFUNCTION("""COMPUTED_VALUE"""),"Amazon,Bloomberg,Twitter,Facebook,Microsoft,Affirm,Oracle,Two Sigma,Yandex,Nvidia,LinkedIn,Google,Apple,Snapchat,Databricks,Quora,Adobe,Citadel,Zillow,HRT")</f>
        <v>Amazon,Bloomberg,Twitter,Facebook,Microsoft,Affirm,Oracle,Two Sigma,Yandex,Nvidia,LinkedIn,Google,Apple,Snapchat,Databricks,Quora,Adobe,Citadel,Zillow,HRT</v>
      </c>
      <c r="G191" s="47" t="str">
        <f>IFERROR(__xludf.DUMMYFUNCTION("""COMPUTED_VALUE"""),"AppDynamics,Amazon,Bloomberg,Twitter,Facebook,Microsoft,Affirm,Oracle,Two Sigma,Yandex,Nvidia,LinkedIn,Google,Apple,Snapchat,Databricks,Quora,Adobe,Citadel,Zillow,HRT")</f>
        <v>AppDynamics,Amazon,Bloomberg,Twitter,Facebook,Microsoft,Affirm,Oracle,Two Sigma,Yandex,Nvidia,LinkedIn,Google,Apple,Snapchat,Databricks,Quora,Adobe,Citadel,Zillow,HRT</v>
      </c>
      <c r="H191" s="47" t="str">
        <f>IFERROR(__xludf.DUMMYFUNCTION("""COMPUTED_VALUE"""),"Uber,VMware,Indeed,Goldman Sachs,Salesforce,Walmart Labs,Flipkart,ByteDance,Twilio,Visa,Yelp,Pocket Gems,AppDynamics,Amazon,Bloomberg,Twitter,Facebook,Microsoft,Affirm,Oracle,Two Sigma,Yandex,Nvidia,LinkedIn,Google,Apple,Snapchat,Databricks,Quora,Adobe,Ci"&amp;"tadel,Zillow,HRT")</f>
        <v>Uber,VMware,Indeed,Goldman Sachs,Salesforce,Walmart Labs,Flipkart,ByteDance,Twilio,Visa,Yelp,Pocket Gems,AppDynamics,Amazon,Bloomberg,Twitter,Facebook,Microsoft,Affirm,Oracle,Two Sigma,Yandex,Nvidia,LinkedIn,Google,Apple,Snapchat,Databricks,Quora,Adobe,Citadel,Zillow,HRT</v>
      </c>
      <c r="I191" s="47">
        <f>IFERROR(__xludf.DUMMYFUNCTION("""COMPUTED_VALUE"""),48.95)</f>
        <v>48.95</v>
      </c>
      <c r="J191" s="47" t="str">
        <f>IFERROR(__xludf.DUMMYFUNCTION("""COMPUTED_VALUE"""),"算法")</f>
        <v>算法</v>
      </c>
      <c r="L191" s="6">
        <f>COUNTIF('Coder-1'!B:B,A191)</f>
        <v>0</v>
      </c>
      <c r="M191" s="6">
        <f>COUNTIF('Coder-2'!B:B,A191)</f>
        <v>0</v>
      </c>
      <c r="N191" s="6">
        <f>COUNTIF('Coder-3'!B:B,A191)</f>
        <v>0</v>
      </c>
      <c r="O191" s="6">
        <f>COUNTIF('Coder-4'!B:B,A191)</f>
        <v>0</v>
      </c>
    </row>
    <row r="192">
      <c r="A192" s="83">
        <v>381.0</v>
      </c>
      <c r="B192" s="86" t="str">
        <f>IFERROR(__xludf.DUMMYFUNCTION("IF(ISBLANK(A192),,FILTER('Leetcode List'!B:C,'Leetcode List'!A:A = A192))"),"Insert Delete GetRandom O(1) - Duplicates allowed")</f>
        <v>Insert Delete GetRandom O(1) - Duplicates allowed</v>
      </c>
      <c r="C192" s="83" t="str">
        <f>IFERROR(__xludf.DUMMYFUNCTION("""COMPUTED_VALUE"""),"Hard")</f>
        <v>Hard</v>
      </c>
      <c r="D192" s="83" t="s">
        <v>440</v>
      </c>
      <c r="E192" s="87" t="str">
        <f>IFERROR(__xludf.DUMMYFUNCTION("IF(ISBLANK(A192),,FILTER('Leetcode List'!E:J,'Leetcode List'!A:A = A192))"),"Quora,Wish,Bloomberg,Databricks,Affirm,Walmart Labs,Yelp,Apple,Uber,Facebook,Amazon,LinkedIn,Microsoft,Google")</f>
        <v>Quora,Wish,Bloomberg,Databricks,Affirm,Walmart Labs,Yelp,Apple,Uber,Facebook,Amazon,LinkedIn,Microsoft,Google</v>
      </c>
      <c r="F192" s="47" t="str">
        <f>IFERROR(__xludf.DUMMYFUNCTION("""COMPUTED_VALUE"""),"Facebook,Affirm")</f>
        <v>Facebook,Affirm</v>
      </c>
      <c r="G192" s="47" t="str">
        <f>IFERROR(__xludf.DUMMYFUNCTION("""COMPUTED_VALUE"""),"LinkedIn,Facebook,Affirm")</f>
        <v>LinkedIn,Facebook,Affirm</v>
      </c>
      <c r="H192" s="47" t="str">
        <f>IFERROR(__xludf.DUMMYFUNCTION("""COMPUTED_VALUE"""),"Apple,Amazon,Microsoft,Uber,Bloomberg,Walmart Labs,Databricks,Wish,Quora,Yelp,LinkedIn,Facebook,Affirm")</f>
        <v>Apple,Amazon,Microsoft,Uber,Bloomberg,Walmart Labs,Databricks,Wish,Quora,Yelp,LinkedIn,Facebook,Affirm</v>
      </c>
      <c r="I192" s="47">
        <f>IFERROR(__xludf.DUMMYFUNCTION("""COMPUTED_VALUE"""),34.92)</f>
        <v>34.92</v>
      </c>
      <c r="J192" s="47" t="str">
        <f>IFERROR(__xludf.DUMMYFUNCTION("""COMPUTED_VALUE"""),"算法")</f>
        <v>算法</v>
      </c>
      <c r="L192" s="6">
        <f>COUNTIF('Coder-1'!B:B,A192)</f>
        <v>0</v>
      </c>
      <c r="M192" s="6">
        <f>COUNTIF('Coder-2'!B:B,A192)</f>
        <v>0</v>
      </c>
      <c r="N192" s="6">
        <f>COUNTIF('Coder-3'!B:B,A192)</f>
        <v>0</v>
      </c>
      <c r="O192" s="6">
        <f>COUNTIF('Coder-4'!B:B,A192)</f>
        <v>0</v>
      </c>
    </row>
    <row r="193">
      <c r="A193" s="83">
        <v>716.0</v>
      </c>
      <c r="B193" s="86" t="str">
        <f>IFERROR(__xludf.DUMMYFUNCTION("IF(ISBLANK(A193),,FILTER('Leetcode List'!B:C,'Leetcode List'!A:A = A193))"),"Max Stack")</f>
        <v>Max Stack</v>
      </c>
      <c r="C193" s="83" t="str">
        <f>IFERROR(__xludf.DUMMYFUNCTION("""COMPUTED_VALUE"""),"Easy")</f>
        <v>Easy</v>
      </c>
      <c r="D193" s="83" t="s">
        <v>440</v>
      </c>
      <c r="E193" s="87" t="str">
        <f>IFERROR(__xludf.DUMMYFUNCTION("IF(ISBLANK(A193),,FILTER('Leetcode List'!E:J,'Leetcode List'!A:A = A193))"),"Apple,Uber,Pure Storage,Snapchat,Twitter,Lyft,Bloomberg,Facebook,Amazon,LinkedIn,Microsoft,Google")</f>
        <v>Apple,Uber,Pure Storage,Snapchat,Twitter,Lyft,Bloomberg,Facebook,Amazon,LinkedIn,Microsoft,Google</v>
      </c>
      <c r="F193" s="47" t="str">
        <f>IFERROR(__xludf.DUMMYFUNCTION("""COMPUTED_VALUE"""),"Lyft,LinkedIn,Amazon,Pure Storage,Twitter,Uber")</f>
        <v>Lyft,LinkedIn,Amazon,Pure Storage,Twitter,Uber</v>
      </c>
      <c r="G193" s="47" t="str">
        <f>IFERROR(__xludf.DUMMYFUNCTION("""COMPUTED_VALUE"""),"Microsoft,Facebook,Apple,Lyft,LinkedIn,Amazon,Pure Storage,Twitter,Uber")</f>
        <v>Microsoft,Facebook,Apple,Lyft,LinkedIn,Amazon,Pure Storage,Twitter,Uber</v>
      </c>
      <c r="H193" s="47" t="str">
        <f>IFERROR(__xludf.DUMMYFUNCTION("""COMPUTED_VALUE"""),"Bloomberg,Microsoft,Facebook,Apple,Lyft,LinkedIn,Amazon,Pure Storage,Twitter,Uber")</f>
        <v>Bloomberg,Microsoft,Facebook,Apple,Lyft,LinkedIn,Amazon,Pure Storage,Twitter,Uber</v>
      </c>
      <c r="I193" s="47">
        <f>IFERROR(__xludf.DUMMYFUNCTION("""COMPUTED_VALUE"""),43.08)</f>
        <v>43.08</v>
      </c>
      <c r="J193" s="47" t="str">
        <f>IFERROR(__xludf.DUMMYFUNCTION("""COMPUTED_VALUE"""),"算法")</f>
        <v>算法</v>
      </c>
      <c r="L193" s="6">
        <f>COUNTIF('Coder-1'!B:B,A193)</f>
        <v>0</v>
      </c>
      <c r="M193" s="6">
        <f>COUNTIF('Coder-2'!B:B,A193)</f>
        <v>0</v>
      </c>
      <c r="N193" s="6">
        <f>COUNTIF('Coder-3'!B:B,A193)</f>
        <v>0</v>
      </c>
      <c r="O193" s="6">
        <f>COUNTIF('Coder-4'!B:B,A193)</f>
        <v>0</v>
      </c>
    </row>
    <row r="194">
      <c r="A194" s="83">
        <v>355.0</v>
      </c>
      <c r="B194" s="86" t="str">
        <f>IFERROR(__xludf.DUMMYFUNCTION("IF(ISBLANK(A194),,FILTER('Leetcode List'!B:C,'Leetcode List'!A:A = A194))"),"Design Twitter")</f>
        <v>Design Twitter</v>
      </c>
      <c r="C194" s="83" t="str">
        <f>IFERROR(__xludf.DUMMYFUNCTION("""COMPUTED_VALUE"""),"Medium")</f>
        <v>Medium</v>
      </c>
      <c r="D194" s="83" t="s">
        <v>440</v>
      </c>
      <c r="E194" s="87" t="str">
        <f>IFERROR(__xludf.DUMMYFUNCTION("IF(ISBLANK(A194),,FILTER('Leetcode List'!E:J,'Leetcode List'!A:A = A194))"),"Paypal,Oracle,Citrix,Huawei,Microsoft,DoorDash,Twitter,Yelp,Amazon")</f>
        <v>Paypal,Oracle,Citrix,Huawei,Microsoft,DoorDash,Twitter,Yelp,Amazon</v>
      </c>
      <c r="F194" s="47" t="str">
        <f>IFERROR(__xludf.DUMMYFUNCTION("""COMPUTED_VALUE"""),"Yelp,Paypal,Microsoft")</f>
        <v>Yelp,Paypal,Microsoft</v>
      </c>
      <c r="G194" s="47" t="str">
        <f>IFERROR(__xludf.DUMMYFUNCTION("""COMPUTED_VALUE"""),"Huawei,Citrix,Yelp,Paypal,Microsoft")</f>
        <v>Huawei,Citrix,Yelp,Paypal,Microsoft</v>
      </c>
      <c r="H194" s="47" t="str">
        <f>IFERROR(__xludf.DUMMYFUNCTION("""COMPUTED_VALUE"""),"DoorDash,Amazon,Oracle,Twitter,Huawei,Citrix,Yelp,Paypal,Microsoft")</f>
        <v>DoorDash,Amazon,Oracle,Twitter,Huawei,Citrix,Yelp,Paypal,Microsoft</v>
      </c>
      <c r="I194" s="47">
        <f>IFERROR(__xludf.DUMMYFUNCTION("""COMPUTED_VALUE"""),31.48)</f>
        <v>31.48</v>
      </c>
      <c r="J194" s="47" t="str">
        <f>IFERROR(__xludf.DUMMYFUNCTION("""COMPUTED_VALUE"""),"算法")</f>
        <v>算法</v>
      </c>
      <c r="L194" s="6">
        <f>COUNTIF('Coder-1'!B:B,A194)</f>
        <v>0</v>
      </c>
      <c r="M194" s="6">
        <f>COUNTIF('Coder-2'!B:B,A194)</f>
        <v>0</v>
      </c>
      <c r="N194" s="6">
        <f>COUNTIF('Coder-3'!B:B,A194)</f>
        <v>0</v>
      </c>
      <c r="O194" s="6">
        <f>COUNTIF('Coder-4'!B:B,A194)</f>
        <v>0</v>
      </c>
    </row>
    <row r="195">
      <c r="A195" s="83">
        <v>535.0</v>
      </c>
      <c r="B195" s="86" t="str">
        <f>IFERROR(__xludf.DUMMYFUNCTION("IF(ISBLANK(A195),,FILTER('Leetcode List'!B:C,'Leetcode List'!A:A = A195))"),"Encode and Decode TinyURL")</f>
        <v>Encode and Decode TinyURL</v>
      </c>
      <c r="C195" s="83" t="str">
        <f>IFERROR(__xludf.DUMMYFUNCTION("""COMPUTED_VALUE"""),"Medium")</f>
        <v>Medium</v>
      </c>
      <c r="D195" s="83" t="s">
        <v>440</v>
      </c>
      <c r="E195" s="87" t="str">
        <f>IFERROR(__xludf.DUMMYFUNCTION("IF(ISBLANK(A195),,FILTER('Leetcode List'!E:J,'Leetcode List'!A:A = A195))"),"Oracle,Uber,Bloomberg,Adobe,Facebook,Amazon,Microsoft,Google")</f>
        <v>Oracle,Uber,Bloomberg,Adobe,Facebook,Amazon,Microsoft,Google</v>
      </c>
      <c r="F195" s="47" t="str">
        <f>IFERROR(__xludf.DUMMYFUNCTION("""COMPUTED_VALUE"""),"Microsoft,Amazon,Google")</f>
        <v>Microsoft,Amazon,Google</v>
      </c>
      <c r="G195" s="47" t="str">
        <f>IFERROR(__xludf.DUMMYFUNCTION("""COMPUTED_VALUE"""),"Bloomberg,Microsoft,Amazon,Google")</f>
        <v>Bloomberg,Microsoft,Amazon,Google</v>
      </c>
      <c r="H195" s="47" t="str">
        <f>IFERROR(__xludf.DUMMYFUNCTION("""COMPUTED_VALUE"""),"Oracle,Facebook,Uber,Bloomberg,Microsoft,Amazon,Google")</f>
        <v>Oracle,Facebook,Uber,Bloomberg,Microsoft,Amazon,Google</v>
      </c>
      <c r="I195" s="47">
        <f>IFERROR(__xludf.DUMMYFUNCTION("""COMPUTED_VALUE"""),82.26)</f>
        <v>82.26</v>
      </c>
      <c r="J195" s="47" t="str">
        <f>IFERROR(__xludf.DUMMYFUNCTION("""COMPUTED_VALUE"""),"算法")</f>
        <v>算法</v>
      </c>
      <c r="L195" s="6">
        <f>COUNTIF('Coder-1'!B:B,A195)</f>
        <v>0</v>
      </c>
      <c r="M195" s="6">
        <f>COUNTIF('Coder-2'!B:B,A195)</f>
        <v>0</v>
      </c>
      <c r="N195" s="6">
        <f>COUNTIF('Coder-3'!B:B,A195)</f>
        <v>0</v>
      </c>
      <c r="O195" s="6">
        <f>COUNTIF('Coder-4'!B:B,A195)</f>
        <v>0</v>
      </c>
    </row>
    <row r="196">
      <c r="A196" s="83">
        <v>631.0</v>
      </c>
      <c r="B196" s="86" t="str">
        <f>IFERROR(__xludf.DUMMYFUNCTION("IF(ISBLANK(A196),,FILTER('Leetcode List'!B:C,'Leetcode List'!A:A = A196))"),"Design Excel Sum Formula")</f>
        <v>Design Excel Sum Formula</v>
      </c>
      <c r="C196" s="83" t="str">
        <f>IFERROR(__xludf.DUMMYFUNCTION("""COMPUTED_VALUE"""),"Hard")</f>
        <v>Hard</v>
      </c>
      <c r="D196" s="83" t="s">
        <v>440</v>
      </c>
      <c r="E196" s="87" t="str">
        <f>IFERROR(__xludf.DUMMYFUNCTION("IF(ISBLANK(A196),,FILTER('Leetcode List'!E:J,'Leetcode List'!A:A = A196))"),"Opendoor,Amazon,Microsoft")</f>
        <v>Opendoor,Amazon,Microsoft</v>
      </c>
      <c r="F196" s="47" t="str">
        <f>IFERROR(__xludf.DUMMYFUNCTION("""COMPUTED_VALUE"""),"Opendoor")</f>
        <v>Opendoor</v>
      </c>
      <c r="G196" s="47" t="str">
        <f>IFERROR(__xludf.DUMMYFUNCTION("""COMPUTED_VALUE"""),"Opendoor")</f>
        <v>Opendoor</v>
      </c>
      <c r="H196" s="47" t="str">
        <f>IFERROR(__xludf.DUMMYFUNCTION("""COMPUTED_VALUE"""),"Amazon,Microsoft,Opendoor")</f>
        <v>Amazon,Microsoft,Opendoor</v>
      </c>
      <c r="I196" s="47">
        <f>IFERROR(__xludf.DUMMYFUNCTION("""COMPUTED_VALUE"""),32.12)</f>
        <v>32.12</v>
      </c>
      <c r="J196" s="47" t="str">
        <f>IFERROR(__xludf.DUMMYFUNCTION("""COMPUTED_VALUE"""),"算法")</f>
        <v>算法</v>
      </c>
      <c r="L196" s="6">
        <f>COUNTIF('Coder-1'!B:B,A196)</f>
        <v>0</v>
      </c>
      <c r="M196" s="6">
        <f>COUNTIF('Coder-2'!B:B,A196)</f>
        <v>0</v>
      </c>
      <c r="N196" s="6">
        <f>COUNTIF('Coder-3'!B:B,A196)</f>
        <v>0</v>
      </c>
      <c r="O196" s="6">
        <f>COUNTIF('Coder-4'!B:B,A196)</f>
        <v>0</v>
      </c>
    </row>
    <row r="197">
      <c r="A197" s="83">
        <v>642.0</v>
      </c>
      <c r="B197" s="86" t="str">
        <f>IFERROR(__xludf.DUMMYFUNCTION("IF(ISBLANK(A197),,FILTER('Leetcode List'!B:C,'Leetcode List'!A:A = A197))"),"Design Search Autocomplete System")</f>
        <v>Design Search Autocomplete System</v>
      </c>
      <c r="C197" s="83" t="str">
        <f>IFERROR(__xludf.DUMMYFUNCTION("""COMPUTED_VALUE"""),"Hard")</f>
        <v>Hard</v>
      </c>
      <c r="D197" s="83" t="s">
        <v>440</v>
      </c>
      <c r="E197" s="87" t="str">
        <f>IFERROR(__xludf.DUMMYFUNCTION("IF(ISBLANK(A197),,FILTER('Leetcode List'!E:J,'Leetcode List'!A:A = A197))"),"EBay,Salesforce,Dropbox,Snapchat,Lyft,Apple,Uber,Bloomberg,Facebook,Amazon,Microsoft,Google")</f>
        <v>EBay,Salesforce,Dropbox,Snapchat,Lyft,Apple,Uber,Bloomberg,Facebook,Amazon,Microsoft,Google</v>
      </c>
      <c r="F197" s="47" t="str">
        <f>IFERROR(__xludf.DUMMYFUNCTION("""COMPUTED_VALUE"""),"Lyft,Amazon,Google,Microsoft,Bloomberg")</f>
        <v>Lyft,Amazon,Google,Microsoft,Bloomberg</v>
      </c>
      <c r="G197" s="47" t="str">
        <f>IFERROR(__xludf.DUMMYFUNCTION("""COMPUTED_VALUE"""),"Apple,eBay,Lyft,Amazon,Google,Microsoft,Bloomberg")</f>
        <v>Apple,eBay,Lyft,Amazon,Google,Microsoft,Bloomberg</v>
      </c>
      <c r="H197" s="47" t="str">
        <f>IFERROR(__xludf.DUMMYFUNCTION("""COMPUTED_VALUE"""),"Dropbox,Uber,Facebook,Snapchat,Apple,eBay,Lyft,Amazon,Google,Microsoft,Bloomberg")</f>
        <v>Dropbox,Uber,Facebook,Snapchat,Apple,eBay,Lyft,Amazon,Google,Microsoft,Bloomberg</v>
      </c>
      <c r="I197" s="47">
        <f>IFERROR(__xludf.DUMMYFUNCTION("""COMPUTED_VALUE"""),46.34)</f>
        <v>46.34</v>
      </c>
      <c r="J197" s="47" t="str">
        <f>IFERROR(__xludf.DUMMYFUNCTION("""COMPUTED_VALUE"""),"算法")</f>
        <v>算法</v>
      </c>
      <c r="L197" s="6">
        <f>COUNTIF('Coder-1'!B:B,A197)</f>
        <v>0</v>
      </c>
      <c r="M197" s="6">
        <f>COUNTIF('Coder-2'!B:B,A197)</f>
        <v>0</v>
      </c>
      <c r="N197" s="6">
        <f>COUNTIF('Coder-3'!B:B,A197)</f>
        <v>0</v>
      </c>
      <c r="O197" s="6">
        <f>COUNTIF('Coder-4'!B:B,A197)</f>
        <v>0</v>
      </c>
    </row>
    <row r="198">
      <c r="A198" s="83">
        <v>895.0</v>
      </c>
      <c r="B198" s="86" t="str">
        <f>IFERROR(__xludf.DUMMYFUNCTION("IF(ISBLANK(A198),,FILTER('Leetcode List'!B:C,'Leetcode List'!A:A = A198))"),"Maximum Frequency Stack")</f>
        <v>Maximum Frequency Stack</v>
      </c>
      <c r="C198" s="83" t="str">
        <f>IFERROR(__xludf.DUMMYFUNCTION("""COMPUTED_VALUE"""),"Hard")</f>
        <v>Hard</v>
      </c>
      <c r="D198" s="83" t="s">
        <v>440</v>
      </c>
      <c r="E198" s="87" t="str">
        <f>IFERROR(__xludf.DUMMYFUNCTION("IF(ISBLANK(A198),,FILTER('Leetcode List'!E:J,'Leetcode List'!A:A = A198))"),"Adobe,Microsoft,Salesforce,Apple,Uber,Bloomberg,Amazon,Google")</f>
        <v>Adobe,Microsoft,Salesforce,Apple,Uber,Bloomberg,Amazon,Google</v>
      </c>
      <c r="F198" s="47" t="str">
        <f>IFERROR(__xludf.DUMMYFUNCTION("""COMPUTED_VALUE"""),"Amazon,Microsoft,Bloomberg,Adobe")</f>
        <v>Amazon,Microsoft,Bloomberg,Adobe</v>
      </c>
      <c r="G198" s="47" t="str">
        <f>IFERROR(__xludf.DUMMYFUNCTION("""COMPUTED_VALUE"""),"Google,Amazon,Microsoft,Bloomberg,Adobe")</f>
        <v>Google,Amazon,Microsoft,Bloomberg,Adobe</v>
      </c>
      <c r="H198" s="47" t="str">
        <f>IFERROR(__xludf.DUMMYFUNCTION("""COMPUTED_VALUE"""),"Uber,Apple,Salesforce,Google,Amazon,Microsoft,Bloomberg,Adobe")</f>
        <v>Uber,Apple,Salesforce,Google,Amazon,Microsoft,Bloomberg,Adobe</v>
      </c>
      <c r="I198" s="47">
        <f>IFERROR(__xludf.DUMMYFUNCTION("""COMPUTED_VALUE"""),63.14)</f>
        <v>63.14</v>
      </c>
      <c r="J198" s="47" t="str">
        <f>IFERROR(__xludf.DUMMYFUNCTION("""COMPUTED_VALUE"""),"算法")</f>
        <v>算法</v>
      </c>
      <c r="L198" s="6">
        <f>COUNTIF('Coder-1'!B:B,A198)</f>
        <v>0</v>
      </c>
      <c r="M198" s="6">
        <f>COUNTIF('Coder-2'!B:B,A198)</f>
        <v>0</v>
      </c>
      <c r="N198" s="6">
        <f>COUNTIF('Coder-3'!B:B,A198)</f>
        <v>0</v>
      </c>
      <c r="O198" s="6">
        <f>COUNTIF('Coder-4'!B:B,A198)</f>
        <v>0</v>
      </c>
    </row>
    <row r="199">
      <c r="A199" s="83">
        <v>1146.0</v>
      </c>
      <c r="B199" s="86" t="str">
        <f>IFERROR(__xludf.DUMMYFUNCTION("IF(ISBLANK(A199),,FILTER('Leetcode List'!B:C,'Leetcode List'!A:A = A199))"),"Snapshot Array")</f>
        <v>Snapshot Array</v>
      </c>
      <c r="C199" s="83" t="str">
        <f>IFERROR(__xludf.DUMMYFUNCTION("""COMPUTED_VALUE"""),"Medium")</f>
        <v>Medium</v>
      </c>
      <c r="D199" s="83" t="s">
        <v>440</v>
      </c>
      <c r="E199" s="87" t="str">
        <f>IFERROR(__xludf.DUMMYFUNCTION("IF(ISBLANK(A199),,FILTER('Leetcode List'!E:J,'Leetcode List'!A:A = A199))"),"EBay,Microsoft,Snapchat,Apple,Uber,Facebook,Amazon,Google")</f>
        <v>EBay,Microsoft,Snapchat,Apple,Uber,Facebook,Amazon,Google</v>
      </c>
      <c r="F199" s="47" t="str">
        <f>IFERROR(__xludf.DUMMYFUNCTION("""COMPUTED_VALUE"""),"Google,Facebook")</f>
        <v>Google,Facebook</v>
      </c>
      <c r="G199" s="47" t="str">
        <f>IFERROR(__xludf.DUMMYFUNCTION("""COMPUTED_VALUE"""),"Amazon,Uber,eBay,Microsoft,Google,Facebook")</f>
        <v>Amazon,Uber,eBay,Microsoft,Google,Facebook</v>
      </c>
      <c r="H199" s="47" t="str">
        <f>IFERROR(__xludf.DUMMYFUNCTION("""COMPUTED_VALUE"""),"Snapchat,Apple,Amazon,Uber,eBay,Microsoft,Google,Facebook")</f>
        <v>Snapchat,Apple,Amazon,Uber,eBay,Microsoft,Google,Facebook</v>
      </c>
      <c r="I199" s="47">
        <f>IFERROR(__xludf.DUMMYFUNCTION("""COMPUTED_VALUE"""),36.8)</f>
        <v>36.8</v>
      </c>
      <c r="J199" s="47" t="str">
        <f>IFERROR(__xludf.DUMMYFUNCTION("""COMPUTED_VALUE"""),"算法")</f>
        <v>算法</v>
      </c>
      <c r="L199" s="6">
        <f>COUNTIF('Coder-1'!B:B,A199)</f>
        <v>0</v>
      </c>
      <c r="M199" s="6">
        <f>COUNTIF('Coder-2'!B:B,A199)</f>
        <v>0</v>
      </c>
      <c r="N199" s="6">
        <f>COUNTIF('Coder-3'!B:B,A199)</f>
        <v>0</v>
      </c>
      <c r="O199" s="6">
        <f>COUNTIF('Coder-4'!B:B,A199)</f>
        <v>0</v>
      </c>
    </row>
    <row r="200">
      <c r="A200" s="83">
        <v>1172.0</v>
      </c>
      <c r="B200" s="86" t="str">
        <f>IFERROR(__xludf.DUMMYFUNCTION("IF(ISBLANK(A200),,FILTER('Leetcode List'!B:C,'Leetcode List'!A:A = A200))"),"Dinner Plate Stacks")</f>
        <v>Dinner Plate Stacks</v>
      </c>
      <c r="C200" s="47" t="str">
        <f>IFERROR(__xludf.DUMMYFUNCTION("""COMPUTED_VALUE"""),"Hard")</f>
        <v>Hard</v>
      </c>
      <c r="D200" s="83" t="s">
        <v>440</v>
      </c>
      <c r="E200" s="87" t="str">
        <f>IFERROR(__xludf.DUMMYFUNCTION("IF(ISBLANK(A200),,FILTER('Leetcode List'!E:J,'Leetcode List'!A:A = A200))"),"ByteDance,Amazon")</f>
        <v>ByteDance,Amazon</v>
      </c>
      <c r="F200" s="47"/>
      <c r="G200" s="47" t="str">
        <f>IFERROR(__xludf.DUMMYFUNCTION("""COMPUTED_VALUE"""),"ByteDance")</f>
        <v>ByteDance</v>
      </c>
      <c r="H200" s="47" t="str">
        <f>IFERROR(__xludf.DUMMYFUNCTION("""COMPUTED_VALUE"""),"Amazon,ByteDance")</f>
        <v>Amazon,ByteDance</v>
      </c>
      <c r="I200" s="47">
        <f>IFERROR(__xludf.DUMMYFUNCTION("""COMPUTED_VALUE"""),37.62)</f>
        <v>37.62</v>
      </c>
      <c r="J200" s="47" t="str">
        <f>IFERROR(__xludf.DUMMYFUNCTION("""COMPUTED_VALUE"""),"算法")</f>
        <v>算法</v>
      </c>
      <c r="L200" s="6">
        <f>COUNTIF('Coder-1'!B:B,A200)</f>
        <v>0</v>
      </c>
      <c r="M200" s="6">
        <f>COUNTIF('Coder-2'!B:B,A200)</f>
        <v>0</v>
      </c>
      <c r="N200" s="6">
        <f>COUNTIF('Coder-3'!B:B,A200)</f>
        <v>0</v>
      </c>
      <c r="O200" s="6">
        <f>COUNTIF('Coder-4'!B:B,A200)</f>
        <v>0</v>
      </c>
    </row>
    <row r="201">
      <c r="A201" s="83">
        <v>1381.0</v>
      </c>
      <c r="B201" s="86" t="str">
        <f>IFERROR(__xludf.DUMMYFUNCTION("IF(ISBLANK(A201),,FILTER('Leetcode List'!B:C,'Leetcode List'!A:A = A201))"),"Design a Stack With Increment Operation")</f>
        <v>Design a Stack With Increment Operation</v>
      </c>
      <c r="C201" s="47" t="str">
        <f>IFERROR(__xludf.DUMMYFUNCTION("""COMPUTED_VALUE"""),"Medium")</f>
        <v>Medium</v>
      </c>
      <c r="D201" s="83" t="s">
        <v>440</v>
      </c>
      <c r="E201" s="87" t="str">
        <f>IFERROR(__xludf.DUMMYFUNCTION("IF(ISBLANK(A201),,FILTER('Leetcode List'!E:J,'Leetcode List'!A:A = A201))"),"Amazon,Microsoft,Endurance")</f>
        <v>Amazon,Microsoft,Endurance</v>
      </c>
      <c r="F201" s="47" t="str">
        <f>IFERROR(__xludf.DUMMYFUNCTION("""COMPUTED_VALUE"""),"Amazon")</f>
        <v>Amazon</v>
      </c>
      <c r="G201" s="47" t="str">
        <f>IFERROR(__xludf.DUMMYFUNCTION("""COMPUTED_VALUE"""),"Microsoft,Amazon")</f>
        <v>Microsoft,Amazon</v>
      </c>
      <c r="H201" s="47" t="str">
        <f>IFERROR(__xludf.DUMMYFUNCTION("""COMPUTED_VALUE"""),"endurance,Microsoft,Amazon")</f>
        <v>endurance,Microsoft,Amazon</v>
      </c>
      <c r="I201" s="47">
        <f>IFERROR(__xludf.DUMMYFUNCTION("""COMPUTED_VALUE"""),76.21)</f>
        <v>76.21</v>
      </c>
      <c r="J201" s="47" t="str">
        <f>IFERROR(__xludf.DUMMYFUNCTION("""COMPUTED_VALUE"""),"算法")</f>
        <v>算法</v>
      </c>
      <c r="L201" s="6">
        <f>COUNTIF('Coder-1'!B:B,A201)</f>
        <v>0</v>
      </c>
      <c r="M201" s="6">
        <f>COUNTIF('Coder-2'!B:B,A201)</f>
        <v>0</v>
      </c>
      <c r="N201" s="6">
        <f>COUNTIF('Coder-3'!B:B,A201)</f>
        <v>0</v>
      </c>
      <c r="O201" s="6">
        <f>COUNTIF('Coder-4'!B:B,A201)</f>
        <v>0</v>
      </c>
    </row>
    <row r="202">
      <c r="A202" s="83">
        <v>1352.0</v>
      </c>
      <c r="B202" s="86" t="str">
        <f>IFERROR(__xludf.DUMMYFUNCTION("IF(ISBLANK(A202),,FILTER('Leetcode List'!B:C,'Leetcode List'!A:A = A202))"),"Product of the Last K Numbers")</f>
        <v>Product of the Last K Numbers</v>
      </c>
      <c r="C202" s="47" t="str">
        <f>IFERROR(__xludf.DUMMYFUNCTION("""COMPUTED_VALUE"""),"Medium")</f>
        <v>Medium</v>
      </c>
      <c r="D202" s="83" t="s">
        <v>440</v>
      </c>
      <c r="E202" s="87" t="str">
        <f>IFERROR(__xludf.DUMMYFUNCTION("IF(ISBLANK(A202),,FILTER('Leetcode List'!E:J,'Leetcode List'!A:A = A202))"),"ByteDance,Apple,Uber,Microsoft,Google")</f>
        <v>ByteDance,Apple,Uber,Microsoft,Google</v>
      </c>
      <c r="F202" s="47" t="str">
        <f>IFERROR(__xludf.DUMMYFUNCTION("""COMPUTED_VALUE"""),"ByteDance,Google,Uber")</f>
        <v>ByteDance,Google,Uber</v>
      </c>
      <c r="G202" s="47" t="str">
        <f>IFERROR(__xludf.DUMMYFUNCTION("""COMPUTED_VALUE"""),"Apple,ByteDance,Google,Uber")</f>
        <v>Apple,ByteDance,Google,Uber</v>
      </c>
      <c r="H202" s="47" t="str">
        <f>IFERROR(__xludf.DUMMYFUNCTION("""COMPUTED_VALUE"""),"Microsoft,Apple,ByteDance,Google,Uber")</f>
        <v>Microsoft,Apple,ByteDance,Google,Uber</v>
      </c>
      <c r="I202" s="47">
        <f>IFERROR(__xludf.DUMMYFUNCTION("""COMPUTED_VALUE"""),44.81)</f>
        <v>44.81</v>
      </c>
      <c r="J202" s="47" t="str">
        <f>IFERROR(__xludf.DUMMYFUNCTION("""COMPUTED_VALUE"""),"算法")</f>
        <v>算法</v>
      </c>
      <c r="L202" s="6">
        <f>COUNTIF('Coder-1'!B:B,A202)</f>
        <v>0</v>
      </c>
      <c r="M202" s="6">
        <f>COUNTIF('Coder-2'!B:B,A202)</f>
        <v>0</v>
      </c>
      <c r="N202" s="6">
        <f>COUNTIF('Coder-3'!B:B,A202)</f>
        <v>0</v>
      </c>
      <c r="O202" s="6">
        <f>COUNTIF('Coder-4'!B:B,A202)</f>
        <v>0</v>
      </c>
    </row>
    <row r="203">
      <c r="A203" s="83">
        <v>1418.0</v>
      </c>
      <c r="B203" s="86" t="str">
        <f>IFERROR(__xludf.DUMMYFUNCTION("IF(ISBLANK(A203),,FILTER('Leetcode List'!B:C,'Leetcode List'!A:A = A203))"),"Display Table of Food Orders in a Restaurant")</f>
        <v>Display Table of Food Orders in a Restaurant</v>
      </c>
      <c r="C203" s="47" t="str">
        <f>IFERROR(__xludf.DUMMYFUNCTION("""COMPUTED_VALUE"""),"Medium")</f>
        <v>Medium</v>
      </c>
      <c r="D203" s="83" t="s">
        <v>440</v>
      </c>
      <c r="E203" s="87" t="str">
        <f>IFERROR(__xludf.DUMMYFUNCTION("IF(ISBLANK(A203),,FILTER('Leetcode List'!E:J,'Leetcode List'!A:A = A203))"),"JPMorgan,JP Morgan")</f>
        <v>JPMorgan,JP Morgan</v>
      </c>
      <c r="F203" s="47"/>
      <c r="G203" s="47"/>
      <c r="H203" s="47" t="str">
        <f>IFERROR(__xludf.DUMMYFUNCTION("""COMPUTED_VALUE"""),"JP Morgan,JPMorgan")</f>
        <v>JP Morgan,JPMorgan</v>
      </c>
      <c r="I203" s="47">
        <f>IFERROR(__xludf.DUMMYFUNCTION("""COMPUTED_VALUE"""),69.07)</f>
        <v>69.07</v>
      </c>
      <c r="J203" s="47" t="str">
        <f>IFERROR(__xludf.DUMMYFUNCTION("""COMPUTED_VALUE"""),"算法")</f>
        <v>算法</v>
      </c>
      <c r="L203" s="6">
        <f>COUNTIF('Coder-1'!B:B,A203)</f>
        <v>0</v>
      </c>
      <c r="M203" s="6">
        <f>COUNTIF('Coder-2'!B:B,A203)</f>
        <v>0</v>
      </c>
      <c r="N203" s="6">
        <f>COUNTIF('Coder-3'!B:B,A203)</f>
        <v>0</v>
      </c>
      <c r="O203" s="6">
        <f>COUNTIF('Coder-4'!B:B,A203)</f>
        <v>0</v>
      </c>
    </row>
    <row r="204">
      <c r="A204" s="83">
        <v>1622.0</v>
      </c>
      <c r="B204" s="86" t="str">
        <f>IFERROR(__xludf.DUMMYFUNCTION("IF(ISBLANK(A204),,FILTER('Leetcode List'!B:C,'Leetcode List'!A:A = A204))"),"Fancy Sequence")</f>
        <v>Fancy Sequence</v>
      </c>
      <c r="C204" s="47" t="str">
        <f>IFERROR(__xludf.DUMMYFUNCTION("""COMPUTED_VALUE"""),"Hard")</f>
        <v>Hard</v>
      </c>
      <c r="D204" s="83" t="s">
        <v>440</v>
      </c>
      <c r="E204" s="87" t="str">
        <f>IFERROR(__xludf.DUMMYFUNCTION("IF(ISBLANK(A204),,FILTER('Leetcode List'!E:J,'Leetcode List'!A:A = A204))"),"Google")</f>
        <v>Google</v>
      </c>
      <c r="F204" s="47"/>
      <c r="G204" s="47"/>
      <c r="H204" s="47" t="str">
        <f>IFERROR(__xludf.DUMMYFUNCTION("""COMPUTED_VALUE"""),"Google")</f>
        <v>Google</v>
      </c>
      <c r="I204" s="47">
        <f>IFERROR(__xludf.DUMMYFUNCTION("""COMPUTED_VALUE"""),14.99)</f>
        <v>14.99</v>
      </c>
      <c r="J204" s="47" t="str">
        <f>IFERROR(__xludf.DUMMYFUNCTION("""COMPUTED_VALUE"""),"算法")</f>
        <v>算法</v>
      </c>
      <c r="L204" s="6">
        <f>COUNTIF('Coder-1'!B:B,A204)</f>
        <v>0</v>
      </c>
      <c r="M204" s="6">
        <f>COUNTIF('Coder-2'!B:B,A204)</f>
        <v>0</v>
      </c>
      <c r="N204" s="6">
        <f>COUNTIF('Coder-3'!B:B,A204)</f>
        <v>0</v>
      </c>
      <c r="O204" s="6">
        <f>COUNTIF('Coder-4'!B:B,A204)</f>
        <v>0</v>
      </c>
    </row>
    <row r="205">
      <c r="A205" s="83">
        <v>32.0</v>
      </c>
      <c r="B205" s="86" t="str">
        <f>IFERROR(__xludf.DUMMYFUNCTION("IF(ISBLANK(A205),,FILTER('Leetcode List'!B:C,'Leetcode List'!A:A = A205))"),"Longest Valid Parentheses")</f>
        <v>Longest Valid Parentheses</v>
      </c>
      <c r="C205" s="47" t="str">
        <f>IFERROR(__xludf.DUMMYFUNCTION("""COMPUTED_VALUE"""),"Hard")</f>
        <v>Hard</v>
      </c>
      <c r="D205" s="83" t="s">
        <v>240</v>
      </c>
      <c r="E205" s="87" t="str">
        <f>IFERROR(__xludf.DUMMYFUNCTION("IF(ISBLANK(A205),,FILTER('Leetcode List'!E:J,'Leetcode List'!A:A = A205))"),"ByteDance,VMware,Bloomberg,Salesforce,Citadel,Expedia,Oracle,EBay,Apple,Uber,Yahoo,Samsung,Adobe,Facebook,Amazon,Microsoft,Google")</f>
        <v>ByteDance,VMware,Bloomberg,Salesforce,Citadel,Expedia,Oracle,EBay,Apple,Uber,Yahoo,Samsung,Adobe,Facebook,Amazon,Microsoft,Google</v>
      </c>
      <c r="F205" s="47" t="str">
        <f>IFERROR(__xludf.DUMMYFUNCTION("""COMPUTED_VALUE"""),"Amazon,Facebook,Microsoft,Apple,ByteDance")</f>
        <v>Amazon,Facebook,Microsoft,Apple,ByteDance</v>
      </c>
      <c r="G205" s="47" t="str">
        <f>IFERROR(__xludf.DUMMYFUNCTION("""COMPUTED_VALUE"""),"Uber,Bloomberg,Citadel,Amazon,Facebook,Microsoft,Apple,ByteDance")</f>
        <v>Uber,Bloomberg,Citadel,Amazon,Facebook,Microsoft,Apple,ByteDance</v>
      </c>
      <c r="H205" s="47" t="str">
        <f>IFERROR(__xludf.DUMMYFUNCTION("""COMPUTED_VALUE"""),"Google,Adobe,Oracle,Yahoo,eBay,VMware,Uber,Bloomberg,Citadel,Amazon,Facebook,Microsoft,Apple,ByteDance")</f>
        <v>Google,Adobe,Oracle,Yahoo,eBay,VMware,Uber,Bloomberg,Citadel,Amazon,Facebook,Microsoft,Apple,ByteDance</v>
      </c>
      <c r="I205" s="47">
        <f>IFERROR(__xludf.DUMMYFUNCTION("""COMPUTED_VALUE"""),29.36)</f>
        <v>29.36</v>
      </c>
      <c r="J205" s="47" t="str">
        <f>IFERROR(__xludf.DUMMYFUNCTION("""COMPUTED_VALUE"""),"算法")</f>
        <v>算法</v>
      </c>
      <c r="L205" s="6">
        <f>COUNTIF('Coder-1'!B:B,A205)</f>
        <v>0</v>
      </c>
      <c r="M205" s="6">
        <f>COUNTIF('Coder-2'!B:B,A205)</f>
        <v>0</v>
      </c>
      <c r="N205" s="6">
        <f>COUNTIF('Coder-3'!B:B,A205)</f>
        <v>0</v>
      </c>
      <c r="O205" s="6">
        <f>COUNTIF('Coder-4'!B:B,A205)</f>
        <v>0</v>
      </c>
    </row>
    <row r="206">
      <c r="A206" s="83">
        <v>155.0</v>
      </c>
      <c r="B206" s="86" t="str">
        <f>IFERROR(__xludf.DUMMYFUNCTION("IF(ISBLANK(A206),,FILTER('Leetcode List'!B:C,'Leetcode List'!A:A = A206))"),"Min Stack")</f>
        <v>Min Stack</v>
      </c>
      <c r="C206" s="47" t="str">
        <f>IFERROR(__xludf.DUMMYFUNCTION("""COMPUTED_VALUE"""),"Easy")</f>
        <v>Easy</v>
      </c>
      <c r="D206" s="83" t="s">
        <v>240</v>
      </c>
      <c r="E206" s="87" t="str">
        <f>IFERROR(__xludf.DUMMYFUNCTION("IF(ISBLANK(A206),,FILTER('Leetcode List'!E:J,'Leetcode List'!A:A = A206))"),"Deutsche Bank,Capital One,Groupon,VMware,Twitter,Cisco,Netflix,Pure Storage,Zenefits,Flipkart,Visa,Walmart Labs,Snapchat,ServiceNow,Wish,Oracle,Intuit,Lyft,EBay,Apple,Uber,Bloomberg,Adobe,Facebook,Amazon,LinkedIn,Microsoft,Goldman Sachs,Google")</f>
        <v>Deutsche Bank,Capital One,Groupon,VMware,Twitter,Cisco,Netflix,Pure Storage,Zenefits,Flipkart,Visa,Walmart Labs,Snapchat,ServiceNow,Wish,Oracle,Intuit,Lyft,EBay,Apple,Uber,Bloomberg,Adobe,Facebook,Amazon,LinkedIn,Microsoft,Goldman Sachs,Google</v>
      </c>
      <c r="F206" s="47" t="str">
        <f>IFERROR(__xludf.DUMMYFUNCTION("""COMPUTED_VALUE"""),"Capital One,Amazon,Bloomberg,Microsoft,Oracle,eBay,Apple")</f>
        <v>Capital One,Amazon,Bloomberg,Microsoft,Oracle,eBay,Apple</v>
      </c>
      <c r="G206" s="47" t="str">
        <f>IFERROR(__xludf.DUMMYFUNCTION("""COMPUTED_VALUE"""),"Goldman Sachs,Google,Facebook,Walmart Labs,Netflix,Deutsche Bank,Capital One,Amazon,Bloomberg,Microsoft,Oracle,eBay,Apple")</f>
        <v>Goldman Sachs,Google,Facebook,Walmart Labs,Netflix,Deutsche Bank,Capital One,Amazon,Bloomberg,Microsoft,Oracle,eBay,Apple</v>
      </c>
      <c r="H206" s="47" t="str">
        <f>IFERROR(__xludf.DUMMYFUNCTION("""COMPUTED_VALUE"""),"Adobe,Wish,Pure Storage,Lyft,Cisco,Uber,VMware,Visa,Intuit,ServiceNow,Flipkart,Groupon,Twitter,Snapchat,Zenefits,Goldman Sachs,Google,Facebook,Walmart Labs,Netflix,Deutsche Bank,Capital One,Amazon,Bloomberg,Microsoft,Oracle,eBay,Apple")</f>
        <v>Adobe,Wish,Pure Storage,Lyft,Cisco,Uber,VMware,Visa,Intuit,ServiceNow,Flipkart,Groupon,Twitter,Snapchat,Zenefits,Goldman Sachs,Google,Facebook,Walmart Labs,Netflix,Deutsche Bank,Capital One,Amazon,Bloomberg,Microsoft,Oracle,eBay,Apple</v>
      </c>
      <c r="I206" s="47">
        <f>IFERROR(__xludf.DUMMYFUNCTION("""COMPUTED_VALUE"""),46.6)</f>
        <v>46.6</v>
      </c>
      <c r="J206" s="47" t="str">
        <f>IFERROR(__xludf.DUMMYFUNCTION("""COMPUTED_VALUE"""),"算法")</f>
        <v>算法</v>
      </c>
      <c r="L206" s="6">
        <f>COUNTIF('Coder-1'!B:B,A206)</f>
        <v>0</v>
      </c>
      <c r="M206" s="6">
        <f>COUNTIF('Coder-2'!B:B,A206)</f>
        <v>0</v>
      </c>
      <c r="N206" s="6">
        <f>COUNTIF('Coder-3'!B:B,A206)</f>
        <v>0</v>
      </c>
      <c r="O206" s="6">
        <f>COUNTIF('Coder-4'!B:B,A206)</f>
        <v>0</v>
      </c>
    </row>
    <row r="207">
      <c r="A207" s="83">
        <v>225.0</v>
      </c>
      <c r="B207" s="86" t="str">
        <f>IFERROR(__xludf.DUMMYFUNCTION("IF(ISBLANK(A207),,FILTER('Leetcode List'!B:C,'Leetcode List'!A:A = A207))"),"Implement Stack using Queues")</f>
        <v>Implement Stack using Queues</v>
      </c>
      <c r="C207" s="47" t="str">
        <f>IFERROR(__xludf.DUMMYFUNCTION("""COMPUTED_VALUE"""),"Easy")</f>
        <v>Easy</v>
      </c>
      <c r="D207" s="83" t="s">
        <v>240</v>
      </c>
      <c r="E207" s="87" t="str">
        <f>IFERROR(__xludf.DUMMYFUNCTION("IF(ISBLANK(A207),,FILTER('Leetcode List'!E:J,'Leetcode List'!A:A = A207))"),"Paypal,Twilio,Citadel,Mathworks,Yahoo,Bloomberg,Amazon,Microsoft")</f>
        <v>Paypal,Twilio,Citadel,Mathworks,Yahoo,Bloomberg,Amazon,Microsoft</v>
      </c>
      <c r="F207" s="47" t="str">
        <f>IFERROR(__xludf.DUMMYFUNCTION("""COMPUTED_VALUE"""),"Twilio,Paypal")</f>
        <v>Twilio,Paypal</v>
      </c>
      <c r="G207" s="47" t="str">
        <f>IFERROR(__xludf.DUMMYFUNCTION("""COMPUTED_VALUE"""),"Amazon,Twilio,Paypal")</f>
        <v>Amazon,Twilio,Paypal</v>
      </c>
      <c r="H207" s="47" t="str">
        <f>IFERROR(__xludf.DUMMYFUNCTION("""COMPUTED_VALUE"""),"Microsoft,Mathworks,Citadel,Bloomberg,Amazon,Twilio,Paypal")</f>
        <v>Microsoft,Mathworks,Citadel,Bloomberg,Amazon,Twilio,Paypal</v>
      </c>
      <c r="I207" s="47">
        <f>IFERROR(__xludf.DUMMYFUNCTION("""COMPUTED_VALUE"""),47.66)</f>
        <v>47.66</v>
      </c>
      <c r="J207" s="47" t="str">
        <f>IFERROR(__xludf.DUMMYFUNCTION("""COMPUTED_VALUE"""),"算法")</f>
        <v>算法</v>
      </c>
      <c r="L207" s="6">
        <f>COUNTIF('Coder-1'!B:B,A207)</f>
        <v>0</v>
      </c>
      <c r="M207" s="6">
        <f>COUNTIF('Coder-2'!B:B,A207)</f>
        <v>0</v>
      </c>
      <c r="N207" s="6">
        <f>COUNTIF('Coder-3'!B:B,A207)</f>
        <v>0</v>
      </c>
      <c r="O207" s="6">
        <f>COUNTIF('Coder-4'!B:B,A207)</f>
        <v>0</v>
      </c>
    </row>
    <row r="208">
      <c r="A208" s="83">
        <v>232.0</v>
      </c>
      <c r="B208" s="86" t="str">
        <f>IFERROR(__xludf.DUMMYFUNCTION("IF(ISBLANK(A208),,FILTER('Leetcode List'!B:C,'Leetcode List'!A:A = A208))"),"Implement Queue using Stacks")</f>
        <v>Implement Queue using Stacks</v>
      </c>
      <c r="C208" s="47" t="str">
        <f>IFERROR(__xludf.DUMMYFUNCTION("""COMPUTED_VALUE"""),"Easy")</f>
        <v>Easy</v>
      </c>
      <c r="D208" s="83" t="s">
        <v>240</v>
      </c>
      <c r="E208" s="87" t="str">
        <f>IFERROR(__xludf.DUMMYFUNCTION("IF(ISBLANK(A208),,FILTER('Leetcode List'!E:J,'Leetcode List'!A:A = A208))"),"Twilio,Poshmark,ByteDance,Citrix,Morgan Stanley,Facebook,Salesforce,Citadel,Oracle,Mathworks,Yandex,EBay,Apple,Uber,Yahoo,Bloomberg,Amazon,Microsoft,Google")</f>
        <v>Twilio,Poshmark,ByteDance,Citrix,Morgan Stanley,Facebook,Salesforce,Citadel,Oracle,Mathworks,Yandex,EBay,Apple,Uber,Yahoo,Bloomberg,Amazon,Microsoft,Google</v>
      </c>
      <c r="F208" s="47" t="str">
        <f>IFERROR(__xludf.DUMMYFUNCTION("""COMPUTED_VALUE"""),"Amazon,Microsoft,Apple,Facebook,Citrix,Morgan Stanley")</f>
        <v>Amazon,Microsoft,Apple,Facebook,Citrix,Morgan Stanley</v>
      </c>
      <c r="G208" s="47" t="str">
        <f>IFERROR(__xludf.DUMMYFUNCTION("""COMPUTED_VALUE"""),"Citadel,Amazon,Microsoft,Apple,Facebook,Citrix,Morgan Stanley")</f>
        <v>Citadel,Amazon,Microsoft,Apple,Facebook,Citrix,Morgan Stanley</v>
      </c>
      <c r="H208" s="47" t="str">
        <f>IFERROR(__xludf.DUMMYFUNCTION("""COMPUTED_VALUE"""),"Oracle,Mathworks,Yandex,ByteDance,Salesforce,Bloomberg,Google,Twilio,Poshmark,Citadel,Amazon,Microsoft,Apple,Facebook,Citrix,Morgan Stanley")</f>
        <v>Oracle,Mathworks,Yandex,ByteDance,Salesforce,Bloomberg,Google,Twilio,Poshmark,Citadel,Amazon,Microsoft,Apple,Facebook,Citrix,Morgan Stanley</v>
      </c>
      <c r="I208" s="47">
        <f>IFERROR(__xludf.DUMMYFUNCTION("""COMPUTED_VALUE"""),52.47)</f>
        <v>52.47</v>
      </c>
      <c r="J208" s="47" t="str">
        <f>IFERROR(__xludf.DUMMYFUNCTION("""COMPUTED_VALUE"""),"算法")</f>
        <v>算法</v>
      </c>
      <c r="L208" s="6">
        <f>COUNTIF('Coder-1'!B:B,A208)</f>
        <v>0</v>
      </c>
      <c r="M208" s="6">
        <f>COUNTIF('Coder-2'!B:B,A208)</f>
        <v>0</v>
      </c>
      <c r="N208" s="6">
        <f>COUNTIF('Coder-3'!B:B,A208)</f>
        <v>0</v>
      </c>
      <c r="O208" s="6">
        <f>COUNTIF('Coder-4'!B:B,A208)</f>
        <v>0</v>
      </c>
    </row>
    <row r="209">
      <c r="A209" s="83">
        <v>255.0</v>
      </c>
      <c r="B209" s="86" t="str">
        <f>IFERROR(__xludf.DUMMYFUNCTION("IF(ISBLANK(A209),,FILTER('Leetcode List'!B:C,'Leetcode List'!A:A = A209))"),"Verify Preorder Sequence in Binary Search Tree")</f>
        <v>Verify Preorder Sequence in Binary Search Tree</v>
      </c>
      <c r="C209" s="47" t="str">
        <f>IFERROR(__xludf.DUMMYFUNCTION("""COMPUTED_VALUE"""),"Medium")</f>
        <v>Medium</v>
      </c>
      <c r="D209" s="83" t="s">
        <v>240</v>
      </c>
      <c r="E209" s="87" t="str">
        <f>IFERROR(__xludf.DUMMYFUNCTION("IF(ISBLANK(A209),,FILTER('Leetcode List'!E:J,'Leetcode List'!A:A = A209))"),"VMware,Zenefits,Walmart Labs,Mathworks,Uber")</f>
        <v>VMware,Zenefits,Walmart Labs,Mathworks,Uber</v>
      </c>
      <c r="F209" s="47" t="str">
        <f>IFERROR(__xludf.DUMMYFUNCTION("""COMPUTED_VALUE"""),"VMware")</f>
        <v>VMware</v>
      </c>
      <c r="G209" s="47" t="str">
        <f>IFERROR(__xludf.DUMMYFUNCTION("""COMPUTED_VALUE"""),"VMware")</f>
        <v>VMware</v>
      </c>
      <c r="H209" s="47" t="str">
        <f>IFERROR(__xludf.DUMMYFUNCTION("""COMPUTED_VALUE"""),"Mathworks,Walmart Labs,Zenefits,VMware")</f>
        <v>Mathworks,Walmart Labs,Zenefits,VMware</v>
      </c>
      <c r="I209" s="47">
        <f>IFERROR(__xludf.DUMMYFUNCTION("""COMPUTED_VALUE"""),46.26)</f>
        <v>46.26</v>
      </c>
      <c r="J209" s="47" t="str">
        <f>IFERROR(__xludf.DUMMYFUNCTION("""COMPUTED_VALUE"""),"算法")</f>
        <v>算法</v>
      </c>
      <c r="L209" s="6">
        <f>COUNTIF('Coder-1'!B:B,A209)</f>
        <v>0</v>
      </c>
      <c r="M209" s="6">
        <f>COUNTIF('Coder-2'!B:B,A209)</f>
        <v>0</v>
      </c>
      <c r="N209" s="6">
        <f>COUNTIF('Coder-3'!B:B,A209)</f>
        <v>0</v>
      </c>
      <c r="O209" s="6">
        <f>COUNTIF('Coder-4'!B:B,A209)</f>
        <v>0</v>
      </c>
    </row>
    <row r="210">
      <c r="A210" s="83">
        <v>341.0</v>
      </c>
      <c r="B210" s="86" t="str">
        <f>IFERROR(__xludf.DUMMYFUNCTION("IF(ISBLANK(A210),,FILTER('Leetcode List'!B:C,'Leetcode List'!A:A = A210))"),"Flatten Nested List Iterator")</f>
        <v>Flatten Nested List Iterator</v>
      </c>
      <c r="C210" s="47" t="str">
        <f>IFERROR(__xludf.DUMMYFUNCTION("""COMPUTED_VALUE"""),"Medium")</f>
        <v>Medium</v>
      </c>
      <c r="D210" s="83" t="s">
        <v>240</v>
      </c>
      <c r="E210" s="87" t="str">
        <f>IFERROR(__xludf.DUMMYFUNCTION("IF(ISBLANK(A210),,FILTER('Leetcode List'!E:J,'Leetcode List'!A:A = A210))"),"EBay,Pinterest,Atlassian,Splunk,VMware,Snapchat,Twitter,Oracle,Lyft,Apple,Airbnb,Uber,Bloomberg,Facebook,Amazon,LinkedIn,Microsoft,Google")</f>
        <v>EBay,Pinterest,Atlassian,Splunk,VMware,Snapchat,Twitter,Oracle,Lyft,Apple,Airbnb,Uber,Bloomberg,Facebook,Amazon,LinkedIn,Microsoft,Google</v>
      </c>
      <c r="F210" s="47" t="str">
        <f>IFERROR(__xludf.DUMMYFUNCTION("""COMPUTED_VALUE"""),"Facebook,Amazon,Apple,Airbnb,Oracle,LinkedIn")</f>
        <v>Facebook,Amazon,Apple,Airbnb,Oracle,LinkedIn</v>
      </c>
      <c r="G210" s="47" t="str">
        <f>IFERROR(__xludf.DUMMYFUNCTION("""COMPUTED_VALUE"""),"Uber,Twitter,Google,eBay,Facebook,Amazon,Apple,Airbnb,Oracle,LinkedIn")</f>
        <v>Uber,Twitter,Google,eBay,Facebook,Amazon,Apple,Airbnb,Oracle,LinkedIn</v>
      </c>
      <c r="H210" s="47" t="str">
        <f>IFERROR(__xludf.DUMMYFUNCTION("""COMPUTED_VALUE"""),"Lyft,Bloomberg,Microsoft,VMware,Uber,Twitter,Google,eBay,Facebook,Amazon,Apple,Airbnb,Oracle,LinkedIn")</f>
        <v>Lyft,Bloomberg,Microsoft,VMware,Uber,Twitter,Google,eBay,Facebook,Amazon,Apple,Airbnb,Oracle,LinkedIn</v>
      </c>
      <c r="I210" s="47">
        <f>IFERROR(__xludf.DUMMYFUNCTION("""COMPUTED_VALUE"""),54.68)</f>
        <v>54.68</v>
      </c>
      <c r="J210" s="47" t="str">
        <f>IFERROR(__xludf.DUMMYFUNCTION("""COMPUTED_VALUE"""),"算法")</f>
        <v>算法</v>
      </c>
      <c r="L210" s="6">
        <f>COUNTIF('Coder-1'!B:B,A210)</f>
        <v>0</v>
      </c>
      <c r="M210" s="6">
        <f>COUNTIF('Coder-2'!B:B,A210)</f>
        <v>0</v>
      </c>
      <c r="N210" s="6">
        <f>COUNTIF('Coder-3'!B:B,A210)</f>
        <v>0</v>
      </c>
      <c r="O210" s="6">
        <f>COUNTIF('Coder-4'!B:B,A210)</f>
        <v>0</v>
      </c>
    </row>
    <row r="211">
      <c r="A211" s="83">
        <v>173.0</v>
      </c>
      <c r="B211" s="86" t="str">
        <f>IFERROR(__xludf.DUMMYFUNCTION("IF(ISBLANK(A211),,FILTER('Leetcode List'!B:C,'Leetcode List'!A:A = A211))"),"Binary Search Tree Iterator")</f>
        <v>Binary Search Tree Iterator</v>
      </c>
      <c r="C211" s="47" t="str">
        <f>IFERROR(__xludf.DUMMYFUNCTION("""COMPUTED_VALUE"""),"Medium")</f>
        <v>Medium</v>
      </c>
      <c r="D211" s="83" t="s">
        <v>240</v>
      </c>
      <c r="E211" s="87" t="str">
        <f>IFERROR(__xludf.DUMMYFUNCTION("IF(ISBLANK(A211),,FILTER('Leetcode List'!E:J,'Leetcode List'!A:A = A211))"),"JPMorgan,Zillow,Adobe,Cloudera,Qualtrics,Atlassian,Redfin,Splunk,ByteDance,Walmart Labs,Oracle,Cisco,EBay,Apple,Uber,Bloomberg,Facebook,Amazon,LinkedIn,Microsoft,Alibaba,Google")</f>
        <v>JPMorgan,Zillow,Adobe,Cloudera,Qualtrics,Atlassian,Redfin,Splunk,ByteDance,Walmart Labs,Oracle,Cisco,EBay,Apple,Uber,Bloomberg,Facebook,Amazon,LinkedIn,Microsoft,Alibaba,Google</v>
      </c>
      <c r="F211" s="47" t="str">
        <f>IFERROR(__xludf.DUMMYFUNCTION("""COMPUTED_VALUE"""),"Facebook,ByteDance,Bloomberg,Microsoft,Oracle,Google,Amazon,Apple,Adobe")</f>
        <v>Facebook,ByteDance,Bloomberg,Microsoft,Oracle,Google,Amazon,Apple,Adobe</v>
      </c>
      <c r="G211" s="47" t="str">
        <f>IFERROR(__xludf.DUMMYFUNCTION("""COMPUTED_VALUE"""),"Cloudera,Zillow,Atlassian,Facebook,ByteDance,Bloomberg,Microsoft,Oracle,Google,Amazon,Apple,Adobe")</f>
        <v>Cloudera,Zillow,Atlassian,Facebook,ByteDance,Bloomberg,Microsoft,Oracle,Google,Amazon,Apple,Adobe</v>
      </c>
      <c r="H211" s="47" t="str">
        <f>IFERROR(__xludf.DUMMYFUNCTION("""COMPUTED_VALUE"""),"Uber,Qualtrics,LinkedIn,eBay,JPMorgan,Cloudera,Zillow,Atlassian,Facebook,ByteDance,Bloomberg,Microsoft,Oracle,Google,Amazon,Apple,Adobe")</f>
        <v>Uber,Qualtrics,LinkedIn,eBay,JPMorgan,Cloudera,Zillow,Atlassian,Facebook,ByteDance,Bloomberg,Microsoft,Oracle,Google,Amazon,Apple,Adobe</v>
      </c>
      <c r="I211" s="47">
        <f>IFERROR(__xludf.DUMMYFUNCTION("""COMPUTED_VALUE"""),60.37)</f>
        <v>60.37</v>
      </c>
      <c r="J211" s="47" t="str">
        <f>IFERROR(__xludf.DUMMYFUNCTION("""COMPUTED_VALUE"""),"算法")</f>
        <v>算法</v>
      </c>
      <c r="L211" s="6">
        <f>COUNTIF('Coder-1'!B:B,A211)</f>
        <v>0</v>
      </c>
      <c r="M211" s="6">
        <f>COUNTIF('Coder-2'!B:B,A211)</f>
        <v>0</v>
      </c>
      <c r="N211" s="6">
        <f>COUNTIF('Coder-3'!B:B,A211)</f>
        <v>0</v>
      </c>
      <c r="O211" s="6">
        <f>COUNTIF('Coder-4'!B:B,A211)</f>
        <v>0</v>
      </c>
    </row>
    <row r="212">
      <c r="A212" s="83">
        <v>536.0</v>
      </c>
      <c r="B212" s="86" t="str">
        <f>IFERROR(__xludf.DUMMYFUNCTION("IF(ISBLANK(A212),,FILTER('Leetcode List'!B:C,'Leetcode List'!A:A = A212))"),"Construct Binary Tree from String")</f>
        <v>Construct Binary Tree from String</v>
      </c>
      <c r="C212" s="47" t="str">
        <f>IFERROR(__xludf.DUMMYFUNCTION("""COMPUTED_VALUE"""),"Medium")</f>
        <v>Medium</v>
      </c>
      <c r="D212" s="83" t="s">
        <v>240</v>
      </c>
      <c r="E212" s="87" t="str">
        <f>IFERROR(__xludf.DUMMYFUNCTION("IF(ISBLANK(A212),,FILTER('Leetcode List'!E:J,'Leetcode List'!A:A = A212))"),"Oracle,Facebook,Amazon")</f>
        <v>Oracle,Facebook,Amazon</v>
      </c>
      <c r="F212" s="47" t="str">
        <f>IFERROR(__xludf.DUMMYFUNCTION("""COMPUTED_VALUE"""),"Facebook")</f>
        <v>Facebook</v>
      </c>
      <c r="G212" s="47" t="str">
        <f>IFERROR(__xludf.DUMMYFUNCTION("""COMPUTED_VALUE"""),"Facebook")</f>
        <v>Facebook</v>
      </c>
      <c r="H212" s="47" t="str">
        <f>IFERROR(__xludf.DUMMYFUNCTION("""COMPUTED_VALUE"""),"Oracle,Amazon,Facebook")</f>
        <v>Oracle,Amazon,Facebook</v>
      </c>
      <c r="I212" s="47">
        <f>IFERROR(__xludf.DUMMYFUNCTION("""COMPUTED_VALUE"""),51.82)</f>
        <v>51.82</v>
      </c>
      <c r="J212" s="47" t="str">
        <f>IFERROR(__xludf.DUMMYFUNCTION("""COMPUTED_VALUE"""),"算法")</f>
        <v>算法</v>
      </c>
      <c r="L212" s="6">
        <f>COUNTIF('Coder-1'!B:B,A212)</f>
        <v>0</v>
      </c>
      <c r="M212" s="6">
        <f>COUNTIF('Coder-2'!B:B,A212)</f>
        <v>0</v>
      </c>
      <c r="N212" s="6">
        <f>COUNTIF('Coder-3'!B:B,A212)</f>
        <v>0</v>
      </c>
      <c r="O212" s="6">
        <f>COUNTIF('Coder-4'!B:B,A212)</f>
        <v>0</v>
      </c>
    </row>
    <row r="213">
      <c r="A213" s="83">
        <v>456.0</v>
      </c>
      <c r="B213" s="86" t="str">
        <f>IFERROR(__xludf.DUMMYFUNCTION("IF(ISBLANK(A213),,FILTER('Leetcode List'!B:C,'Leetcode List'!A:A = A213))"),"132 Pattern")</f>
        <v>132 Pattern</v>
      </c>
      <c r="C213" s="47" t="str">
        <f>IFERROR(__xludf.DUMMYFUNCTION("""COMPUTED_VALUE"""),"Medium")</f>
        <v>Medium</v>
      </c>
      <c r="D213" s="83" t="s">
        <v>240</v>
      </c>
      <c r="E213" s="87" t="str">
        <f>IFERROR(__xludf.DUMMYFUNCTION("IF(ISBLANK(A213),,FILTER('Leetcode List'!E:J,'Leetcode List'!A:A = A213))"),"ByteDance,Google,Oracle,Amazon")</f>
        <v>ByteDance,Google,Oracle,Amazon</v>
      </c>
      <c r="F213" s="47" t="str">
        <f>IFERROR(__xludf.DUMMYFUNCTION("""COMPUTED_VALUE"""),"Amazon")</f>
        <v>Amazon</v>
      </c>
      <c r="G213" s="47" t="str">
        <f>IFERROR(__xludf.DUMMYFUNCTION("""COMPUTED_VALUE"""),"Google,ByteDance,Amazon")</f>
        <v>Google,ByteDance,Amazon</v>
      </c>
      <c r="H213" s="47" t="str">
        <f>IFERROR(__xludf.DUMMYFUNCTION("""COMPUTED_VALUE"""),"Oracle,Google,ByteDance,Amazon")</f>
        <v>Oracle,Google,ByteDance,Amazon</v>
      </c>
      <c r="I213" s="47">
        <f>IFERROR(__xludf.DUMMYFUNCTION("""COMPUTED_VALUE"""),30.66)</f>
        <v>30.66</v>
      </c>
      <c r="J213" s="47" t="str">
        <f>IFERROR(__xludf.DUMMYFUNCTION("""COMPUTED_VALUE"""),"算法")</f>
        <v>算法</v>
      </c>
      <c r="L213" s="6">
        <f>COUNTIF('Coder-1'!B:B,A213)</f>
        <v>0</v>
      </c>
      <c r="M213" s="6">
        <f>COUNTIF('Coder-2'!B:B,A213)</f>
        <v>0</v>
      </c>
      <c r="N213" s="6">
        <f>COUNTIF('Coder-3'!B:B,A213)</f>
        <v>0</v>
      </c>
      <c r="O213" s="6">
        <f>COUNTIF('Coder-4'!B:B,A213)</f>
        <v>0</v>
      </c>
    </row>
    <row r="214">
      <c r="A214" s="83">
        <v>636.0</v>
      </c>
      <c r="B214" s="86" t="str">
        <f>IFERROR(__xludf.DUMMYFUNCTION("IF(ISBLANK(A214),,FILTER('Leetcode List'!B:C,'Leetcode List'!A:A = A214))"),"Exclusive Time of Functions")</f>
        <v>Exclusive Time of Functions</v>
      </c>
      <c r="C214" s="47" t="str">
        <f>IFERROR(__xludf.DUMMYFUNCTION("""COMPUTED_VALUE"""),"Medium")</f>
        <v>Medium</v>
      </c>
      <c r="D214" s="83" t="s">
        <v>240</v>
      </c>
      <c r="E214" s="87" t="str">
        <f>IFERROR(__xludf.DUMMYFUNCTION("IF(ISBLANK(A214),,FILTER('Leetcode List'!E:J,'Leetcode List'!A:A = A214))"),"Qualtrics,Oracle,Apple,Uber,Facebook,Amazon,LinkedIn,Microsoft,Google")</f>
        <v>Qualtrics,Oracle,Apple,Uber,Facebook,Amazon,LinkedIn,Microsoft,Google</v>
      </c>
      <c r="F214" s="47" t="str">
        <f>IFERROR(__xludf.DUMMYFUNCTION("""COMPUTED_VALUE"""),"Facebook,Amazon,LinkedIn,Microsoft,Qualtrics")</f>
        <v>Facebook,Amazon,LinkedIn,Microsoft,Qualtrics</v>
      </c>
      <c r="G214" s="47" t="str">
        <f>IFERROR(__xludf.DUMMYFUNCTION("""COMPUTED_VALUE"""),"Apple,Google,Facebook,Amazon,LinkedIn,Microsoft,Qualtrics")</f>
        <v>Apple,Google,Facebook,Amazon,LinkedIn,Microsoft,Qualtrics</v>
      </c>
      <c r="H214" s="47" t="str">
        <f>IFERROR(__xludf.DUMMYFUNCTION("""COMPUTED_VALUE"""),"Oracle,Uber,Apple,Google,Facebook,Amazon,LinkedIn,Microsoft,Qualtrics")</f>
        <v>Oracle,Uber,Apple,Google,Facebook,Amazon,LinkedIn,Microsoft,Qualtrics</v>
      </c>
      <c r="I214" s="47">
        <f>IFERROR(__xludf.DUMMYFUNCTION("""COMPUTED_VALUE"""),54.73)</f>
        <v>54.73</v>
      </c>
      <c r="J214" s="47" t="str">
        <f>IFERROR(__xludf.DUMMYFUNCTION("""COMPUTED_VALUE"""),"算法")</f>
        <v>算法</v>
      </c>
      <c r="L214" s="6">
        <f>COUNTIF('Coder-1'!B:B,A214)</f>
        <v>0</v>
      </c>
      <c r="M214" s="6">
        <f>COUNTIF('Coder-2'!B:B,A214)</f>
        <v>0</v>
      </c>
      <c r="N214" s="6">
        <f>COUNTIF('Coder-3'!B:B,A214)</f>
        <v>0</v>
      </c>
      <c r="O214" s="6">
        <f>COUNTIF('Coder-4'!B:B,A214)</f>
        <v>0</v>
      </c>
    </row>
    <row r="215">
      <c r="A215" s="83">
        <v>856.0</v>
      </c>
      <c r="B215" s="86" t="str">
        <f>IFERROR(__xludf.DUMMYFUNCTION("IF(ISBLANK(A215),,FILTER('Leetcode List'!B:C,'Leetcode List'!A:A = A215))"),"Score of Parentheses")</f>
        <v>Score of Parentheses</v>
      </c>
      <c r="C215" s="47" t="str">
        <f>IFERROR(__xludf.DUMMYFUNCTION("""COMPUTED_VALUE"""),"Medium")</f>
        <v>Medium</v>
      </c>
      <c r="D215" s="83" t="s">
        <v>240</v>
      </c>
      <c r="E215" s="87" t="str">
        <f>IFERROR(__xludf.DUMMYFUNCTION("IF(ISBLANK(A215),,FILTER('Leetcode List'!E:J,'Leetcode List'!A:A = A215))"),"ByteDance,Bloomberg,Adobe,Google,Amazon")</f>
        <v>ByteDance,Bloomberg,Adobe,Google,Amazon</v>
      </c>
      <c r="F215" s="47" t="str">
        <f>IFERROR(__xludf.DUMMYFUNCTION("""COMPUTED_VALUE"""),"Amazon,Google")</f>
        <v>Amazon,Google</v>
      </c>
      <c r="G215" s="47" t="str">
        <f>IFERROR(__xludf.DUMMYFUNCTION("""COMPUTED_VALUE"""),"Amazon,Google")</f>
        <v>Amazon,Google</v>
      </c>
      <c r="H215" s="47" t="str">
        <f>IFERROR(__xludf.DUMMYFUNCTION("""COMPUTED_VALUE"""),"Bloomberg,Adobe,ByteDance,Amazon,Google")</f>
        <v>Bloomberg,Adobe,ByteDance,Amazon,Google</v>
      </c>
      <c r="I215" s="47">
        <f>IFERROR(__xludf.DUMMYFUNCTION("""COMPUTED_VALUE"""),64.85)</f>
        <v>64.85</v>
      </c>
      <c r="J215" s="47" t="str">
        <f>IFERROR(__xludf.DUMMYFUNCTION("""COMPUTED_VALUE"""),"算法")</f>
        <v>算法</v>
      </c>
      <c r="L215" s="6">
        <f>COUNTIF('Coder-1'!B:B,A215)</f>
        <v>0</v>
      </c>
      <c r="M215" s="6">
        <f>COUNTIF('Coder-2'!B:B,A215)</f>
        <v>0</v>
      </c>
      <c r="N215" s="6">
        <f>COUNTIF('Coder-3'!B:B,A215)</f>
        <v>0</v>
      </c>
      <c r="O215" s="6">
        <f>COUNTIF('Coder-4'!B:B,A215)</f>
        <v>0</v>
      </c>
    </row>
    <row r="216">
      <c r="A216" s="83">
        <v>946.0</v>
      </c>
      <c r="B216" s="86" t="str">
        <f>IFERROR(__xludf.DUMMYFUNCTION("IF(ISBLANK(A216),,FILTER('Leetcode List'!B:C,'Leetcode List'!A:A = A216))"),"Validate Stack Sequences")</f>
        <v>Validate Stack Sequences</v>
      </c>
      <c r="C216" s="47" t="str">
        <f>IFERROR(__xludf.DUMMYFUNCTION("""COMPUTED_VALUE"""),"Medium")</f>
        <v>Medium</v>
      </c>
      <c r="D216" s="83" t="s">
        <v>240</v>
      </c>
      <c r="E216" s="87" t="str">
        <f>IFERROR(__xludf.DUMMYFUNCTION("IF(ISBLANK(A216),,FILTER('Leetcode List'!E:J,'Leetcode List'!A:A = A216))"),"Amazon,LinkedIn,Google")</f>
        <v>Amazon,LinkedIn,Google</v>
      </c>
      <c r="F216" s="47" t="str">
        <f>IFERROR(__xludf.DUMMYFUNCTION("""COMPUTED_VALUE"""),"Google")</f>
        <v>Google</v>
      </c>
      <c r="G216" s="47" t="str">
        <f>IFERROR(__xludf.DUMMYFUNCTION("""COMPUTED_VALUE"""),"Google")</f>
        <v>Google</v>
      </c>
      <c r="H216" s="47" t="str">
        <f>IFERROR(__xludf.DUMMYFUNCTION("""COMPUTED_VALUE"""),"Amazon,LinkedIn,Google")</f>
        <v>Amazon,LinkedIn,Google</v>
      </c>
      <c r="I216" s="47">
        <f>IFERROR(__xludf.DUMMYFUNCTION("""COMPUTED_VALUE"""),64.44)</f>
        <v>64.44</v>
      </c>
      <c r="J216" s="47" t="str">
        <f>IFERROR(__xludf.DUMMYFUNCTION("""COMPUTED_VALUE"""),"算法")</f>
        <v>算法</v>
      </c>
      <c r="L216" s="6">
        <f>COUNTIF('Coder-1'!B:B,A216)</f>
        <v>0</v>
      </c>
      <c r="M216" s="6">
        <f>COUNTIF('Coder-2'!B:B,A216)</f>
        <v>0</v>
      </c>
      <c r="N216" s="6">
        <f>COUNTIF('Coder-3'!B:B,A216)</f>
        <v>0</v>
      </c>
      <c r="O216" s="6">
        <f>COUNTIF('Coder-4'!B:B,A216)</f>
        <v>0</v>
      </c>
    </row>
    <row r="217">
      <c r="A217" s="83">
        <v>1190.0</v>
      </c>
      <c r="B217" s="86" t="str">
        <f>IFERROR(__xludf.DUMMYFUNCTION("IF(ISBLANK(A217),,FILTER('Leetcode List'!B:C,'Leetcode List'!A:A = A217))"),"Reverse Substrings Between Each Pair of Parentheses")</f>
        <v>Reverse Substrings Between Each Pair of Parentheses</v>
      </c>
      <c r="C217" s="47" t="str">
        <f>IFERROR(__xludf.DUMMYFUNCTION("""COMPUTED_VALUE"""),"Medium")</f>
        <v>Medium</v>
      </c>
      <c r="D217" s="83" t="s">
        <v>240</v>
      </c>
      <c r="E217" s="87" t="str">
        <f>IFERROR(__xludf.DUMMYFUNCTION("IF(ISBLANK(A217),,FILTER('Leetcode List'!E:J,'Leetcode List'!A:A = A217))"),"Postmates,Oracle,Amazon,Microsoft,Adobe")</f>
        <v>Postmates,Oracle,Amazon,Microsoft,Adobe</v>
      </c>
      <c r="F217" s="47" t="str">
        <f>IFERROR(__xludf.DUMMYFUNCTION("""COMPUTED_VALUE"""),"Postmates,Amazon,Oracle")</f>
        <v>Postmates,Amazon,Oracle</v>
      </c>
      <c r="G217" s="47" t="str">
        <f>IFERROR(__xludf.DUMMYFUNCTION("""COMPUTED_VALUE"""),"Postmates,Amazon,Oracle")</f>
        <v>Postmates,Amazon,Oracle</v>
      </c>
      <c r="H217" s="47" t="str">
        <f>IFERROR(__xludf.DUMMYFUNCTION("""COMPUTED_VALUE"""),"Microsoft,Adobe,Postmates,Amazon,Oracle")</f>
        <v>Microsoft,Adobe,Postmates,Amazon,Oracle</v>
      </c>
      <c r="I217" s="47">
        <f>IFERROR(__xludf.DUMMYFUNCTION("""COMPUTED_VALUE"""),64.14)</f>
        <v>64.14</v>
      </c>
      <c r="J217" s="47" t="str">
        <f>IFERROR(__xludf.DUMMYFUNCTION("""COMPUTED_VALUE"""),"算法")</f>
        <v>算法</v>
      </c>
      <c r="L217" s="6">
        <f>COUNTIF('Coder-1'!B:B,A217)</f>
        <v>0</v>
      </c>
      <c r="M217" s="6">
        <f>COUNTIF('Coder-2'!B:B,A217)</f>
        <v>0</v>
      </c>
      <c r="N217" s="6">
        <f>COUNTIF('Coder-3'!B:B,A217)</f>
        <v>0</v>
      </c>
      <c r="O217" s="6">
        <f>COUNTIF('Coder-4'!B:B,A217)</f>
        <v>0</v>
      </c>
    </row>
    <row r="218">
      <c r="A218" s="83">
        <v>1209.0</v>
      </c>
      <c r="B218" s="86" t="str">
        <f>IFERROR(__xludf.DUMMYFUNCTION("IF(ISBLANK(A218),,FILTER('Leetcode List'!B:C,'Leetcode List'!A:A = A218))"),"Remove All Adjacent Duplicates in String II")</f>
        <v>Remove All Adjacent Duplicates in String II</v>
      </c>
      <c r="C218" s="47" t="str">
        <f>IFERROR(__xludf.DUMMYFUNCTION("""COMPUTED_VALUE"""),"Medium")</f>
        <v>Medium</v>
      </c>
      <c r="D218" s="83" t="s">
        <v>240</v>
      </c>
      <c r="E218" s="87" t="str">
        <f>IFERROR(__xludf.DUMMYFUNCTION("IF(ISBLANK(A218),,FILTER('Leetcode List'!E:J,'Leetcode List'!A:A = A218))"),"Roblox,Amazon,Microsoft,Goldman Sachs,FactSet,VMware,Bloomberg,Facebook,Google")</f>
        <v>Roblox,Amazon,Microsoft,Goldman Sachs,FactSet,VMware,Bloomberg,Facebook,Google</v>
      </c>
      <c r="F218" s="47" t="str">
        <f>IFERROR(__xludf.DUMMYFUNCTION("""COMPUTED_VALUE"""),"Bloomberg,Roblox,Facebook,Amazon,Google,Microsoft")</f>
        <v>Bloomberg,Roblox,Facebook,Amazon,Google,Microsoft</v>
      </c>
      <c r="G218" s="47" t="str">
        <f>IFERROR(__xludf.DUMMYFUNCTION("""COMPUTED_VALUE"""),"Goldman Sachs,Bloomberg,Roblox,Facebook,Amazon,Google,Microsoft")</f>
        <v>Goldman Sachs,Bloomberg,Roblox,Facebook,Amazon,Google,Microsoft</v>
      </c>
      <c r="H218" s="47" t="str">
        <f>IFERROR(__xludf.DUMMYFUNCTION("""COMPUTED_VALUE"""),"VMware,FactSet,Goldman Sachs,Bloomberg,Roblox,Facebook,Amazon,Google,Microsoft")</f>
        <v>VMware,FactSet,Goldman Sachs,Bloomberg,Roblox,Facebook,Amazon,Google,Microsoft</v>
      </c>
      <c r="I218" s="47">
        <f>IFERROR(__xludf.DUMMYFUNCTION("""COMPUTED_VALUE"""),57.62)</f>
        <v>57.62</v>
      </c>
      <c r="J218" s="47" t="str">
        <f>IFERROR(__xludf.DUMMYFUNCTION("""COMPUTED_VALUE"""),"算法")</f>
        <v>算法</v>
      </c>
      <c r="L218" s="6">
        <f>COUNTIF('Coder-1'!B:B,A218)</f>
        <v>0</v>
      </c>
      <c r="M218" s="6">
        <f>COUNTIF('Coder-2'!B:B,A218)</f>
        <v>0</v>
      </c>
      <c r="N218" s="6">
        <f>COUNTIF('Coder-3'!B:B,A218)</f>
        <v>0</v>
      </c>
      <c r="O218" s="6">
        <f>COUNTIF('Coder-4'!B:B,A218)</f>
        <v>0</v>
      </c>
    </row>
    <row r="219">
      <c r="A219" s="83">
        <v>1586.0</v>
      </c>
      <c r="B219" s="86" t="str">
        <f>IFERROR(__xludf.DUMMYFUNCTION("IF(ISBLANK(A219),,FILTER('Leetcode List'!B:C,'Leetcode List'!A:A = A219))"),"Binary Search Tree Iterator II")</f>
        <v>Binary Search Tree Iterator II</v>
      </c>
      <c r="C219" s="47" t="str">
        <f>IFERROR(__xludf.DUMMYFUNCTION("""COMPUTED_VALUE"""),"Medium")</f>
        <v>Medium</v>
      </c>
      <c r="D219" s="83" t="s">
        <v>240</v>
      </c>
      <c r="E219" s="87" t="str">
        <f>IFERROR(__xludf.DUMMYFUNCTION("IF(ISBLANK(A219),,FILTER('Leetcode List'!E:J,'Leetcode List'!A:A = A219))"),"Facebook")</f>
        <v>Facebook</v>
      </c>
      <c r="F219" s="47"/>
      <c r="G219" s="47"/>
      <c r="H219" s="47" t="str">
        <f>IFERROR(__xludf.DUMMYFUNCTION("""COMPUTED_VALUE"""),"Facebook")</f>
        <v>Facebook</v>
      </c>
      <c r="I219" s="47">
        <f>IFERROR(__xludf.DUMMYFUNCTION("""COMPUTED_VALUE"""),66.66)</f>
        <v>66.66</v>
      </c>
      <c r="J219" s="47" t="str">
        <f>IFERROR(__xludf.DUMMYFUNCTION("""COMPUTED_VALUE"""),"算法")</f>
        <v>算法</v>
      </c>
      <c r="L219" s="6">
        <f>COUNTIF('Coder-1'!B:B,A219)</f>
        <v>0</v>
      </c>
      <c r="M219" s="6">
        <f>COUNTIF('Coder-2'!B:B,A219)</f>
        <v>0</v>
      </c>
      <c r="N219" s="6">
        <f>COUNTIF('Coder-3'!B:B,A219)</f>
        <v>0</v>
      </c>
      <c r="O219" s="6">
        <f>COUNTIF('Coder-4'!B:B,A219)</f>
        <v>0</v>
      </c>
    </row>
    <row r="220">
      <c r="A220" s="83">
        <v>42.0</v>
      </c>
      <c r="B220" s="86" t="str">
        <f>IFERROR(__xludf.DUMMYFUNCTION("IF(ISBLANK(A220),,FILTER('Leetcode List'!B:C,'Leetcode List'!A:A = A220))"),"Trapping Rain Water")</f>
        <v>Trapping Rain Water</v>
      </c>
      <c r="C220" s="47" t="str">
        <f>IFERROR(__xludf.DUMMYFUNCTION("""COMPUTED_VALUE"""),"Hard")</f>
        <v>Hard</v>
      </c>
      <c r="D220" s="83" t="s">
        <v>240</v>
      </c>
      <c r="E220" s="87" t="str">
        <f>IFERROR(__xludf.DUMMYFUNCTION("IF(ISBLANK(A220),,FILTER('Leetcode List'!E:J,'Leetcode List'!A:A = A220))"),"Twitch,Robinhood,Accolite,Audible,VMware,Paypal,ServiceNow,Expedia,Cisco,Electronic Arts,Dataminr,Qualtrics,Databricks,Palantir Technologies,Zenefits,Atlassian,Flipkart,Grab,ByteDance,Tableau,Salesforce,Visa,Citadel,Affirm,Walmart Labs,Snapchat,Twitter,Wi"&amp;"sh,Nvidia,Oracle,Lyft,Yandex,Huawei,EBay,Apple,Airbnb,Uber,Yahoo,Bloomberg,Adobe,Facebook,Amazon,Microsoft,Goldman Sachs,Google")</f>
        <v>Twitch,Robinhood,Accolite,Audible,VMware,Paypal,ServiceNow,Expedia,Cisco,Electronic Arts,Dataminr,Qualtrics,Databricks,Palantir Technologies,Zenefits,Atlassian,Flipkart,Grab,ByteDance,Tableau,Salesforce,Visa,Citadel,Affirm,Walmart Labs,Snapchat,Twitter,Wish,Nvidia,Oracle,Lyft,Yandex,Huawei,EBay,Apple,Airbnb,Uber,Yahoo,Bloomberg,Adobe,Facebook,Amazon,Microsoft,Goldman Sachs,Google</v>
      </c>
      <c r="F220" s="47" t="str">
        <f>IFERROR(__xludf.DUMMYFUNCTION("""COMPUTED_VALUE"""),"Goldman Sachs,Facebook,Amazon,Microsoft,Bloomberg,Apple,Databricks,Google,Oracle,Adobe,Flipkart,Qualtrics,Yahoo")</f>
        <v>Goldman Sachs,Facebook,Amazon,Microsoft,Bloomberg,Apple,Databricks,Google,Oracle,Adobe,Flipkart,Qualtrics,Yahoo</v>
      </c>
      <c r="G220" s="47" t="str">
        <f>IFERROR(__xludf.DUMMYFUNCTION("""COMPUTED_VALUE"""),"ByteDance,Walmart Labs,Citadel,ServiceNow,Uber,Grab,Cisco,Expedia,Twitch,Accolite,Goldman Sachs,Facebook,Amazon,Microsoft,Bloomberg,Apple,Databricks,Google,Oracle,Adobe,Flipkart,Qualtrics,Yahoo")</f>
        <v>ByteDance,Walmart Labs,Citadel,ServiceNow,Uber,Grab,Cisco,Expedia,Twitch,Accolite,Goldman Sachs,Facebook,Amazon,Microsoft,Bloomberg,Apple,Databricks,Google,Oracle,Adobe,Flipkart,Qualtrics,Yahoo</v>
      </c>
      <c r="H220" s="47" t="str">
        <f>IFERROR(__xludf.DUMMYFUNCTION("""COMPUTED_VALUE"""),"Visa,Wish,Snapchat,Airbnb,Lyft,Yandex,VMware,Twitter,eBay,Palantir Technologies,Affirm,Huawei,Salesforce,Paypal,Electronic Arts,Tableau,Audible,Robinhood,Zenefits,ByteDance,Walmart Labs,Citadel,ServiceNow,Uber,Grab,Cisco,Expedia,Twitch,Accolite,Goldman Sa"&amp;"chs,Facebook,Amazon,Microsoft,Bloomberg,Apple,Databricks,Google,Oracle,Adobe,Flipkart,Qualtrics,Yahoo")</f>
        <v>Visa,Wish,Snapchat,Airbnb,Lyft,Yandex,VMware,Twitter,eBay,Palantir Technologies,Affirm,Huawei,Salesforce,Paypal,Electronic Arts,Tableau,Audible,Robinhood,Zenefits,ByteDance,Walmart Labs,Citadel,ServiceNow,Uber,Grab,Cisco,Expedia,Twitch,Accolite,Goldman Sachs,Facebook,Amazon,Microsoft,Bloomberg,Apple,Databricks,Google,Oracle,Adobe,Flipkart,Qualtrics,Yahoo</v>
      </c>
      <c r="I220" s="47">
        <f>IFERROR(__xludf.DUMMYFUNCTION("""COMPUTED_VALUE"""),51.4)</f>
        <v>51.4</v>
      </c>
      <c r="J220" s="47" t="str">
        <f>IFERROR(__xludf.DUMMYFUNCTION("""COMPUTED_VALUE"""),"算法")</f>
        <v>算法</v>
      </c>
      <c r="K220" s="2" t="s">
        <v>4989</v>
      </c>
      <c r="L220" s="6">
        <f>COUNTIF('Coder-1'!B:B,A220)</f>
        <v>0</v>
      </c>
      <c r="M220" s="6">
        <f>COUNTIF('Coder-2'!B:B,A220)</f>
        <v>0</v>
      </c>
      <c r="N220" s="6">
        <f>COUNTIF('Coder-3'!B:B,A220)</f>
        <v>0</v>
      </c>
      <c r="O220" s="6">
        <f>COUNTIF('Coder-4'!B:B,A220)</f>
        <v>0</v>
      </c>
    </row>
    <row r="221">
      <c r="A221" s="83">
        <v>84.0</v>
      </c>
      <c r="B221" s="86" t="str">
        <f>IFERROR(__xludf.DUMMYFUNCTION("IF(ISBLANK(A221),,FILTER('Leetcode List'!B:C,'Leetcode List'!A:A = A221))"),"Largest Rectangle in Histogram")</f>
        <v>Largest Rectangle in Histogram</v>
      </c>
      <c r="C221" s="47" t="str">
        <f>IFERROR(__xludf.DUMMYFUNCTION("""COMPUTED_VALUE"""),"Hard")</f>
        <v>Hard</v>
      </c>
      <c r="D221" s="83" t="s">
        <v>240</v>
      </c>
      <c r="E221" s="87" t="str">
        <f>IFERROR(__xludf.DUMMYFUNCTION("IF(ISBLANK(A221),,FILTER('Leetcode List'!E:J,'Leetcode List'!A:A = A221))"),"MAQ Software,Lyft,Tcs,ByteDance,Huawei,Uber,Flipkart,Walmart Labs,Twitter,Bloomberg,Adobe,Facebook,Amazon,Microsoft,Google")</f>
        <v>MAQ Software,Lyft,Tcs,ByteDance,Huawei,Uber,Flipkart,Walmart Labs,Twitter,Bloomberg,Adobe,Facebook,Amazon,Microsoft,Google</v>
      </c>
      <c r="F221" s="47" t="str">
        <f>IFERROR(__xludf.DUMMYFUNCTION("""COMPUTED_VALUE"""),"Amazon,ByteDance,Google,Adobe,Microsoft,Uber,Lyft,MAQ Software")</f>
        <v>Amazon,ByteDance,Google,Adobe,Microsoft,Uber,Lyft,MAQ Software</v>
      </c>
      <c r="G221" s="47" t="str">
        <f>IFERROR(__xludf.DUMMYFUNCTION("""COMPUTED_VALUE"""),"Bloomberg,Huawei,tcs,Amazon,ByteDance,Google,Adobe,Microsoft,Uber,Lyft,MAQ Software")</f>
        <v>Bloomberg,Huawei,tcs,Amazon,ByteDance,Google,Adobe,Microsoft,Uber,Lyft,MAQ Software</v>
      </c>
      <c r="H221" s="47" t="str">
        <f>IFERROR(__xludf.DUMMYFUNCTION("""COMPUTED_VALUE"""),"Flipkart,Facebook,Twitter,Bloomberg,Huawei,tcs,Amazon,ByteDance,Google,Adobe,Microsoft,Uber,Lyft,MAQ Software")</f>
        <v>Flipkart,Facebook,Twitter,Bloomberg,Huawei,tcs,Amazon,ByteDance,Google,Adobe,Microsoft,Uber,Lyft,MAQ Software</v>
      </c>
      <c r="I221" s="47">
        <f>IFERROR(__xludf.DUMMYFUNCTION("""COMPUTED_VALUE"""),37.28)</f>
        <v>37.28</v>
      </c>
      <c r="J221" s="47" t="str">
        <f>IFERROR(__xludf.DUMMYFUNCTION("""COMPUTED_VALUE"""),"算法")</f>
        <v>算法</v>
      </c>
      <c r="K221" s="2" t="s">
        <v>4989</v>
      </c>
      <c r="L221" s="6">
        <f>COUNTIF('Coder-1'!B:B,A221)</f>
        <v>0</v>
      </c>
      <c r="M221" s="6">
        <f>COUNTIF('Coder-2'!B:B,A221)</f>
        <v>0</v>
      </c>
      <c r="N221" s="6">
        <f>COUNTIF('Coder-3'!B:B,A221)</f>
        <v>0</v>
      </c>
      <c r="O221" s="6">
        <f>COUNTIF('Coder-4'!B:B,A221)</f>
        <v>0</v>
      </c>
    </row>
    <row r="222">
      <c r="A222" s="83">
        <v>85.0</v>
      </c>
      <c r="B222" s="86" t="str">
        <f>IFERROR(__xludf.DUMMYFUNCTION("IF(ISBLANK(A222),,FILTER('Leetcode List'!B:C,'Leetcode List'!A:A = A222))"),"Maximal Rectangle")</f>
        <v>Maximal Rectangle</v>
      </c>
      <c r="C222" s="47" t="str">
        <f>IFERROR(__xludf.DUMMYFUNCTION("""COMPUTED_VALUE"""),"Hard")</f>
        <v>Hard</v>
      </c>
      <c r="D222" s="83" t="s">
        <v>240</v>
      </c>
      <c r="E222" s="87" t="str">
        <f>IFERROR(__xludf.DUMMYFUNCTION("IF(ISBLANK(A222),,FILTER('Leetcode List'!E:J,'Leetcode List'!A:A = A222))"),"Citadel,Yandex,Apple,Karat,Wayfair,VMware,Indeed,Uber,Samsung,Bloomberg,Adobe,Facebook,Amazon,Microsoft,Google")</f>
        <v>Citadel,Yandex,Apple,Karat,Wayfair,VMware,Indeed,Uber,Samsung,Bloomberg,Adobe,Facebook,Amazon,Microsoft,Google</v>
      </c>
      <c r="F222" s="47" t="str">
        <f>IFERROR(__xludf.DUMMYFUNCTION("""COMPUTED_VALUE"""),"Google,Amazon,Adobe,Bloomberg,Apple")</f>
        <v>Google,Amazon,Adobe,Bloomberg,Apple</v>
      </c>
      <c r="G222" s="47" t="str">
        <f>IFERROR(__xludf.DUMMYFUNCTION("""COMPUTED_VALUE"""),"Microsoft,Uber,Citadel,Wayfair,Karat,Yandex,Google,Amazon,Adobe,Bloomberg,Apple")</f>
        <v>Microsoft,Uber,Citadel,Wayfair,Karat,Yandex,Google,Amazon,Adobe,Bloomberg,Apple</v>
      </c>
      <c r="H222" s="47" t="str">
        <f>IFERROR(__xludf.DUMMYFUNCTION("""COMPUTED_VALUE"""),"Samsung,Indeed,VMware,Facebook,Microsoft,Uber,Citadel,Wayfair,Karat,Yandex,Google,Amazon,Adobe,Bloomberg,Apple")</f>
        <v>Samsung,Indeed,VMware,Facebook,Microsoft,Uber,Citadel,Wayfair,Karat,Yandex,Google,Amazon,Adobe,Bloomberg,Apple</v>
      </c>
      <c r="I222" s="47">
        <f>IFERROR(__xludf.DUMMYFUNCTION("""COMPUTED_VALUE"""),39.59)</f>
        <v>39.59</v>
      </c>
      <c r="J222" s="47" t="str">
        <f>IFERROR(__xludf.DUMMYFUNCTION("""COMPUTED_VALUE"""),"算法")</f>
        <v>算法</v>
      </c>
      <c r="K222" s="2" t="s">
        <v>4989</v>
      </c>
      <c r="L222" s="6">
        <f>COUNTIF('Coder-1'!B:B,A222)</f>
        <v>0</v>
      </c>
      <c r="M222" s="6">
        <f>COUNTIF('Coder-2'!B:B,A222)</f>
        <v>0</v>
      </c>
      <c r="N222" s="6">
        <f>COUNTIF('Coder-3'!B:B,A222)</f>
        <v>0</v>
      </c>
      <c r="O222" s="6">
        <f>COUNTIF('Coder-4'!B:B,A222)</f>
        <v>0</v>
      </c>
    </row>
    <row r="223">
      <c r="A223" s="83">
        <v>255.0</v>
      </c>
      <c r="B223" s="86" t="str">
        <f>IFERROR(__xludf.DUMMYFUNCTION("IF(ISBLANK(A223),,FILTER('Leetcode List'!B:C,'Leetcode List'!A:A = A223))"),"Verify Preorder Sequence in Binary Search Tree")</f>
        <v>Verify Preorder Sequence in Binary Search Tree</v>
      </c>
      <c r="C223" s="47" t="str">
        <f>IFERROR(__xludf.DUMMYFUNCTION("""COMPUTED_VALUE"""),"Medium")</f>
        <v>Medium</v>
      </c>
      <c r="D223" s="83" t="s">
        <v>240</v>
      </c>
      <c r="E223" s="87" t="str">
        <f>IFERROR(__xludf.DUMMYFUNCTION("IF(ISBLANK(A223),,FILTER('Leetcode List'!E:J,'Leetcode List'!A:A = A223))"),"VMware,Zenefits,Walmart Labs,Mathworks,Uber")</f>
        <v>VMware,Zenefits,Walmart Labs,Mathworks,Uber</v>
      </c>
      <c r="F223" s="47" t="str">
        <f>IFERROR(__xludf.DUMMYFUNCTION("""COMPUTED_VALUE"""),"VMware")</f>
        <v>VMware</v>
      </c>
      <c r="G223" s="47" t="str">
        <f>IFERROR(__xludf.DUMMYFUNCTION("""COMPUTED_VALUE"""),"VMware")</f>
        <v>VMware</v>
      </c>
      <c r="H223" s="47" t="str">
        <f>IFERROR(__xludf.DUMMYFUNCTION("""COMPUTED_VALUE"""),"Mathworks,Walmart Labs,Zenefits,VMware")</f>
        <v>Mathworks,Walmart Labs,Zenefits,VMware</v>
      </c>
      <c r="I223" s="47">
        <f>IFERROR(__xludf.DUMMYFUNCTION("""COMPUTED_VALUE"""),46.26)</f>
        <v>46.26</v>
      </c>
      <c r="J223" s="47" t="str">
        <f>IFERROR(__xludf.DUMMYFUNCTION("""COMPUTED_VALUE"""),"算法")</f>
        <v>算法</v>
      </c>
      <c r="K223" s="2" t="s">
        <v>4989</v>
      </c>
      <c r="L223" s="6">
        <f>COUNTIF('Coder-1'!B:B,A223)</f>
        <v>0</v>
      </c>
      <c r="M223" s="6">
        <f>COUNTIF('Coder-2'!B:B,A223)</f>
        <v>0</v>
      </c>
      <c r="N223" s="6">
        <f>COUNTIF('Coder-3'!B:B,A223)</f>
        <v>0</v>
      </c>
      <c r="O223" s="6">
        <f>COUNTIF('Coder-4'!B:B,A223)</f>
        <v>0</v>
      </c>
    </row>
    <row r="224">
      <c r="A224" s="83">
        <v>402.0</v>
      </c>
      <c r="B224" s="86" t="str">
        <f>IFERROR(__xludf.DUMMYFUNCTION("IF(ISBLANK(A224),,FILTER('Leetcode List'!B:C,'Leetcode List'!A:A = A224))"),"Remove K Digits")</f>
        <v>Remove K Digits</v>
      </c>
      <c r="C224" s="47" t="str">
        <f>IFERROR(__xludf.DUMMYFUNCTION("""COMPUTED_VALUE"""),"Medium")</f>
        <v>Medium</v>
      </c>
      <c r="D224" s="83" t="s">
        <v>240</v>
      </c>
      <c r="E224" s="87" t="str">
        <f>IFERROR(__xludf.DUMMYFUNCTION("IF(ISBLANK(A224),,FILTER('Leetcode List'!E:J,'Leetcode List'!A:A = A224))"),"Sprinklr,Codenation,Uber,Nutanix,ByteDance,VMware,Snapchat,Oracle,DiDi,Bloomberg,Adobe,Facebook,Amazon,Microsoft,Google")</f>
        <v>Sprinklr,Codenation,Uber,Nutanix,ByteDance,VMware,Snapchat,Oracle,DiDi,Bloomberg,Adobe,Facebook,Amazon,Microsoft,Google</v>
      </c>
      <c r="F224" s="47" t="str">
        <f>IFERROR(__xludf.DUMMYFUNCTION("""COMPUTED_VALUE"""),"Amazon,Microsoft,Adobe,Oracle")</f>
        <v>Amazon,Microsoft,Adobe,Oracle</v>
      </c>
      <c r="G224" s="47" t="str">
        <f>IFERROR(__xludf.DUMMYFUNCTION("""COMPUTED_VALUE"""),"Codenation,Bloomberg,ByteDance,Sprinklr,Amazon,Microsoft,Adobe,Oracle")</f>
        <v>Codenation,Bloomberg,ByteDance,Sprinklr,Amazon,Microsoft,Adobe,Oracle</v>
      </c>
      <c r="H224" s="47" t="str">
        <f>IFERROR(__xludf.DUMMYFUNCTION("""COMPUTED_VALUE"""),"DiDi,Facebook,Uber,Google,Snapchat,Codenation,Bloomberg,ByteDance,Sprinklr,Amazon,Microsoft,Adobe,Oracle")</f>
        <v>DiDi,Facebook,Uber,Google,Snapchat,Codenation,Bloomberg,ByteDance,Sprinklr,Amazon,Microsoft,Adobe,Oracle</v>
      </c>
      <c r="I224" s="47">
        <f>IFERROR(__xludf.DUMMYFUNCTION("""COMPUTED_VALUE"""),28.69)</f>
        <v>28.69</v>
      </c>
      <c r="J224" s="47" t="str">
        <f>IFERROR(__xludf.DUMMYFUNCTION("""COMPUTED_VALUE"""),"算法")</f>
        <v>算法</v>
      </c>
      <c r="K224" s="2" t="s">
        <v>4989</v>
      </c>
      <c r="L224" s="6">
        <f>COUNTIF('Coder-1'!B:B,A224)</f>
        <v>0</v>
      </c>
      <c r="M224" s="6">
        <f>COUNTIF('Coder-2'!B:B,A224)</f>
        <v>0</v>
      </c>
      <c r="N224" s="6">
        <f>COUNTIF('Coder-3'!B:B,A224)</f>
        <v>0</v>
      </c>
      <c r="O224" s="6">
        <f>COUNTIF('Coder-4'!B:B,A224)</f>
        <v>0</v>
      </c>
    </row>
    <row r="225">
      <c r="A225" s="83">
        <v>316.0</v>
      </c>
      <c r="B225" s="86" t="str">
        <f>IFERROR(__xludf.DUMMYFUNCTION("IF(ISBLANK(A225),,FILTER('Leetcode List'!B:C,'Leetcode List'!A:A = A225))"),"Remove Duplicate Letters")</f>
        <v>Remove Duplicate Letters</v>
      </c>
      <c r="C225" s="47" t="str">
        <f>IFERROR(__xludf.DUMMYFUNCTION("""COMPUTED_VALUE"""),"Medium")</f>
        <v>Medium</v>
      </c>
      <c r="D225" s="83" t="s">
        <v>240</v>
      </c>
      <c r="E225" s="87" t="str">
        <f>IFERROR(__xludf.DUMMYFUNCTION("IF(ISBLANK(A225),,FILTER('Leetcode List'!E:J,'Leetcode List'!A:A = A225))"),"FactSet,Bloomberg,Nutanix,ByteDance,Apple,Yahoo,Adobe,Facebook,Amazon,Microsoft,Google")</f>
        <v>FactSet,Bloomberg,Nutanix,ByteDance,Apple,Yahoo,Adobe,Facebook,Amazon,Microsoft,Google</v>
      </c>
      <c r="F225" s="47" t="str">
        <f>IFERROR(__xludf.DUMMYFUNCTION("""COMPUTED_VALUE"""),"Amazon,Bloomberg,Google")</f>
        <v>Amazon,Bloomberg,Google</v>
      </c>
      <c r="G225" s="47" t="str">
        <f>IFERROR(__xludf.DUMMYFUNCTION("""COMPUTED_VALUE"""),"ByteDance,Adobe,Amazon,Bloomberg,Google")</f>
        <v>ByteDance,Adobe,Amazon,Bloomberg,Google</v>
      </c>
      <c r="H225" s="47" t="str">
        <f>IFERROR(__xludf.DUMMYFUNCTION("""COMPUTED_VALUE"""),"Facebook,Apple,Microsoft,FactSet,ByteDance,Adobe,Amazon,Bloomberg,Google")</f>
        <v>Facebook,Apple,Microsoft,FactSet,ByteDance,Adobe,Amazon,Bloomberg,Google</v>
      </c>
      <c r="I225" s="47">
        <f>IFERROR(__xludf.DUMMYFUNCTION("""COMPUTED_VALUE"""),39.2)</f>
        <v>39.2</v>
      </c>
      <c r="J225" s="47" t="str">
        <f>IFERROR(__xludf.DUMMYFUNCTION("""COMPUTED_VALUE"""),"算法")</f>
        <v>算法</v>
      </c>
      <c r="K225" s="2" t="s">
        <v>4989</v>
      </c>
      <c r="L225" s="6">
        <f>COUNTIF('Coder-1'!B:B,A225)</f>
        <v>0</v>
      </c>
      <c r="M225" s="6">
        <f>COUNTIF('Coder-2'!B:B,A225)</f>
        <v>0</v>
      </c>
      <c r="N225" s="6">
        <f>COUNTIF('Coder-3'!B:B,A225)</f>
        <v>0</v>
      </c>
      <c r="O225" s="6">
        <f>COUNTIF('Coder-4'!B:B,A225)</f>
        <v>0</v>
      </c>
    </row>
    <row r="226">
      <c r="A226" s="83">
        <v>496.0</v>
      </c>
      <c r="B226" s="86" t="str">
        <f>IFERROR(__xludf.DUMMYFUNCTION("IF(ISBLANK(A226),,FILTER('Leetcode List'!B:C,'Leetcode List'!A:A = A226))"),"Next Greater Element I")</f>
        <v>Next Greater Element I</v>
      </c>
      <c r="C226" s="47" t="str">
        <f>IFERROR(__xludf.DUMMYFUNCTION("""COMPUTED_VALUE"""),"Easy")</f>
        <v>Easy</v>
      </c>
      <c r="D226" s="83" t="s">
        <v>240</v>
      </c>
      <c r="E226" s="87" t="str">
        <f>IFERROR(__xludf.DUMMYFUNCTION("IF(ISBLANK(A226),,FILTER('Leetcode List'!E:J,'Leetcode List'!A:A = A226))"),"Apple,Twitter,Oracle,Bloomberg,Facebook,Amazon,Microsoft,Google")</f>
        <v>Apple,Twitter,Oracle,Bloomberg,Facebook,Amazon,Microsoft,Google</v>
      </c>
      <c r="F226" s="47" t="str">
        <f>IFERROR(__xludf.DUMMYFUNCTION("""COMPUTED_VALUE"""),"Amazon,Microsoft")</f>
        <v>Amazon,Microsoft</v>
      </c>
      <c r="G226" s="47" t="str">
        <f>IFERROR(__xludf.DUMMYFUNCTION("""COMPUTED_VALUE"""),"Bloomberg,Apple,Amazon,Microsoft")</f>
        <v>Bloomberg,Apple,Amazon,Microsoft</v>
      </c>
      <c r="H226" s="47" t="str">
        <f>IFERROR(__xludf.DUMMYFUNCTION("""COMPUTED_VALUE"""),"Facebook,Google,Twitter,Oracle,Bloomberg,Apple,Amazon,Microsoft")</f>
        <v>Facebook,Google,Twitter,Oracle,Bloomberg,Apple,Amazon,Microsoft</v>
      </c>
      <c r="I226" s="47">
        <f>IFERROR(__xludf.DUMMYFUNCTION("""COMPUTED_VALUE"""),65.76)</f>
        <v>65.76</v>
      </c>
      <c r="J226" s="47" t="str">
        <f>IFERROR(__xludf.DUMMYFUNCTION("""COMPUTED_VALUE"""),"算法")</f>
        <v>算法</v>
      </c>
      <c r="K226" s="2" t="s">
        <v>4989</v>
      </c>
      <c r="L226" s="6">
        <f>COUNTIF('Coder-1'!B:B,A226)</f>
        <v>0</v>
      </c>
      <c r="M226" s="6">
        <f>COUNTIF('Coder-2'!B:B,A226)</f>
        <v>0</v>
      </c>
      <c r="N226" s="6">
        <f>COUNTIF('Coder-3'!B:B,A226)</f>
        <v>0</v>
      </c>
      <c r="O226" s="6">
        <f>COUNTIF('Coder-4'!B:B,A226)</f>
        <v>0</v>
      </c>
    </row>
    <row r="227">
      <c r="A227" s="83">
        <v>503.0</v>
      </c>
      <c r="B227" s="86" t="str">
        <f>IFERROR(__xludf.DUMMYFUNCTION("IF(ISBLANK(A227),,FILTER('Leetcode List'!B:C,'Leetcode List'!A:A = A227))"),"Next Greater Element II")</f>
        <v>Next Greater Element II</v>
      </c>
      <c r="C227" s="47" t="str">
        <f>IFERROR(__xludf.DUMMYFUNCTION("""COMPUTED_VALUE"""),"Medium")</f>
        <v>Medium</v>
      </c>
      <c r="D227" s="83" t="s">
        <v>240</v>
      </c>
      <c r="E227" s="87" t="str">
        <f>IFERROR(__xludf.DUMMYFUNCTION("IF(ISBLANK(A227),,FILTER('Leetcode List'!E:J,'Leetcode List'!A:A = A227))"),"Apple,Oracle,Yahoo,Bloomberg,Facebook,Amazon,Microsoft,Google")</f>
        <v>Apple,Oracle,Yahoo,Bloomberg,Facebook,Amazon,Microsoft,Google</v>
      </c>
      <c r="F227" s="47" t="str">
        <f>IFERROR(__xludf.DUMMYFUNCTION("""COMPUTED_VALUE"""),"Amazon,Bloomberg,Facebook")</f>
        <v>Amazon,Bloomberg,Facebook</v>
      </c>
      <c r="G227" s="47" t="str">
        <f>IFERROR(__xludf.DUMMYFUNCTION("""COMPUTED_VALUE"""),"Apple,Oracle,Amazon,Bloomberg,Facebook")</f>
        <v>Apple,Oracle,Amazon,Bloomberg,Facebook</v>
      </c>
      <c r="H227" s="47" t="str">
        <f>IFERROR(__xludf.DUMMYFUNCTION("""COMPUTED_VALUE"""),"Microsoft,Google,Apple,Oracle,Amazon,Bloomberg,Facebook")</f>
        <v>Microsoft,Google,Apple,Oracle,Amazon,Bloomberg,Facebook</v>
      </c>
      <c r="I227" s="47">
        <f>IFERROR(__xludf.DUMMYFUNCTION("""COMPUTED_VALUE"""),58.58)</f>
        <v>58.58</v>
      </c>
      <c r="J227" s="47" t="str">
        <f>IFERROR(__xludf.DUMMYFUNCTION("""COMPUTED_VALUE"""),"算法")</f>
        <v>算法</v>
      </c>
      <c r="K227" s="2" t="s">
        <v>4989</v>
      </c>
      <c r="L227" s="6">
        <f>COUNTIF('Coder-1'!B:B,A227)</f>
        <v>0</v>
      </c>
      <c r="M227" s="6">
        <f>COUNTIF('Coder-2'!B:B,A227)</f>
        <v>0</v>
      </c>
      <c r="N227" s="6">
        <f>COUNTIF('Coder-3'!B:B,A227)</f>
        <v>0</v>
      </c>
      <c r="O227" s="6">
        <f>COUNTIF('Coder-4'!B:B,A227)</f>
        <v>0</v>
      </c>
    </row>
    <row r="228">
      <c r="A228" s="83">
        <v>221.0</v>
      </c>
      <c r="B228" s="86" t="str">
        <f>IFERROR(__xludf.DUMMYFUNCTION("IF(ISBLANK(A228),,FILTER('Leetcode List'!B:C,'Leetcode List'!A:A = A228))"),"Maximal Square")</f>
        <v>Maximal Square</v>
      </c>
      <c r="C228" s="47" t="str">
        <f>IFERROR(__xludf.DUMMYFUNCTION("""COMPUTED_VALUE"""),"Medium")</f>
        <v>Medium</v>
      </c>
      <c r="D228" s="83" t="s">
        <v>240</v>
      </c>
      <c r="E228" s="87" t="str">
        <f>IFERROR(__xludf.DUMMYFUNCTION("IF(ISBLANK(A228),,FILTER('Leetcode List'!E:J,'Leetcode List'!A:A = A228))"),"AppDynamics,Booking.com,Twilio,ByteDance,FactSet,Walmart Labs,Paypal,Twitter,IBM,Yahoo,Goldman Sachs,Two Sigma,VMware,Citadel,Oracle,Huawei,Apple,Airbnb,Uber,Bloomberg,Adobe,Facebook,Amazon,Microsoft,Google")</f>
        <v>AppDynamics,Booking.com,Twilio,ByteDance,FactSet,Walmart Labs,Paypal,Twitter,IBM,Yahoo,Goldman Sachs,Two Sigma,VMware,Citadel,Oracle,Huawei,Apple,Airbnb,Uber,Bloomberg,Adobe,Facebook,Amazon,Microsoft,Google</v>
      </c>
      <c r="F228" s="47" t="str">
        <f>IFERROR(__xludf.DUMMYFUNCTION("""COMPUTED_VALUE"""),"Amazon,IBM,Google,Twitter,ByteDance,Apple")</f>
        <v>Amazon,IBM,Google,Twitter,ByteDance,Apple</v>
      </c>
      <c r="G228" s="47" t="str">
        <f>IFERROR(__xludf.DUMMYFUNCTION("""COMPUTED_VALUE"""),"Adobe,Citadel,Paypal,Facebook,Microsoft,Bloomberg,AppDynamics,Booking.com,Goldman Sachs,Amazon,IBM,Google,Twitter,ByteDance,Apple")</f>
        <v>Adobe,Citadel,Paypal,Facebook,Microsoft,Bloomberg,AppDynamics,Booking.com,Goldman Sachs,Amazon,IBM,Google,Twitter,ByteDance,Apple</v>
      </c>
      <c r="H228" s="47" t="str">
        <f>IFERROR(__xludf.DUMMYFUNCTION("""COMPUTED_VALUE"""),"Uber,VMware,Huawei,Oracle,Yahoo,Twilio,Walmart Labs,FactSet,Airbnb,Adobe,Citadel,Paypal,Facebook,Microsoft,Bloomberg,AppDynamics,Booking.com,Goldman Sachs,Amazon,IBM,Google,Twitter,ByteDance,Apple")</f>
        <v>Uber,VMware,Huawei,Oracle,Yahoo,Twilio,Walmart Labs,FactSet,Airbnb,Adobe,Citadel,Paypal,Facebook,Microsoft,Bloomberg,AppDynamics,Booking.com,Goldman Sachs,Amazon,IBM,Google,Twitter,ByteDance,Apple</v>
      </c>
      <c r="I228" s="47">
        <f>IFERROR(__xludf.DUMMYFUNCTION("""COMPUTED_VALUE"""),39.4)</f>
        <v>39.4</v>
      </c>
      <c r="J228" s="47" t="str">
        <f>IFERROR(__xludf.DUMMYFUNCTION("""COMPUTED_VALUE"""),"算法")</f>
        <v>算法</v>
      </c>
      <c r="K228" s="2" t="s">
        <v>4989</v>
      </c>
      <c r="L228" s="6">
        <f>COUNTIF('Coder-1'!B:B,A228)</f>
        <v>0</v>
      </c>
      <c r="M228" s="6">
        <f>COUNTIF('Coder-2'!B:B,A228)</f>
        <v>0</v>
      </c>
      <c r="N228" s="6">
        <f>COUNTIF('Coder-3'!B:B,A228)</f>
        <v>0</v>
      </c>
      <c r="O228" s="6">
        <f>COUNTIF('Coder-4'!B:B,A228)</f>
        <v>0</v>
      </c>
    </row>
    <row r="229">
      <c r="A229" s="83">
        <v>739.0</v>
      </c>
      <c r="B229" s="86" t="str">
        <f>IFERROR(__xludf.DUMMYFUNCTION("IF(ISBLANK(A229),,FILTER('Leetcode List'!B:C,'Leetcode List'!A:A = A229))"),"Daily Temperatures")</f>
        <v>Daily Temperatures</v>
      </c>
      <c r="C229" s="47" t="str">
        <f>IFERROR(__xludf.DUMMYFUNCTION("""COMPUTED_VALUE"""),"Medium")</f>
        <v>Medium</v>
      </c>
      <c r="D229" s="83" t="s">
        <v>240</v>
      </c>
      <c r="E229" s="87" t="str">
        <f>IFERROR(__xludf.DUMMYFUNCTION("IF(ISBLANK(A229),,FILTER('Leetcode List'!E:J,'Leetcode List'!A:A = A229))"),"ByteDance,Salesforce,Paypal,Twitter,Oracle,Huawei,Zillow,Expedia,Nvidia,Cisco,Apple,Uber,Bloomberg,Adobe,Facebook,Amazon,LinkedIn,Microsoft,Goldman Sachs,Google")</f>
        <v>ByteDance,Salesforce,Paypal,Twitter,Oracle,Huawei,Zillow,Expedia,Nvidia,Cisco,Apple,Uber,Bloomberg,Adobe,Facebook,Amazon,LinkedIn,Microsoft,Goldman Sachs,Google</v>
      </c>
      <c r="F229" s="47" t="str">
        <f>IFERROR(__xludf.DUMMYFUNCTION("""COMPUTED_VALUE"""),"Facebook,Bloomberg,Amazon,Google,ByteDance,Zillow,Adobe,Microsoft,Paypal,Oracle,Salesforce,Twitter")</f>
        <v>Facebook,Bloomberg,Amazon,Google,ByteDance,Zillow,Adobe,Microsoft,Paypal,Oracle,Salesforce,Twitter</v>
      </c>
      <c r="G229" s="47" t="str">
        <f>IFERROR(__xludf.DUMMYFUNCTION("""COMPUTED_VALUE"""),"Cisco,Facebook,Bloomberg,Amazon,Google,ByteDance,Zillow,Adobe,Microsoft,Paypal,Oracle,Salesforce,Twitter")</f>
        <v>Cisco,Facebook,Bloomberg,Amazon,Google,ByteDance,Zillow,Adobe,Microsoft,Paypal,Oracle,Salesforce,Twitter</v>
      </c>
      <c r="H229" s="47" t="str">
        <f>IFERROR(__xludf.DUMMYFUNCTION("""COMPUTED_VALUE"""),"LinkedIn,Apple,Nvidia,Uber,Expedia,Goldman Sachs,Huawei,Cisco,Facebook,Bloomberg,Amazon,Google,ByteDance,Zillow,Adobe,Microsoft,Paypal,Oracle,Salesforce,Twitter")</f>
        <v>LinkedIn,Apple,Nvidia,Uber,Expedia,Goldman Sachs,Huawei,Cisco,Facebook,Bloomberg,Amazon,Google,ByteDance,Zillow,Adobe,Microsoft,Paypal,Oracle,Salesforce,Twitter</v>
      </c>
      <c r="I229" s="47">
        <f>IFERROR(__xludf.DUMMYFUNCTION("""COMPUTED_VALUE"""),64.72)</f>
        <v>64.72</v>
      </c>
      <c r="J229" s="47" t="str">
        <f>IFERROR(__xludf.DUMMYFUNCTION("""COMPUTED_VALUE"""),"算法")</f>
        <v>算法</v>
      </c>
      <c r="K229" s="2" t="s">
        <v>4989</v>
      </c>
      <c r="L229" s="6">
        <f>COUNTIF('Coder-1'!B:B,A229)</f>
        <v>0</v>
      </c>
      <c r="M229" s="6">
        <f>COUNTIF('Coder-2'!B:B,A229)</f>
        <v>0</v>
      </c>
      <c r="N229" s="6">
        <f>COUNTIF('Coder-3'!B:B,A229)</f>
        <v>0</v>
      </c>
      <c r="O229" s="6">
        <f>COUNTIF('Coder-4'!B:B,A229)</f>
        <v>0</v>
      </c>
    </row>
    <row r="230">
      <c r="A230" s="83">
        <v>768.0</v>
      </c>
      <c r="B230" s="86" t="str">
        <f>IFERROR(__xludf.DUMMYFUNCTION("IF(ISBLANK(A230),,FILTER('Leetcode List'!B:C,'Leetcode List'!A:A = A230))"),"Max Chunks To Make Sorted II")</f>
        <v>Max Chunks To Make Sorted II</v>
      </c>
      <c r="C230" s="47" t="str">
        <f>IFERROR(__xludf.DUMMYFUNCTION("""COMPUTED_VALUE"""),"Hard")</f>
        <v>Hard</v>
      </c>
      <c r="D230" s="83" t="s">
        <v>240</v>
      </c>
      <c r="E230" s="87" t="str">
        <f>IFERROR(__xludf.DUMMYFUNCTION("IF(ISBLANK(A230),,FILTER('Leetcode List'!E:J,'Leetcode List'!A:A = A230))"),"Microsoft,Google")</f>
        <v>Microsoft,Google</v>
      </c>
      <c r="F230" s="47"/>
      <c r="G230" s="47"/>
      <c r="H230" s="47" t="str">
        <f>IFERROR(__xludf.DUMMYFUNCTION("""COMPUTED_VALUE"""),"Microsoft,Google")</f>
        <v>Microsoft,Google</v>
      </c>
      <c r="I230" s="47">
        <f>IFERROR(__xludf.DUMMYFUNCTION("""COMPUTED_VALUE"""),49.83)</f>
        <v>49.83</v>
      </c>
      <c r="J230" s="47" t="str">
        <f>IFERROR(__xludf.DUMMYFUNCTION("""COMPUTED_VALUE"""),"算法")</f>
        <v>算法</v>
      </c>
      <c r="K230" s="2" t="s">
        <v>4989</v>
      </c>
      <c r="L230" s="6">
        <f>COUNTIF('Coder-1'!B:B,A230)</f>
        <v>0</v>
      </c>
      <c r="M230" s="6">
        <f>COUNTIF('Coder-2'!B:B,A230)</f>
        <v>0</v>
      </c>
      <c r="N230" s="6">
        <f>COUNTIF('Coder-3'!B:B,A230)</f>
        <v>0</v>
      </c>
      <c r="O230" s="6">
        <f>COUNTIF('Coder-4'!B:B,A230)</f>
        <v>0</v>
      </c>
    </row>
    <row r="231">
      <c r="A231" s="83">
        <v>901.0</v>
      </c>
      <c r="B231" s="86" t="str">
        <f>IFERROR(__xludf.DUMMYFUNCTION("IF(ISBLANK(A231),,FILTER('Leetcode List'!B:C,'Leetcode List'!A:A = A231))"),"Online Stock Span")</f>
        <v>Online Stock Span</v>
      </c>
      <c r="C231" s="47" t="str">
        <f>IFERROR(__xludf.DUMMYFUNCTION("""COMPUTED_VALUE"""),"Medium")</f>
        <v>Medium</v>
      </c>
      <c r="D231" s="83" t="s">
        <v>240</v>
      </c>
      <c r="E231" s="87" t="str">
        <f>IFERROR(__xludf.DUMMYFUNCTION("IF(ISBLANK(A231),,FILTER('Leetcode List'!E:J,'Leetcode List'!A:A = A231))"),"Facebook,Amazon,Microsoft,Google")</f>
        <v>Facebook,Amazon,Microsoft,Google</v>
      </c>
      <c r="F231" s="47" t="str">
        <f>IFERROR(__xludf.DUMMYFUNCTION("""COMPUTED_VALUE"""),"Amazon")</f>
        <v>Amazon</v>
      </c>
      <c r="G231" s="47" t="str">
        <f>IFERROR(__xludf.DUMMYFUNCTION("""COMPUTED_VALUE"""),"Microsoft,Facebook,Google,Amazon")</f>
        <v>Microsoft,Facebook,Google,Amazon</v>
      </c>
      <c r="H231" s="47" t="str">
        <f>IFERROR(__xludf.DUMMYFUNCTION("""COMPUTED_VALUE"""),"Microsoft,Facebook,Google,Amazon")</f>
        <v>Microsoft,Facebook,Google,Amazon</v>
      </c>
      <c r="I231" s="47">
        <f>IFERROR(__xludf.DUMMYFUNCTION("""COMPUTED_VALUE"""),61.41)</f>
        <v>61.41</v>
      </c>
      <c r="J231" s="47" t="str">
        <f>IFERROR(__xludf.DUMMYFUNCTION("""COMPUTED_VALUE"""),"算法")</f>
        <v>算法</v>
      </c>
      <c r="K231" s="2" t="s">
        <v>4989</v>
      </c>
      <c r="L231" s="6">
        <f>COUNTIF('Coder-1'!B:B,A231)</f>
        <v>0</v>
      </c>
      <c r="M231" s="6">
        <f>COUNTIF('Coder-2'!B:B,A231)</f>
        <v>0</v>
      </c>
      <c r="N231" s="6">
        <f>COUNTIF('Coder-3'!B:B,A231)</f>
        <v>0</v>
      </c>
      <c r="O231" s="6">
        <f>COUNTIF('Coder-4'!B:B,A231)</f>
        <v>0</v>
      </c>
    </row>
    <row r="232">
      <c r="A232" s="83">
        <v>907.0</v>
      </c>
      <c r="B232" s="86" t="str">
        <f>IFERROR(__xludf.DUMMYFUNCTION("IF(ISBLANK(A232),,FILTER('Leetcode List'!B:C,'Leetcode List'!A:A = A232))"),"Sum of Subarray Minimums")</f>
        <v>Sum of Subarray Minimums</v>
      </c>
      <c r="C232" s="47" t="str">
        <f>IFERROR(__xludf.DUMMYFUNCTION("""COMPUTED_VALUE"""),"Medium")</f>
        <v>Medium</v>
      </c>
      <c r="D232" s="83" t="s">
        <v>240</v>
      </c>
      <c r="E232" s="87" t="str">
        <f>IFERROR(__xludf.DUMMYFUNCTION("IF(ISBLANK(A232),,FILTER('Leetcode List'!E:J,'Leetcode List'!A:A = A232))"),"Dunzo,VMware,Google,Hulu,Apple,Microsoft")</f>
        <v>Dunzo,VMware,Google,Hulu,Apple,Microsoft</v>
      </c>
      <c r="F232" s="47" t="str">
        <f>IFERROR(__xludf.DUMMYFUNCTION("""COMPUTED_VALUE"""),"Google")</f>
        <v>Google</v>
      </c>
      <c r="G232" s="47" t="str">
        <f>IFERROR(__xludf.DUMMYFUNCTION("""COMPUTED_VALUE"""),"Dunzo,Microsoft,VMware,Google")</f>
        <v>Dunzo,Microsoft,VMware,Google</v>
      </c>
      <c r="H232" s="47" t="str">
        <f>IFERROR(__xludf.DUMMYFUNCTION("""COMPUTED_VALUE"""),"Hulu,Dunzo,Microsoft,VMware,Google")</f>
        <v>Hulu,Dunzo,Microsoft,VMware,Google</v>
      </c>
      <c r="I232" s="47">
        <f>IFERROR(__xludf.DUMMYFUNCTION("""COMPUTED_VALUE"""),33.11)</f>
        <v>33.11</v>
      </c>
      <c r="J232" s="47" t="str">
        <f>IFERROR(__xludf.DUMMYFUNCTION("""COMPUTED_VALUE"""),"算法")</f>
        <v>算法</v>
      </c>
      <c r="K232" s="2" t="s">
        <v>4989</v>
      </c>
      <c r="L232" s="6">
        <f>COUNTIF('Coder-1'!B:B,A232)</f>
        <v>0</v>
      </c>
      <c r="M232" s="6">
        <f>COUNTIF('Coder-2'!B:B,A232)</f>
        <v>0</v>
      </c>
      <c r="N232" s="6">
        <f>COUNTIF('Coder-3'!B:B,A232)</f>
        <v>0</v>
      </c>
      <c r="O232" s="6">
        <f>COUNTIF('Coder-4'!B:B,A232)</f>
        <v>0</v>
      </c>
    </row>
    <row r="233">
      <c r="A233" s="83">
        <v>962.0</v>
      </c>
      <c r="B233" s="86" t="str">
        <f>IFERROR(__xludf.DUMMYFUNCTION("IF(ISBLANK(A233),,FILTER('Leetcode List'!B:C,'Leetcode List'!A:A = A233))"),"Maximum Width Ramp")</f>
        <v>Maximum Width Ramp</v>
      </c>
      <c r="C233" s="47" t="str">
        <f>IFERROR(__xludf.DUMMYFUNCTION("""COMPUTED_VALUE"""),"Medium")</f>
        <v>Medium</v>
      </c>
      <c r="D233" s="83" t="s">
        <v>240</v>
      </c>
      <c r="E233" s="87" t="str">
        <f>IFERROR(__xludf.DUMMYFUNCTION("IF(ISBLANK(A233),,FILTER('Leetcode List'!E:J,'Leetcode List'!A:A = A233))"),"Facebook,EBay,Google")</f>
        <v>Facebook,EBay,Google</v>
      </c>
      <c r="F233" s="47"/>
      <c r="G233" s="47" t="str">
        <f>IFERROR(__xludf.DUMMYFUNCTION("""COMPUTED_VALUE"""),"Facebook")</f>
        <v>Facebook</v>
      </c>
      <c r="H233" s="47" t="str">
        <f>IFERROR(__xludf.DUMMYFUNCTION("""COMPUTED_VALUE"""),"eBay,Google,Facebook")</f>
        <v>eBay,Google,Facebook</v>
      </c>
      <c r="I233" s="47">
        <f>IFERROR(__xludf.DUMMYFUNCTION("""COMPUTED_VALUE"""),46.62)</f>
        <v>46.62</v>
      </c>
      <c r="J233" s="47" t="str">
        <f>IFERROR(__xludf.DUMMYFUNCTION("""COMPUTED_VALUE"""),"算法")</f>
        <v>算法</v>
      </c>
      <c r="K233" s="2" t="s">
        <v>4989</v>
      </c>
      <c r="L233" s="6">
        <f>COUNTIF('Coder-1'!B:B,A233)</f>
        <v>0</v>
      </c>
      <c r="M233" s="6">
        <f>COUNTIF('Coder-2'!B:B,A233)</f>
        <v>0</v>
      </c>
      <c r="N233" s="6">
        <f>COUNTIF('Coder-3'!B:B,A233)</f>
        <v>0</v>
      </c>
      <c r="O233" s="6">
        <f>COUNTIF('Coder-4'!B:B,A233)</f>
        <v>0</v>
      </c>
    </row>
    <row r="234">
      <c r="A234" s="83">
        <v>1019.0</v>
      </c>
      <c r="B234" s="86" t="str">
        <f>IFERROR(__xludf.DUMMYFUNCTION("IF(ISBLANK(A234),,FILTER('Leetcode List'!B:C,'Leetcode List'!A:A = A234))"),"Next Greater Node In Linked List")</f>
        <v>Next Greater Node In Linked List</v>
      </c>
      <c r="C234" s="47" t="str">
        <f>IFERROR(__xludf.DUMMYFUNCTION("""COMPUTED_VALUE"""),"Medium")</f>
        <v>Medium</v>
      </c>
      <c r="D234" s="83" t="s">
        <v>240</v>
      </c>
      <c r="E234" s="87" t="str">
        <f>IFERROR(__xludf.DUMMYFUNCTION("IF(ISBLANK(A234),,FILTER('Leetcode List'!E:J,'Leetcode List'!A:A = A234))"),"Apple,Google,Uber,Facebook,Amazon,Microsoft")</f>
        <v>Apple,Google,Uber,Facebook,Amazon,Microsoft</v>
      </c>
      <c r="F234" s="47"/>
      <c r="G234" s="47" t="str">
        <f>IFERROR(__xludf.DUMMYFUNCTION("""COMPUTED_VALUE"""),"Amazon,Google,Facebook")</f>
        <v>Amazon,Google,Facebook</v>
      </c>
      <c r="H234" s="47" t="str">
        <f>IFERROR(__xludf.DUMMYFUNCTION("""COMPUTED_VALUE"""),"Uber,Apple,Microsoft,Amazon,Google,Facebook")</f>
        <v>Uber,Apple,Microsoft,Amazon,Google,Facebook</v>
      </c>
      <c r="I234" s="47">
        <f>IFERROR(__xludf.DUMMYFUNCTION("""COMPUTED_VALUE"""),58.29)</f>
        <v>58.29</v>
      </c>
      <c r="J234" s="47" t="str">
        <f>IFERROR(__xludf.DUMMYFUNCTION("""COMPUTED_VALUE"""),"算法")</f>
        <v>算法</v>
      </c>
      <c r="K234" s="2" t="s">
        <v>4989</v>
      </c>
      <c r="L234" s="6">
        <f>COUNTIF('Coder-1'!B:B,A234)</f>
        <v>0</v>
      </c>
      <c r="M234" s="6">
        <f>COUNTIF('Coder-2'!B:B,A234)</f>
        <v>0</v>
      </c>
      <c r="N234" s="6">
        <f>COUNTIF('Coder-3'!B:B,A234)</f>
        <v>0</v>
      </c>
      <c r="O234" s="6">
        <f>COUNTIF('Coder-4'!B:B,A234)</f>
        <v>0</v>
      </c>
    </row>
    <row r="235">
      <c r="A235" s="83">
        <v>1063.0</v>
      </c>
      <c r="B235" s="86" t="str">
        <f>IFERROR(__xludf.DUMMYFUNCTION("IF(ISBLANK(A235),,FILTER('Leetcode List'!B:C,'Leetcode List'!A:A = A235))"),"Number of Valid Subarrays")</f>
        <v>Number of Valid Subarrays</v>
      </c>
      <c r="C235" s="47" t="str">
        <f>IFERROR(__xludf.DUMMYFUNCTION("""COMPUTED_VALUE"""),"Hard")</f>
        <v>Hard</v>
      </c>
      <c r="D235" s="83" t="s">
        <v>240</v>
      </c>
      <c r="E235" s="87" t="str">
        <f>IFERROR(__xludf.DUMMYFUNCTION("IF(ISBLANK(A235),,FILTER('Leetcode List'!E:J,'Leetcode List'!A:A = A235))"),"Hulu")</f>
        <v>Hulu</v>
      </c>
      <c r="F235" s="47"/>
      <c r="G235" s="47"/>
      <c r="H235" s="47" t="str">
        <f>IFERROR(__xludf.DUMMYFUNCTION("""COMPUTED_VALUE"""),"Hulu")</f>
        <v>Hulu</v>
      </c>
      <c r="I235" s="47">
        <f>IFERROR(__xludf.DUMMYFUNCTION("""COMPUTED_VALUE"""),72.13)</f>
        <v>72.13</v>
      </c>
      <c r="J235" s="47" t="str">
        <f>IFERROR(__xludf.DUMMYFUNCTION("""COMPUTED_VALUE"""),"算法")</f>
        <v>算法</v>
      </c>
      <c r="K235" s="2" t="s">
        <v>4989</v>
      </c>
      <c r="L235" s="6">
        <f>COUNTIF('Coder-1'!B:B,A235)</f>
        <v>0</v>
      </c>
      <c r="M235" s="6">
        <f>COUNTIF('Coder-2'!B:B,A235)</f>
        <v>0</v>
      </c>
      <c r="N235" s="6">
        <f>COUNTIF('Coder-3'!B:B,A235)</f>
        <v>0</v>
      </c>
      <c r="O235" s="6">
        <f>COUNTIF('Coder-4'!B:B,A235)</f>
        <v>0</v>
      </c>
    </row>
    <row r="236">
      <c r="A236" s="83">
        <v>1124.0</v>
      </c>
      <c r="B236" s="86" t="str">
        <f>IFERROR(__xludf.DUMMYFUNCTION("IF(ISBLANK(A236),,FILTER('Leetcode List'!B:C,'Leetcode List'!A:A = A236))"),"Longest Well-Performing Interval")</f>
        <v>Longest Well-Performing Interval</v>
      </c>
      <c r="C236" s="47" t="str">
        <f>IFERROR(__xludf.DUMMYFUNCTION("""COMPUTED_VALUE"""),"Medium")</f>
        <v>Medium</v>
      </c>
      <c r="D236" s="83" t="s">
        <v>240</v>
      </c>
      <c r="E236" s="87" t="str">
        <f>IFERROR(__xludf.DUMMYFUNCTION("IF(ISBLANK(A236),,FILTER('Leetcode List'!E:J,'Leetcode List'!A:A = A236))"),"Adobe,Infosys")</f>
        <v>Adobe,Infosys</v>
      </c>
      <c r="F236" s="47" t="str">
        <f>IFERROR(__xludf.DUMMYFUNCTION("""COMPUTED_VALUE"""),"Adobe")</f>
        <v>Adobe</v>
      </c>
      <c r="G236" s="47" t="str">
        <f>IFERROR(__xludf.DUMMYFUNCTION("""COMPUTED_VALUE"""),"Adobe")</f>
        <v>Adobe</v>
      </c>
      <c r="H236" s="47" t="str">
        <f>IFERROR(__xludf.DUMMYFUNCTION("""COMPUTED_VALUE"""),"Infosys,Adobe")</f>
        <v>Infosys,Adobe</v>
      </c>
      <c r="I236" s="47">
        <f>IFERROR(__xludf.DUMMYFUNCTION("""COMPUTED_VALUE"""),33.27)</f>
        <v>33.27</v>
      </c>
      <c r="J236" s="47" t="str">
        <f>IFERROR(__xludf.DUMMYFUNCTION("""COMPUTED_VALUE"""),"算法")</f>
        <v>算法</v>
      </c>
      <c r="K236" s="2" t="s">
        <v>4989</v>
      </c>
      <c r="L236" s="6">
        <f>COUNTIF('Coder-1'!B:B,A236)</f>
        <v>0</v>
      </c>
      <c r="M236" s="6">
        <f>COUNTIF('Coder-2'!B:B,A236)</f>
        <v>0</v>
      </c>
      <c r="N236" s="6">
        <f>COUNTIF('Coder-3'!B:B,A236)</f>
        <v>0</v>
      </c>
      <c r="O236" s="6">
        <f>COUNTIF('Coder-4'!B:B,A236)</f>
        <v>0</v>
      </c>
    </row>
    <row r="237">
      <c r="A237" s="83">
        <v>1130.0</v>
      </c>
      <c r="B237" s="86" t="str">
        <f>IFERROR(__xludf.DUMMYFUNCTION("IF(ISBLANK(A237),,FILTER('Leetcode List'!B:C,'Leetcode List'!A:A = A237))"),"Minimum Cost Tree From Leaf Values")</f>
        <v>Minimum Cost Tree From Leaf Values</v>
      </c>
      <c r="C237" s="47" t="str">
        <f>IFERROR(__xludf.DUMMYFUNCTION("""COMPUTED_VALUE"""),"Medium")</f>
        <v>Medium</v>
      </c>
      <c r="D237" s="83" t="s">
        <v>240</v>
      </c>
      <c r="E237" s="87" t="str">
        <f>IFERROR(__xludf.DUMMYFUNCTION("IF(ISBLANK(A237),,FILTER('Leetcode List'!E:J,'Leetcode List'!A:A = A237))"),"Bloomberg,Mathworks,Amazon")</f>
        <v>Bloomberg,Mathworks,Amazon</v>
      </c>
      <c r="F237" s="47" t="str">
        <f>IFERROR(__xludf.DUMMYFUNCTION("""COMPUTED_VALUE"""),"Amazon")</f>
        <v>Amazon</v>
      </c>
      <c r="G237" s="47" t="str">
        <f>IFERROR(__xludf.DUMMYFUNCTION("""COMPUTED_VALUE"""),"Mathworks,Bloomberg,Amazon")</f>
        <v>Mathworks,Bloomberg,Amazon</v>
      </c>
      <c r="H237" s="47" t="str">
        <f>IFERROR(__xludf.DUMMYFUNCTION("""COMPUTED_VALUE"""),"Mathworks,Bloomberg,Amazon")</f>
        <v>Mathworks,Bloomberg,Amazon</v>
      </c>
      <c r="I237" s="47">
        <f>IFERROR(__xludf.DUMMYFUNCTION("""COMPUTED_VALUE"""),67.28)</f>
        <v>67.28</v>
      </c>
      <c r="J237" s="47" t="str">
        <f>IFERROR(__xludf.DUMMYFUNCTION("""COMPUTED_VALUE"""),"算法")</f>
        <v>算法</v>
      </c>
      <c r="K237" s="2" t="s">
        <v>4989</v>
      </c>
      <c r="L237" s="6">
        <f>COUNTIF('Coder-1'!B:B,A237)</f>
        <v>0</v>
      </c>
      <c r="M237" s="6">
        <f>COUNTIF('Coder-2'!B:B,A237)</f>
        <v>0</v>
      </c>
      <c r="N237" s="6">
        <f>COUNTIF('Coder-3'!B:B,A237)</f>
        <v>0</v>
      </c>
      <c r="O237" s="6">
        <f>COUNTIF('Coder-4'!B:B,A237)</f>
        <v>0</v>
      </c>
    </row>
    <row r="238">
      <c r="A238" s="83">
        <v>1673.0</v>
      </c>
      <c r="B238" s="86" t="str">
        <f>IFERROR(__xludf.DUMMYFUNCTION("IF(ISBLANK(A238),,FILTER('Leetcode List'!B:C,'Leetcode List'!A:A = A238))"),"Find the Most Competitive Subsequence")</f>
        <v>Find the Most Competitive Subsequence</v>
      </c>
      <c r="C238" s="47" t="str">
        <f>IFERROR(__xludf.DUMMYFUNCTION("""COMPUTED_VALUE"""),"Medium")</f>
        <v>Medium</v>
      </c>
      <c r="D238" s="83" t="s">
        <v>240</v>
      </c>
      <c r="E238" s="87" t="str">
        <f>IFERROR(__xludf.DUMMYFUNCTION("IF(ISBLANK(A238),,FILTER('Leetcode List'!E:J,'Leetcode List'!A:A = A238))"),"Google")</f>
        <v>Google</v>
      </c>
      <c r="F238" s="47"/>
      <c r="G238" s="47"/>
      <c r="H238" s="47" t="str">
        <f>IFERROR(__xludf.DUMMYFUNCTION("""COMPUTED_VALUE"""),"Google")</f>
        <v>Google</v>
      </c>
      <c r="I238" s="47">
        <f>IFERROR(__xludf.DUMMYFUNCTION("""COMPUTED_VALUE"""),45.44)</f>
        <v>45.44</v>
      </c>
      <c r="J238" s="47" t="str">
        <f>IFERROR(__xludf.DUMMYFUNCTION("""COMPUTED_VALUE"""),"算法")</f>
        <v>算法</v>
      </c>
      <c r="K238" s="2" t="s">
        <v>4989</v>
      </c>
      <c r="L238" s="6">
        <f>COUNTIF('Coder-1'!B:B,A238)</f>
        <v>0</v>
      </c>
      <c r="M238" s="6">
        <f>COUNTIF('Coder-2'!B:B,A238)</f>
        <v>0</v>
      </c>
      <c r="N238" s="6">
        <f>COUNTIF('Coder-3'!B:B,A238)</f>
        <v>0</v>
      </c>
      <c r="O238" s="6">
        <f>COUNTIF('Coder-4'!B:B,A238)</f>
        <v>0</v>
      </c>
    </row>
    <row r="239">
      <c r="A239" s="83">
        <v>71.0</v>
      </c>
      <c r="B239" s="86" t="str">
        <f>IFERROR(__xludf.DUMMYFUNCTION("IF(ISBLANK(A239),,FILTER('Leetcode List'!B:C,'Leetcode List'!A:A = A239))"),"Simplify Path")</f>
        <v>Simplify Path</v>
      </c>
      <c r="C239" s="83" t="str">
        <f>IFERROR(__xludf.DUMMYFUNCTION("""COMPUTED_VALUE"""),"Medium")</f>
        <v>Medium</v>
      </c>
      <c r="D239" s="83" t="s">
        <v>240</v>
      </c>
      <c r="E239" s="87" t="str">
        <f>IFERROR(__xludf.DUMMYFUNCTION("IF(ISBLANK(A239),,FILTER('Leetcode List'!E:J,'Leetcode List'!A:A = A239))"),"Qualtrics,Adobe,Google,Docusign,ByteDance,Salesforce,Oracle,Yandex,Bloomberg,Facebook,Amazon,Microsoft")</f>
        <v>Qualtrics,Adobe,Google,Docusign,ByteDance,Salesforce,Oracle,Yandex,Bloomberg,Facebook,Amazon,Microsoft</v>
      </c>
      <c r="F239" s="47" t="str">
        <f>IFERROR(__xludf.DUMMYFUNCTION("""COMPUTED_VALUE"""),"Facebook,Amazon,Microsoft,Google")</f>
        <v>Facebook,Amazon,Microsoft,Google</v>
      </c>
      <c r="G239" s="47" t="str">
        <f>IFERROR(__xludf.DUMMYFUNCTION("""COMPUTED_VALUE"""),"Adobe,Bloomberg,Oracle,Facebook,Amazon,Microsoft,Google")</f>
        <v>Adobe,Bloomberg,Oracle,Facebook,Amazon,Microsoft,Google</v>
      </c>
      <c r="H239" s="47" t="str">
        <f>IFERROR(__xludf.DUMMYFUNCTION("""COMPUTED_VALUE"""),"Yandex,Qualtrics,Docusign,Adobe,Bloomberg,Oracle,Facebook,Amazon,Microsoft,Google")</f>
        <v>Yandex,Qualtrics,Docusign,Adobe,Bloomberg,Oracle,Facebook,Amazon,Microsoft,Google</v>
      </c>
      <c r="I239" s="47">
        <f>IFERROR(__xludf.DUMMYFUNCTION("""COMPUTED_VALUE"""),34.8)</f>
        <v>34.8</v>
      </c>
      <c r="J239" s="47" t="str">
        <f>IFERROR(__xludf.DUMMYFUNCTION("""COMPUTED_VALUE"""),"算法")</f>
        <v>算法</v>
      </c>
      <c r="K239" s="2" t="s">
        <v>4990</v>
      </c>
      <c r="L239" s="6">
        <f>COUNTIF('Coder-1'!B:B,A239)</f>
        <v>0</v>
      </c>
      <c r="M239" s="6">
        <f>COUNTIF('Coder-2'!B:B,A239)</f>
        <v>0</v>
      </c>
      <c r="N239" s="6">
        <f>COUNTIF('Coder-3'!B:B,A239)</f>
        <v>0</v>
      </c>
      <c r="O239" s="6">
        <f>COUNTIF('Coder-4'!B:B,A239)</f>
        <v>0</v>
      </c>
    </row>
    <row r="240">
      <c r="A240" s="83">
        <v>224.0</v>
      </c>
      <c r="B240" s="86" t="str">
        <f>IFERROR(__xludf.DUMMYFUNCTION("IF(ISBLANK(A240),,FILTER('Leetcode List'!B:C,'Leetcode List'!A:A = A240))"),"Basic Calculator")</f>
        <v>Basic Calculator</v>
      </c>
      <c r="C240" s="83" t="str">
        <f>IFERROR(__xludf.DUMMYFUNCTION("""COMPUTED_VALUE"""),"Hard")</f>
        <v>Hard</v>
      </c>
      <c r="D240" s="83" t="s">
        <v>240</v>
      </c>
      <c r="E240" s="87" t="str">
        <f>IFERROR(__xludf.DUMMYFUNCTION("IF(ISBLANK(A240),,FILTER('Leetcode List'!E:J,'Leetcode List'!A:A = A240))"),"Wayfair,Wish,ByteDance,Salesforce,Oracle,Apple,Jump Trading,Karat,Robinhood,Pinterest,Roblox,Snapchat,Indeed,Paypal,Intuit,Uber,Bloomberg,Adobe,Facebook,Amazon,Microsoft,Google")</f>
        <v>Wayfair,Wish,ByteDance,Salesforce,Oracle,Apple,Jump Trading,Karat,Robinhood,Pinterest,Roblox,Snapchat,Indeed,Paypal,Intuit,Uber,Bloomberg,Adobe,Facebook,Amazon,Microsoft,Google</v>
      </c>
      <c r="F240" s="47" t="str">
        <f>IFERROR(__xludf.DUMMYFUNCTION("""COMPUTED_VALUE"""),"Amazon,Indeed,Roblox,Facebook,Karat,Google,Uber,Microsoft,ByteDance,Wish")</f>
        <v>Amazon,Indeed,Roblox,Facebook,Karat,Google,Uber,Microsoft,ByteDance,Wish</v>
      </c>
      <c r="G240" s="47" t="str">
        <f>IFERROR(__xludf.DUMMYFUNCTION("""COMPUTED_VALUE"""),"Paypal,Robinhood,Wayfair,Amazon,Indeed,Roblox,Facebook,Karat,Google,Uber,Microsoft,ByteDance,Wish")</f>
        <v>Paypal,Robinhood,Wayfair,Amazon,Indeed,Roblox,Facebook,Karat,Google,Uber,Microsoft,ByteDance,Wish</v>
      </c>
      <c r="H240" s="47" t="str">
        <f>IFERROR(__xludf.DUMMYFUNCTION("""COMPUTED_VALUE"""),"Snapchat,Apple,Oracle,Salesforce,Paypal,Robinhood,Wayfair,Amazon,Indeed,Roblox,Facebook,Karat,Google,Uber,Microsoft,ByteDance,Wish")</f>
        <v>Snapchat,Apple,Oracle,Salesforce,Paypal,Robinhood,Wayfair,Amazon,Indeed,Roblox,Facebook,Karat,Google,Uber,Microsoft,ByteDance,Wish</v>
      </c>
      <c r="I240" s="47">
        <f>IFERROR(__xludf.DUMMYFUNCTION("""COMPUTED_VALUE"""),38.21)</f>
        <v>38.21</v>
      </c>
      <c r="J240" s="47" t="str">
        <f>IFERROR(__xludf.DUMMYFUNCTION("""COMPUTED_VALUE"""),"算法")</f>
        <v>算法</v>
      </c>
      <c r="K240" s="2" t="s">
        <v>4990</v>
      </c>
      <c r="L240" s="6">
        <f>COUNTIF('Coder-1'!B:B,A240)</f>
        <v>0</v>
      </c>
      <c r="M240" s="6">
        <f>COUNTIF('Coder-2'!B:B,A240)</f>
        <v>0</v>
      </c>
      <c r="N240" s="6">
        <f>COUNTIF('Coder-3'!B:B,A240)</f>
        <v>0</v>
      </c>
      <c r="O240" s="6">
        <f>COUNTIF('Coder-4'!B:B,A240)</f>
        <v>0</v>
      </c>
    </row>
    <row r="241">
      <c r="A241" s="83">
        <v>227.0</v>
      </c>
      <c r="B241" s="86" t="str">
        <f>IFERROR(__xludf.DUMMYFUNCTION("IF(ISBLANK(A241),,FILTER('Leetcode List'!B:C,'Leetcode List'!A:A = A241))"),"Basic Calculator II")</f>
        <v>Basic Calculator II</v>
      </c>
      <c r="C241" s="83" t="str">
        <f>IFERROR(__xludf.DUMMYFUNCTION("""COMPUTED_VALUE"""),"Medium")</f>
        <v>Medium</v>
      </c>
      <c r="D241" s="83" t="s">
        <v>240</v>
      </c>
      <c r="E241" s="87" t="str">
        <f>IFERROR(__xludf.DUMMYFUNCTION("IF(ISBLANK(A241),,FILTER('Leetcode List'!E:J,'Leetcode List'!A:A = A241))"),"Postmates,Grab,Roblox,ByteDance,Reddit,DoorDash,IXL,Houzz,Atlassian,Tableau,Walmart Labs,Snapchat,Indeed,Paypal,Yelp,Oracle,Intuit,EBay,Apple,Airbnb,Uber,Tencent,Facebook,Amazon,Microsoft,Google")</f>
        <v>Postmates,Grab,Roblox,ByteDance,Reddit,DoorDash,IXL,Houzz,Atlassian,Tableau,Walmart Labs,Snapchat,Indeed,Paypal,Yelp,Oracle,Intuit,EBay,Apple,Airbnb,Uber,Tencent,Facebook,Amazon,Microsoft,Google</v>
      </c>
      <c r="F241" s="47" t="str">
        <f>IFERROR(__xludf.DUMMYFUNCTION("""COMPUTED_VALUE"""),"Amazon,Facebook,Microsoft,Roblox,Snapchat,Uber,Apple,Oracle")</f>
        <v>Amazon,Facebook,Microsoft,Roblox,Snapchat,Uber,Apple,Oracle</v>
      </c>
      <c r="G241" s="47" t="str">
        <f>IFERROR(__xludf.DUMMYFUNCTION("""COMPUTED_VALUE"""),"eBay,Google,Postmates,ByteDance,Grab,Amazon,Facebook,Microsoft,Roblox,Snapchat,Uber,Apple,Oracle")</f>
        <v>eBay,Google,Postmates,ByteDance,Grab,Amazon,Facebook,Microsoft,Roblox,Snapchat,Uber,Apple,Oracle</v>
      </c>
      <c r="H241" s="47" t="str">
        <f>IFERROR(__xludf.DUMMYFUNCTION("""COMPUTED_VALUE"""),"Houzz,Indeed,Reddit,DoorDash,Tableau,Walmart Labs,Paypal,Airbnb,eBay,Google,Postmates,ByteDance,Grab,Amazon,Facebook,Microsoft,Roblox,Snapchat,Uber,Apple,Oracle")</f>
        <v>Houzz,Indeed,Reddit,DoorDash,Tableau,Walmart Labs,Paypal,Airbnb,eBay,Google,Postmates,ByteDance,Grab,Amazon,Facebook,Microsoft,Roblox,Snapchat,Uber,Apple,Oracle</v>
      </c>
      <c r="I241" s="47">
        <f>IFERROR(__xludf.DUMMYFUNCTION("""COMPUTED_VALUE"""),38.63)</f>
        <v>38.63</v>
      </c>
      <c r="J241" s="47" t="str">
        <f>IFERROR(__xludf.DUMMYFUNCTION("""COMPUTED_VALUE"""),"算法")</f>
        <v>算法</v>
      </c>
      <c r="K241" s="2" t="s">
        <v>4990</v>
      </c>
      <c r="L241" s="6">
        <f>COUNTIF('Coder-1'!B:B,A241)</f>
        <v>0</v>
      </c>
      <c r="M241" s="6">
        <f>COUNTIF('Coder-2'!B:B,A241)</f>
        <v>0</v>
      </c>
      <c r="N241" s="6">
        <f>COUNTIF('Coder-3'!B:B,A241)</f>
        <v>0</v>
      </c>
      <c r="O241" s="6">
        <f>COUNTIF('Coder-4'!B:B,A241)</f>
        <v>0</v>
      </c>
    </row>
    <row r="242">
      <c r="A242" s="83">
        <v>772.0</v>
      </c>
      <c r="B242" s="86" t="str">
        <f>IFERROR(__xludf.DUMMYFUNCTION("IF(ISBLANK(A242),,FILTER('Leetcode List'!B:C,'Leetcode List'!A:A = A242))"),"Basic Calculator III")</f>
        <v>Basic Calculator III</v>
      </c>
      <c r="C242" s="83" t="str">
        <f>IFERROR(__xludf.DUMMYFUNCTION("""COMPUTED_VALUE"""),"Hard")</f>
        <v>Hard</v>
      </c>
      <c r="D242" s="83" t="s">
        <v>240</v>
      </c>
      <c r="E242" s="87" t="str">
        <f>IFERROR(__xludf.DUMMYFUNCTION("IF(ISBLANK(A242),,FILTER('Leetcode List'!E:J,'Leetcode List'!A:A = A242))"),"Robinhood,ByteDance,EBay,Jingchi,Hulu,DoorDash,Pinterest,Pocket Gems,Houzz,Snapchat,Apple,Uber,Facebook,Amazon,Microsoft,Google")</f>
        <v>Robinhood,ByteDance,EBay,Jingchi,Hulu,DoorDash,Pinterest,Pocket Gems,Houzz,Snapchat,Apple,Uber,Facebook,Amazon,Microsoft,Google</v>
      </c>
      <c r="F242" s="47" t="str">
        <f>IFERROR(__xludf.DUMMYFUNCTION("""COMPUTED_VALUE"""),"Facebook,ByteDance")</f>
        <v>Facebook,ByteDance</v>
      </c>
      <c r="G242" s="47" t="str">
        <f>IFERROR(__xludf.DUMMYFUNCTION("""COMPUTED_VALUE"""),"Amazon,Snapchat,Apple,eBay,Facebook,ByteDance")</f>
        <v>Amazon,Snapchat,Apple,eBay,Facebook,ByteDance</v>
      </c>
      <c r="H242" s="47" t="str">
        <f>IFERROR(__xludf.DUMMYFUNCTION("""COMPUTED_VALUE"""),"Uber,Google,Microsoft,Robinhood,Jingchi,Pocket Gems,Hulu,Houzz,DoorDash,Amazon,Snapchat,Apple,eBay,Facebook,ByteDance")</f>
        <v>Uber,Google,Microsoft,Robinhood,Jingchi,Pocket Gems,Hulu,Houzz,DoorDash,Amazon,Snapchat,Apple,eBay,Facebook,ByteDance</v>
      </c>
      <c r="I242" s="47">
        <f>IFERROR(__xludf.DUMMYFUNCTION("""COMPUTED_VALUE"""),43.82)</f>
        <v>43.82</v>
      </c>
      <c r="J242" s="47" t="str">
        <f>IFERROR(__xludf.DUMMYFUNCTION("""COMPUTED_VALUE"""),"算法")</f>
        <v>算法</v>
      </c>
      <c r="K242" s="2" t="s">
        <v>4990</v>
      </c>
      <c r="L242" s="6">
        <f>COUNTIF('Coder-1'!B:B,A242)</f>
        <v>0</v>
      </c>
      <c r="M242" s="6">
        <f>COUNTIF('Coder-2'!B:B,A242)</f>
        <v>0</v>
      </c>
      <c r="N242" s="6">
        <f>COUNTIF('Coder-3'!B:B,A242)</f>
        <v>0</v>
      </c>
      <c r="O242" s="6">
        <f>COUNTIF('Coder-4'!B:B,A242)</f>
        <v>0</v>
      </c>
    </row>
    <row r="243">
      <c r="A243" s="83">
        <v>385.0</v>
      </c>
      <c r="B243" s="86" t="str">
        <f>IFERROR(__xludf.DUMMYFUNCTION("IF(ISBLANK(A243),,FILTER('Leetcode List'!B:C,'Leetcode List'!A:A = A243))"),"Mini Parser")</f>
        <v>Mini Parser</v>
      </c>
      <c r="C243" s="83" t="str">
        <f>IFERROR(__xludf.DUMMYFUNCTION("""COMPUTED_VALUE"""),"Medium")</f>
        <v>Medium</v>
      </c>
      <c r="D243" s="83" t="s">
        <v>240</v>
      </c>
      <c r="E243" s="87" t="str">
        <f>IFERROR(__xludf.DUMMYFUNCTION("IF(ISBLANK(A243),,FILTER('Leetcode List'!E:J,'Leetcode List'!A:A = A243))"),"Airbnb,Google")</f>
        <v>Airbnb,Google</v>
      </c>
      <c r="F243" s="47"/>
      <c r="G243" s="47"/>
      <c r="H243" s="47" t="str">
        <f>IFERROR(__xludf.DUMMYFUNCTION("""COMPUTED_VALUE"""),"Google,Airbnb")</f>
        <v>Google,Airbnb</v>
      </c>
      <c r="I243" s="47">
        <f>IFERROR(__xludf.DUMMYFUNCTION("""COMPUTED_VALUE"""),34.53)</f>
        <v>34.53</v>
      </c>
      <c r="J243" s="47" t="str">
        <f>IFERROR(__xludf.DUMMYFUNCTION("""COMPUTED_VALUE"""),"算法")</f>
        <v>算法</v>
      </c>
      <c r="K243" s="2" t="s">
        <v>4990</v>
      </c>
      <c r="L243" s="6">
        <f>COUNTIF('Coder-1'!B:B,A243)</f>
        <v>0</v>
      </c>
      <c r="M243" s="6">
        <f>COUNTIF('Coder-2'!B:B,A243)</f>
        <v>0</v>
      </c>
      <c r="N243" s="6">
        <f>COUNTIF('Coder-3'!B:B,A243)</f>
        <v>0</v>
      </c>
      <c r="O243" s="6">
        <f>COUNTIF('Coder-4'!B:B,A243)</f>
        <v>0</v>
      </c>
    </row>
    <row r="244">
      <c r="A244" s="83">
        <v>439.0</v>
      </c>
      <c r="B244" s="86" t="str">
        <f>IFERROR(__xludf.DUMMYFUNCTION("IF(ISBLANK(A244),,FILTER('Leetcode List'!B:C,'Leetcode List'!A:A = A244))"),"Ternary Expression Parser")</f>
        <v>Ternary Expression Parser</v>
      </c>
      <c r="C244" s="83" t="str">
        <f>IFERROR(__xludf.DUMMYFUNCTION("""COMPUTED_VALUE"""),"Medium")</f>
        <v>Medium</v>
      </c>
      <c r="D244" s="83" t="s">
        <v>240</v>
      </c>
      <c r="E244" s="87" t="str">
        <f>IFERROR(__xludf.DUMMYFUNCTION("IF(ISBLANK(A244),,FILTER('Leetcode List'!E:J,'Leetcode List'!A:A = A244))"),"Snapchat")</f>
        <v>Snapchat</v>
      </c>
      <c r="F244" s="47"/>
      <c r="G244" s="47"/>
      <c r="H244" s="47" t="str">
        <f>IFERROR(__xludf.DUMMYFUNCTION("""COMPUTED_VALUE"""),"Snapchat")</f>
        <v>Snapchat</v>
      </c>
      <c r="I244" s="47">
        <f>IFERROR(__xludf.DUMMYFUNCTION("""COMPUTED_VALUE"""),56.79)</f>
        <v>56.79</v>
      </c>
      <c r="J244" s="47" t="str">
        <f>IFERROR(__xludf.DUMMYFUNCTION("""COMPUTED_VALUE"""),"算法")</f>
        <v>算法</v>
      </c>
      <c r="K244" s="2" t="s">
        <v>4990</v>
      </c>
      <c r="L244" s="6">
        <f>COUNTIF('Coder-1'!B:B,A244)</f>
        <v>0</v>
      </c>
      <c r="M244" s="6">
        <f>COUNTIF('Coder-2'!B:B,A244)</f>
        <v>0</v>
      </c>
      <c r="N244" s="6">
        <f>COUNTIF('Coder-3'!B:B,A244)</f>
        <v>0</v>
      </c>
      <c r="O244" s="6">
        <f>COUNTIF('Coder-4'!B:B,A244)</f>
        <v>0</v>
      </c>
    </row>
    <row r="245">
      <c r="A245" s="83">
        <v>591.0</v>
      </c>
      <c r="B245" s="86" t="str">
        <f>IFERROR(__xludf.DUMMYFUNCTION("IF(ISBLANK(A245),,FILTER('Leetcode List'!B:C,'Leetcode List'!A:A = A245))"),"Tag Validator")</f>
        <v>Tag Validator</v>
      </c>
      <c r="C245" s="83" t="str">
        <f>IFERROR(__xludf.DUMMYFUNCTION("""COMPUTED_VALUE"""),"Hard")</f>
        <v>Hard</v>
      </c>
      <c r="D245" s="83" t="s">
        <v>240</v>
      </c>
      <c r="E245" s="87" t="str">
        <f>IFERROR(__xludf.DUMMYFUNCTION("IF(ISBLANK(A245),,FILTER('Leetcode List'!E:J,'Leetcode List'!A:A = A245))"),"Airbnb,Uber,Microsoft,Google")</f>
        <v>Airbnb,Uber,Microsoft,Google</v>
      </c>
      <c r="F245" s="47"/>
      <c r="G245" s="47"/>
      <c r="H245" s="47" t="str">
        <f>IFERROR(__xludf.DUMMYFUNCTION("""COMPUTED_VALUE"""),"Google,Uber,Microsoft,Airbnb")</f>
        <v>Google,Uber,Microsoft,Airbnb</v>
      </c>
      <c r="I245" s="47">
        <f>IFERROR(__xludf.DUMMYFUNCTION("""COMPUTED_VALUE"""),34.73)</f>
        <v>34.73</v>
      </c>
      <c r="J245" s="47" t="str">
        <f>IFERROR(__xludf.DUMMYFUNCTION("""COMPUTED_VALUE"""),"算法")</f>
        <v>算法</v>
      </c>
      <c r="K245" s="2" t="s">
        <v>4990</v>
      </c>
      <c r="L245" s="6">
        <f>COUNTIF('Coder-1'!B:B,A245)</f>
        <v>0</v>
      </c>
      <c r="M245" s="6">
        <f>COUNTIF('Coder-2'!B:B,A245)</f>
        <v>0</v>
      </c>
      <c r="N245" s="6">
        <f>COUNTIF('Coder-3'!B:B,A245)</f>
        <v>0</v>
      </c>
      <c r="O245" s="6">
        <f>COUNTIF('Coder-4'!B:B,A245)</f>
        <v>0</v>
      </c>
    </row>
    <row r="246">
      <c r="A246" s="83">
        <v>726.0</v>
      </c>
      <c r="B246" s="86" t="str">
        <f>IFERROR(__xludf.DUMMYFUNCTION("IF(ISBLANK(A246),,FILTER('Leetcode List'!B:C,'Leetcode List'!A:A = A246))"),"Number of Atoms")</f>
        <v>Number of Atoms</v>
      </c>
      <c r="C246" s="83" t="str">
        <f>IFERROR(__xludf.DUMMYFUNCTION("""COMPUTED_VALUE"""),"Hard")</f>
        <v>Hard</v>
      </c>
      <c r="D246" s="83" t="s">
        <v>240</v>
      </c>
      <c r="E246" s="87" t="str">
        <f>IFERROR(__xludf.DUMMYFUNCTION("IF(ISBLANK(A246),,FILTER('Leetcode List'!E:J,'Leetcode List'!A:A = A246))"),"Microsoft,Pinterest,ByteDance,Adobe,Facebook,Amazon,Google")</f>
        <v>Microsoft,Pinterest,ByteDance,Adobe,Facebook,Amazon,Google</v>
      </c>
      <c r="F246" s="47" t="str">
        <f>IFERROR(__xludf.DUMMYFUNCTION("""COMPUTED_VALUE"""),"ByteDance,Google,Pinterest,Amazon,Microsoft")</f>
        <v>ByteDance,Google,Pinterest,Amazon,Microsoft</v>
      </c>
      <c r="G246" s="47" t="str">
        <f>IFERROR(__xludf.DUMMYFUNCTION("""COMPUTED_VALUE"""),"ByteDance,Google,Pinterest,Amazon,Microsoft")</f>
        <v>ByteDance,Google,Pinterest,Amazon,Microsoft</v>
      </c>
      <c r="H246" s="47" t="str">
        <f>IFERROR(__xludf.DUMMYFUNCTION("""COMPUTED_VALUE"""),"Adobe,ByteDance,Google,Pinterest,Amazon,Microsoft")</f>
        <v>Adobe,ByteDance,Google,Pinterest,Amazon,Microsoft</v>
      </c>
      <c r="I246" s="47">
        <f>IFERROR(__xludf.DUMMYFUNCTION("""COMPUTED_VALUE"""),50.98)</f>
        <v>50.98</v>
      </c>
      <c r="J246" s="47" t="str">
        <f>IFERROR(__xludf.DUMMYFUNCTION("""COMPUTED_VALUE"""),"算法")</f>
        <v>算法</v>
      </c>
      <c r="K246" s="2" t="s">
        <v>4990</v>
      </c>
      <c r="L246" s="6">
        <f>COUNTIF('Coder-1'!B:B,A246)</f>
        <v>0</v>
      </c>
      <c r="M246" s="6">
        <f>COUNTIF('Coder-2'!B:B,A246)</f>
        <v>0</v>
      </c>
      <c r="N246" s="6">
        <f>COUNTIF('Coder-3'!B:B,A246)</f>
        <v>0</v>
      </c>
      <c r="O246" s="6">
        <f>COUNTIF('Coder-4'!B:B,A246)</f>
        <v>0</v>
      </c>
    </row>
    <row r="247">
      <c r="A247" s="83">
        <v>1087.0</v>
      </c>
      <c r="B247" s="86" t="str">
        <f>IFERROR(__xludf.DUMMYFUNCTION("IF(ISBLANK(A247),,FILTER('Leetcode List'!B:C,'Leetcode List'!A:A = A247))"),"Brace Expansion")</f>
        <v>Brace Expansion</v>
      </c>
      <c r="C247" s="83" t="str">
        <f>IFERROR(__xludf.DUMMYFUNCTION("""COMPUTED_VALUE"""),"Medium")</f>
        <v>Medium</v>
      </c>
      <c r="D247" s="83" t="s">
        <v>240</v>
      </c>
      <c r="E247" s="87" t="str">
        <f>IFERROR(__xludf.DUMMYFUNCTION("IF(ISBLANK(A247),,FILTER('Leetcode List'!E:J,'Leetcode List'!A:A = A247))"),"Google")</f>
        <v>Google</v>
      </c>
      <c r="F247" s="47"/>
      <c r="G247" s="47" t="str">
        <f>IFERROR(__xludf.DUMMYFUNCTION("""COMPUTED_VALUE"""),"Google")</f>
        <v>Google</v>
      </c>
      <c r="H247" s="47" t="str">
        <f>IFERROR(__xludf.DUMMYFUNCTION("""COMPUTED_VALUE"""),"Google")</f>
        <v>Google</v>
      </c>
      <c r="I247" s="47">
        <f>IFERROR(__xludf.DUMMYFUNCTION("""COMPUTED_VALUE"""),63.09)</f>
        <v>63.09</v>
      </c>
      <c r="J247" s="47" t="str">
        <f>IFERROR(__xludf.DUMMYFUNCTION("""COMPUTED_VALUE"""),"算法")</f>
        <v>算法</v>
      </c>
      <c r="K247" s="2" t="s">
        <v>4990</v>
      </c>
      <c r="L247" s="6">
        <f>COUNTIF('Coder-1'!B:B,A247)</f>
        <v>0</v>
      </c>
      <c r="M247" s="6">
        <f>COUNTIF('Coder-2'!B:B,A247)</f>
        <v>0</v>
      </c>
      <c r="N247" s="6">
        <f>COUNTIF('Coder-3'!B:B,A247)</f>
        <v>0</v>
      </c>
      <c r="O247" s="6">
        <f>COUNTIF('Coder-4'!B:B,A247)</f>
        <v>0</v>
      </c>
    </row>
    <row r="248">
      <c r="A248" s="83">
        <v>1096.0</v>
      </c>
      <c r="B248" s="86" t="str">
        <f>IFERROR(__xludf.DUMMYFUNCTION("IF(ISBLANK(A248),,FILTER('Leetcode List'!B:C,'Leetcode List'!A:A = A248))"),"Brace Expansion II")</f>
        <v>Brace Expansion II</v>
      </c>
      <c r="C248" s="83" t="str">
        <f>IFERROR(__xludf.DUMMYFUNCTION("""COMPUTED_VALUE"""),"Hard")</f>
        <v>Hard</v>
      </c>
      <c r="D248" s="83" t="s">
        <v>240</v>
      </c>
      <c r="E248" s="87" t="str">
        <f>IFERROR(__xludf.DUMMYFUNCTION("IF(ISBLANK(A248),,FILTER('Leetcode List'!E:J,'Leetcode List'!A:A = A248))"),"Adobe,Google")</f>
        <v>Adobe,Google</v>
      </c>
      <c r="F248" s="47"/>
      <c r="G248" s="47"/>
      <c r="H248" s="47" t="str">
        <f>IFERROR(__xludf.DUMMYFUNCTION("""COMPUTED_VALUE"""),"Google,Adobe")</f>
        <v>Google,Adobe</v>
      </c>
      <c r="I248" s="47">
        <f>IFERROR(__xludf.DUMMYFUNCTION("""COMPUTED_VALUE"""),62.55)</f>
        <v>62.55</v>
      </c>
      <c r="J248" s="47" t="str">
        <f>IFERROR(__xludf.DUMMYFUNCTION("""COMPUTED_VALUE"""),"算法")</f>
        <v>算法</v>
      </c>
      <c r="K248" s="2" t="s">
        <v>4990</v>
      </c>
      <c r="L248" s="6">
        <f>COUNTIF('Coder-1'!B:B,A248)</f>
        <v>0</v>
      </c>
      <c r="M248" s="6">
        <f>COUNTIF('Coder-2'!B:B,A248)</f>
        <v>0</v>
      </c>
      <c r="N248" s="6">
        <f>COUNTIF('Coder-3'!B:B,A248)</f>
        <v>0</v>
      </c>
      <c r="O248" s="6">
        <f>COUNTIF('Coder-4'!B:B,A248)</f>
        <v>0</v>
      </c>
    </row>
    <row r="249">
      <c r="A249" s="83">
        <v>1106.0</v>
      </c>
      <c r="B249" s="86" t="str">
        <f>IFERROR(__xludf.DUMMYFUNCTION("IF(ISBLANK(A249),,FILTER('Leetcode List'!B:C,'Leetcode List'!A:A = A249))"),"Parsing A Boolean Expression")</f>
        <v>Parsing A Boolean Expression</v>
      </c>
      <c r="C249" s="83" t="str">
        <f>IFERROR(__xludf.DUMMYFUNCTION("""COMPUTED_VALUE"""),"Hard")</f>
        <v>Hard</v>
      </c>
      <c r="D249" s="83" t="s">
        <v>240</v>
      </c>
      <c r="E249" s="87" t="str">
        <f>IFERROR(__xludf.DUMMYFUNCTION("IF(ISBLANK(A249),,FILTER('Leetcode List'!E:J,'Leetcode List'!A:A = A249))"),"Affinity")</f>
        <v>Affinity</v>
      </c>
      <c r="F249" s="47"/>
      <c r="G249" s="47"/>
      <c r="H249" s="47" t="str">
        <f>IFERROR(__xludf.DUMMYFUNCTION("""COMPUTED_VALUE"""),"Affinity")</f>
        <v>Affinity</v>
      </c>
      <c r="I249" s="47">
        <f>IFERROR(__xludf.DUMMYFUNCTION("""COMPUTED_VALUE"""),59.26)</f>
        <v>59.26</v>
      </c>
      <c r="J249" s="47" t="str">
        <f>IFERROR(__xludf.DUMMYFUNCTION("""COMPUTED_VALUE"""),"算法")</f>
        <v>算法</v>
      </c>
      <c r="K249" s="2" t="s">
        <v>4990</v>
      </c>
      <c r="L249" s="6">
        <f>COUNTIF('Coder-1'!B:B,A249)</f>
        <v>0</v>
      </c>
      <c r="M249" s="6">
        <f>COUNTIF('Coder-2'!B:B,A249)</f>
        <v>0</v>
      </c>
      <c r="N249" s="6">
        <f>COUNTIF('Coder-3'!B:B,A249)</f>
        <v>0</v>
      </c>
      <c r="O249" s="6">
        <f>COUNTIF('Coder-4'!B:B,A249)</f>
        <v>0</v>
      </c>
    </row>
    <row r="250">
      <c r="A250" s="83">
        <v>239.0</v>
      </c>
      <c r="B250" s="86" t="str">
        <f>IFERROR(__xludf.DUMMYFUNCTION("IF(ISBLANK(A250),,FILTER('Leetcode List'!B:C,'Leetcode List'!A:A = A250))"),"Sliding Window Maximum")</f>
        <v>Sliding Window Maximum</v>
      </c>
      <c r="C250" s="83" t="str">
        <f>IFERROR(__xludf.DUMMYFUNCTION("""COMPUTED_VALUE"""),"Hard")</f>
        <v>Hard</v>
      </c>
      <c r="D250" s="83" t="s">
        <v>4991</v>
      </c>
      <c r="E250" s="87" t="str">
        <f>IFERROR(__xludf.DUMMYFUNCTION("IF(ISBLANK(A250),,FILTER('Leetcode List'!E:J,'Leetcode List'!A:A = A250))"),"AppDynamics,Akuna Capital,Snapchat,Twilio,Dropbox,Expedia,IBM,Nutanix,Pinterest,Databricks,Coursera,Zenefits,Roblox,ByteDance,VMware,Citadel,Twitter,Wish,Yelp,Oracle,Lyft,Apple,Uber,Bloomberg,Adobe,Facebook,Amazon,Microsoft,Alibaba,Google")</f>
        <v>AppDynamics,Akuna Capital,Snapchat,Twilio,Dropbox,Expedia,IBM,Nutanix,Pinterest,Databricks,Coursera,Zenefits,Roblox,ByteDance,VMware,Citadel,Twitter,Wish,Yelp,Oracle,Lyft,Apple,Uber,Bloomberg,Adobe,Facebook,Amazon,Microsoft,Alibaba,Google</v>
      </c>
      <c r="F250" s="47" t="str">
        <f>IFERROR(__xludf.DUMMYFUNCTION("""COMPUTED_VALUE"""),"Amazon,Dropbox,Facebook,ByteDance,Citadel,Google,Bloomberg,Microsoft,Akuna Capital,IBM,Twitter,Twilio")</f>
        <v>Amazon,Dropbox,Facebook,ByteDance,Citadel,Google,Bloomberg,Microsoft,Akuna Capital,IBM,Twitter,Twilio</v>
      </c>
      <c r="G250" s="47" t="str">
        <f>IFERROR(__xludf.DUMMYFUNCTION("""COMPUTED_VALUE"""),"Databricks,Uber,Roblox,Apple,Adobe,Oracle,Expedia,Amazon,Dropbox,Facebook,ByteDance,Citadel,Google,Bloomberg,Microsoft,Akuna Capital,IBM,Twitter,Twilio")</f>
        <v>Databricks,Uber,Roblox,Apple,Adobe,Oracle,Expedia,Amazon,Dropbox,Facebook,ByteDance,Citadel,Google,Bloomberg,Microsoft,Akuna Capital,IBM,Twitter,Twilio</v>
      </c>
      <c r="H250" s="47" t="str">
        <f>IFERROR(__xludf.DUMMYFUNCTION("""COMPUTED_VALUE"""),"Wish,Snapchat,VMware,AppDynamics,Zenefits,Databricks,Uber,Roblox,Apple,Adobe,Oracle,Expedia,Amazon,Dropbox,Facebook,ByteDance,Citadel,Google,Bloomberg,Microsoft,Akuna Capital,IBM,Twitter,Twilio")</f>
        <v>Wish,Snapchat,VMware,AppDynamics,Zenefits,Databricks,Uber,Roblox,Apple,Adobe,Oracle,Expedia,Amazon,Dropbox,Facebook,ByteDance,Citadel,Google,Bloomberg,Microsoft,Akuna Capital,IBM,Twitter,Twilio</v>
      </c>
      <c r="I250" s="47">
        <f>IFERROR(__xludf.DUMMYFUNCTION("""COMPUTED_VALUE"""),44.68)</f>
        <v>44.68</v>
      </c>
      <c r="J250" s="47" t="str">
        <f>IFERROR(__xludf.DUMMYFUNCTION("""COMPUTED_VALUE"""),"算法")</f>
        <v>算法</v>
      </c>
      <c r="L250" s="6">
        <f>COUNTIF('Coder-1'!B:B,A250)</f>
        <v>0</v>
      </c>
      <c r="M250" s="6">
        <f>COUNTIF('Coder-2'!B:B,A250)</f>
        <v>0</v>
      </c>
      <c r="N250" s="6">
        <f>COUNTIF('Coder-3'!B:B,A250)</f>
        <v>0</v>
      </c>
      <c r="O250" s="6">
        <f>COUNTIF('Coder-4'!B:B,A250)</f>
        <v>0</v>
      </c>
    </row>
    <row r="251">
      <c r="A251" s="83">
        <v>862.0</v>
      </c>
      <c r="B251" s="86" t="str">
        <f>IFERROR(__xludf.DUMMYFUNCTION("IF(ISBLANK(A251),,FILTER('Leetcode List'!B:C,'Leetcode List'!A:A = A251))"),"Shortest Subarray with Sum at Least K")</f>
        <v>Shortest Subarray with Sum at Least K</v>
      </c>
      <c r="C251" s="83" t="str">
        <f>IFERROR(__xludf.DUMMYFUNCTION("""COMPUTED_VALUE"""),"Hard")</f>
        <v>Hard</v>
      </c>
      <c r="D251" s="83" t="s">
        <v>4991</v>
      </c>
      <c r="E251" s="87" t="str">
        <f>IFERROR(__xludf.DUMMYFUNCTION("IF(ISBLANK(A251),,FILTER('Leetcode List'!E:J,'Leetcode List'!A:A = A251))"),"Microsoft,Facebook,Amazon,Goldman Sachs,Google")</f>
        <v>Microsoft,Facebook,Amazon,Goldman Sachs,Google</v>
      </c>
      <c r="F251" s="47" t="str">
        <f>IFERROR(__xludf.DUMMYFUNCTION("""COMPUTED_VALUE"""),"Goldman Sachs")</f>
        <v>Goldman Sachs</v>
      </c>
      <c r="G251" s="47" t="str">
        <f>IFERROR(__xludf.DUMMYFUNCTION("""COMPUTED_VALUE"""),"Google,Amazon,Goldman Sachs")</f>
        <v>Google,Amazon,Goldman Sachs</v>
      </c>
      <c r="H251" s="47" t="str">
        <f>IFERROR(__xludf.DUMMYFUNCTION("""COMPUTED_VALUE"""),"Microsoft,Google,Amazon,Goldman Sachs")</f>
        <v>Microsoft,Google,Amazon,Goldman Sachs</v>
      </c>
      <c r="I251" s="47">
        <f>IFERROR(__xludf.DUMMYFUNCTION("""COMPUTED_VALUE"""),25.22)</f>
        <v>25.22</v>
      </c>
      <c r="J251" s="47" t="str">
        <f>IFERROR(__xludf.DUMMYFUNCTION("""COMPUTED_VALUE"""),"算法")</f>
        <v>算法</v>
      </c>
      <c r="L251" s="6">
        <f>COUNTIF('Coder-1'!B:B,A251)</f>
        <v>0</v>
      </c>
      <c r="M251" s="6">
        <f>COUNTIF('Coder-2'!B:B,A251)</f>
        <v>0</v>
      </c>
      <c r="N251" s="6">
        <f>COUNTIF('Coder-3'!B:B,A251)</f>
        <v>0</v>
      </c>
      <c r="O251" s="6">
        <f>COUNTIF('Coder-4'!B:B,A251)</f>
        <v>0</v>
      </c>
    </row>
    <row r="252">
      <c r="A252" s="83">
        <v>1425.0</v>
      </c>
      <c r="B252" s="86" t="str">
        <f>IFERROR(__xludf.DUMMYFUNCTION("IF(ISBLANK(A252),,FILTER('Leetcode List'!B:C,'Leetcode List'!A:A = A252))"),"Constrained Subsequence Sum")</f>
        <v>Constrained Subsequence Sum</v>
      </c>
      <c r="C252" s="83" t="str">
        <f>IFERROR(__xludf.DUMMYFUNCTION("""COMPUTED_VALUE"""),"Hard")</f>
        <v>Hard</v>
      </c>
      <c r="D252" s="83" t="s">
        <v>4991</v>
      </c>
      <c r="E252" s="87" t="str">
        <f>IFERROR(__xludf.DUMMYFUNCTION("IF(ISBLANK(A252),,FILTER('Leetcode List'!E:J,'Leetcode List'!A:A = A252))"),"Akuna Capital")</f>
        <v>Akuna Capital</v>
      </c>
      <c r="F252" s="47"/>
      <c r="G252" s="47"/>
      <c r="H252" s="47" t="str">
        <f>IFERROR(__xludf.DUMMYFUNCTION("""COMPUTED_VALUE"""),"Akuna Capital")</f>
        <v>Akuna Capital</v>
      </c>
      <c r="I252" s="47">
        <f>IFERROR(__xludf.DUMMYFUNCTION("""COMPUTED_VALUE"""),44.95)</f>
        <v>44.95</v>
      </c>
      <c r="J252" s="47" t="str">
        <f>IFERROR(__xludf.DUMMYFUNCTION("""COMPUTED_VALUE"""),"算法")</f>
        <v>算法</v>
      </c>
      <c r="L252" s="6">
        <f>COUNTIF('Coder-1'!B:B,A252)</f>
        <v>0</v>
      </c>
      <c r="M252" s="6">
        <f>COUNTIF('Coder-2'!B:B,A252)</f>
        <v>0</v>
      </c>
      <c r="N252" s="6">
        <f>COUNTIF('Coder-3'!B:B,A252)</f>
        <v>0</v>
      </c>
      <c r="O252" s="6">
        <f>COUNTIF('Coder-4'!B:B,A252)</f>
        <v>0</v>
      </c>
    </row>
    <row r="253">
      <c r="A253" s="83">
        <v>1438.0</v>
      </c>
      <c r="B253" s="86" t="str">
        <f>IFERROR(__xludf.DUMMYFUNCTION("IF(ISBLANK(A253),,FILTER('Leetcode List'!B:C,'Leetcode List'!A:A = A253))"),"Longest Continuous Subarray With Absolute Diff Less Than or Equal to Limit")</f>
        <v>Longest Continuous Subarray With Absolute Diff Less Than or Equal to Limit</v>
      </c>
      <c r="C253" s="83" t="str">
        <f>IFERROR(__xludf.DUMMYFUNCTION("""COMPUTED_VALUE"""),"Medium")</f>
        <v>Medium</v>
      </c>
      <c r="D253" s="83" t="s">
        <v>4991</v>
      </c>
      <c r="E253" s="87" t="str">
        <f>IFERROR(__xludf.DUMMYFUNCTION("IF(ISBLANK(A253),,FILTER('Leetcode List'!E:J,'Leetcode List'!A:A = A253))"),"EBay,Google")</f>
        <v>EBay,Google</v>
      </c>
      <c r="F253" s="47" t="str">
        <f>IFERROR(__xludf.DUMMYFUNCTION("""COMPUTED_VALUE"""),"Google")</f>
        <v>Google</v>
      </c>
      <c r="G253" s="47" t="str">
        <f>IFERROR(__xludf.DUMMYFUNCTION("""COMPUTED_VALUE"""),"eBay,Google")</f>
        <v>eBay,Google</v>
      </c>
      <c r="H253" s="47" t="str">
        <f>IFERROR(__xludf.DUMMYFUNCTION("""COMPUTED_VALUE"""),"eBay,Google")</f>
        <v>eBay,Google</v>
      </c>
      <c r="I253" s="47">
        <f>IFERROR(__xludf.DUMMYFUNCTION("""COMPUTED_VALUE"""),44.41)</f>
        <v>44.41</v>
      </c>
      <c r="J253" s="47" t="str">
        <f>IFERROR(__xludf.DUMMYFUNCTION("""COMPUTED_VALUE"""),"算法")</f>
        <v>算法</v>
      </c>
      <c r="L253" s="6">
        <f>COUNTIF('Coder-1'!B:B,A253)</f>
        <v>0</v>
      </c>
      <c r="M253" s="6">
        <f>COUNTIF('Coder-2'!B:B,A253)</f>
        <v>0</v>
      </c>
      <c r="N253" s="6">
        <f>COUNTIF('Coder-3'!B:B,A253)</f>
        <v>0</v>
      </c>
      <c r="O253" s="6">
        <f>COUNTIF('Coder-4'!B:B,A253)</f>
        <v>0</v>
      </c>
    </row>
    <row r="254">
      <c r="A254" s="83">
        <v>1499.0</v>
      </c>
      <c r="B254" s="86" t="str">
        <f>IFERROR(__xludf.DUMMYFUNCTION("IF(ISBLANK(A254),,FILTER('Leetcode List'!B:C,'Leetcode List'!A:A = A254))"),"Max Value of Equation")</f>
        <v>Max Value of Equation</v>
      </c>
      <c r="C254" s="83" t="str">
        <f>IFERROR(__xludf.DUMMYFUNCTION("""COMPUTED_VALUE"""),"Hard")</f>
        <v>Hard</v>
      </c>
      <c r="D254" s="83" t="s">
        <v>4991</v>
      </c>
      <c r="E254" s="87" t="str">
        <f>IFERROR(__xludf.DUMMYFUNCTION("IF(ISBLANK(A254),,FILTER('Leetcode List'!E:J,'Leetcode List'!A:A = A254))"),"Google")</f>
        <v>Google</v>
      </c>
      <c r="F254" s="47" t="str">
        <f>IFERROR(__xludf.DUMMYFUNCTION("""COMPUTED_VALUE"""),"Google")</f>
        <v>Google</v>
      </c>
      <c r="G254" s="47" t="str">
        <f>IFERROR(__xludf.DUMMYFUNCTION("""COMPUTED_VALUE"""),"Google")</f>
        <v>Google</v>
      </c>
      <c r="H254" s="47" t="str">
        <f>IFERROR(__xludf.DUMMYFUNCTION("""COMPUTED_VALUE"""),"Google")</f>
        <v>Google</v>
      </c>
      <c r="I254" s="47">
        <f>IFERROR(__xludf.DUMMYFUNCTION("""COMPUTED_VALUE"""),44.88)</f>
        <v>44.88</v>
      </c>
      <c r="J254" s="47" t="str">
        <f>IFERROR(__xludf.DUMMYFUNCTION("""COMPUTED_VALUE"""),"算法")</f>
        <v>算法</v>
      </c>
      <c r="L254" s="6">
        <f>COUNTIF('Coder-1'!B:B,A254)</f>
        <v>0</v>
      </c>
      <c r="M254" s="6">
        <f>COUNTIF('Coder-2'!B:B,A254)</f>
        <v>0</v>
      </c>
      <c r="N254" s="6">
        <f>COUNTIF('Coder-3'!B:B,A254)</f>
        <v>0</v>
      </c>
      <c r="O254" s="6">
        <f>COUNTIF('Coder-4'!B:B,A254)</f>
        <v>0</v>
      </c>
    </row>
    <row r="255">
      <c r="A255" s="83">
        <v>1562.0</v>
      </c>
      <c r="B255" s="86" t="str">
        <f>IFERROR(__xludf.DUMMYFUNCTION("IF(ISBLANK(A255),,FILTER('Leetcode List'!B:C,'Leetcode List'!A:A = A255))"),"Find Latest Group of Size M")</f>
        <v>Find Latest Group of Size M</v>
      </c>
      <c r="C255" s="83" t="str">
        <f>IFERROR(__xludf.DUMMYFUNCTION("""COMPUTED_VALUE"""),"Medium")</f>
        <v>Medium</v>
      </c>
      <c r="D255" s="83" t="s">
        <v>4991</v>
      </c>
      <c r="E255" s="87" t="str">
        <f>IFERROR(__xludf.DUMMYFUNCTION("IF(ISBLANK(A255),,FILTER('Leetcode List'!E:J,'Leetcode List'!A:A = A255))"),"Google")</f>
        <v>Google</v>
      </c>
      <c r="F255" s="47"/>
      <c r="G255" s="47"/>
      <c r="H255" s="47" t="str">
        <f>IFERROR(__xludf.DUMMYFUNCTION("""COMPUTED_VALUE"""),"Google")</f>
        <v>Google</v>
      </c>
      <c r="I255" s="47">
        <f>IFERROR(__xludf.DUMMYFUNCTION("""COMPUTED_VALUE"""),39.59)</f>
        <v>39.59</v>
      </c>
      <c r="J255" s="47" t="str">
        <f>IFERROR(__xludf.DUMMYFUNCTION("""COMPUTED_VALUE"""),"算法")</f>
        <v>算法</v>
      </c>
      <c r="L255" s="6">
        <f>COUNTIF('Coder-1'!B:B,A255)</f>
        <v>0</v>
      </c>
      <c r="M255" s="6">
        <f>COUNTIF('Coder-2'!B:B,A255)</f>
        <v>0</v>
      </c>
      <c r="N255" s="6">
        <f>COUNTIF('Coder-3'!B:B,A255)</f>
        <v>0</v>
      </c>
      <c r="O255" s="6">
        <f>COUNTIF('Coder-4'!B:B,A255)</f>
        <v>0</v>
      </c>
    </row>
    <row r="256">
      <c r="A256" s="83">
        <v>1696.0</v>
      </c>
      <c r="B256" s="86" t="str">
        <f>IFERROR(__xludf.DUMMYFUNCTION("IF(ISBLANK(A256),,FILTER('Leetcode List'!B:C,'Leetcode List'!A:A = A256))"),"Jump Game VI")</f>
        <v>Jump Game VI</v>
      </c>
      <c r="C256" s="83" t="str">
        <f>IFERROR(__xludf.DUMMYFUNCTION("""COMPUTED_VALUE"""),"Medium")</f>
        <v>Medium</v>
      </c>
      <c r="D256" s="83" t="s">
        <v>4991</v>
      </c>
      <c r="E256" s="87" t="str">
        <f>IFERROR(__xludf.DUMMYFUNCTION("IF(ISBLANK(A256),,FILTER('Leetcode List'!E:J,'Leetcode List'!A:A = A256))"),"AQR Capital Management LLC,Uber")</f>
        <v>AQR Capital Management LLC,Uber</v>
      </c>
      <c r="F256" s="47" t="str">
        <f>IFERROR(__xludf.DUMMYFUNCTION("""COMPUTED_VALUE"""),"Uber")</f>
        <v>Uber</v>
      </c>
      <c r="G256" s="47" t="str">
        <f>IFERROR(__xludf.DUMMYFUNCTION("""COMPUTED_VALUE"""),"Uber")</f>
        <v>Uber</v>
      </c>
      <c r="H256" s="47" t="str">
        <f>IFERROR(__xludf.DUMMYFUNCTION("""COMPUTED_VALUE"""),"AQR Capital Management LLC,Uber")</f>
        <v>AQR Capital Management LLC,Uber</v>
      </c>
      <c r="I256" s="47">
        <f>IFERROR(__xludf.DUMMYFUNCTION("""COMPUTED_VALUE"""),52.51)</f>
        <v>52.51</v>
      </c>
      <c r="J256" s="47" t="str">
        <f>IFERROR(__xludf.DUMMYFUNCTION("""COMPUTED_VALUE"""),"算法")</f>
        <v>算法</v>
      </c>
      <c r="L256" s="6">
        <f>COUNTIF('Coder-1'!B:B,A256)</f>
        <v>0</v>
      </c>
      <c r="M256" s="6">
        <f>COUNTIF('Coder-2'!B:B,A256)</f>
        <v>0</v>
      </c>
      <c r="N256" s="6">
        <f>COUNTIF('Coder-3'!B:B,A256)</f>
        <v>0</v>
      </c>
      <c r="O256" s="6">
        <f>COUNTIF('Coder-4'!B:B,A256)</f>
        <v>0</v>
      </c>
    </row>
    <row r="257">
      <c r="A257" s="83">
        <v>1776.0</v>
      </c>
      <c r="B257" s="86" t="str">
        <f>IFERROR(__xludf.DUMMYFUNCTION("IF(ISBLANK(A257),,FILTER('Leetcode List'!B:C,'Leetcode List'!A:A = A257))"),"Car Fleet II")</f>
        <v>Car Fleet II</v>
      </c>
      <c r="C257" s="83" t="str">
        <f>IFERROR(__xludf.DUMMYFUNCTION("""COMPUTED_VALUE"""),"Hard")</f>
        <v>Hard</v>
      </c>
      <c r="D257" s="83" t="s">
        <v>4991</v>
      </c>
      <c r="E257" s="87" t="str">
        <f>IFERROR(__xludf.DUMMYFUNCTION("IF(ISBLANK(A257),,FILTER('Leetcode List'!E:J,'Leetcode List'!A:A = A257))"),"Google")</f>
        <v>Google</v>
      </c>
      <c r="F257" s="47" t="str">
        <f>IFERROR(__xludf.DUMMYFUNCTION("""COMPUTED_VALUE"""),"Google")</f>
        <v>Google</v>
      </c>
      <c r="G257" s="47" t="str">
        <f>IFERROR(__xludf.DUMMYFUNCTION("""COMPUTED_VALUE"""),"Google")</f>
        <v>Google</v>
      </c>
      <c r="H257" s="47" t="str">
        <f>IFERROR(__xludf.DUMMYFUNCTION("""COMPUTED_VALUE"""),"Google")</f>
        <v>Google</v>
      </c>
      <c r="I257" s="47">
        <f>IFERROR(__xludf.DUMMYFUNCTION("""COMPUTED_VALUE"""),44.73)</f>
        <v>44.73</v>
      </c>
      <c r="J257" s="47" t="str">
        <f>IFERROR(__xludf.DUMMYFUNCTION("""COMPUTED_VALUE"""),"算法")</f>
        <v>算法</v>
      </c>
      <c r="L257" s="6">
        <f>COUNTIF('Coder-1'!B:B,A257)</f>
        <v>0</v>
      </c>
      <c r="M257" s="6">
        <f>COUNTIF('Coder-2'!B:B,A257)</f>
        <v>0</v>
      </c>
      <c r="N257" s="6">
        <f>COUNTIF('Coder-3'!B:B,A257)</f>
        <v>0</v>
      </c>
      <c r="O257" s="6">
        <f>COUNTIF('Coder-4'!B:B,A257)</f>
        <v>0</v>
      </c>
    </row>
    <row r="258">
      <c r="A258" s="83">
        <v>4.0</v>
      </c>
      <c r="B258" s="86" t="str">
        <f>IFERROR(__xludf.DUMMYFUNCTION("IF(ISBLANK(A258),,FILTER('Leetcode List'!B:C,'Leetcode List'!A:A = A258))"),"Median of Two Sorted Arrays")</f>
        <v>Median of Two Sorted Arrays</v>
      </c>
      <c r="C258" s="83" t="str">
        <f>IFERROR(__xludf.DUMMYFUNCTION("""COMPUTED_VALUE"""),"Hard")</f>
        <v>Hard</v>
      </c>
      <c r="D258" s="83" t="s">
        <v>4992</v>
      </c>
      <c r="E258" s="87" t="str">
        <f>IFERROR(__xludf.DUMMYFUNCTION("IF(ISBLANK(A258),,FILTER('Leetcode List'!E:J,'Leetcode List'!A:A = A258))"),"Wish,Reddit,Flipkart,Paypal,Intuit,Zulily,Garena,Rubrik,Houzz,Two Sigma,Zenefits,ByteDance,Visa,VMware,Walmart Labs,Dropbox,GoDaddy,JPMorgan,Zillow,Oracle,DiDi,Yandex,Huawei,EBay,Baidu,Apple,Airbnb,Uber,Yahoo,Tencent,Bloomberg,Adobe,Facebook,Amazon,Micros"&amp;"oft,Alibaba,Goldman Sachs,Google")</f>
        <v>Wish,Reddit,Flipkart,Paypal,Intuit,Zulily,Garena,Rubrik,Houzz,Two Sigma,Zenefits,ByteDance,Visa,VMware,Walmart Labs,Dropbox,GoDaddy,JPMorgan,Zillow,Oracle,DiDi,Yandex,Huawei,EBay,Baidu,Apple,Airbnb,Uber,Yahoo,Tencent,Bloomberg,Adobe,Facebook,Amazon,Microsoft,Alibaba,Goldman Sachs,Google</v>
      </c>
      <c r="F258" s="47" t="str">
        <f>IFERROR(__xludf.DUMMYFUNCTION("""COMPUTED_VALUE"""),"Amazon,Goldman Sachs,Apple,Adobe,Microsoft,Facebook,Bloomberg,Uber,Zillow,Flipkart,Wish")</f>
        <v>Amazon,Goldman Sachs,Apple,Adobe,Microsoft,Facebook,Bloomberg,Uber,Zillow,Flipkart,Wish</v>
      </c>
      <c r="G258" s="47" t="str">
        <f>IFERROR(__xludf.DUMMYFUNCTION("""COMPUTED_VALUE"""),"Google,ByteDance,Paypal,Amazon,Goldman Sachs,Apple,Adobe,Microsoft,Facebook,Bloomberg,Uber,Zillow,Flipkart,Wish")</f>
        <v>Google,ByteDance,Paypal,Amazon,Goldman Sachs,Apple,Adobe,Microsoft,Facebook,Bloomberg,Uber,Zillow,Flipkart,Wish</v>
      </c>
      <c r="H258" s="47" t="str">
        <f>IFERROR(__xludf.DUMMYFUNCTION("""COMPUTED_VALUE"""),"Oracle,Yahoo,eBay,Visa,VMware,Yandex,GoDaddy,Zulily,Reddit,Intuit,Zenefits,Dropbox,Google,ByteDance,Paypal,Amazon,Goldman Sachs,Apple,Adobe,Microsoft,Facebook,Bloomberg,Uber,Zillow,Flipkart,Wish")</f>
        <v>Oracle,Yahoo,eBay,Visa,VMware,Yandex,GoDaddy,Zulily,Reddit,Intuit,Zenefits,Dropbox,Google,ByteDance,Paypal,Amazon,Goldman Sachs,Apple,Adobe,Microsoft,Facebook,Bloomberg,Uber,Zillow,Flipkart,Wish</v>
      </c>
      <c r="I258" s="47">
        <f>IFERROR(__xludf.DUMMYFUNCTION("""COMPUTED_VALUE"""),31.21)</f>
        <v>31.21</v>
      </c>
      <c r="J258" s="47" t="str">
        <f>IFERROR(__xludf.DUMMYFUNCTION("""COMPUTED_VALUE"""),"算法")</f>
        <v>算法</v>
      </c>
      <c r="L258" s="6">
        <f>COUNTIF('Coder-1'!B:B,A258)</f>
        <v>0</v>
      </c>
      <c r="M258" s="6">
        <f>COUNTIF('Coder-2'!B:B,A258)</f>
        <v>0</v>
      </c>
      <c r="N258" s="6">
        <f>COUNTIF('Coder-3'!B:B,A258)</f>
        <v>0</v>
      </c>
      <c r="O258" s="6">
        <f>COUNTIF('Coder-4'!B:B,A258)</f>
        <v>0</v>
      </c>
    </row>
    <row r="259">
      <c r="A259" s="83">
        <v>313.0</v>
      </c>
      <c r="B259" s="86" t="str">
        <f>IFERROR(__xludf.DUMMYFUNCTION("IF(ISBLANK(A259),,FILTER('Leetcode List'!B:C,'Leetcode List'!A:A = A259))"),"Super Ugly Number")</f>
        <v>Super Ugly Number</v>
      </c>
      <c r="C259" s="83" t="str">
        <f>IFERROR(__xludf.DUMMYFUNCTION("""COMPUTED_VALUE"""),"Medium")</f>
        <v>Medium</v>
      </c>
      <c r="D259" s="83" t="s">
        <v>4992</v>
      </c>
      <c r="E259" s="87" t="str">
        <f>IFERROR(__xludf.DUMMYFUNCTION("IF(ISBLANK(A259),,FILTER('Leetcode List'!E:J,'Leetcode List'!A:A = A259))"),"Amazon,Google")</f>
        <v>Amazon,Google</v>
      </c>
      <c r="F259" s="47"/>
      <c r="G259" s="47"/>
      <c r="H259" s="47" t="str">
        <f>IFERROR(__xludf.DUMMYFUNCTION("""COMPUTED_VALUE"""),"Amazon,Google")</f>
        <v>Amazon,Google</v>
      </c>
      <c r="I259" s="47">
        <f>IFERROR(__xludf.DUMMYFUNCTION("""COMPUTED_VALUE"""),46.25)</f>
        <v>46.25</v>
      </c>
      <c r="J259" s="47" t="str">
        <f>IFERROR(__xludf.DUMMYFUNCTION("""COMPUTED_VALUE"""),"算法")</f>
        <v>算法</v>
      </c>
      <c r="L259" s="6">
        <f>COUNTIF('Coder-1'!B:B,A259)</f>
        <v>0</v>
      </c>
      <c r="M259" s="6">
        <f>COUNTIF('Coder-2'!B:B,A259)</f>
        <v>0</v>
      </c>
      <c r="N259" s="6">
        <f>COUNTIF('Coder-3'!B:B,A259)</f>
        <v>0</v>
      </c>
      <c r="O259" s="6">
        <f>COUNTIF('Coder-4'!B:B,A259)</f>
        <v>0</v>
      </c>
    </row>
    <row r="260">
      <c r="A260" s="83">
        <v>378.0</v>
      </c>
      <c r="B260" s="86" t="str">
        <f>IFERROR(__xludf.DUMMYFUNCTION("IF(ISBLANK(A260),,FILTER('Leetcode List'!B:C,'Leetcode List'!A:A = A260))"),"Kth Smallest Element in a Sorted Matrix")</f>
        <v>Kth Smallest Element in a Sorted Matrix</v>
      </c>
      <c r="C260" s="83" t="str">
        <f>IFERROR(__xludf.DUMMYFUNCTION("""COMPUTED_VALUE"""),"Medium")</f>
        <v>Medium</v>
      </c>
      <c r="D260" s="83" t="s">
        <v>4992</v>
      </c>
      <c r="E260" s="87" t="str">
        <f>IFERROR(__xludf.DUMMYFUNCTION("IF(ISBLANK(A260),,FILTER('Leetcode List'!E:J,'Leetcode List'!A:A = A260))"),"Walmart Labs,Twitter,Apple,Uber,Yahoo,Bloomberg,Adobe,Facebook,Amazon,Microsoft,Google")</f>
        <v>Walmart Labs,Twitter,Apple,Uber,Yahoo,Bloomberg,Adobe,Facebook,Amazon,Microsoft,Google</v>
      </c>
      <c r="F260" s="47" t="str">
        <f>IFERROR(__xludf.DUMMYFUNCTION("""COMPUTED_VALUE"""),"Facebook,Amazon,Google")</f>
        <v>Facebook,Amazon,Google</v>
      </c>
      <c r="G260" s="47" t="str">
        <f>IFERROR(__xludf.DUMMYFUNCTION("""COMPUTED_VALUE"""),"Microsoft,Facebook,Amazon,Google")</f>
        <v>Microsoft,Facebook,Amazon,Google</v>
      </c>
      <c r="H260" s="47" t="str">
        <f>IFERROR(__xludf.DUMMYFUNCTION("""COMPUTED_VALUE"""),"Apple,Adobe,Yahoo,Uber,Walmart Labs,Twitter,Microsoft,Facebook,Amazon,Google")</f>
        <v>Apple,Adobe,Yahoo,Uber,Walmart Labs,Twitter,Microsoft,Facebook,Amazon,Google</v>
      </c>
      <c r="I260" s="47">
        <f>IFERROR(__xludf.DUMMYFUNCTION("""COMPUTED_VALUE"""),56.29)</f>
        <v>56.29</v>
      </c>
      <c r="J260" s="47" t="str">
        <f>IFERROR(__xludf.DUMMYFUNCTION("""COMPUTED_VALUE"""),"算法")</f>
        <v>算法</v>
      </c>
      <c r="L260" s="6">
        <f>COUNTIF('Coder-1'!B:B,A260)</f>
        <v>0</v>
      </c>
      <c r="M260" s="6">
        <f>COUNTIF('Coder-2'!B:B,A260)</f>
        <v>0</v>
      </c>
      <c r="N260" s="6">
        <f>COUNTIF('Coder-3'!B:B,A260)</f>
        <v>0</v>
      </c>
      <c r="O260" s="6">
        <f>COUNTIF('Coder-4'!B:B,A260)</f>
        <v>0</v>
      </c>
    </row>
    <row r="261">
      <c r="A261" s="83">
        <v>373.0</v>
      </c>
      <c r="B261" s="86" t="str">
        <f>IFERROR(__xludf.DUMMYFUNCTION("IF(ISBLANK(A261),,FILTER('Leetcode List'!B:C,'Leetcode List'!A:A = A261))"),"Find K Pairs with Smallest Sums")</f>
        <v>Find K Pairs with Smallest Sums</v>
      </c>
      <c r="C261" s="83" t="str">
        <f>IFERROR(__xludf.DUMMYFUNCTION("""COMPUTED_VALUE"""),"Medium")</f>
        <v>Medium</v>
      </c>
      <c r="D261" s="83" t="s">
        <v>4992</v>
      </c>
      <c r="E261" s="87" t="str">
        <f>IFERROR(__xludf.DUMMYFUNCTION("IF(ISBLANK(A261),,FILTER('Leetcode List'!E:J,'Leetcode List'!A:A = A261))"),"Pinterest,Walmart Labs,Apple,Uber,Facebook,Amazon,LinkedIn,Microsoft,Google")</f>
        <v>Pinterest,Walmart Labs,Apple,Uber,Facebook,Amazon,LinkedIn,Microsoft,Google</v>
      </c>
      <c r="F261" s="47" t="str">
        <f>IFERROR(__xludf.DUMMYFUNCTION("""COMPUTED_VALUE"""),"Amazon,Walmart Labs")</f>
        <v>Amazon,Walmart Labs</v>
      </c>
      <c r="G261" s="47" t="str">
        <f>IFERROR(__xludf.DUMMYFUNCTION("""COMPUTED_VALUE"""),"Facebook,Amazon,Walmart Labs")</f>
        <v>Facebook,Amazon,Walmart Labs</v>
      </c>
      <c r="H261" s="47" t="str">
        <f>IFERROR(__xludf.DUMMYFUNCTION("""COMPUTED_VALUE"""),"LinkedIn,Google,Pinterest,Uber,Facebook,Amazon,Walmart Labs")</f>
        <v>LinkedIn,Google,Pinterest,Uber,Facebook,Amazon,Walmart Labs</v>
      </c>
      <c r="I261" s="47">
        <f>IFERROR(__xludf.DUMMYFUNCTION("""COMPUTED_VALUE"""),37.81)</f>
        <v>37.81</v>
      </c>
      <c r="J261" s="47" t="str">
        <f>IFERROR(__xludf.DUMMYFUNCTION("""COMPUTED_VALUE"""),"算法")</f>
        <v>算法</v>
      </c>
      <c r="L261" s="6">
        <f>COUNTIF('Coder-1'!B:B,A261)</f>
        <v>0</v>
      </c>
      <c r="M261" s="6">
        <f>COUNTIF('Coder-2'!B:B,A261)</f>
        <v>0</v>
      </c>
      <c r="N261" s="6">
        <f>COUNTIF('Coder-3'!B:B,A261)</f>
        <v>0</v>
      </c>
      <c r="O261" s="6">
        <f>COUNTIF('Coder-4'!B:B,A261)</f>
        <v>0</v>
      </c>
    </row>
    <row r="262">
      <c r="A262" s="83">
        <v>632.0</v>
      </c>
      <c r="B262" s="86" t="str">
        <f>IFERROR(__xludf.DUMMYFUNCTION("IF(ISBLANK(A262),,FILTER('Leetcode List'!B:C,'Leetcode List'!A:A = A262))"),"Smallest Range Covering Elements from K Lists")</f>
        <v>Smallest Range Covering Elements from K Lists</v>
      </c>
      <c r="C262" s="83" t="str">
        <f>IFERROR(__xludf.DUMMYFUNCTION("""COMPUTED_VALUE"""),"Hard")</f>
        <v>Hard</v>
      </c>
      <c r="D262" s="83" t="s">
        <v>4992</v>
      </c>
      <c r="E262" s="87" t="str">
        <f>IFERROR(__xludf.DUMMYFUNCTION("IF(ISBLANK(A262),,FILTER('Leetcode List'!E:J,'Leetcode List'!A:A = A262))"),"Apple,Pinterest,Snapchat,Lyft,Facebook,Amazon,Microsoft,Google")</f>
        <v>Apple,Pinterest,Snapchat,Lyft,Facebook,Amazon,Microsoft,Google</v>
      </c>
      <c r="F262" s="47"/>
      <c r="G262" s="47" t="str">
        <f>IFERROR(__xludf.DUMMYFUNCTION("""COMPUTED_VALUE"""),"Amazon")</f>
        <v>Amazon</v>
      </c>
      <c r="H262" s="47" t="str">
        <f>IFERROR(__xludf.DUMMYFUNCTION("""COMPUTED_VALUE"""),"Google,Facebook,Apple,Snapchat,Lyft,Amazon")</f>
        <v>Google,Facebook,Apple,Snapchat,Lyft,Amazon</v>
      </c>
      <c r="I262" s="47">
        <f>IFERROR(__xludf.DUMMYFUNCTION("""COMPUTED_VALUE"""),54.35)</f>
        <v>54.35</v>
      </c>
      <c r="J262" s="47" t="str">
        <f>IFERROR(__xludf.DUMMYFUNCTION("""COMPUTED_VALUE"""),"算法")</f>
        <v>算法</v>
      </c>
      <c r="L262" s="6">
        <f>COUNTIF('Coder-1'!B:B,A262)</f>
        <v>0</v>
      </c>
      <c r="M262" s="6">
        <f>COUNTIF('Coder-2'!B:B,A262)</f>
        <v>0</v>
      </c>
      <c r="N262" s="6">
        <f>COUNTIF('Coder-3'!B:B,A262)</f>
        <v>0</v>
      </c>
      <c r="O262" s="6">
        <f>COUNTIF('Coder-4'!B:B,A262)</f>
        <v>0</v>
      </c>
    </row>
    <row r="263">
      <c r="A263" s="83">
        <v>642.0</v>
      </c>
      <c r="B263" s="86" t="str">
        <f>IFERROR(__xludf.DUMMYFUNCTION("IF(ISBLANK(A263),,FILTER('Leetcode List'!B:C,'Leetcode List'!A:A = A263))"),"Design Search Autocomplete System")</f>
        <v>Design Search Autocomplete System</v>
      </c>
      <c r="C263" s="83" t="str">
        <f>IFERROR(__xludf.DUMMYFUNCTION("""COMPUTED_VALUE"""),"Hard")</f>
        <v>Hard</v>
      </c>
      <c r="D263" s="83" t="s">
        <v>4992</v>
      </c>
      <c r="E263" s="87" t="str">
        <f>IFERROR(__xludf.DUMMYFUNCTION("IF(ISBLANK(A263),,FILTER('Leetcode List'!E:J,'Leetcode List'!A:A = A263))"),"EBay,Salesforce,Dropbox,Snapchat,Lyft,Apple,Uber,Bloomberg,Facebook,Amazon,Microsoft,Google")</f>
        <v>EBay,Salesforce,Dropbox,Snapchat,Lyft,Apple,Uber,Bloomberg,Facebook,Amazon,Microsoft,Google</v>
      </c>
      <c r="F263" s="47" t="str">
        <f>IFERROR(__xludf.DUMMYFUNCTION("""COMPUTED_VALUE"""),"Lyft,Amazon,Google,Microsoft,Bloomberg")</f>
        <v>Lyft,Amazon,Google,Microsoft,Bloomberg</v>
      </c>
      <c r="G263" s="47" t="str">
        <f>IFERROR(__xludf.DUMMYFUNCTION("""COMPUTED_VALUE"""),"Apple,eBay,Lyft,Amazon,Google,Microsoft,Bloomberg")</f>
        <v>Apple,eBay,Lyft,Amazon,Google,Microsoft,Bloomberg</v>
      </c>
      <c r="H263" s="47" t="str">
        <f>IFERROR(__xludf.DUMMYFUNCTION("""COMPUTED_VALUE"""),"Dropbox,Uber,Facebook,Snapchat,Apple,eBay,Lyft,Amazon,Google,Microsoft,Bloomberg")</f>
        <v>Dropbox,Uber,Facebook,Snapchat,Apple,eBay,Lyft,Amazon,Google,Microsoft,Bloomberg</v>
      </c>
      <c r="I263" s="47">
        <f>IFERROR(__xludf.DUMMYFUNCTION("""COMPUTED_VALUE"""),46.34)</f>
        <v>46.34</v>
      </c>
      <c r="J263" s="47" t="str">
        <f>IFERROR(__xludf.DUMMYFUNCTION("""COMPUTED_VALUE"""),"算法")</f>
        <v>算法</v>
      </c>
      <c r="L263" s="6">
        <f>COUNTIF('Coder-1'!B:B,A263)</f>
        <v>0</v>
      </c>
      <c r="M263" s="6">
        <f>COUNTIF('Coder-2'!B:B,A263)</f>
        <v>0</v>
      </c>
      <c r="N263" s="6">
        <f>COUNTIF('Coder-3'!B:B,A263)</f>
        <v>0</v>
      </c>
      <c r="O263" s="6">
        <f>COUNTIF('Coder-4'!B:B,A263)</f>
        <v>0</v>
      </c>
    </row>
    <row r="264">
      <c r="A264" s="83">
        <v>774.0</v>
      </c>
      <c r="B264" s="86" t="str">
        <f>IFERROR(__xludf.DUMMYFUNCTION("IF(ISBLANK(A264),,FILTER('Leetcode List'!B:C,'Leetcode List'!A:A = A264))"),"Minimize Max Distance to Gas Station")</f>
        <v>Minimize Max Distance to Gas Station</v>
      </c>
      <c r="C264" s="83" t="str">
        <f>IFERROR(__xludf.DUMMYFUNCTION("""COMPUTED_VALUE"""),"Hard")</f>
        <v>Hard</v>
      </c>
      <c r="D264" s="83" t="s">
        <v>4992</v>
      </c>
      <c r="E264" s="87" t="str">
        <f>IFERROR(__xludf.DUMMYFUNCTION("IF(ISBLANK(A264),,FILTER('Leetcode List'!E:J,'Leetcode List'!A:A = A264))"),"Google")</f>
        <v>Google</v>
      </c>
      <c r="F264" s="47"/>
      <c r="G264" s="47"/>
      <c r="H264" s="47" t="str">
        <f>IFERROR(__xludf.DUMMYFUNCTION("""COMPUTED_VALUE"""),"Google")</f>
        <v>Google</v>
      </c>
      <c r="I264" s="47">
        <f>IFERROR(__xludf.DUMMYFUNCTION("""COMPUTED_VALUE"""),48.35)</f>
        <v>48.35</v>
      </c>
      <c r="J264" s="47" t="str">
        <f>IFERROR(__xludf.DUMMYFUNCTION("""COMPUTED_VALUE"""),"算法")</f>
        <v>算法</v>
      </c>
      <c r="L264" s="6">
        <f>COUNTIF('Coder-1'!B:B,A264)</f>
        <v>0</v>
      </c>
      <c r="M264" s="6">
        <f>COUNTIF('Coder-2'!B:B,A264)</f>
        <v>0</v>
      </c>
      <c r="N264" s="6">
        <f>COUNTIF('Coder-3'!B:B,A264)</f>
        <v>0</v>
      </c>
      <c r="O264" s="6">
        <f>COUNTIF('Coder-4'!B:B,A264)</f>
        <v>0</v>
      </c>
    </row>
    <row r="265">
      <c r="A265" s="83">
        <v>871.0</v>
      </c>
      <c r="B265" s="86" t="str">
        <f>IFERROR(__xludf.DUMMYFUNCTION("IF(ISBLANK(A265),,FILTER('Leetcode List'!B:C,'Leetcode List'!A:A = A265))"),"Minimum Number of Refueling Stops")</f>
        <v>Minimum Number of Refueling Stops</v>
      </c>
      <c r="C265" s="83" t="str">
        <f>IFERROR(__xludf.DUMMYFUNCTION("""COMPUTED_VALUE"""),"Hard")</f>
        <v>Hard</v>
      </c>
      <c r="D265" s="83" t="s">
        <v>4992</v>
      </c>
      <c r="E265" s="87" t="str">
        <f>IFERROR(__xludf.DUMMYFUNCTION("IF(ISBLANK(A265),,FILTER('Leetcode List'!E:J,'Leetcode List'!A:A = A265))"),"Flipkart,Uber,Morgan Stanley,Baidu,Amazon,Microsoft,Google")</f>
        <v>Flipkart,Uber,Morgan Stanley,Baidu,Amazon,Microsoft,Google</v>
      </c>
      <c r="F265" s="47" t="str">
        <f>IFERROR(__xludf.DUMMYFUNCTION("""COMPUTED_VALUE"""),"Flipkart,Google")</f>
        <v>Flipkart,Google</v>
      </c>
      <c r="G265" s="47" t="str">
        <f>IFERROR(__xludf.DUMMYFUNCTION("""COMPUTED_VALUE"""),"Morgan Stanley,Uber,Flipkart,Google")</f>
        <v>Morgan Stanley,Uber,Flipkart,Google</v>
      </c>
      <c r="H265" s="47" t="str">
        <f>IFERROR(__xludf.DUMMYFUNCTION("""COMPUTED_VALUE"""),"Amazon,Baidu,Microsoft,Morgan Stanley,Uber,Flipkart,Google")</f>
        <v>Amazon,Baidu,Microsoft,Morgan Stanley,Uber,Flipkart,Google</v>
      </c>
      <c r="I265" s="47">
        <f>IFERROR(__xludf.DUMMYFUNCTION("""COMPUTED_VALUE"""),32.36)</f>
        <v>32.36</v>
      </c>
      <c r="J265" s="47" t="str">
        <f>IFERROR(__xludf.DUMMYFUNCTION("""COMPUTED_VALUE"""),"算法")</f>
        <v>算法</v>
      </c>
      <c r="L265" s="6">
        <f>COUNTIF('Coder-1'!B:B,A265)</f>
        <v>0</v>
      </c>
      <c r="M265" s="6">
        <f>COUNTIF('Coder-2'!B:B,A265)</f>
        <v>0</v>
      </c>
      <c r="N265" s="6">
        <f>COUNTIF('Coder-3'!B:B,A265)</f>
        <v>0</v>
      </c>
      <c r="O265" s="6">
        <f>COUNTIF('Coder-4'!B:B,A265)</f>
        <v>0</v>
      </c>
    </row>
    <row r="266">
      <c r="A266" s="83">
        <v>1057.0</v>
      </c>
      <c r="B266" s="86" t="str">
        <f>IFERROR(__xludf.DUMMYFUNCTION("IF(ISBLANK(A266),,FILTER('Leetcode List'!B:C,'Leetcode List'!A:A = A266))"),"Campus Bikes")</f>
        <v>Campus Bikes</v>
      </c>
      <c r="C266" s="83" t="str">
        <f>IFERROR(__xludf.DUMMYFUNCTION("""COMPUTED_VALUE"""),"Medium")</f>
        <v>Medium</v>
      </c>
      <c r="D266" s="83" t="s">
        <v>4992</v>
      </c>
      <c r="E266" s="87" t="str">
        <f>IFERROR(__xludf.DUMMYFUNCTION("IF(ISBLANK(A266),,FILTER('Leetcode List'!E:J,'Leetcode List'!A:A = A266))"),"ByteDance,Facebook,Amazon,Google")</f>
        <v>ByteDance,Facebook,Amazon,Google</v>
      </c>
      <c r="F266" s="47" t="str">
        <f>IFERROR(__xludf.DUMMYFUNCTION("""COMPUTED_VALUE"""),"Google,Amazon,ByteDance")</f>
        <v>Google,Amazon,ByteDance</v>
      </c>
      <c r="G266" s="47" t="str">
        <f>IFERROR(__xludf.DUMMYFUNCTION("""COMPUTED_VALUE"""),"Google,Amazon,ByteDance")</f>
        <v>Google,Amazon,ByteDance</v>
      </c>
      <c r="H266" s="47" t="str">
        <f>IFERROR(__xludf.DUMMYFUNCTION("""COMPUTED_VALUE"""),"Facebook,Google,Amazon,ByteDance")</f>
        <v>Facebook,Google,Amazon,ByteDance</v>
      </c>
      <c r="I266" s="47">
        <f>IFERROR(__xludf.DUMMYFUNCTION("""COMPUTED_VALUE"""),57.8)</f>
        <v>57.8</v>
      </c>
      <c r="J266" s="47" t="str">
        <f>IFERROR(__xludf.DUMMYFUNCTION("""COMPUTED_VALUE"""),"算法")</f>
        <v>算法</v>
      </c>
      <c r="L266" s="6">
        <f>COUNTIF('Coder-1'!B:B,A266)</f>
        <v>0</v>
      </c>
      <c r="M266" s="6">
        <f>COUNTIF('Coder-2'!B:B,A266)</f>
        <v>0</v>
      </c>
      <c r="N266" s="6">
        <f>COUNTIF('Coder-3'!B:B,A266)</f>
        <v>0</v>
      </c>
      <c r="O266" s="6">
        <f>COUNTIF('Coder-4'!B:B,A266)</f>
        <v>0</v>
      </c>
    </row>
    <row r="267">
      <c r="A267" s="83">
        <v>1642.0</v>
      </c>
      <c r="B267" s="86" t="str">
        <f>IFERROR(__xludf.DUMMYFUNCTION("IF(ISBLANK(A267),,FILTER('Leetcode List'!B:C,'Leetcode List'!A:A = A267))"),"Furthest Building You Can Reach")</f>
        <v>Furthest Building You Can Reach</v>
      </c>
      <c r="C267" s="83" t="str">
        <f>IFERROR(__xludf.DUMMYFUNCTION("""COMPUTED_VALUE"""),"Medium")</f>
        <v>Medium</v>
      </c>
      <c r="D267" s="83" t="s">
        <v>4992</v>
      </c>
      <c r="E267" s="87" t="str">
        <f>IFERROR(__xludf.DUMMYFUNCTION("IF(ISBLANK(A267),,FILTER('Leetcode List'!E:J,'Leetcode List'!A:A = A267))"),"Media.net,Google")</f>
        <v>Media.net,Google</v>
      </c>
      <c r="F267" s="47" t="str">
        <f>IFERROR(__xludf.DUMMYFUNCTION("""COMPUTED_VALUE"""),"Google")</f>
        <v>Google</v>
      </c>
      <c r="G267" s="47" t="str">
        <f>IFERROR(__xludf.DUMMYFUNCTION("""COMPUTED_VALUE"""),"Google")</f>
        <v>Google</v>
      </c>
      <c r="H267" s="47" t="str">
        <f>IFERROR(__xludf.DUMMYFUNCTION("""COMPUTED_VALUE"""),"Media.net,Google")</f>
        <v>Media.net,Google</v>
      </c>
      <c r="I267" s="47">
        <f>IFERROR(__xludf.DUMMYFUNCTION("""COMPUTED_VALUE"""),50.25)</f>
        <v>50.25</v>
      </c>
      <c r="J267" s="47" t="str">
        <f>IFERROR(__xludf.DUMMYFUNCTION("""COMPUTED_VALUE"""),"算法")</f>
        <v>算法</v>
      </c>
      <c r="L267" s="6">
        <f>COUNTIF('Coder-1'!B:B,A267)</f>
        <v>0</v>
      </c>
      <c r="M267" s="6">
        <f>COUNTIF('Coder-2'!B:B,A267)</f>
        <v>0</v>
      </c>
      <c r="N267" s="6">
        <f>COUNTIF('Coder-3'!B:B,A267)</f>
        <v>0</v>
      </c>
      <c r="O267" s="6">
        <f>COUNTIF('Coder-4'!B:B,A267)</f>
        <v>0</v>
      </c>
    </row>
    <row r="268">
      <c r="A268" s="83">
        <v>1675.0</v>
      </c>
      <c r="B268" s="86" t="str">
        <f>IFERROR(__xludf.DUMMYFUNCTION("IF(ISBLANK(A268),,FILTER('Leetcode List'!B:C,'Leetcode List'!A:A = A268))"),"Minimize Deviation in Array")</f>
        <v>Minimize Deviation in Array</v>
      </c>
      <c r="C268" s="83" t="str">
        <f>IFERROR(__xludf.DUMMYFUNCTION("""COMPUTED_VALUE"""),"Hard")</f>
        <v>Hard</v>
      </c>
      <c r="D268" s="83" t="s">
        <v>4992</v>
      </c>
      <c r="E268" s="87" t="str">
        <f>IFERROR(__xludf.DUMMYFUNCTION("IF(ISBLANK(A268),,FILTER('Leetcode List'!E:J,'Leetcode List'!A:A = A268))"),"Samsung")</f>
        <v>Samsung</v>
      </c>
      <c r="F268" s="47"/>
      <c r="G268" s="47"/>
      <c r="H268" s="47" t="str">
        <f>IFERROR(__xludf.DUMMYFUNCTION("""COMPUTED_VALUE"""),"Samsung")</f>
        <v>Samsung</v>
      </c>
      <c r="I268" s="47">
        <f>IFERROR(__xludf.DUMMYFUNCTION("""COMPUTED_VALUE"""),48.3)</f>
        <v>48.3</v>
      </c>
      <c r="J268" s="47" t="str">
        <f>IFERROR(__xludf.DUMMYFUNCTION("""COMPUTED_VALUE"""),"算法")</f>
        <v>算法</v>
      </c>
      <c r="L268" s="6">
        <f>COUNTIF('Coder-1'!B:B,A268)</f>
        <v>0</v>
      </c>
      <c r="M268" s="6">
        <f>COUNTIF('Coder-2'!B:B,A268)</f>
        <v>0</v>
      </c>
      <c r="N268" s="6">
        <f>COUNTIF('Coder-3'!B:B,A268)</f>
        <v>0</v>
      </c>
      <c r="O268" s="6">
        <f>COUNTIF('Coder-4'!B:B,A268)</f>
        <v>0</v>
      </c>
    </row>
    <row r="269">
      <c r="A269" s="83">
        <v>1705.0</v>
      </c>
      <c r="B269" s="86" t="str">
        <f>IFERROR(__xludf.DUMMYFUNCTION("IF(ISBLANK(A269),,FILTER('Leetcode List'!B:C,'Leetcode List'!A:A = A269))"),"Maximum Number of Eaten Apples")</f>
        <v>Maximum Number of Eaten Apples</v>
      </c>
      <c r="C269" s="83" t="str">
        <f>IFERROR(__xludf.DUMMYFUNCTION("""COMPUTED_VALUE"""),"Medium")</f>
        <v>Medium</v>
      </c>
      <c r="D269" s="83" t="s">
        <v>4992</v>
      </c>
      <c r="E269" s="87" t="str">
        <f>IFERROR(__xludf.DUMMYFUNCTION("IF(ISBLANK(A269),,FILTER('Leetcode List'!E:J,'Leetcode List'!A:A = A269))"),"Uber")</f>
        <v>Uber</v>
      </c>
      <c r="F269" s="47"/>
      <c r="G269" s="47"/>
      <c r="H269" s="47" t="str">
        <f>IFERROR(__xludf.DUMMYFUNCTION("""COMPUTED_VALUE"""),"Uber")</f>
        <v>Uber</v>
      </c>
      <c r="I269" s="47">
        <f>IFERROR(__xludf.DUMMYFUNCTION("""COMPUTED_VALUE"""),41.91)</f>
        <v>41.91</v>
      </c>
      <c r="J269" s="47" t="str">
        <f>IFERROR(__xludf.DUMMYFUNCTION("""COMPUTED_VALUE"""),"算法")</f>
        <v>算法</v>
      </c>
      <c r="L269" s="6">
        <f>COUNTIF('Coder-1'!B:B,A269)</f>
        <v>0</v>
      </c>
      <c r="M269" s="6">
        <f>COUNTIF('Coder-2'!B:B,A269)</f>
        <v>0</v>
      </c>
      <c r="N269" s="6">
        <f>COUNTIF('Coder-3'!B:B,A269)</f>
        <v>0</v>
      </c>
      <c r="O269" s="6">
        <f>COUNTIF('Coder-4'!B:B,A269)</f>
        <v>0</v>
      </c>
    </row>
    <row r="270">
      <c r="A270" s="83">
        <v>1792.0</v>
      </c>
      <c r="B270" s="86" t="str">
        <f>IFERROR(__xludf.DUMMYFUNCTION("IF(ISBLANK(A270),,FILTER('Leetcode List'!B:C,'Leetcode List'!A:A = A270))"),"Maximum Average Pass Ratio")</f>
        <v>Maximum Average Pass Ratio</v>
      </c>
      <c r="C270" s="83" t="str">
        <f>IFERROR(__xludf.DUMMYFUNCTION("""COMPUTED_VALUE"""),"Medium")</f>
        <v>Medium</v>
      </c>
      <c r="D270" s="83" t="s">
        <v>4992</v>
      </c>
      <c r="E270" s="87" t="str">
        <f>IFERROR(__xludf.DUMMYFUNCTION("IF(ISBLANK(A270),,FILTER('Leetcode List'!E:J,'Leetcode List'!A:A = A270))"),"Amazon")</f>
        <v>Amazon</v>
      </c>
      <c r="F270" s="47"/>
      <c r="G270" s="47"/>
      <c r="H270" s="47" t="str">
        <f>IFERROR(__xludf.DUMMYFUNCTION("""COMPUTED_VALUE"""),"Amazon")</f>
        <v>Amazon</v>
      </c>
      <c r="I270" s="47">
        <f>IFERROR(__xludf.DUMMYFUNCTION("""COMPUTED_VALUE"""),57.02)</f>
        <v>57.02</v>
      </c>
      <c r="J270" s="47" t="str">
        <f>IFERROR(__xludf.DUMMYFUNCTION("""COMPUTED_VALUE"""),"算法")</f>
        <v>算法</v>
      </c>
      <c r="L270" s="6">
        <f>COUNTIF('Coder-1'!B:B,A270)</f>
        <v>0</v>
      </c>
      <c r="M270" s="6">
        <f>COUNTIF('Coder-2'!B:B,A270)</f>
        <v>0</v>
      </c>
      <c r="N270" s="6">
        <f>COUNTIF('Coder-3'!B:B,A270)</f>
        <v>0</v>
      </c>
      <c r="O270" s="6">
        <f>COUNTIF('Coder-4'!B:B,A270)</f>
        <v>0</v>
      </c>
    </row>
    <row r="271">
      <c r="A271" s="83">
        <v>502.0</v>
      </c>
      <c r="B271" s="86" t="str">
        <f>IFERROR(__xludf.DUMMYFUNCTION("IF(ISBLANK(A271),,FILTER('Leetcode List'!B:C,'Leetcode List'!A:A = A271))"),"IPO")</f>
        <v>IPO</v>
      </c>
      <c r="C271" s="47" t="str">
        <f>IFERROR(__xludf.DUMMYFUNCTION("""COMPUTED_VALUE"""),"Hard")</f>
        <v>Hard</v>
      </c>
      <c r="D271" s="83" t="s">
        <v>4992</v>
      </c>
      <c r="E271" s="87" t="str">
        <f>IFERROR(__xludf.DUMMYFUNCTION("IF(ISBLANK(A271),,FILTER('Leetcode List'!E:J,'Leetcode List'!A:A = A271))"),"Amazon")</f>
        <v>Amazon</v>
      </c>
      <c r="F271" s="47" t="str">
        <f>IFERROR(__xludf.DUMMYFUNCTION("""COMPUTED_VALUE"""),"Amazon")</f>
        <v>Amazon</v>
      </c>
      <c r="G271" s="47" t="str">
        <f>IFERROR(__xludf.DUMMYFUNCTION("""COMPUTED_VALUE"""),"Amazon")</f>
        <v>Amazon</v>
      </c>
      <c r="H271" s="47" t="str">
        <f>IFERROR(__xludf.DUMMYFUNCTION("""COMPUTED_VALUE"""),"Amazon")</f>
        <v>Amazon</v>
      </c>
      <c r="I271" s="47">
        <f>IFERROR(__xludf.DUMMYFUNCTION("""COMPUTED_VALUE"""),41.67)</f>
        <v>41.67</v>
      </c>
      <c r="J271" s="47" t="str">
        <f>IFERROR(__xludf.DUMMYFUNCTION("""COMPUTED_VALUE"""),"算法")</f>
        <v>算法</v>
      </c>
      <c r="K271" s="2" t="s">
        <v>4993</v>
      </c>
      <c r="L271" s="6">
        <f>COUNTIF('Coder-1'!B:B,A271)</f>
        <v>0</v>
      </c>
      <c r="M271" s="6">
        <f>COUNTIF('Coder-2'!B:B,A271)</f>
        <v>0</v>
      </c>
      <c r="N271" s="6">
        <f>COUNTIF('Coder-3'!B:B,A271)</f>
        <v>0</v>
      </c>
      <c r="O271" s="6">
        <f>COUNTIF('Coder-4'!B:B,A271)</f>
        <v>0</v>
      </c>
    </row>
    <row r="272">
      <c r="A272" s="83">
        <v>630.0</v>
      </c>
      <c r="B272" s="86" t="str">
        <f>IFERROR(__xludf.DUMMYFUNCTION("IF(ISBLANK(A272),,FILTER('Leetcode List'!B:C,'Leetcode List'!A:A = A272))"),"Course Schedule III")</f>
        <v>Course Schedule III</v>
      </c>
      <c r="C272" s="47" t="str">
        <f>IFERROR(__xludf.DUMMYFUNCTION("""COMPUTED_VALUE"""),"Hard")</f>
        <v>Hard</v>
      </c>
      <c r="D272" s="83" t="s">
        <v>4992</v>
      </c>
      <c r="E272" s="87" t="str">
        <f>IFERROR(__xludf.DUMMYFUNCTION("IF(ISBLANK(A272),,FILTER('Leetcode List'!E:J,'Leetcode List'!A:A = A272))"),"Works Applications,Microsoft,Google")</f>
        <v>Works Applications,Microsoft,Google</v>
      </c>
      <c r="F272" s="47"/>
      <c r="G272" s="47" t="str">
        <f>IFERROR(__xludf.DUMMYFUNCTION("""COMPUTED_VALUE"""),"Google,Microsoft")</f>
        <v>Google,Microsoft</v>
      </c>
      <c r="H272" s="47" t="str">
        <f>IFERROR(__xludf.DUMMYFUNCTION("""COMPUTED_VALUE"""),"Works Applications,Google,Microsoft")</f>
        <v>Works Applications,Google,Microsoft</v>
      </c>
      <c r="I272" s="47">
        <f>IFERROR(__xludf.DUMMYFUNCTION("""COMPUTED_VALUE"""),33.81)</f>
        <v>33.81</v>
      </c>
      <c r="J272" s="47" t="str">
        <f>IFERROR(__xludf.DUMMYFUNCTION("""COMPUTED_VALUE"""),"算法")</f>
        <v>算法</v>
      </c>
      <c r="K272" s="2" t="s">
        <v>4993</v>
      </c>
      <c r="L272" s="6">
        <f>COUNTIF('Coder-1'!B:B,A272)</f>
        <v>0</v>
      </c>
      <c r="M272" s="6">
        <f>COUNTIF('Coder-2'!B:B,A272)</f>
        <v>0</v>
      </c>
      <c r="N272" s="6">
        <f>COUNTIF('Coder-3'!B:B,A272)</f>
        <v>0</v>
      </c>
      <c r="O272" s="6">
        <f>COUNTIF('Coder-4'!B:B,A272)</f>
        <v>0</v>
      </c>
    </row>
    <row r="273">
      <c r="A273" s="83">
        <v>857.0</v>
      </c>
      <c r="B273" s="86" t="str">
        <f>IFERROR(__xludf.DUMMYFUNCTION("IF(ISBLANK(A273),,FILTER('Leetcode List'!B:C,'Leetcode List'!A:A = A273))"),"Minimum Cost to Hire K Workers")</f>
        <v>Minimum Cost to Hire K Workers</v>
      </c>
      <c r="C273" s="47" t="str">
        <f>IFERROR(__xludf.DUMMYFUNCTION("""COMPUTED_VALUE"""),"Hard")</f>
        <v>Hard</v>
      </c>
      <c r="D273" s="83" t="s">
        <v>4992</v>
      </c>
      <c r="E273" s="87" t="str">
        <f>IFERROR(__xludf.DUMMYFUNCTION("IF(ISBLANK(A273),,FILTER('Leetcode List'!E:J,'Leetcode List'!A:A = A273))"),"Amazon,Google")</f>
        <v>Amazon,Google</v>
      </c>
      <c r="F273" s="47" t="str">
        <f>IFERROR(__xludf.DUMMYFUNCTION("""COMPUTED_VALUE"""),"Google")</f>
        <v>Google</v>
      </c>
      <c r="G273" s="47" t="str">
        <f>IFERROR(__xludf.DUMMYFUNCTION("""COMPUTED_VALUE"""),"Google")</f>
        <v>Google</v>
      </c>
      <c r="H273" s="47" t="str">
        <f>IFERROR(__xludf.DUMMYFUNCTION("""COMPUTED_VALUE"""),"Amazon,Google")</f>
        <v>Amazon,Google</v>
      </c>
      <c r="I273" s="47">
        <f>IFERROR(__xludf.DUMMYFUNCTION("""COMPUTED_VALUE"""),50.47)</f>
        <v>50.47</v>
      </c>
      <c r="J273" s="47" t="str">
        <f>IFERROR(__xludf.DUMMYFUNCTION("""COMPUTED_VALUE"""),"算法")</f>
        <v>算法</v>
      </c>
      <c r="K273" s="2" t="s">
        <v>4993</v>
      </c>
      <c r="L273" s="6">
        <f>COUNTIF('Coder-1'!B:B,A273)</f>
        <v>0</v>
      </c>
      <c r="M273" s="6">
        <f>COUNTIF('Coder-2'!B:B,A273)</f>
        <v>0</v>
      </c>
      <c r="N273" s="6">
        <f>COUNTIF('Coder-3'!B:B,A273)</f>
        <v>0</v>
      </c>
      <c r="O273" s="6">
        <f>COUNTIF('Coder-4'!B:B,A273)</f>
        <v>0</v>
      </c>
    </row>
    <row r="274">
      <c r="A274" s="83">
        <v>1353.0</v>
      </c>
      <c r="B274" s="86" t="str">
        <f>IFERROR(__xludf.DUMMYFUNCTION("IF(ISBLANK(A274),,FILTER('Leetcode List'!B:C,'Leetcode List'!A:A = A274))"),"Maximum Number of Events That Can Be Attended")</f>
        <v>Maximum Number of Events That Can Be Attended</v>
      </c>
      <c r="C274" s="47" t="str">
        <f>IFERROR(__xludf.DUMMYFUNCTION("""COMPUTED_VALUE"""),"Medium")</f>
        <v>Medium</v>
      </c>
      <c r="D274" s="83" t="s">
        <v>4992</v>
      </c>
      <c r="E274" s="87" t="str">
        <f>IFERROR(__xludf.DUMMYFUNCTION("IF(ISBLANK(A274),,FILTER('Leetcode List'!E:J,'Leetcode List'!A:A = A274))"),"Infosys,Citrix,Apple,Adobe,Amazon,Visa")</f>
        <v>Infosys,Citrix,Apple,Adobe,Amazon,Visa</v>
      </c>
      <c r="F274" s="47" t="str">
        <f>IFERROR(__xludf.DUMMYFUNCTION("""COMPUTED_VALUE"""),"Visa,Citrix,Adobe,Infosys")</f>
        <v>Visa,Citrix,Adobe,Infosys</v>
      </c>
      <c r="G274" s="47" t="str">
        <f>IFERROR(__xludf.DUMMYFUNCTION("""COMPUTED_VALUE"""),"Apple,Visa,Citrix,Adobe,Infosys")</f>
        <v>Apple,Visa,Citrix,Adobe,Infosys</v>
      </c>
      <c r="H274" s="47" t="str">
        <f>IFERROR(__xludf.DUMMYFUNCTION("""COMPUTED_VALUE"""),"Amazon,Apple,Visa,Citrix,Adobe,Infosys")</f>
        <v>Amazon,Apple,Visa,Citrix,Adobe,Infosys</v>
      </c>
      <c r="I274" s="47">
        <f>IFERROR(__xludf.DUMMYFUNCTION("""COMPUTED_VALUE"""),30.53)</f>
        <v>30.53</v>
      </c>
      <c r="J274" s="47" t="str">
        <f>IFERROR(__xludf.DUMMYFUNCTION("""COMPUTED_VALUE"""),"算法")</f>
        <v>算法</v>
      </c>
      <c r="K274" s="2" t="s">
        <v>4993</v>
      </c>
      <c r="L274" s="6">
        <f>COUNTIF('Coder-1'!B:B,A274)</f>
        <v>0</v>
      </c>
      <c r="M274" s="6">
        <f>COUNTIF('Coder-2'!B:B,A274)</f>
        <v>0</v>
      </c>
      <c r="N274" s="6">
        <f>COUNTIF('Coder-3'!B:B,A274)</f>
        <v>0</v>
      </c>
      <c r="O274" s="6">
        <f>COUNTIF('Coder-4'!B:B,A274)</f>
        <v>0</v>
      </c>
    </row>
    <row r="275">
      <c r="A275" s="83">
        <v>358.0</v>
      </c>
      <c r="B275" s="86" t="str">
        <f>IFERROR(__xludf.DUMMYFUNCTION("IF(ISBLANK(A275),,FILTER('Leetcode List'!B:C,'Leetcode List'!A:A = A275))"),"Rearrange String k Distance Apart")</f>
        <v>Rearrange String k Distance Apart</v>
      </c>
      <c r="C275" s="47" t="str">
        <f>IFERROR(__xludf.DUMMYFUNCTION("""COMPUTED_VALUE"""),"Hard")</f>
        <v>Hard</v>
      </c>
      <c r="D275" s="83" t="s">
        <v>4992</v>
      </c>
      <c r="E275" s="87" t="str">
        <f>IFERROR(__xludf.DUMMYFUNCTION("IF(ISBLANK(A275),,FILTER('Leetcode List'!E:J,'Leetcode List'!A:A = A275))"),"EBay,Facebook,Amazon,Microsoft,Google")</f>
        <v>EBay,Facebook,Amazon,Microsoft,Google</v>
      </c>
      <c r="F275" s="47"/>
      <c r="G275" s="47" t="str">
        <f>IFERROR(__xludf.DUMMYFUNCTION("""COMPUTED_VALUE"""),"Microsoft,Facebook")</f>
        <v>Microsoft,Facebook</v>
      </c>
      <c r="H275" s="47" t="str">
        <f>IFERROR(__xludf.DUMMYFUNCTION("""COMPUTED_VALUE"""),"Google,Amazon,Microsoft,Facebook")</f>
        <v>Google,Amazon,Microsoft,Facebook</v>
      </c>
      <c r="I275" s="47">
        <f>IFERROR(__xludf.DUMMYFUNCTION("""COMPUTED_VALUE"""),35.7)</f>
        <v>35.7</v>
      </c>
      <c r="J275" s="47" t="str">
        <f>IFERROR(__xludf.DUMMYFUNCTION("""COMPUTED_VALUE"""),"算法")</f>
        <v>算法</v>
      </c>
      <c r="K275" s="2" t="s">
        <v>4994</v>
      </c>
      <c r="L275" s="6">
        <f>COUNTIF('Coder-1'!B:B,A275)</f>
        <v>0</v>
      </c>
      <c r="M275" s="6">
        <f>COUNTIF('Coder-2'!B:B,A275)</f>
        <v>0</v>
      </c>
      <c r="N275" s="6">
        <f>COUNTIF('Coder-3'!B:B,A275)</f>
        <v>0</v>
      </c>
      <c r="O275" s="6">
        <f>COUNTIF('Coder-4'!B:B,A275)</f>
        <v>0</v>
      </c>
    </row>
    <row r="276">
      <c r="A276" s="83">
        <v>767.0</v>
      </c>
      <c r="B276" s="86" t="str">
        <f>IFERROR(__xludf.DUMMYFUNCTION("IF(ISBLANK(A276),,FILTER('Leetcode List'!B:C,'Leetcode List'!A:A = A276))"),"Reorganize String")</f>
        <v>Reorganize String</v>
      </c>
      <c r="C276" s="47" t="str">
        <f>IFERROR(__xludf.DUMMYFUNCTION("""COMPUTED_VALUE"""),"Medium")</f>
        <v>Medium</v>
      </c>
      <c r="D276" s="83" t="s">
        <v>4992</v>
      </c>
      <c r="E276" s="87" t="str">
        <f>IFERROR(__xludf.DUMMYFUNCTION("IF(ISBLANK(A276),,FILTER('Leetcode List'!E:J,'Leetcode List'!A:A = A276))"),"Qualtrics,Wish,EBay,Apple,Bloomberg,Goldman Sachs,Tesla,Twitch,Twitter,Oracle,Uber,Facebook,Amazon,Microsoft,Google")</f>
        <v>Qualtrics,Wish,EBay,Apple,Bloomberg,Goldman Sachs,Tesla,Twitch,Twitter,Oracle,Uber,Facebook,Amazon,Microsoft,Google</v>
      </c>
      <c r="F276" s="47" t="str">
        <f>IFERROR(__xludf.DUMMYFUNCTION("""COMPUTED_VALUE"""),"Amazon,Google,Microsoft,Uber,Facebook,Goldman Sachs,Wish,Bloomberg")</f>
        <v>Amazon,Google,Microsoft,Uber,Facebook,Goldman Sachs,Wish,Bloomberg</v>
      </c>
      <c r="G276" s="47" t="str">
        <f>IFERROR(__xludf.DUMMYFUNCTION("""COMPUTED_VALUE"""),"eBay,Oracle,Qualtrics,Apple,Amazon,Google,Microsoft,Uber,Facebook,Goldman Sachs,Wish,Bloomberg")</f>
        <v>eBay,Oracle,Qualtrics,Apple,Amazon,Google,Microsoft,Uber,Facebook,Goldman Sachs,Wish,Bloomberg</v>
      </c>
      <c r="H276" s="47" t="str">
        <f>IFERROR(__xludf.DUMMYFUNCTION("""COMPUTED_VALUE"""),"Twitter,Tesla,Twitch,eBay,Oracle,Qualtrics,Apple,Amazon,Google,Microsoft,Uber,Facebook,Goldman Sachs,Wish,Bloomberg")</f>
        <v>Twitter,Tesla,Twitch,eBay,Oracle,Qualtrics,Apple,Amazon,Google,Microsoft,Uber,Facebook,Goldman Sachs,Wish,Bloomberg</v>
      </c>
      <c r="I276" s="47">
        <f>IFERROR(__xludf.DUMMYFUNCTION("""COMPUTED_VALUE"""),50.2)</f>
        <v>50.2</v>
      </c>
      <c r="J276" s="47" t="str">
        <f>IFERROR(__xludf.DUMMYFUNCTION("""COMPUTED_VALUE"""),"算法")</f>
        <v>算法</v>
      </c>
      <c r="K276" s="2" t="s">
        <v>4994</v>
      </c>
      <c r="L276" s="6">
        <f>COUNTIF('Coder-1'!B:B,A276)</f>
        <v>0</v>
      </c>
      <c r="M276" s="6">
        <f>COUNTIF('Coder-2'!B:B,A276)</f>
        <v>0</v>
      </c>
      <c r="N276" s="6">
        <f>COUNTIF('Coder-3'!B:B,A276)</f>
        <v>0</v>
      </c>
      <c r="O276" s="6">
        <f>COUNTIF('Coder-4'!B:B,A276)</f>
        <v>0</v>
      </c>
    </row>
    <row r="277">
      <c r="A277" s="83">
        <v>621.0</v>
      </c>
      <c r="B277" s="86" t="str">
        <f>IFERROR(__xludf.DUMMYFUNCTION("IF(ISBLANK(A277),,FILTER('Leetcode List'!B:C,'Leetcode List'!A:A = A277))"),"Task Scheduler")</f>
        <v>Task Scheduler</v>
      </c>
      <c r="C277" s="47" t="str">
        <f>IFERROR(__xludf.DUMMYFUNCTION("""COMPUTED_VALUE"""),"Medium")</f>
        <v>Medium</v>
      </c>
      <c r="D277" s="83" t="s">
        <v>4992</v>
      </c>
      <c r="E277" s="87" t="str">
        <f>IFERROR(__xludf.DUMMYFUNCTION("IF(ISBLANK(A277),,FILTER('Leetcode List'!E:J,'Leetcode List'!A:A = A277))"),"Airtel,Rubrik,Snapchat,EBay,Nutanix,Pinterest,VMware,Oracle,Apple,Uber,Bloomberg,Facebook,Amazon,Microsoft,Google")</f>
        <v>Airtel,Rubrik,Snapchat,EBay,Nutanix,Pinterest,VMware,Oracle,Apple,Uber,Bloomberg,Facebook,Amazon,Microsoft,Google</v>
      </c>
      <c r="F277" s="47" t="str">
        <f>IFERROR(__xludf.DUMMYFUNCTION("""COMPUTED_VALUE"""),"Facebook,Amazon,Google,Rubrik,Pinterest,Microsoft,Bloomberg,Airtel")</f>
        <v>Facebook,Amazon,Google,Rubrik,Pinterest,Microsoft,Bloomberg,Airtel</v>
      </c>
      <c r="G277" s="47" t="str">
        <f>IFERROR(__xludf.DUMMYFUNCTION("""COMPUTED_VALUE"""),"Uber,eBay,Facebook,Amazon,Google,Rubrik,Pinterest,Microsoft,Bloomberg,Airtel")</f>
        <v>Uber,eBay,Facebook,Amazon,Google,Rubrik,Pinterest,Microsoft,Bloomberg,Airtel</v>
      </c>
      <c r="H277" s="47" t="str">
        <f>IFERROR(__xludf.DUMMYFUNCTION("""COMPUTED_VALUE"""),"Apple,Snapchat,Oracle,Uber,eBay,Facebook,Amazon,Google,Rubrik,Pinterest,Microsoft,Bloomberg,Airtel")</f>
        <v>Apple,Snapchat,Oracle,Uber,eBay,Facebook,Amazon,Google,Rubrik,Pinterest,Microsoft,Bloomberg,Airtel</v>
      </c>
      <c r="I277" s="47">
        <f>IFERROR(__xludf.DUMMYFUNCTION("""COMPUTED_VALUE"""),52.06)</f>
        <v>52.06</v>
      </c>
      <c r="J277" s="47" t="str">
        <f>IFERROR(__xludf.DUMMYFUNCTION("""COMPUTED_VALUE"""),"算法")</f>
        <v>算法</v>
      </c>
      <c r="K277" s="2" t="s">
        <v>4994</v>
      </c>
      <c r="L277" s="6">
        <f>COUNTIF('Coder-1'!B:B,A277)</f>
        <v>0</v>
      </c>
      <c r="M277" s="6">
        <f>COUNTIF('Coder-2'!B:B,A277)</f>
        <v>0</v>
      </c>
      <c r="N277" s="6">
        <f>COUNTIF('Coder-3'!B:B,A277)</f>
        <v>0</v>
      </c>
      <c r="O277" s="6">
        <f>COUNTIF('Coder-4'!B:B,A277)</f>
        <v>0</v>
      </c>
    </row>
    <row r="278">
      <c r="A278" s="83">
        <v>1054.0</v>
      </c>
      <c r="B278" s="86" t="str">
        <f>IFERROR(__xludf.DUMMYFUNCTION("IF(ISBLANK(A278),,FILTER('Leetcode List'!B:C,'Leetcode List'!A:A = A278))"),"Distant Barcodes")</f>
        <v>Distant Barcodes</v>
      </c>
      <c r="C278" s="47" t="str">
        <f>IFERROR(__xludf.DUMMYFUNCTION("""COMPUTED_VALUE"""),"Medium")</f>
        <v>Medium</v>
      </c>
      <c r="D278" s="83" t="s">
        <v>4992</v>
      </c>
      <c r="E278" s="87" t="str">
        <f>IFERROR(__xludf.DUMMYFUNCTION("IF(ISBLANK(A278),,FILTER('Leetcode List'!E:J,'Leetcode List'!A:A = A278))"),"Bloomberg,Amazon")</f>
        <v>Bloomberg,Amazon</v>
      </c>
      <c r="F278" s="47"/>
      <c r="G278" s="47" t="str">
        <f>IFERROR(__xludf.DUMMYFUNCTION("""COMPUTED_VALUE"""),"Bloomberg")</f>
        <v>Bloomberg</v>
      </c>
      <c r="H278" s="47" t="str">
        <f>IFERROR(__xludf.DUMMYFUNCTION("""COMPUTED_VALUE"""),"Amazon,Bloomberg")</f>
        <v>Amazon,Bloomberg</v>
      </c>
      <c r="I278" s="47">
        <f>IFERROR(__xludf.DUMMYFUNCTION("""COMPUTED_VALUE"""),44.21)</f>
        <v>44.21</v>
      </c>
      <c r="J278" s="47" t="str">
        <f>IFERROR(__xludf.DUMMYFUNCTION("""COMPUTED_VALUE"""),"算法")</f>
        <v>算法</v>
      </c>
      <c r="K278" s="2" t="s">
        <v>4994</v>
      </c>
      <c r="L278" s="6">
        <f>COUNTIF('Coder-1'!B:B,A278)</f>
        <v>0</v>
      </c>
      <c r="M278" s="6">
        <f>COUNTIF('Coder-2'!B:B,A278)</f>
        <v>0</v>
      </c>
      <c r="N278" s="6">
        <f>COUNTIF('Coder-3'!B:B,A278)</f>
        <v>0</v>
      </c>
      <c r="O278" s="6">
        <f>COUNTIF('Coder-4'!B:B,A278)</f>
        <v>0</v>
      </c>
    </row>
    <row r="279">
      <c r="A279" s="83">
        <v>984.0</v>
      </c>
      <c r="B279" s="86" t="str">
        <f>IFERROR(__xludf.DUMMYFUNCTION("IF(ISBLANK(A279),,FILTER('Leetcode List'!B:C,'Leetcode List'!A:A = A279))"),"String Without AAA or BBB")</f>
        <v>String Without AAA or BBB</v>
      </c>
      <c r="C279" s="47" t="str">
        <f>IFERROR(__xludf.DUMMYFUNCTION("""COMPUTED_VALUE"""),"Medium")</f>
        <v>Medium</v>
      </c>
      <c r="D279" s="83" t="s">
        <v>4992</v>
      </c>
      <c r="E279" s="87" t="str">
        <f>IFERROR(__xludf.DUMMYFUNCTION("IF(ISBLANK(A279),,FILTER('Leetcode List'!E:J,'Leetcode List'!A:A = A279))"),"Zalando,Grab")</f>
        <v>Zalando,Grab</v>
      </c>
      <c r="F279" s="47"/>
      <c r="G279" s="47"/>
      <c r="H279" s="47" t="str">
        <f>IFERROR(__xludf.DUMMYFUNCTION("""COMPUTED_VALUE"""),"Grab,Zalando")</f>
        <v>Grab,Zalando</v>
      </c>
      <c r="I279" s="47">
        <f>IFERROR(__xludf.DUMMYFUNCTION("""COMPUTED_VALUE"""),38.74)</f>
        <v>38.74</v>
      </c>
      <c r="J279" s="47" t="str">
        <f>IFERROR(__xludf.DUMMYFUNCTION("""COMPUTED_VALUE"""),"算法")</f>
        <v>算法</v>
      </c>
      <c r="K279" s="2" t="s">
        <v>4994</v>
      </c>
      <c r="L279" s="6">
        <f>COUNTIF('Coder-1'!B:B,A279)</f>
        <v>0</v>
      </c>
      <c r="M279" s="6">
        <f>COUNTIF('Coder-2'!B:B,A279)</f>
        <v>0</v>
      </c>
      <c r="N279" s="6">
        <f>COUNTIF('Coder-3'!B:B,A279)</f>
        <v>0</v>
      </c>
      <c r="O279" s="6">
        <f>COUNTIF('Coder-4'!B:B,A279)</f>
        <v>0</v>
      </c>
    </row>
    <row r="280">
      <c r="A280" s="83">
        <v>1405.0</v>
      </c>
      <c r="B280" s="86" t="str">
        <f>IFERROR(__xludf.DUMMYFUNCTION("IF(ISBLANK(A280),,FILTER('Leetcode List'!B:C,'Leetcode List'!A:A = A280))"),"Longest Happy String")</f>
        <v>Longest Happy String</v>
      </c>
      <c r="C280" s="47" t="str">
        <f>IFERROR(__xludf.DUMMYFUNCTION("""COMPUTED_VALUE"""),"Medium")</f>
        <v>Medium</v>
      </c>
      <c r="D280" s="83" t="s">
        <v>4992</v>
      </c>
      <c r="E280" s="87" t="str">
        <f>IFERROR(__xludf.DUMMYFUNCTION("IF(ISBLANK(A280),,FILTER('Leetcode List'!E:J,'Leetcode List'!A:A = A280))"),"Grab,Adobe,Amazon,Wayfair")</f>
        <v>Grab,Adobe,Amazon,Wayfair</v>
      </c>
      <c r="F280" s="47" t="str">
        <f>IFERROR(__xludf.DUMMYFUNCTION("""COMPUTED_VALUE"""),"Grab,Adobe")</f>
        <v>Grab,Adobe</v>
      </c>
      <c r="G280" s="47" t="str">
        <f>IFERROR(__xludf.DUMMYFUNCTION("""COMPUTED_VALUE"""),"Amazon,Grab,Adobe")</f>
        <v>Amazon,Grab,Adobe</v>
      </c>
      <c r="H280" s="47" t="str">
        <f>IFERROR(__xludf.DUMMYFUNCTION("""COMPUTED_VALUE"""),"Wayfair,Amazon,Grab,Adobe")</f>
        <v>Wayfair,Amazon,Grab,Adobe</v>
      </c>
      <c r="I280" s="47">
        <f>IFERROR(__xludf.DUMMYFUNCTION("""COMPUTED_VALUE"""),52.49)</f>
        <v>52.49</v>
      </c>
      <c r="J280" s="47" t="str">
        <f>IFERROR(__xludf.DUMMYFUNCTION("""COMPUTED_VALUE"""),"算法")</f>
        <v>算法</v>
      </c>
      <c r="K280" s="2" t="s">
        <v>4994</v>
      </c>
      <c r="L280" s="6">
        <f>COUNTIF('Coder-1'!B:B,A280)</f>
        <v>0</v>
      </c>
      <c r="M280" s="6">
        <f>COUNTIF('Coder-2'!B:B,A280)</f>
        <v>0</v>
      </c>
      <c r="N280" s="6">
        <f>COUNTIF('Coder-3'!B:B,A280)</f>
        <v>0</v>
      </c>
      <c r="O280" s="6">
        <f>COUNTIF('Coder-4'!B:B,A280)</f>
        <v>0</v>
      </c>
    </row>
    <row r="281">
      <c r="A281" s="83">
        <v>37.0</v>
      </c>
      <c r="B281" s="86" t="str">
        <f>IFERROR(__xludf.DUMMYFUNCTION("IF(ISBLANK(A281),,FILTER('Leetcode List'!B:C,'Leetcode List'!A:A = A281))"),"Sudoku Solver")</f>
        <v>Sudoku Solver</v>
      </c>
      <c r="C281" s="47" t="str">
        <f>IFERROR(__xludf.DUMMYFUNCTION("""COMPUTED_VALUE"""),"Hard")</f>
        <v>Hard</v>
      </c>
      <c r="D281" s="83" t="s">
        <v>4995</v>
      </c>
      <c r="E281" s="87" t="str">
        <f>IFERROR(__xludf.DUMMYFUNCTION("IF(ISBLANK(A281),,FILTER('Leetcode List'!E:J,'Leetcode List'!A:A = A281))"),"Pinterest,Tesla,Salesforce,JPMorgan,Intuit,Adobe,Arista Networks,Riot Games,DoorDash,Roblox,VMware,Snapchat,Expedia,Wish,Oracle,Apple,Uber,Facebook,Amazon,Microsoft,Google")</f>
        <v>Pinterest,Tesla,Salesforce,JPMorgan,Intuit,Adobe,Arista Networks,Riot Games,DoorDash,Roblox,VMware,Snapchat,Expedia,Wish,Oracle,Apple,Uber,Facebook,Amazon,Microsoft,Google</v>
      </c>
      <c r="F281" s="47" t="str">
        <f>IFERROR(__xludf.DUMMYFUNCTION("""COMPUTED_VALUE"""),"DoorDash,Amazon,Oracle,Pinterest,Apple,Intuit")</f>
        <v>DoorDash,Amazon,Oracle,Pinterest,Apple,Intuit</v>
      </c>
      <c r="G281" s="47" t="str">
        <f>IFERROR(__xludf.DUMMYFUNCTION("""COMPUTED_VALUE"""),"Microsoft,Google,Roblox,Adobe,Salesforce,JPMorgan,Tesla,DoorDash,Amazon,Oracle,Pinterest,Apple,Intuit")</f>
        <v>Microsoft,Google,Roblox,Adobe,Salesforce,JPMorgan,Tesla,DoorDash,Amazon,Oracle,Pinterest,Apple,Intuit</v>
      </c>
      <c r="H281" s="47" t="str">
        <f>IFERROR(__xludf.DUMMYFUNCTION("""COMPUTED_VALUE"""),"Facebook,Wish,Uber,Snapchat,Microsoft,Google,Roblox,Adobe,Salesforce,JPMorgan,Tesla,DoorDash,Amazon,Oracle,Pinterest,Apple,Intuit")</f>
        <v>Facebook,Wish,Uber,Snapchat,Microsoft,Google,Roblox,Adobe,Salesforce,JPMorgan,Tesla,DoorDash,Amazon,Oracle,Pinterest,Apple,Intuit</v>
      </c>
      <c r="I281" s="47">
        <f>IFERROR(__xludf.DUMMYFUNCTION("""COMPUTED_VALUE"""),46.79)</f>
        <v>46.79</v>
      </c>
      <c r="J281" s="47" t="str">
        <f>IFERROR(__xludf.DUMMYFUNCTION("""COMPUTED_VALUE"""),"算法")</f>
        <v>算法</v>
      </c>
      <c r="L281" s="6">
        <f>COUNTIF('Coder-1'!B:B,A281)</f>
        <v>0</v>
      </c>
      <c r="M281" s="6">
        <f>COUNTIF('Coder-2'!B:B,A281)</f>
        <v>0</v>
      </c>
      <c r="N281" s="6">
        <f>COUNTIF('Coder-3'!B:B,A281)</f>
        <v>0</v>
      </c>
      <c r="O281" s="6">
        <f>COUNTIF('Coder-4'!B:B,A281)</f>
        <v>0</v>
      </c>
    </row>
    <row r="282">
      <c r="A282" s="83">
        <v>40.0</v>
      </c>
      <c r="B282" s="86" t="str">
        <f>IFERROR(__xludf.DUMMYFUNCTION("IF(ISBLANK(A282),,FILTER('Leetcode List'!B:C,'Leetcode List'!A:A = A282))"),"Combination Sum II")</f>
        <v>Combination Sum II</v>
      </c>
      <c r="C282" s="47" t="str">
        <f>IFERROR(__xludf.DUMMYFUNCTION("""COMPUTED_VALUE"""),"Medium")</f>
        <v>Medium</v>
      </c>
      <c r="D282" s="83" t="s">
        <v>4995</v>
      </c>
      <c r="E282" s="87" t="str">
        <f>IFERROR(__xludf.DUMMYFUNCTION("IF(ISBLANK(A282),,FILTER('Leetcode List'!E:J,'Leetcode List'!A:A = A282))"),"ByteDance,Bloomberg,Nutanix,Walmart Labs,Snapchat,EBay,Apple,Uber,Adobe,Facebook,Amazon,LinkedIn,Microsoft,Google")</f>
        <v>ByteDance,Bloomberg,Nutanix,Walmart Labs,Snapchat,EBay,Apple,Uber,Adobe,Facebook,Amazon,LinkedIn,Microsoft,Google</v>
      </c>
      <c r="F282" s="47" t="str">
        <f>IFERROR(__xludf.DUMMYFUNCTION("""COMPUTED_VALUE"""),"Amazon,Microsoft,ByteDance")</f>
        <v>Amazon,Microsoft,ByteDance</v>
      </c>
      <c r="G282" s="47" t="str">
        <f>IFERROR(__xludf.DUMMYFUNCTION("""COMPUTED_VALUE"""),"Facebook,Adobe,Bloomberg,eBay,Amazon,Microsoft,ByteDance")</f>
        <v>Facebook,Adobe,Bloomberg,eBay,Amazon,Microsoft,ByteDance</v>
      </c>
      <c r="H282" s="47" t="str">
        <f>IFERROR(__xludf.DUMMYFUNCTION("""COMPUTED_VALUE"""),"Uber,Google,LinkedIn,Apple,Walmart Labs,Nutanix,Snapchat,Facebook,Adobe,Bloomberg,eBay,Amazon,Microsoft,ByteDance")</f>
        <v>Uber,Google,LinkedIn,Apple,Walmart Labs,Nutanix,Snapchat,Facebook,Adobe,Bloomberg,eBay,Amazon,Microsoft,ByteDance</v>
      </c>
      <c r="I282" s="47">
        <f>IFERROR(__xludf.DUMMYFUNCTION("""COMPUTED_VALUE"""),50.27)</f>
        <v>50.27</v>
      </c>
      <c r="J282" s="47" t="str">
        <f>IFERROR(__xludf.DUMMYFUNCTION("""COMPUTED_VALUE"""),"算法")</f>
        <v>算法</v>
      </c>
      <c r="L282" s="6">
        <f>COUNTIF('Coder-1'!B:B,A282)</f>
        <v>0</v>
      </c>
      <c r="M282" s="6">
        <f>COUNTIF('Coder-2'!B:B,A282)</f>
        <v>0</v>
      </c>
      <c r="N282" s="6">
        <f>COUNTIF('Coder-3'!B:B,A282)</f>
        <v>0</v>
      </c>
      <c r="O282" s="6">
        <f>COUNTIF('Coder-4'!B:B,A282)</f>
        <v>0</v>
      </c>
    </row>
    <row r="283">
      <c r="A283" s="83">
        <v>51.0</v>
      </c>
      <c r="B283" s="86" t="str">
        <f>IFERROR(__xludf.DUMMYFUNCTION("IF(ISBLANK(A283),,FILTER('Leetcode List'!B:C,'Leetcode List'!A:A = A283))"),"N-Queens")</f>
        <v>N-Queens</v>
      </c>
      <c r="C283" s="47" t="str">
        <f>IFERROR(__xludf.DUMMYFUNCTION("""COMPUTED_VALUE"""),"Hard")</f>
        <v>Hard</v>
      </c>
      <c r="D283" s="83" t="s">
        <v>4995</v>
      </c>
      <c r="E283" s="87" t="str">
        <f>IFERROR(__xludf.DUMMYFUNCTION("IF(ISBLANK(A283),,FILTER('Leetcode List'!E:J,'Leetcode List'!A:A = A283))"),"Rubrik,ByteDance,Tableau,Oracle,EBay,Apple,Uber,Adobe,Facebook,Amazon,Microsoft,Google")</f>
        <v>Rubrik,ByteDance,Tableau,Oracle,EBay,Apple,Uber,Adobe,Facebook,Amazon,Microsoft,Google</v>
      </c>
      <c r="F283" s="47" t="str">
        <f>IFERROR(__xludf.DUMMYFUNCTION("""COMPUTED_VALUE"""),"Facebook,Amazon,ByteDance,Microsoft,Apple,Adobe")</f>
        <v>Facebook,Amazon,ByteDance,Microsoft,Apple,Adobe</v>
      </c>
      <c r="G283" s="47" t="str">
        <f>IFERROR(__xludf.DUMMYFUNCTION("""COMPUTED_VALUE"""),"eBay,Facebook,Amazon,ByteDance,Microsoft,Apple,Adobe")</f>
        <v>eBay,Facebook,Amazon,ByteDance,Microsoft,Apple,Adobe</v>
      </c>
      <c r="H283" s="47" t="str">
        <f>IFERROR(__xludf.DUMMYFUNCTION("""COMPUTED_VALUE"""),"Google,Rubrik,Oracle,Uber,eBay,Facebook,Amazon,ByteDance,Microsoft,Apple,Adobe")</f>
        <v>Google,Rubrik,Oracle,Uber,eBay,Facebook,Amazon,ByteDance,Microsoft,Apple,Adobe</v>
      </c>
      <c r="I283" s="47">
        <f>IFERROR(__xludf.DUMMYFUNCTION("""COMPUTED_VALUE"""),49.9)</f>
        <v>49.9</v>
      </c>
      <c r="J283" s="47" t="str">
        <f>IFERROR(__xludf.DUMMYFUNCTION("""COMPUTED_VALUE"""),"算法")</f>
        <v>算法</v>
      </c>
      <c r="L283" s="6">
        <f>COUNTIF('Coder-1'!B:B,A283)</f>
        <v>0</v>
      </c>
      <c r="M283" s="6">
        <f>COUNTIF('Coder-2'!B:B,A283)</f>
        <v>0</v>
      </c>
      <c r="N283" s="6">
        <f>COUNTIF('Coder-3'!B:B,A283)</f>
        <v>0</v>
      </c>
      <c r="O283" s="6">
        <f>COUNTIF('Coder-4'!B:B,A283)</f>
        <v>0</v>
      </c>
    </row>
    <row r="284">
      <c r="A284" s="83">
        <v>131.0</v>
      </c>
      <c r="B284" s="86" t="str">
        <f>IFERROR(__xludf.DUMMYFUNCTION("IF(ISBLANK(A284),,FILTER('Leetcode List'!B:C,'Leetcode List'!A:A = A284))"),"Palindrome Partitioning")</f>
        <v>Palindrome Partitioning</v>
      </c>
      <c r="C284" s="47" t="str">
        <f>IFERROR(__xludf.DUMMYFUNCTION("""COMPUTED_VALUE"""),"Medium")</f>
        <v>Medium</v>
      </c>
      <c r="D284" s="83" t="s">
        <v>4995</v>
      </c>
      <c r="E284" s="87" t="str">
        <f>IFERROR(__xludf.DUMMYFUNCTION("IF(ISBLANK(A284),,FILTER('Leetcode List'!E:J,'Leetcode List'!A:A = A284))"),"Apple,Facebook,Microsoft,Qualtrics,Uber,Yahoo,Bloomberg,Adobe,Amazon,Google")</f>
        <v>Apple,Facebook,Microsoft,Qualtrics,Uber,Yahoo,Bloomberg,Adobe,Amazon,Google</v>
      </c>
      <c r="F284" s="47" t="str">
        <f>IFERROR(__xludf.DUMMYFUNCTION("""COMPUTED_VALUE"""),"Amazon,Apple,Google")</f>
        <v>Amazon,Apple,Google</v>
      </c>
      <c r="G284" s="47" t="str">
        <f>IFERROR(__xludf.DUMMYFUNCTION("""COMPUTED_VALUE"""),"Microsoft,Facebook,Amazon,Apple,Google")</f>
        <v>Microsoft,Facebook,Amazon,Apple,Google</v>
      </c>
      <c r="H284" s="47" t="str">
        <f>IFERROR(__xludf.DUMMYFUNCTION("""COMPUTED_VALUE"""),"Uber,Adobe,Bloomberg,Yahoo,Qualtrics,Microsoft,Facebook,Amazon,Apple,Google")</f>
        <v>Uber,Adobe,Bloomberg,Yahoo,Qualtrics,Microsoft,Facebook,Amazon,Apple,Google</v>
      </c>
      <c r="I284" s="47">
        <f>IFERROR(__xludf.DUMMYFUNCTION("""COMPUTED_VALUE"""),52.33)</f>
        <v>52.33</v>
      </c>
      <c r="J284" s="47" t="str">
        <f>IFERROR(__xludf.DUMMYFUNCTION("""COMPUTED_VALUE"""),"算法")</f>
        <v>算法</v>
      </c>
      <c r="L284" s="6">
        <f>COUNTIF('Coder-1'!B:B,A284)</f>
        <v>0</v>
      </c>
      <c r="M284" s="6">
        <f>COUNTIF('Coder-2'!B:B,A284)</f>
        <v>0</v>
      </c>
      <c r="N284" s="6">
        <f>COUNTIF('Coder-3'!B:B,A284)</f>
        <v>0</v>
      </c>
      <c r="O284" s="6">
        <f>COUNTIF('Coder-4'!B:B,A284)</f>
        <v>0</v>
      </c>
    </row>
    <row r="285">
      <c r="A285" s="83">
        <v>417.0</v>
      </c>
      <c r="B285" s="86" t="str">
        <f>IFERROR(__xludf.DUMMYFUNCTION("IF(ISBLANK(A285),,FILTER('Leetcode List'!B:C,'Leetcode List'!A:A = A285))"),"Pacific Atlantic Water Flow")</f>
        <v>Pacific Atlantic Water Flow</v>
      </c>
      <c r="C285" s="83" t="str">
        <f>IFERROR(__xludf.DUMMYFUNCTION("""COMPUTED_VALUE"""),"Medium")</f>
        <v>Medium</v>
      </c>
      <c r="D285" s="83" t="s">
        <v>4995</v>
      </c>
      <c r="E285" s="87" t="str">
        <f>IFERROR(__xludf.DUMMYFUNCTION("IF(ISBLANK(A285),,FILTER('Leetcode List'!E:J,'Leetcode List'!A:A = A285))"),"ByteDance,Oracle,Apple,Bloomberg,Facebook,Amazon,Microsoft,Google")</f>
        <v>ByteDance,Oracle,Apple,Bloomberg,Facebook,Amazon,Microsoft,Google</v>
      </c>
      <c r="F285" s="47" t="str">
        <f>IFERROR(__xludf.DUMMYFUNCTION("""COMPUTED_VALUE"""),"ByteDance,Google,Amazon")</f>
        <v>ByteDance,Google,Amazon</v>
      </c>
      <c r="G285" s="47" t="str">
        <f>IFERROR(__xludf.DUMMYFUNCTION("""COMPUTED_VALUE"""),"Microsoft,Apple,ByteDance,Google,Amazon")</f>
        <v>Microsoft,Apple,ByteDance,Google,Amazon</v>
      </c>
      <c r="H285" s="47" t="str">
        <f>IFERROR(__xludf.DUMMYFUNCTION("""COMPUTED_VALUE"""),"Facebook,Bloomberg,Oracle,Microsoft,Apple,ByteDance,Google,Amazon")</f>
        <v>Facebook,Bloomberg,Oracle,Microsoft,Apple,ByteDance,Google,Amazon</v>
      </c>
      <c r="I285" s="47">
        <f>IFERROR(__xludf.DUMMYFUNCTION("""COMPUTED_VALUE"""),42.69)</f>
        <v>42.69</v>
      </c>
      <c r="J285" s="47" t="str">
        <f>IFERROR(__xludf.DUMMYFUNCTION("""COMPUTED_VALUE"""),"算法")</f>
        <v>算法</v>
      </c>
      <c r="L285" s="6">
        <f>COUNTIF('Coder-1'!B:B,A285)</f>
        <v>0</v>
      </c>
      <c r="M285" s="6">
        <f>COUNTIF('Coder-2'!B:B,A285)</f>
        <v>0</v>
      </c>
      <c r="N285" s="6">
        <f>COUNTIF('Coder-3'!B:B,A285)</f>
        <v>0</v>
      </c>
      <c r="O285" s="6">
        <f>COUNTIF('Coder-4'!B:B,A285)</f>
        <v>0</v>
      </c>
    </row>
    <row r="286">
      <c r="A286" s="83">
        <v>200.0</v>
      </c>
      <c r="B286" s="86" t="str">
        <f>IFERROR(__xludf.DUMMYFUNCTION("IF(ISBLANK(A286),,FILTER('Leetcode List'!B:C,'Leetcode List'!A:A = A286))"),"Number of Islands")</f>
        <v>Number of Islands</v>
      </c>
      <c r="C286" s="83" t="str">
        <f>IFERROR(__xludf.DUMMYFUNCTION("""COMPUTED_VALUE"""),"Medium")</f>
        <v>Medium</v>
      </c>
      <c r="D286" s="83" t="s">
        <v>4995</v>
      </c>
      <c r="E286" s="87" t="str">
        <f>IFERROR(__xludf.DUMMYFUNCTION("IF(ISBLANK(A286),,FILTER('Leetcode List'!E:J,'Leetcode List'!A:A = A286))"),"Pony.ai,Karat,Tesla,Robinhood,PayTM,ByteDance,Intel,Dropbox,ServiceNow,Yandex,Samsung,AppDynamics,Electronic Arts,Sumologic,Hulu,Cohesity,Arista Networks,LiveRamp,Nutanix,DoorDash,Square,Qualtrics,Evernote,Palantir Technologies,Cruise Automation,Citrix,Zu"&amp;"lily,Houzz,Zenefits,Atlassian,Twitch,Roblox,Audible,Splunk,Tableau,Salesforce,Visa,VMware,Citadel,Affirm,Walmart Labs,Snapchat,JPMorgan,Paypal,Twitter,Expedia,Wish,Nvidia,Oracle,Spotify,Lyft,Cisco,Mathworks,EBay,BlackRock,Apple,Uber,Yahoo,SAP,Bloomberg,Ad"&amp;"obe,Facebook,Amazon,LinkedIn,Microsoft,Alibaba,Goldman Sachs,Google")</f>
        <v>Pony.ai,Karat,Tesla,Robinhood,PayTM,ByteDance,Intel,Dropbox,ServiceNow,Yandex,Samsung,AppDynamics,Electronic Arts,Sumologic,Hulu,Cohesity,Arista Networks,LiveRamp,Nutanix,DoorDash,Square,Qualtrics,Evernote,Palantir Technologies,Cruise Automation,Citrix,Zulily,Houzz,Zenefits,Atlassian,Twitch,Roblox,Audible,Splunk,Tableau,Salesforce,Visa,VMware,Citadel,Affirm,Walmart Labs,Snapchat,JPMorgan,Paypal,Twitter,Expedia,Wish,Nvidia,Oracle,Spotify,Lyft,Cisco,Mathworks,EBay,BlackRock,Apple,Uber,Yahoo,SAP,Bloomberg,Adobe,Facebook,Amazon,LinkedIn,Microsoft,Alibaba,Goldman Sachs,Google</v>
      </c>
      <c r="F286" s="47" t="str">
        <f>IFERROR(__xludf.DUMMYFUNCTION("""COMPUTED_VALUE"""),"Amazon,Bloomberg,Microsoft,Oracle,Facebook,Apple,Uber,Google,DoorDash,Qualtrics,LinkedIn,Snapchat,Expedia,Goldman Sachs,Citadel,VMware,Tesla,Karat,ByteDance,Yandex,eBay,Samsung,Yahoo,Nvidia,Splunk,Pony.ai")</f>
        <v>Amazon,Bloomberg,Microsoft,Oracle,Facebook,Apple,Uber,Google,DoorDash,Qualtrics,LinkedIn,Snapchat,Expedia,Goldman Sachs,Citadel,VMware,Tesla,Karat,ByteDance,Yandex,eBay,Samsung,Yahoo,Nvidia,Splunk,Pony.ai</v>
      </c>
      <c r="G286" s="47" t="str">
        <f>IFERROR(__xludf.DUMMYFUNCTION("""COMPUTED_VALUE"""),"Adobe,Wish,Walmart Labs,Roblox,Lyft,Robinhood,Palantir Technologies,Salesforce,Visa,Intel,Audible,PayTM,Amazon,Bloomberg,Microsoft,Oracle,Facebook,Apple,Uber,Google,DoorDash,Qualtrics,LinkedIn,Snapchat,Expedia,Goldman Sachs,Citadel,VMware,Tesla,Karat,Byte"&amp;"Dance,Yandex,eBay,Samsung,Yahoo,Nvidia,Splunk,Pony.ai")</f>
        <v>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H286" s="47" t="str">
        <f>IFERROR(__xludf.DUMMYFUNCTION("""COMPUTED_VALUE"""),"Cruise Automation,Twitch,Atlassian,Tableau,Affirm,Mathworks,JPMorgan,Electronic Arts,Houzz,Nutanix,Evernote,Dropbox,Paypal,SAP,Square,Arista Networks,ServiceNow,Spotify,Zulily,Cohesity,Zenefits,Adobe,Wish,Walmart Labs,Roblox,Lyft,Robinhood,Palantir Techno"&amp;"logies,Salesforce,Visa,Intel,Audible,PayTM,Amazon,Bloomberg,Microsoft,Oracle,Facebook,Apple,Uber,Google,DoorDash,Qualtrics,LinkedIn,Snapchat,Expedia,Goldman Sachs,Citadel,VMware,Tesla,Karat,ByteDance,Yandex,eBay,Samsung,Yahoo,Nvidia,Splunk,Pony.ai")</f>
        <v>Cruise Automation,Twitch,Atlassian,Tableau,Affirm,Mathworks,JPMorgan,Electronic Arts,Houzz,Nutanix,Evernote,Dropbox,Paypal,SAP,Square,Arista Networks,ServiceNow,Spotify,Zulily,Cohesity,Zenefits,Adobe,Wish,Walmart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I286" s="47">
        <f>IFERROR(__xludf.DUMMYFUNCTION("""COMPUTED_VALUE"""),49.32)</f>
        <v>49.32</v>
      </c>
      <c r="J286" s="47" t="str">
        <f>IFERROR(__xludf.DUMMYFUNCTION("""COMPUTED_VALUE"""),"算法")</f>
        <v>算法</v>
      </c>
      <c r="L286" s="6">
        <f>COUNTIF('Coder-1'!B:B,A286)</f>
        <v>0</v>
      </c>
      <c r="M286" s="6">
        <f>COUNTIF('Coder-2'!B:B,A286)</f>
        <v>0</v>
      </c>
      <c r="N286" s="6">
        <f>COUNTIF('Coder-3'!B:B,A286)</f>
        <v>0</v>
      </c>
      <c r="O286" s="6">
        <f>COUNTIF('Coder-4'!B:B,A286)</f>
        <v>0</v>
      </c>
    </row>
    <row r="287">
      <c r="A287" s="83">
        <v>282.0</v>
      </c>
      <c r="B287" s="86" t="str">
        <f>IFERROR(__xludf.DUMMYFUNCTION("IF(ISBLANK(A287),,FILTER('Leetcode List'!B:C,'Leetcode List'!A:A = A287))"),"Expression Add Operators")</f>
        <v>Expression Add Operators</v>
      </c>
      <c r="C287" s="83" t="str">
        <f>IFERROR(__xludf.DUMMYFUNCTION("""COMPUTED_VALUE"""),"Hard")</f>
        <v>Hard</v>
      </c>
      <c r="D287" s="83" t="s">
        <v>4995</v>
      </c>
      <c r="E287" s="87" t="str">
        <f>IFERROR(__xludf.DUMMYFUNCTION("IF(ISBLANK(A287),,FILTER('Leetcode List'!E:J,'Leetcode List'!A:A = A287))"),"Jane Street,Wish,Citadel,Amazon,ByteDance,Snapchat,Apple,Uber,Facebook,LinkedIn,Microsoft,Google")</f>
        <v>Jane Street,Wish,Citadel,Amazon,ByteDance,Snapchat,Apple,Uber,Facebook,LinkedIn,Microsoft,Google</v>
      </c>
      <c r="F287" s="47" t="str">
        <f>IFERROR(__xludf.DUMMYFUNCTION("""COMPUTED_VALUE"""),"Facebook,Citadel")</f>
        <v>Facebook,Citadel</v>
      </c>
      <c r="G287" s="47" t="str">
        <f>IFERROR(__xludf.DUMMYFUNCTION("""COMPUTED_VALUE"""),"Uber,ByteDance,Microsoft,Google,Jane Street,Amazon,Wish,Facebook,Citadel")</f>
        <v>Uber,ByteDance,Microsoft,Google,Jane Street,Amazon,Wish,Facebook,Citadel</v>
      </c>
      <c r="H287" s="47" t="str">
        <f>IFERROR(__xludf.DUMMYFUNCTION("""COMPUTED_VALUE"""),"Snapchat,Uber,ByteDance,Microsoft,Google,Jane Street,Amazon,Wish,Facebook,Citadel")</f>
        <v>Snapchat,Uber,ByteDance,Microsoft,Google,Jane Street,Amazon,Wish,Facebook,Citadel</v>
      </c>
      <c r="I287" s="47">
        <f>IFERROR(__xludf.DUMMYFUNCTION("""COMPUTED_VALUE"""),36.84)</f>
        <v>36.84</v>
      </c>
      <c r="J287" s="47" t="str">
        <f>IFERROR(__xludf.DUMMYFUNCTION("""COMPUTED_VALUE"""),"算法")</f>
        <v>算法</v>
      </c>
      <c r="L287" s="6">
        <f>COUNTIF('Coder-1'!B:B,A287)</f>
        <v>0</v>
      </c>
      <c r="M287" s="6">
        <f>COUNTIF('Coder-2'!B:B,A287)</f>
        <v>0</v>
      </c>
      <c r="N287" s="6">
        <f>COUNTIF('Coder-3'!B:B,A287)</f>
        <v>0</v>
      </c>
      <c r="O287" s="6">
        <f>COUNTIF('Coder-4'!B:B,A287)</f>
        <v>0</v>
      </c>
    </row>
    <row r="288">
      <c r="A288" s="83">
        <v>312.0</v>
      </c>
      <c r="B288" s="86" t="str">
        <f>IFERROR(__xludf.DUMMYFUNCTION("IF(ISBLANK(A288),,FILTER('Leetcode List'!B:C,'Leetcode List'!A:A = A288))"),"Burst Balloons")</f>
        <v>Burst Balloons</v>
      </c>
      <c r="C288" s="83" t="str">
        <f>IFERROR(__xludf.DUMMYFUNCTION("""COMPUTED_VALUE"""),"Hard")</f>
        <v>Hard</v>
      </c>
      <c r="D288" s="83" t="s">
        <v>4995</v>
      </c>
      <c r="E288" s="87" t="str">
        <f>IFERROR(__xludf.DUMMYFUNCTION("IF(ISBLANK(A288),,FILTER('Leetcode List'!E:J,'Leetcode List'!A:A = A288))"),"Codenation,Uber,Bloomberg,Snapchat,Samsung,Adobe,Facebook,Amazon,Google")</f>
        <v>Codenation,Uber,Bloomberg,Snapchat,Samsung,Adobe,Facebook,Amazon,Google</v>
      </c>
      <c r="F288" s="47" t="str">
        <f>IFERROR(__xludf.DUMMYFUNCTION("""COMPUTED_VALUE"""),"Adobe,Codenation,Bloomberg")</f>
        <v>Adobe,Codenation,Bloomberg</v>
      </c>
      <c r="G288" s="47" t="str">
        <f>IFERROR(__xludf.DUMMYFUNCTION("""COMPUTED_VALUE"""),"Amazon,Samsung,Google,Adobe,Codenation,Bloomberg")</f>
        <v>Amazon,Samsung,Google,Adobe,Codenation,Bloomberg</v>
      </c>
      <c r="H288" s="47" t="str">
        <f>IFERROR(__xludf.DUMMYFUNCTION("""COMPUTED_VALUE"""),"Facebook,Uber,Snapchat,Amazon,Samsung,Google,Adobe,Codenation,Bloomberg")</f>
        <v>Facebook,Uber,Snapchat,Amazon,Samsung,Google,Adobe,Codenation,Bloomberg</v>
      </c>
      <c r="I288" s="47">
        <f>IFERROR(__xludf.DUMMYFUNCTION("""COMPUTED_VALUE"""),53.82)</f>
        <v>53.82</v>
      </c>
      <c r="J288" s="47" t="str">
        <f>IFERROR(__xludf.DUMMYFUNCTION("""COMPUTED_VALUE"""),"算法")</f>
        <v>算法</v>
      </c>
      <c r="L288" s="6">
        <f>COUNTIF('Coder-1'!B:B,A288)</f>
        <v>0</v>
      </c>
      <c r="M288" s="6">
        <f>COUNTIF('Coder-2'!B:B,A288)</f>
        <v>0</v>
      </c>
      <c r="N288" s="6">
        <f>COUNTIF('Coder-3'!B:B,A288)</f>
        <v>0</v>
      </c>
      <c r="O288" s="6">
        <f>COUNTIF('Coder-4'!B:B,A288)</f>
        <v>0</v>
      </c>
    </row>
    <row r="289">
      <c r="A289" s="46">
        <v>329.0</v>
      </c>
      <c r="B289" s="86" t="str">
        <f>IFERROR(__xludf.DUMMYFUNCTION("IF(ISBLANK(A289),,FILTER('Leetcode List'!B:C,'Leetcode List'!A:A = A289))"),"Longest Increasing Path in a Matrix")</f>
        <v>Longest Increasing Path in a Matrix</v>
      </c>
      <c r="C289" s="83" t="str">
        <f>IFERROR(__xludf.DUMMYFUNCTION("""COMPUTED_VALUE"""),"Hard")</f>
        <v>Hard</v>
      </c>
      <c r="D289" s="83" t="s">
        <v>4995</v>
      </c>
      <c r="E289" s="87" t="str">
        <f>IFERROR(__xludf.DUMMYFUNCTION("IF(ISBLANK(A289),,FILTER('Leetcode List'!E:J,'Leetcode List'!A:A = A289))"),"DoorDash,Qualtrics,Oracle,Cisco,ByteDance,Snapchat,Apple,Uber,Bloomberg,Adobe,Facebook,Amazon,Microsoft,Google")</f>
        <v>DoorDash,Qualtrics,Oracle,Cisco,ByteDance,Snapchat,Apple,Uber,Bloomberg,Adobe,Facebook,Amazon,Microsoft,Google</v>
      </c>
      <c r="F289" s="47" t="str">
        <f>IFERROR(__xludf.DUMMYFUNCTION("""COMPUTED_VALUE"""),"Google,Facebook,Bloomberg,ByteDance,Amazon,DoorDash")</f>
        <v>Google,Facebook,Bloomberg,ByteDance,Amazon,DoorDash</v>
      </c>
      <c r="G289" s="47" t="str">
        <f>IFERROR(__xludf.DUMMYFUNCTION("""COMPUTED_VALUE"""),"Apple,Microsoft,Oracle,Snapchat,Cisco,Google,Facebook,Bloomberg,ByteDance,Amazon,DoorDash")</f>
        <v>Apple,Microsoft,Oracle,Snapchat,Cisco,Google,Facebook,Bloomberg,ByteDance,Amazon,DoorDash</v>
      </c>
      <c r="H289" s="47" t="str">
        <f>IFERROR(__xludf.DUMMYFUNCTION("""COMPUTED_VALUE"""),"Uber,Adobe,Qualtrics,Apple,Microsoft,Oracle,Snapchat,Cisco,Google,Facebook,Bloomberg,ByteDance,Amazon,DoorDash")</f>
        <v>Uber,Adobe,Qualtrics,Apple,Microsoft,Oracle,Snapchat,Cisco,Google,Facebook,Bloomberg,ByteDance,Amazon,DoorDash</v>
      </c>
      <c r="I289" s="47">
        <f>IFERROR(__xludf.DUMMYFUNCTION("""COMPUTED_VALUE"""),45.13)</f>
        <v>45.13</v>
      </c>
      <c r="J289" s="47" t="str">
        <f>IFERROR(__xludf.DUMMYFUNCTION("""COMPUTED_VALUE"""),"算法")</f>
        <v>算法</v>
      </c>
      <c r="L289" s="6">
        <f>COUNTIF('Coder-1'!B:B,A289)</f>
        <v>0</v>
      </c>
      <c r="M289" s="6">
        <f>COUNTIF('Coder-2'!B:B,A289)</f>
        <v>0</v>
      </c>
      <c r="N289" s="6">
        <f>COUNTIF('Coder-3'!B:B,A289)</f>
        <v>0</v>
      </c>
      <c r="O289" s="6">
        <f>COUNTIF('Coder-4'!B:B,A289)</f>
        <v>0</v>
      </c>
    </row>
    <row r="290">
      <c r="A290" s="83">
        <v>351.0</v>
      </c>
      <c r="B290" s="86" t="str">
        <f>IFERROR(__xludf.DUMMYFUNCTION("IF(ISBLANK(A290),,FILTER('Leetcode List'!B:C,'Leetcode List'!A:A = A290))"),"Android Unlock Patterns")</f>
        <v>Android Unlock Patterns</v>
      </c>
      <c r="C290" s="83" t="str">
        <f>IFERROR(__xludf.DUMMYFUNCTION("""COMPUTED_VALUE"""),"Medium")</f>
        <v>Medium</v>
      </c>
      <c r="D290" s="83" t="s">
        <v>4995</v>
      </c>
      <c r="E290" s="87" t="str">
        <f>IFERROR(__xludf.DUMMYFUNCTION("IF(ISBLANK(A290),,FILTER('Leetcode List'!E:J,'Leetcode List'!A:A = A290))"),"Microsoft,ByteDance,Apple,Amazon,Google")</f>
        <v>Microsoft,ByteDance,Apple,Amazon,Google</v>
      </c>
      <c r="F290" s="47" t="str">
        <f>IFERROR(__xludf.DUMMYFUNCTION("""COMPUTED_VALUE"""),"Google,Microsoft")</f>
        <v>Google,Microsoft</v>
      </c>
      <c r="G290" s="47" t="str">
        <f>IFERROR(__xludf.DUMMYFUNCTION("""COMPUTED_VALUE"""),"Apple,ByteDance,Google,Microsoft")</f>
        <v>Apple,ByteDance,Google,Microsoft</v>
      </c>
      <c r="H290" s="47" t="str">
        <f>IFERROR(__xludf.DUMMYFUNCTION("""COMPUTED_VALUE"""),"Amazon,Apple,ByteDance,Google,Microsoft")</f>
        <v>Amazon,Apple,ByteDance,Google,Microsoft</v>
      </c>
      <c r="I290" s="47">
        <f>IFERROR(__xludf.DUMMYFUNCTION("""COMPUTED_VALUE"""),49.76)</f>
        <v>49.76</v>
      </c>
      <c r="J290" s="47" t="str">
        <f>IFERROR(__xludf.DUMMYFUNCTION("""COMPUTED_VALUE"""),"算法")</f>
        <v>算法</v>
      </c>
      <c r="L290" s="6">
        <f>COUNTIF('Coder-1'!B:B,A290)</f>
        <v>0</v>
      </c>
      <c r="M290" s="6">
        <f>COUNTIF('Coder-2'!B:B,A290)</f>
        <v>0</v>
      </c>
      <c r="N290" s="6">
        <f>COUNTIF('Coder-3'!B:B,A290)</f>
        <v>0</v>
      </c>
      <c r="O290" s="6">
        <f>COUNTIF('Coder-4'!B:B,A290)</f>
        <v>0</v>
      </c>
    </row>
    <row r="291">
      <c r="A291" s="83">
        <v>399.0</v>
      </c>
      <c r="B291" s="86" t="str">
        <f>IFERROR(__xludf.DUMMYFUNCTION("IF(ISBLANK(A291),,FILTER('Leetcode List'!B:C,'Leetcode List'!A:A = A291))"),"Evaluate Division")</f>
        <v>Evaluate Division</v>
      </c>
      <c r="C291" s="83" t="str">
        <f>IFERROR(__xludf.DUMMYFUNCTION("""COMPUTED_VALUE"""),"Medium")</f>
        <v>Medium</v>
      </c>
      <c r="D291" s="83" t="s">
        <v>4995</v>
      </c>
      <c r="E291" s="87" t="str">
        <f>IFERROR(__xludf.DUMMYFUNCTION("IF(ISBLANK(A291),,FILTER('Leetcode List'!E:J,'Leetcode List'!A:A = A291))"),"Apple,Microsoft,Uber,Bloomberg,Adobe,Facebook,Amazon,Google")</f>
        <v>Apple,Microsoft,Uber,Bloomberg,Adobe,Facebook,Amazon,Google</v>
      </c>
      <c r="F291" s="47" t="str">
        <f>IFERROR(__xludf.DUMMYFUNCTION("""COMPUTED_VALUE"""),"Bloomberg,Amazon,Uber,Facebook,Google,Microsoft,Apple")</f>
        <v>Bloomberg,Amazon,Uber,Facebook,Google,Microsoft,Apple</v>
      </c>
      <c r="G291" s="47" t="str">
        <f>IFERROR(__xludf.DUMMYFUNCTION("""COMPUTED_VALUE"""),"Bloomberg,Amazon,Uber,Facebook,Google,Microsoft,Apple")</f>
        <v>Bloomberg,Amazon,Uber,Facebook,Google,Microsoft,Apple</v>
      </c>
      <c r="H291" s="47" t="str">
        <f>IFERROR(__xludf.DUMMYFUNCTION("""COMPUTED_VALUE"""),"Bloomberg,Amazon,Uber,Facebook,Google,Microsoft,Apple")</f>
        <v>Bloomberg,Amazon,Uber,Facebook,Google,Microsoft,Apple</v>
      </c>
      <c r="I291" s="47">
        <f>IFERROR(__xludf.DUMMYFUNCTION("""COMPUTED_VALUE"""),54.47)</f>
        <v>54.47</v>
      </c>
      <c r="J291" s="47" t="str">
        <f>IFERROR(__xludf.DUMMYFUNCTION("""COMPUTED_VALUE"""),"算法")</f>
        <v>算法</v>
      </c>
      <c r="L291" s="6">
        <f>COUNTIF('Coder-1'!B:B,A291)</f>
        <v>0</v>
      </c>
      <c r="M291" s="6">
        <f>COUNTIF('Coder-2'!B:B,A291)</f>
        <v>0</v>
      </c>
      <c r="N291" s="6">
        <f>COUNTIF('Coder-3'!B:B,A291)</f>
        <v>0</v>
      </c>
      <c r="O291" s="6">
        <f>COUNTIF('Coder-4'!B:B,A291)</f>
        <v>0</v>
      </c>
    </row>
    <row r="292">
      <c r="A292" s="83">
        <v>488.0</v>
      </c>
      <c r="B292" s="86" t="str">
        <f>IFERROR(__xludf.DUMMYFUNCTION("IF(ISBLANK(A292),,FILTER('Leetcode List'!B:C,'Leetcode List'!A:A = A292))"),"Zuma Game")</f>
        <v>Zuma Game</v>
      </c>
      <c r="C292" s="83" t="str">
        <f>IFERROR(__xludf.DUMMYFUNCTION("""COMPUTED_VALUE"""),"Hard")</f>
        <v>Hard</v>
      </c>
      <c r="D292" s="83" t="s">
        <v>4995</v>
      </c>
      <c r="E292" s="87" t="str">
        <f>IFERROR(__xludf.DUMMYFUNCTION("IF(ISBLANK(A292),,FILTER('Leetcode List'!E:J,'Leetcode List'!A:A = A292))"),"Salesforce,Baidu,Bloomberg")</f>
        <v>Salesforce,Baidu,Bloomberg</v>
      </c>
      <c r="F292" s="47" t="str">
        <f>IFERROR(__xludf.DUMMYFUNCTION("""COMPUTED_VALUE"""),"Salesforce,Bloomberg")</f>
        <v>Salesforce,Bloomberg</v>
      </c>
      <c r="G292" s="47" t="str">
        <f>IFERROR(__xludf.DUMMYFUNCTION("""COMPUTED_VALUE"""),"Salesforce,Bloomberg")</f>
        <v>Salesforce,Bloomberg</v>
      </c>
      <c r="H292" s="47" t="str">
        <f>IFERROR(__xludf.DUMMYFUNCTION("""COMPUTED_VALUE"""),"Baidu,Salesforce,Bloomberg")</f>
        <v>Baidu,Salesforce,Bloomberg</v>
      </c>
      <c r="I292" s="47">
        <f>IFERROR(__xludf.DUMMYFUNCTION("""COMPUTED_VALUE"""),38.19)</f>
        <v>38.19</v>
      </c>
      <c r="J292" s="47" t="str">
        <f>IFERROR(__xludf.DUMMYFUNCTION("""COMPUTED_VALUE"""),"算法")</f>
        <v>算法</v>
      </c>
      <c r="L292" s="6">
        <f>COUNTIF('Coder-1'!B:B,A292)</f>
        <v>0</v>
      </c>
      <c r="M292" s="6">
        <f>COUNTIF('Coder-2'!B:B,A292)</f>
        <v>0</v>
      </c>
      <c r="N292" s="6">
        <f>COUNTIF('Coder-3'!B:B,A292)</f>
        <v>0</v>
      </c>
      <c r="O292" s="6">
        <f>COUNTIF('Coder-4'!B:B,A292)</f>
        <v>0</v>
      </c>
    </row>
    <row r="293">
      <c r="A293" s="46">
        <v>425.0</v>
      </c>
      <c r="B293" s="86" t="str">
        <f>IFERROR(__xludf.DUMMYFUNCTION("IF(ISBLANK(A293),,FILTER('Leetcode List'!B:C,'Leetcode List'!A:A = A293))"),"Word Squares")</f>
        <v>Word Squares</v>
      </c>
      <c r="C293" s="83" t="str">
        <f>IFERROR(__xludf.DUMMYFUNCTION("""COMPUTED_VALUE"""),"Hard")</f>
        <v>Hard</v>
      </c>
      <c r="D293" s="83" t="s">
        <v>4995</v>
      </c>
      <c r="E293" s="87" t="str">
        <f>IFERROR(__xludf.DUMMYFUNCTION("IF(ISBLANK(A293),,FILTER('Leetcode List'!E:J,'Leetcode List'!A:A = A293))"),"Bloomberg,Oracle,Google")</f>
        <v>Bloomberg,Oracle,Google</v>
      </c>
      <c r="F293" s="47"/>
      <c r="G293" s="47" t="str">
        <f>IFERROR(__xludf.DUMMYFUNCTION("""COMPUTED_VALUE"""),"Bloomberg")</f>
        <v>Bloomberg</v>
      </c>
      <c r="H293" s="47" t="str">
        <f>IFERROR(__xludf.DUMMYFUNCTION("""COMPUTED_VALUE"""),"Oracle,Google,Bloomberg")</f>
        <v>Oracle,Google,Bloomberg</v>
      </c>
      <c r="I293" s="47">
        <f>IFERROR(__xludf.DUMMYFUNCTION("""COMPUTED_VALUE"""),50.17)</f>
        <v>50.17</v>
      </c>
      <c r="J293" s="47" t="str">
        <f>IFERROR(__xludf.DUMMYFUNCTION("""COMPUTED_VALUE"""),"算法")</f>
        <v>算法</v>
      </c>
      <c r="L293" s="6">
        <f>COUNTIF('Coder-1'!B:B,A293)</f>
        <v>0</v>
      </c>
      <c r="M293" s="6">
        <f>COUNTIF('Coder-2'!B:B,A293)</f>
        <v>0</v>
      </c>
      <c r="N293" s="6">
        <f>COUNTIF('Coder-3'!B:B,A293)</f>
        <v>0</v>
      </c>
      <c r="O293" s="6">
        <f>COUNTIF('Coder-4'!B:B,A293)</f>
        <v>0</v>
      </c>
    </row>
    <row r="294">
      <c r="A294" s="46">
        <v>465.0</v>
      </c>
      <c r="B294" s="86" t="str">
        <f>IFERROR(__xludf.DUMMYFUNCTION("IF(ISBLANK(A294),,FILTER('Leetcode List'!B:C,'Leetcode List'!A:A = A294))"),"Optimal Account Balancing")</f>
        <v>Optimal Account Balancing</v>
      </c>
      <c r="C294" s="83" t="str">
        <f>IFERROR(__xludf.DUMMYFUNCTION("""COMPUTED_VALUE"""),"Hard")</f>
        <v>Hard</v>
      </c>
      <c r="D294" s="83" t="s">
        <v>4995</v>
      </c>
      <c r="E294" s="87" t="str">
        <f>IFERROR(__xludf.DUMMYFUNCTION("IF(ISBLANK(A294),,FILTER('Leetcode List'!E:J,'Leetcode List'!A:A = A294))"),"EBay,ByteDance,Uber,Amazon,Google")</f>
        <v>EBay,ByteDance,Uber,Amazon,Google</v>
      </c>
      <c r="F294" s="47" t="str">
        <f>IFERROR(__xludf.DUMMYFUNCTION("""COMPUTED_VALUE"""),"Google,Amazon")</f>
        <v>Google,Amazon</v>
      </c>
      <c r="G294" s="47" t="str">
        <f>IFERROR(__xludf.DUMMYFUNCTION("""COMPUTED_VALUE"""),"ByteDance,eBay,Google,Amazon")</f>
        <v>ByteDance,eBay,Google,Amazon</v>
      </c>
      <c r="H294" s="47" t="str">
        <f>IFERROR(__xludf.DUMMYFUNCTION("""COMPUTED_VALUE"""),"Uber,ByteDance,eBay,Google,Amazon")</f>
        <v>Uber,ByteDance,eBay,Google,Amazon</v>
      </c>
      <c r="I294" s="47">
        <f>IFERROR(__xludf.DUMMYFUNCTION("""COMPUTED_VALUE"""),48.33)</f>
        <v>48.33</v>
      </c>
      <c r="J294" s="47" t="str">
        <f>IFERROR(__xludf.DUMMYFUNCTION("""COMPUTED_VALUE"""),"算法")</f>
        <v>算法</v>
      </c>
      <c r="L294" s="6">
        <f>COUNTIF('Coder-1'!B:B,A294)</f>
        <v>0</v>
      </c>
      <c r="M294" s="6">
        <f>COUNTIF('Coder-2'!B:B,A294)</f>
        <v>0</v>
      </c>
      <c r="N294" s="6">
        <f>COUNTIF('Coder-3'!B:B,A294)</f>
        <v>0</v>
      </c>
      <c r="O294" s="6">
        <f>COUNTIF('Coder-4'!B:B,A294)</f>
        <v>0</v>
      </c>
    </row>
    <row r="295">
      <c r="A295" s="46">
        <v>803.0</v>
      </c>
      <c r="B295" s="86" t="str">
        <f>IFERROR(__xludf.DUMMYFUNCTION("IF(ISBLANK(A295),,FILTER('Leetcode List'!B:C,'Leetcode List'!A:A = A295))"),"Bricks Falling When Hit")</f>
        <v>Bricks Falling When Hit</v>
      </c>
      <c r="C295" s="83" t="str">
        <f>IFERROR(__xludf.DUMMYFUNCTION("""COMPUTED_VALUE"""),"Hard")</f>
        <v>Hard</v>
      </c>
      <c r="D295" s="83" t="s">
        <v>4995</v>
      </c>
      <c r="E295" s="87" t="str">
        <f>IFERROR(__xludf.DUMMYFUNCTION("IF(ISBLANK(A295),,FILTER('Leetcode List'!E:J,'Leetcode List'!A:A = A295))"),"Google")</f>
        <v>Google</v>
      </c>
      <c r="F295" s="47"/>
      <c r="G295" s="47" t="str">
        <f>IFERROR(__xludf.DUMMYFUNCTION("""COMPUTED_VALUE"""),"Google")</f>
        <v>Google</v>
      </c>
      <c r="H295" s="47" t="str">
        <f>IFERROR(__xludf.DUMMYFUNCTION("""COMPUTED_VALUE"""),"Google")</f>
        <v>Google</v>
      </c>
      <c r="I295" s="47">
        <f>IFERROR(__xludf.DUMMYFUNCTION("""COMPUTED_VALUE"""),31.53)</f>
        <v>31.53</v>
      </c>
      <c r="J295" s="47" t="str">
        <f>IFERROR(__xludf.DUMMYFUNCTION("""COMPUTED_VALUE"""),"算法")</f>
        <v>算法</v>
      </c>
      <c r="L295" s="6">
        <f>COUNTIF('Coder-1'!B:B,A295)</f>
        <v>0</v>
      </c>
      <c r="M295" s="6">
        <f>COUNTIF('Coder-2'!B:B,A295)</f>
        <v>0</v>
      </c>
      <c r="N295" s="6">
        <f>COUNTIF('Coder-3'!B:B,A295)</f>
        <v>0</v>
      </c>
      <c r="O295" s="6">
        <f>COUNTIF('Coder-4'!B:B,A295)</f>
        <v>0</v>
      </c>
    </row>
    <row r="296">
      <c r="A296" s="83">
        <v>959.0</v>
      </c>
      <c r="B296" s="86" t="str">
        <f>IFERROR(__xludf.DUMMYFUNCTION("IF(ISBLANK(A296),,FILTER('Leetcode List'!B:C,'Leetcode List'!A:A = A296))"),"Regions Cut By Slashes")</f>
        <v>Regions Cut By Slashes</v>
      </c>
      <c r="C296" s="83" t="str">
        <f>IFERROR(__xludf.DUMMYFUNCTION("""COMPUTED_VALUE"""),"Medium")</f>
        <v>Medium</v>
      </c>
      <c r="D296" s="83" t="s">
        <v>4995</v>
      </c>
      <c r="E296" s="87" t="str">
        <f>IFERROR(__xludf.DUMMYFUNCTION("IF(ISBLANK(A296),,FILTER('Leetcode List'!E:J,'Leetcode List'!A:A = A296))"),"Uber")</f>
        <v>Uber</v>
      </c>
      <c r="F296" s="47"/>
      <c r="G296" s="47"/>
      <c r="H296" s="47" t="str">
        <f>IFERROR(__xludf.DUMMYFUNCTION("""COMPUTED_VALUE"""),"Uber")</f>
        <v>Uber</v>
      </c>
      <c r="I296" s="47">
        <f>IFERROR(__xludf.DUMMYFUNCTION("""COMPUTED_VALUE"""),67.16)</f>
        <v>67.16</v>
      </c>
      <c r="J296" s="47" t="str">
        <f>IFERROR(__xludf.DUMMYFUNCTION("""COMPUTED_VALUE"""),"算法")</f>
        <v>算法</v>
      </c>
      <c r="L296" s="6">
        <f>COUNTIF('Coder-1'!B:B,A296)</f>
        <v>0</v>
      </c>
      <c r="M296" s="6">
        <f>COUNTIF('Coder-2'!B:B,A296)</f>
        <v>0</v>
      </c>
      <c r="N296" s="6">
        <f>COUNTIF('Coder-3'!B:B,A296)</f>
        <v>0</v>
      </c>
      <c r="O296" s="6">
        <f>COUNTIF('Coder-4'!B:B,A296)</f>
        <v>0</v>
      </c>
    </row>
    <row r="297">
      <c r="A297" s="83">
        <v>1306.0</v>
      </c>
      <c r="B297" s="86" t="str">
        <f>IFERROR(__xludf.DUMMYFUNCTION("IF(ISBLANK(A297),,FILTER('Leetcode List'!B:C,'Leetcode List'!A:A = A297))"),"Jump Game III")</f>
        <v>Jump Game III</v>
      </c>
      <c r="C297" s="83" t="str">
        <f>IFERROR(__xludf.DUMMYFUNCTION("""COMPUTED_VALUE"""),"Medium")</f>
        <v>Medium</v>
      </c>
      <c r="D297" s="83" t="s">
        <v>4995</v>
      </c>
      <c r="E297" s="87" t="str">
        <f>IFERROR(__xludf.DUMMYFUNCTION("IF(ISBLANK(A297),,FILTER('Leetcode List'!E:J,'Leetcode List'!A:A = A297))"),"Microsoft")</f>
        <v>Microsoft</v>
      </c>
      <c r="F297" s="47"/>
      <c r="G297" s="47" t="str">
        <f>IFERROR(__xludf.DUMMYFUNCTION("""COMPUTED_VALUE"""),"Microsoft")</f>
        <v>Microsoft</v>
      </c>
      <c r="H297" s="47" t="str">
        <f>IFERROR(__xludf.DUMMYFUNCTION("""COMPUTED_VALUE"""),"Microsoft")</f>
        <v>Microsoft</v>
      </c>
      <c r="I297" s="47">
        <f>IFERROR(__xludf.DUMMYFUNCTION("""COMPUTED_VALUE"""),62.27)</f>
        <v>62.27</v>
      </c>
      <c r="J297" s="47" t="str">
        <f>IFERROR(__xludf.DUMMYFUNCTION("""COMPUTED_VALUE"""),"算法")</f>
        <v>算法</v>
      </c>
      <c r="L297" s="6">
        <f>COUNTIF('Coder-1'!B:B,A297)</f>
        <v>0</v>
      </c>
      <c r="M297" s="6">
        <f>COUNTIF('Coder-2'!B:B,A297)</f>
        <v>0</v>
      </c>
      <c r="N297" s="6">
        <f>COUNTIF('Coder-3'!B:B,A297)</f>
        <v>0</v>
      </c>
      <c r="O297" s="6">
        <f>COUNTIF('Coder-4'!B:B,A297)</f>
        <v>0</v>
      </c>
    </row>
    <row r="298">
      <c r="A298" s="83">
        <v>1718.0</v>
      </c>
      <c r="B298" s="86" t="str">
        <f>IFERROR(__xludf.DUMMYFUNCTION("IF(ISBLANK(A298),,FILTER('Leetcode List'!B:C,'Leetcode List'!A:A = A298))"),"Construct the Lexicographically Largest Valid Sequence")</f>
        <v>Construct the Lexicographically Largest Valid Sequence</v>
      </c>
      <c r="C298" s="83" t="str">
        <f>IFERROR(__xludf.DUMMYFUNCTION("""COMPUTED_VALUE"""),"Medium")</f>
        <v>Medium</v>
      </c>
      <c r="D298" s="83" t="s">
        <v>4995</v>
      </c>
      <c r="E298" s="87" t="str">
        <f>IFERROR(__xludf.DUMMYFUNCTION("IF(ISBLANK(A298),,FILTER('Leetcode List'!E:J,'Leetcode List'!A:A = A298))"),"Salesforce,Facebook")</f>
        <v>Salesforce,Facebook</v>
      </c>
      <c r="F298" s="47" t="str">
        <f>IFERROR(__xludf.DUMMYFUNCTION("""COMPUTED_VALUE"""),"Salesforce")</f>
        <v>Salesforce</v>
      </c>
      <c r="G298" s="47" t="str">
        <f>IFERROR(__xludf.DUMMYFUNCTION("""COMPUTED_VALUE"""),"Salesforce")</f>
        <v>Salesforce</v>
      </c>
      <c r="H298" s="47" t="str">
        <f>IFERROR(__xludf.DUMMYFUNCTION("""COMPUTED_VALUE"""),"Facebook,Salesforce")</f>
        <v>Facebook,Salesforce</v>
      </c>
      <c r="I298" s="47">
        <f>IFERROR(__xludf.DUMMYFUNCTION("""COMPUTED_VALUE"""),46.48)</f>
        <v>46.48</v>
      </c>
      <c r="J298" s="47" t="str">
        <f>IFERROR(__xludf.DUMMYFUNCTION("""COMPUTED_VALUE"""),"算法")</f>
        <v>算法</v>
      </c>
      <c r="L298" s="6">
        <f>COUNTIF('Coder-1'!B:B,A298)</f>
        <v>0</v>
      </c>
      <c r="M298" s="6">
        <f>COUNTIF('Coder-2'!B:B,A298)</f>
        <v>0</v>
      </c>
      <c r="N298" s="6">
        <f>COUNTIF('Coder-3'!B:B,A298)</f>
        <v>0</v>
      </c>
      <c r="O298" s="6">
        <f>COUNTIF('Coder-4'!B:B,A298)</f>
        <v>0</v>
      </c>
    </row>
    <row r="299">
      <c r="A299" s="83">
        <v>1723.0</v>
      </c>
      <c r="B299" s="86" t="str">
        <f>IFERROR(__xludf.DUMMYFUNCTION("IF(ISBLANK(A299),,FILTER('Leetcode List'!B:C,'Leetcode List'!A:A = A299))"),"Find Minimum Time to Finish All Jobs")</f>
        <v>Find Minimum Time to Finish All Jobs</v>
      </c>
      <c r="C299" s="83" t="str">
        <f>IFERROR(__xludf.DUMMYFUNCTION("""COMPUTED_VALUE"""),"Hard")</f>
        <v>Hard</v>
      </c>
      <c r="D299" s="83" t="s">
        <v>4995</v>
      </c>
      <c r="E299" s="87" t="str">
        <f>IFERROR(__xludf.DUMMYFUNCTION("IF(ISBLANK(A299),,FILTER('Leetcode List'!E:J,'Leetcode List'!A:A = A299))"),"Amazon")</f>
        <v>Amazon</v>
      </c>
      <c r="F299" s="47"/>
      <c r="G299" s="47"/>
      <c r="H299" s="47" t="str">
        <f>IFERROR(__xludf.DUMMYFUNCTION("""COMPUTED_VALUE"""),"Amazon")</f>
        <v>Amazon</v>
      </c>
      <c r="I299" s="47">
        <f>IFERROR(__xludf.DUMMYFUNCTION("""COMPUTED_VALUE"""),43.72)</f>
        <v>43.72</v>
      </c>
      <c r="J299" s="47" t="str">
        <f>IFERROR(__xludf.DUMMYFUNCTION("""COMPUTED_VALUE"""),"算法")</f>
        <v>算法</v>
      </c>
      <c r="L299" s="6">
        <f>COUNTIF('Coder-1'!B:B,A299)</f>
        <v>0</v>
      </c>
      <c r="M299" s="6">
        <f>COUNTIF('Coder-2'!B:B,A299)</f>
        <v>0</v>
      </c>
      <c r="N299" s="6">
        <f>COUNTIF('Coder-3'!B:B,A299)</f>
        <v>0</v>
      </c>
      <c r="O299" s="6">
        <f>COUNTIF('Coder-4'!B:B,A299)</f>
        <v>0</v>
      </c>
    </row>
    <row r="300">
      <c r="A300" s="83">
        <v>1766.0</v>
      </c>
      <c r="B300" s="86" t="str">
        <f>IFERROR(__xludf.DUMMYFUNCTION("IF(ISBLANK(A300),,FILTER('Leetcode List'!B:C,'Leetcode List'!A:A = A300))"),"Tree of Coprimes")</f>
        <v>Tree of Coprimes</v>
      </c>
      <c r="C300" s="83" t="str">
        <f>IFERROR(__xludf.DUMMYFUNCTION("""COMPUTED_VALUE"""),"Hard")</f>
        <v>Hard</v>
      </c>
      <c r="D300" s="83" t="s">
        <v>4995</v>
      </c>
      <c r="E300" s="87" t="str">
        <f>IFERROR(__xludf.DUMMYFUNCTION("IF(ISBLANK(A300),,FILTER('Leetcode List'!E:J,'Leetcode List'!A:A = A300))"),"Google")</f>
        <v>Google</v>
      </c>
      <c r="F300" s="47"/>
      <c r="G300" s="47"/>
      <c r="H300" s="47" t="str">
        <f>IFERROR(__xludf.DUMMYFUNCTION("""COMPUTED_VALUE"""),"Google")</f>
        <v>Google</v>
      </c>
      <c r="I300" s="47">
        <f>IFERROR(__xludf.DUMMYFUNCTION("""COMPUTED_VALUE"""),36.74)</f>
        <v>36.74</v>
      </c>
      <c r="J300" s="47" t="str">
        <f>IFERROR(__xludf.DUMMYFUNCTION("""COMPUTED_VALUE"""),"算法")</f>
        <v>算法</v>
      </c>
      <c r="L300" s="6">
        <f>COUNTIF('Coder-1'!B:B,A300)</f>
        <v>0</v>
      </c>
      <c r="M300" s="6">
        <f>COUNTIF('Coder-2'!B:B,A300)</f>
        <v>0</v>
      </c>
      <c r="N300" s="6">
        <f>COUNTIF('Coder-3'!B:B,A300)</f>
        <v>0</v>
      </c>
      <c r="O300" s="6">
        <f>COUNTIF('Coder-4'!B:B,A300)</f>
        <v>0</v>
      </c>
    </row>
    <row r="301">
      <c r="A301" s="83">
        <v>1778.0</v>
      </c>
      <c r="B301" s="86" t="str">
        <f>IFERROR(__xludf.DUMMYFUNCTION("IF(ISBLANK(A301),,FILTER('Leetcode List'!B:C,'Leetcode List'!A:A = A301))"),"Shortest Path in a Hidden Grid")</f>
        <v>Shortest Path in a Hidden Grid</v>
      </c>
      <c r="C301" s="83" t="str">
        <f>IFERROR(__xludf.DUMMYFUNCTION("""COMPUTED_VALUE"""),"Medium")</f>
        <v>Medium</v>
      </c>
      <c r="D301" s="83" t="s">
        <v>4995</v>
      </c>
      <c r="E301" s="87" t="str">
        <f>IFERROR(__xludf.DUMMYFUNCTION("IF(ISBLANK(A301),,FILTER('Leetcode List'!E:J,'Leetcode List'!A:A = A301))"),"Facebook,Google")</f>
        <v>Facebook,Google</v>
      </c>
      <c r="F301" s="47" t="str">
        <f>IFERROR(__xludf.DUMMYFUNCTION("""COMPUTED_VALUE"""),"Google")</f>
        <v>Google</v>
      </c>
      <c r="G301" s="47" t="str">
        <f>IFERROR(__xludf.DUMMYFUNCTION("""COMPUTED_VALUE"""),"Google")</f>
        <v>Google</v>
      </c>
      <c r="H301" s="47" t="str">
        <f>IFERROR(__xludf.DUMMYFUNCTION("""COMPUTED_VALUE"""),"Facebook,Google")</f>
        <v>Facebook,Google</v>
      </c>
      <c r="I301" s="47">
        <f>IFERROR(__xludf.DUMMYFUNCTION("""COMPUTED_VALUE"""),47.26)</f>
        <v>47.26</v>
      </c>
      <c r="J301" s="47" t="str">
        <f>IFERROR(__xludf.DUMMYFUNCTION("""COMPUTED_VALUE"""),"算法")</f>
        <v>算法</v>
      </c>
      <c r="L301" s="6">
        <f>COUNTIF('Coder-1'!B:B,A301)</f>
        <v>0</v>
      </c>
      <c r="M301" s="6">
        <f>COUNTIF('Coder-2'!B:B,A301)</f>
        <v>0</v>
      </c>
      <c r="N301" s="6">
        <f>COUNTIF('Coder-3'!B:B,A301)</f>
        <v>0</v>
      </c>
      <c r="O301" s="6">
        <f>COUNTIF('Coder-4'!B:B,A301)</f>
        <v>0</v>
      </c>
    </row>
    <row r="302">
      <c r="A302" s="83">
        <v>301.0</v>
      </c>
      <c r="B302" s="86" t="str">
        <f>IFERROR(__xludf.DUMMYFUNCTION("IF(ISBLANK(A302),,FILTER('Leetcode List'!B:C,'Leetcode List'!A:A = A302))"),"Remove Invalid Parentheses")</f>
        <v>Remove Invalid Parentheses</v>
      </c>
      <c r="C302" s="83" t="str">
        <f>IFERROR(__xludf.DUMMYFUNCTION("""COMPUTED_VALUE"""),"Hard")</f>
        <v>Hard</v>
      </c>
      <c r="D302" s="83" t="s">
        <v>4995</v>
      </c>
      <c r="E302" s="87" t="str">
        <f>IFERROR(__xludf.DUMMYFUNCTION("IF(ISBLANK(A302),,FILTER('Leetcode List'!E:J,'Leetcode List'!A:A = A302))"),"Qualtrics,ByteDance,Citadel,EBay,Pony.ai,Postmates,Houzz,Apple,Uber,Bloomberg,Facebook,Amazon,Google")</f>
        <v>Qualtrics,ByteDance,Citadel,EBay,Pony.ai,Postmates,Houzz,Apple,Uber,Bloomberg,Facebook,Amazon,Google</v>
      </c>
      <c r="F302" s="47" t="str">
        <f>IFERROR(__xludf.DUMMYFUNCTION("""COMPUTED_VALUE"""),"Facebook,Bloomberg,Amazon,ByteDance,Qualtrics,Citadel")</f>
        <v>Facebook,Bloomberg,Amazon,ByteDance,Qualtrics,Citadel</v>
      </c>
      <c r="G302" s="47" t="str">
        <f>IFERROR(__xludf.DUMMYFUNCTION("""COMPUTED_VALUE"""),"Google,Postmates,eBay,Facebook,Bloomberg,Amazon,ByteDance,Qualtrics,Citadel")</f>
        <v>Google,Postmates,eBay,Facebook,Bloomberg,Amazon,ByteDance,Qualtrics,Citadel</v>
      </c>
      <c r="H302" s="47" t="str">
        <f>IFERROR(__xludf.DUMMYFUNCTION("""COMPUTED_VALUE"""),"Uber,Houzz,Google,Postmates,eBay,Facebook,Bloomberg,Amazon,ByteDance,Qualtrics,Citadel")</f>
        <v>Uber,Houzz,Google,Postmates,eBay,Facebook,Bloomberg,Amazon,ByteDance,Qualtrics,Citadel</v>
      </c>
      <c r="I302" s="47">
        <f>IFERROR(__xludf.DUMMYFUNCTION("""COMPUTED_VALUE"""),44.74)</f>
        <v>44.74</v>
      </c>
      <c r="J302" s="47" t="str">
        <f>IFERROR(__xludf.DUMMYFUNCTION("""COMPUTED_VALUE"""),"算法")</f>
        <v>算法</v>
      </c>
      <c r="K302" s="2" t="s">
        <v>4996</v>
      </c>
      <c r="L302" s="6">
        <f>COUNTIF('Coder-1'!B:B,A302)</f>
        <v>0</v>
      </c>
      <c r="M302" s="6">
        <f>COUNTIF('Coder-2'!B:B,A302)</f>
        <v>0</v>
      </c>
      <c r="N302" s="6">
        <f>COUNTIF('Coder-3'!B:B,A302)</f>
        <v>0</v>
      </c>
      <c r="O302" s="6">
        <f>COUNTIF('Coder-4'!B:B,A302)</f>
        <v>0</v>
      </c>
    </row>
    <row r="303">
      <c r="A303" s="83">
        <v>473.0</v>
      </c>
      <c r="B303" s="86" t="str">
        <f>IFERROR(__xludf.DUMMYFUNCTION("IF(ISBLANK(A303),,FILTER('Leetcode List'!B:C,'Leetcode List'!A:A = A303))"),"Matchsticks to Square")</f>
        <v>Matchsticks to Square</v>
      </c>
      <c r="C303" s="83" t="str">
        <f>IFERROR(__xludf.DUMMYFUNCTION("""COMPUTED_VALUE"""),"Medium")</f>
        <v>Medium</v>
      </c>
      <c r="D303" s="83" t="s">
        <v>4995</v>
      </c>
      <c r="E303" s="87" t="str">
        <f>IFERROR(__xludf.DUMMYFUNCTION("IF(ISBLANK(A303),,FILTER('Leetcode List'!E:J,'Leetcode List'!A:A = A303))"),"Rackspace,Amazon")</f>
        <v>Rackspace,Amazon</v>
      </c>
      <c r="F303" s="47"/>
      <c r="G303" s="47" t="str">
        <f>IFERROR(__xludf.DUMMYFUNCTION("""COMPUTED_VALUE"""),"Amazon")</f>
        <v>Amazon</v>
      </c>
      <c r="H303" s="47" t="str">
        <f>IFERROR(__xludf.DUMMYFUNCTION("""COMPUTED_VALUE"""),"Rackspace,Amazon")</f>
        <v>Rackspace,Amazon</v>
      </c>
      <c r="I303" s="47">
        <f>IFERROR(__xludf.DUMMYFUNCTION("""COMPUTED_VALUE"""),38.25)</f>
        <v>38.25</v>
      </c>
      <c r="J303" s="47" t="str">
        <f>IFERROR(__xludf.DUMMYFUNCTION("""COMPUTED_VALUE"""),"算法")</f>
        <v>算法</v>
      </c>
      <c r="K303" s="2" t="s">
        <v>4996</v>
      </c>
      <c r="L303" s="6">
        <f>COUNTIF('Coder-1'!B:B,A303)</f>
        <v>0</v>
      </c>
      <c r="M303" s="6">
        <f>COUNTIF('Coder-2'!B:B,A303)</f>
        <v>0</v>
      </c>
      <c r="N303" s="6">
        <f>COUNTIF('Coder-3'!B:B,A303)</f>
        <v>0</v>
      </c>
      <c r="O303" s="6">
        <f>COUNTIF('Coder-4'!B:B,A303)</f>
        <v>0</v>
      </c>
    </row>
    <row r="304">
      <c r="A304" s="83">
        <v>491.0</v>
      </c>
      <c r="B304" s="86" t="str">
        <f>IFERROR(__xludf.DUMMYFUNCTION("IF(ISBLANK(A304),,FILTER('Leetcode List'!B:C,'Leetcode List'!A:A = A304))"),"Increasing Subsequences")</f>
        <v>Increasing Subsequences</v>
      </c>
      <c r="C304" s="88" t="str">
        <f>IFERROR(__xludf.DUMMYFUNCTION("""COMPUTED_VALUE"""),"Medium")</f>
        <v>Medium</v>
      </c>
      <c r="D304" s="83" t="s">
        <v>4995</v>
      </c>
      <c r="E304" s="87" t="str">
        <f>IFERROR(__xludf.DUMMYFUNCTION("IF(ISBLANK(A304),,FILTER('Leetcode List'!E:J,'Leetcode List'!A:A = A304))"),"Google,Yahoo,Facebook")</f>
        <v>Google,Yahoo,Facebook</v>
      </c>
      <c r="F304" s="47"/>
      <c r="G304" s="47" t="str">
        <f>IFERROR(__xludf.DUMMYFUNCTION("""COMPUTED_VALUE"""),"Google")</f>
        <v>Google</v>
      </c>
      <c r="H304" s="47" t="str">
        <f>IFERROR(__xludf.DUMMYFUNCTION("""COMPUTED_VALUE"""),"Facebook,Yahoo,Google")</f>
        <v>Facebook,Yahoo,Google</v>
      </c>
      <c r="I304" s="47">
        <f>IFERROR(__xludf.DUMMYFUNCTION("""COMPUTED_VALUE"""),47.59)</f>
        <v>47.59</v>
      </c>
      <c r="J304" s="47" t="str">
        <f>IFERROR(__xludf.DUMMYFUNCTION("""COMPUTED_VALUE"""),"算法")</f>
        <v>算法</v>
      </c>
      <c r="K304" s="2" t="s">
        <v>4996</v>
      </c>
      <c r="L304" s="6">
        <f>COUNTIF('Coder-1'!B:B,A304)</f>
        <v>0</v>
      </c>
      <c r="M304" s="6">
        <f>COUNTIF('Coder-2'!B:B,A304)</f>
        <v>0</v>
      </c>
      <c r="N304" s="6">
        <f>COUNTIF('Coder-3'!B:B,A304)</f>
        <v>0</v>
      </c>
      <c r="O304" s="6">
        <f>COUNTIF('Coder-4'!B:B,A304)</f>
        <v>0</v>
      </c>
    </row>
    <row r="305">
      <c r="A305" s="83">
        <v>698.0</v>
      </c>
      <c r="B305" s="86" t="str">
        <f>IFERROR(__xludf.DUMMYFUNCTION("IF(ISBLANK(A305),,FILTER('Leetcode List'!B:C,'Leetcode List'!A:A = A305))"),"Partition to K Equal Sum Subsets")</f>
        <v>Partition to K Equal Sum Subsets</v>
      </c>
      <c r="C305" s="88" t="str">
        <f>IFERROR(__xludf.DUMMYFUNCTION("""COMPUTED_VALUE"""),"Medium")</f>
        <v>Medium</v>
      </c>
      <c r="D305" s="83" t="s">
        <v>4995</v>
      </c>
      <c r="E305" s="87" t="str">
        <f>IFERROR(__xludf.DUMMYFUNCTION("IF(ISBLANK(A305),,FILTER('Leetcode List'!E:J,'Leetcode List'!A:A = A305))"),"ByteDance,Yahoo,Bloomberg,Adobe,Pinterest,Houzz,VMware,EBay,Facebook,Amazon,LinkedIn,Microsoft,Google")</f>
        <v>ByteDance,Yahoo,Bloomberg,Adobe,Pinterest,Houzz,VMware,EBay,Facebook,Amazon,LinkedIn,Microsoft,Google</v>
      </c>
      <c r="F305" s="47" t="str">
        <f>IFERROR(__xludf.DUMMYFUNCTION("""COMPUTED_VALUE"""),"LinkedIn,Facebook,Google,Amazon,Adobe")</f>
        <v>LinkedIn,Facebook,Google,Amazon,Adobe</v>
      </c>
      <c r="G305" s="47" t="str">
        <f>IFERROR(__xludf.DUMMYFUNCTION("""COMPUTED_VALUE"""),"Bloomberg,ByteDance,Pinterest,LinkedIn,Facebook,Google,Amazon,Adobe")</f>
        <v>Bloomberg,ByteDance,Pinterest,LinkedIn,Facebook,Google,Amazon,Adobe</v>
      </c>
      <c r="H305" s="47" t="str">
        <f>IFERROR(__xludf.DUMMYFUNCTION("""COMPUTED_VALUE"""),"Microsoft,Yahoo,Houzz,eBay,Bloomberg,ByteDance,Pinterest,LinkedIn,Facebook,Google,Amazon,Adobe")</f>
        <v>Microsoft,Yahoo,Houzz,eBay,Bloomberg,ByteDance,Pinterest,LinkedIn,Facebook,Google,Amazon,Adobe</v>
      </c>
      <c r="I305" s="47">
        <f>IFERROR(__xludf.DUMMYFUNCTION("""COMPUTED_VALUE"""),45.75)</f>
        <v>45.75</v>
      </c>
      <c r="J305" s="47" t="str">
        <f>IFERROR(__xludf.DUMMYFUNCTION("""COMPUTED_VALUE"""),"算法")</f>
        <v>算法</v>
      </c>
      <c r="K305" s="2" t="s">
        <v>4996</v>
      </c>
      <c r="L305" s="6">
        <f>COUNTIF('Coder-1'!B:B,A305)</f>
        <v>0</v>
      </c>
      <c r="M305" s="6">
        <f>COUNTIF('Coder-2'!B:B,A305)</f>
        <v>0</v>
      </c>
      <c r="N305" s="6">
        <f>COUNTIF('Coder-3'!B:B,A305)</f>
        <v>0</v>
      </c>
      <c r="O305" s="6">
        <f>COUNTIF('Coder-4'!B:B,A305)</f>
        <v>0</v>
      </c>
    </row>
    <row r="306">
      <c r="A306" s="83">
        <v>996.0</v>
      </c>
      <c r="B306" s="86" t="str">
        <f>IFERROR(__xludf.DUMMYFUNCTION("IF(ISBLANK(A306),,FILTER('Leetcode List'!B:C,'Leetcode List'!A:A = A306))"),"Number of Squareful Arrays")</f>
        <v>Number of Squareful Arrays</v>
      </c>
      <c r="C306" s="88" t="str">
        <f>IFERROR(__xludf.DUMMYFUNCTION("""COMPUTED_VALUE"""),"Hard")</f>
        <v>Hard</v>
      </c>
      <c r="D306" s="83" t="s">
        <v>4995</v>
      </c>
      <c r="E306" s="87" t="str">
        <f>IFERROR(__xludf.DUMMYFUNCTION("IF(ISBLANK(A306),,FILTER('Leetcode List'!E:J,'Leetcode List'!A:A = A306))"),"Codenation,Apple")</f>
        <v>Codenation,Apple</v>
      </c>
      <c r="F306" s="47"/>
      <c r="G306" s="47" t="str">
        <f>IFERROR(__xludf.DUMMYFUNCTION("""COMPUTED_VALUE"""),"Apple,Codenation")</f>
        <v>Apple,Codenation</v>
      </c>
      <c r="H306" s="47" t="str">
        <f>IFERROR(__xludf.DUMMYFUNCTION("""COMPUTED_VALUE"""),"Apple,Codenation")</f>
        <v>Apple,Codenation</v>
      </c>
      <c r="I306" s="47">
        <f>IFERROR(__xludf.DUMMYFUNCTION("""COMPUTED_VALUE"""),48.53)</f>
        <v>48.53</v>
      </c>
      <c r="J306" s="47" t="str">
        <f>IFERROR(__xludf.DUMMYFUNCTION("""COMPUTED_VALUE"""),"算法")</f>
        <v>算法</v>
      </c>
      <c r="K306" s="2" t="s">
        <v>4996</v>
      </c>
      <c r="L306" s="6">
        <f>COUNTIF('Coder-1'!B:B,A306)</f>
        <v>0</v>
      </c>
      <c r="M306" s="6">
        <f>COUNTIF('Coder-2'!B:B,A306)</f>
        <v>0</v>
      </c>
      <c r="N306" s="6">
        <f>COUNTIF('Coder-3'!B:B,A306)</f>
        <v>0</v>
      </c>
      <c r="O306" s="6">
        <f>COUNTIF('Coder-4'!B:B,A306)</f>
        <v>0</v>
      </c>
    </row>
    <row r="307">
      <c r="A307" s="83">
        <v>1307.0</v>
      </c>
      <c r="B307" s="86" t="str">
        <f>IFERROR(__xludf.DUMMYFUNCTION("IF(ISBLANK(A307),,FILTER('Leetcode List'!B:C,'Leetcode List'!A:A = A307))"),"Verbal Arithmetic Puzzle")</f>
        <v>Verbal Arithmetic Puzzle</v>
      </c>
      <c r="C307" s="88" t="str">
        <f>IFERROR(__xludf.DUMMYFUNCTION("""COMPUTED_VALUE"""),"Hard")</f>
        <v>Hard</v>
      </c>
      <c r="D307" s="83" t="s">
        <v>4995</v>
      </c>
      <c r="E307" s="87" t="str">
        <f>IFERROR(__xludf.DUMMYFUNCTION("IF(ISBLANK(A307),,FILTER('Leetcode List'!E:J,'Leetcode List'!A:A = A307))"),"Atlassian")</f>
        <v>Atlassian</v>
      </c>
      <c r="F307" s="47"/>
      <c r="G307" s="47"/>
      <c r="H307" s="47" t="str">
        <f>IFERROR(__xludf.DUMMYFUNCTION("""COMPUTED_VALUE"""),"Atlassian")</f>
        <v>Atlassian</v>
      </c>
      <c r="I307" s="47">
        <f>IFERROR(__xludf.DUMMYFUNCTION("""COMPUTED_VALUE"""),36.77)</f>
        <v>36.77</v>
      </c>
      <c r="J307" s="47" t="str">
        <f>IFERROR(__xludf.DUMMYFUNCTION("""COMPUTED_VALUE"""),"算法")</f>
        <v>算法</v>
      </c>
      <c r="K307" s="2" t="s">
        <v>4996</v>
      </c>
      <c r="L307" s="6">
        <f>COUNTIF('Coder-1'!B:B,A307)</f>
        <v>0</v>
      </c>
      <c r="M307" s="6">
        <f>COUNTIF('Coder-2'!B:B,A307)</f>
        <v>0</v>
      </c>
      <c r="N307" s="6">
        <f>COUNTIF('Coder-3'!B:B,A307)</f>
        <v>0</v>
      </c>
      <c r="O307" s="6">
        <f>COUNTIF('Coder-4'!B:B,A307)</f>
        <v>0</v>
      </c>
    </row>
    <row r="308">
      <c r="A308" s="83">
        <v>1593.0</v>
      </c>
      <c r="B308" s="86" t="str">
        <f>IFERROR(__xludf.DUMMYFUNCTION("IF(ISBLANK(A308),,FILTER('Leetcode List'!B:C,'Leetcode List'!A:A = A308))"),"Split a String Into the Max Number of Unique Substrings")</f>
        <v>Split a String Into the Max Number of Unique Substrings</v>
      </c>
      <c r="C308" s="88" t="str">
        <f>IFERROR(__xludf.DUMMYFUNCTION("""COMPUTED_VALUE"""),"Medium")</f>
        <v>Medium</v>
      </c>
      <c r="D308" s="83" t="s">
        <v>4995</v>
      </c>
      <c r="E308" s="87" t="str">
        <f>IFERROR(__xludf.DUMMYFUNCTION("IF(ISBLANK(A308),,FILTER('Leetcode List'!E:J,'Leetcode List'!A:A = A308))"),"Google")</f>
        <v>Google</v>
      </c>
      <c r="F308" s="47"/>
      <c r="G308" s="47"/>
      <c r="H308" s="47" t="str">
        <f>IFERROR(__xludf.DUMMYFUNCTION("""COMPUTED_VALUE"""),"Google")</f>
        <v>Google</v>
      </c>
      <c r="I308" s="47">
        <f>IFERROR(__xludf.DUMMYFUNCTION("""COMPUTED_VALUE"""),49.51)</f>
        <v>49.51</v>
      </c>
      <c r="J308" s="47" t="str">
        <f>IFERROR(__xludf.DUMMYFUNCTION("""COMPUTED_VALUE"""),"算法")</f>
        <v>算法</v>
      </c>
      <c r="K308" s="2" t="s">
        <v>4996</v>
      </c>
      <c r="L308" s="6">
        <f>COUNTIF('Coder-1'!B:B,A308)</f>
        <v>0</v>
      </c>
      <c r="M308" s="6">
        <f>COUNTIF('Coder-2'!B:B,A308)</f>
        <v>0</v>
      </c>
      <c r="N308" s="6">
        <f>COUNTIF('Coder-3'!B:B,A308)</f>
        <v>0</v>
      </c>
      <c r="O308" s="6">
        <f>COUNTIF('Coder-4'!B:B,A308)</f>
        <v>0</v>
      </c>
    </row>
    <row r="309">
      <c r="A309" s="83">
        <v>1681.0</v>
      </c>
      <c r="B309" s="86" t="str">
        <f>IFERROR(__xludf.DUMMYFUNCTION("IF(ISBLANK(A309),,FILTER('Leetcode List'!B:C,'Leetcode List'!A:A = A309))"),"Minimum Incompatibility")</f>
        <v>Minimum Incompatibility</v>
      </c>
      <c r="C309" s="88" t="str">
        <f>IFERROR(__xludf.DUMMYFUNCTION("""COMPUTED_VALUE"""),"Hard")</f>
        <v>Hard</v>
      </c>
      <c r="D309" s="83" t="s">
        <v>4995</v>
      </c>
      <c r="E309" s="87" t="str">
        <f>IFERROR(__xludf.DUMMYFUNCTION("IF(ISBLANK(A309),,FILTER('Leetcode List'!E:J,'Leetcode List'!A:A = A309))"),"Microsoft")</f>
        <v>Microsoft</v>
      </c>
      <c r="F309" s="47"/>
      <c r="G309" s="47"/>
      <c r="H309" s="47" t="str">
        <f>IFERROR(__xludf.DUMMYFUNCTION("""COMPUTED_VALUE"""),"Microsoft")</f>
        <v>Microsoft</v>
      </c>
      <c r="I309" s="47">
        <f>IFERROR(__xludf.DUMMYFUNCTION("""COMPUTED_VALUE"""),35.72)</f>
        <v>35.72</v>
      </c>
      <c r="J309" s="47" t="str">
        <f>IFERROR(__xludf.DUMMYFUNCTION("""COMPUTED_VALUE"""),"算法")</f>
        <v>算法</v>
      </c>
      <c r="K309" s="2" t="s">
        <v>4996</v>
      </c>
      <c r="L309" s="6">
        <f>COUNTIF('Coder-1'!B:B,A309)</f>
        <v>0</v>
      </c>
      <c r="M309" s="6">
        <f>COUNTIF('Coder-2'!B:B,A309)</f>
        <v>0</v>
      </c>
      <c r="N309" s="6">
        <f>COUNTIF('Coder-3'!B:B,A309)</f>
        <v>0</v>
      </c>
      <c r="O309" s="6">
        <f>COUNTIF('Coder-4'!B:B,A309)</f>
        <v>0</v>
      </c>
    </row>
    <row r="310">
      <c r="A310" s="83">
        <v>464.0</v>
      </c>
      <c r="B310" s="86" t="str">
        <f>IFERROR(__xludf.DUMMYFUNCTION("IF(ISBLANK(A310),,FILTER('Leetcode List'!B:C,'Leetcode List'!A:A = A310))"),"Can I Win")</f>
        <v>Can I Win</v>
      </c>
      <c r="C310" s="83" t="str">
        <f>IFERROR(__xludf.DUMMYFUNCTION("""COMPUTED_VALUE"""),"Medium")</f>
        <v>Medium</v>
      </c>
      <c r="D310" s="83" t="s">
        <v>4995</v>
      </c>
      <c r="E310" s="87" t="str">
        <f>IFERROR(__xludf.DUMMYFUNCTION("IF(ISBLANK(A310),,FILTER('Leetcode List'!E:J,'Leetcode List'!A:A = A310))"),"LinkedIn,Google")</f>
        <v>LinkedIn,Google</v>
      </c>
      <c r="F310" s="47"/>
      <c r="G310" s="47"/>
      <c r="H310" s="47" t="str">
        <f>IFERROR(__xludf.DUMMYFUNCTION("""COMPUTED_VALUE"""),"LinkedIn")</f>
        <v>LinkedIn</v>
      </c>
      <c r="I310" s="47">
        <f>IFERROR(__xludf.DUMMYFUNCTION("""COMPUTED_VALUE"""),29.66)</f>
        <v>29.66</v>
      </c>
      <c r="J310" s="47" t="str">
        <f>IFERROR(__xludf.DUMMYFUNCTION("""COMPUTED_VALUE"""),"算法")</f>
        <v>算法</v>
      </c>
      <c r="K310" s="2" t="s">
        <v>4997</v>
      </c>
      <c r="L310" s="6">
        <f>COUNTIF('Coder-1'!B:B,A310)</f>
        <v>0</v>
      </c>
      <c r="M310" s="6">
        <f>COUNTIF('Coder-2'!B:B,A310)</f>
        <v>0</v>
      </c>
      <c r="N310" s="6">
        <f>COUNTIF('Coder-3'!B:B,A310)</f>
        <v>0</v>
      </c>
      <c r="O310" s="6">
        <f>COUNTIF('Coder-4'!B:B,A310)</f>
        <v>0</v>
      </c>
    </row>
    <row r="311">
      <c r="A311" s="46">
        <v>472.0</v>
      </c>
      <c r="B311" s="86" t="str">
        <f>IFERROR(__xludf.DUMMYFUNCTION("IF(ISBLANK(A311),,FILTER('Leetcode List'!B:C,'Leetcode List'!A:A = A311))"),"Concatenated Words")</f>
        <v>Concatenated Words</v>
      </c>
      <c r="C311" s="83" t="str">
        <f>IFERROR(__xludf.DUMMYFUNCTION("""COMPUTED_VALUE"""),"Hard")</f>
        <v>Hard</v>
      </c>
      <c r="D311" s="83" t="s">
        <v>4995</v>
      </c>
      <c r="E311" s="87" t="str">
        <f>IFERROR(__xludf.DUMMYFUNCTION("IF(ISBLANK(A311),,FILTER('Leetcode List'!E:J,'Leetcode List'!A:A = A311))"),"Adobe,Google,Audible,Apple,Facebook,Amazon,Microsoft")</f>
        <v>Adobe,Google,Audible,Apple,Facebook,Amazon,Microsoft</v>
      </c>
      <c r="F311" s="47" t="str">
        <f>IFERROR(__xludf.DUMMYFUNCTION("""COMPUTED_VALUE"""),"Amazon")</f>
        <v>Amazon</v>
      </c>
      <c r="G311" s="47" t="str">
        <f>IFERROR(__xludf.DUMMYFUNCTION("""COMPUTED_VALUE"""),"Apple,Facebook,Amazon")</f>
        <v>Apple,Facebook,Amazon</v>
      </c>
      <c r="H311" s="47" t="str">
        <f>IFERROR(__xludf.DUMMYFUNCTION("""COMPUTED_VALUE"""),"Google,Microsoft,Adobe,Audible,Apple,Facebook,Amazon")</f>
        <v>Google,Microsoft,Adobe,Audible,Apple,Facebook,Amazon</v>
      </c>
      <c r="I311" s="47">
        <f>IFERROR(__xludf.DUMMYFUNCTION("""COMPUTED_VALUE"""),43.83)</f>
        <v>43.83</v>
      </c>
      <c r="J311" s="47" t="str">
        <f>IFERROR(__xludf.DUMMYFUNCTION("""COMPUTED_VALUE"""),"算法")</f>
        <v>算法</v>
      </c>
      <c r="K311" s="2" t="s">
        <v>4997</v>
      </c>
      <c r="L311" s="6">
        <f>COUNTIF('Coder-1'!B:B,A311)</f>
        <v>0</v>
      </c>
      <c r="M311" s="6">
        <f>COUNTIF('Coder-2'!B:B,A311)</f>
        <v>0</v>
      </c>
      <c r="N311" s="6">
        <f>COUNTIF('Coder-3'!B:B,A311)</f>
        <v>0</v>
      </c>
      <c r="O311" s="6">
        <f>COUNTIF('Coder-4'!B:B,A311)</f>
        <v>0</v>
      </c>
    </row>
    <row r="312">
      <c r="A312" s="83">
        <v>638.0</v>
      </c>
      <c r="B312" s="86" t="str">
        <f>IFERROR(__xludf.DUMMYFUNCTION("IF(ISBLANK(A312),,FILTER('Leetcode List'!B:C,'Leetcode List'!A:A = A312))"),"Shopping Offers")</f>
        <v>Shopping Offers</v>
      </c>
      <c r="C312" s="83" t="str">
        <f>IFERROR(__xludf.DUMMYFUNCTION("""COMPUTED_VALUE"""),"Medium")</f>
        <v>Medium</v>
      </c>
      <c r="D312" s="83" t="s">
        <v>4995</v>
      </c>
      <c r="E312" s="87" t="str">
        <f>IFERROR(__xludf.DUMMYFUNCTION("IF(ISBLANK(A312),,FILTER('Leetcode List'!E:J,'Leetcode List'!A:A = A312))"),"Apple,Google")</f>
        <v>Apple,Google</v>
      </c>
      <c r="F312" s="47" t="str">
        <f>IFERROR(__xludf.DUMMYFUNCTION("""COMPUTED_VALUE"""),"Google")</f>
        <v>Google</v>
      </c>
      <c r="G312" s="47" t="str">
        <f>IFERROR(__xludf.DUMMYFUNCTION("""COMPUTED_VALUE"""),"Google")</f>
        <v>Google</v>
      </c>
      <c r="H312" s="47" t="str">
        <f>IFERROR(__xludf.DUMMYFUNCTION("""COMPUTED_VALUE"""),"Apple,Google")</f>
        <v>Apple,Google</v>
      </c>
      <c r="I312" s="47">
        <f>IFERROR(__xludf.DUMMYFUNCTION("""COMPUTED_VALUE"""),53.02)</f>
        <v>53.02</v>
      </c>
      <c r="J312" s="47" t="str">
        <f>IFERROR(__xludf.DUMMYFUNCTION("""COMPUTED_VALUE"""),"算法")</f>
        <v>算法</v>
      </c>
      <c r="K312" s="2" t="s">
        <v>4997</v>
      </c>
      <c r="L312" s="6">
        <f>COUNTIF('Coder-1'!B:B,A312)</f>
        <v>0</v>
      </c>
      <c r="M312" s="6">
        <f>COUNTIF('Coder-2'!B:B,A312)</f>
        <v>0</v>
      </c>
      <c r="N312" s="6">
        <f>COUNTIF('Coder-3'!B:B,A312)</f>
        <v>0</v>
      </c>
      <c r="O312" s="6">
        <f>COUNTIF('Coder-4'!B:B,A312)</f>
        <v>0</v>
      </c>
    </row>
    <row r="313">
      <c r="A313" s="83">
        <v>337.0</v>
      </c>
      <c r="B313" s="86" t="str">
        <f>IFERROR(__xludf.DUMMYFUNCTION("IF(ISBLANK(A313),,FILTER('Leetcode List'!B:C,'Leetcode List'!A:A = A313))"),"House Robber III")</f>
        <v>House Robber III</v>
      </c>
      <c r="C313" s="83" t="str">
        <f>IFERROR(__xludf.DUMMYFUNCTION("""COMPUTED_VALUE"""),"Medium")</f>
        <v>Medium</v>
      </c>
      <c r="D313" s="83" t="s">
        <v>4995</v>
      </c>
      <c r="E313" s="87" t="str">
        <f>IFERROR(__xludf.DUMMYFUNCTION("IF(ISBLANK(A313),,FILTER('Leetcode List'!E:J,'Leetcode List'!A:A = A313))"),"Uber,Facebook,Amazon,Google")</f>
        <v>Uber,Facebook,Amazon,Google</v>
      </c>
      <c r="F313" s="47" t="str">
        <f>IFERROR(__xludf.DUMMYFUNCTION("""COMPUTED_VALUE"""),"Amazon")</f>
        <v>Amazon</v>
      </c>
      <c r="G313" s="47" t="str">
        <f>IFERROR(__xludf.DUMMYFUNCTION("""COMPUTED_VALUE"""),"Google,Amazon")</f>
        <v>Google,Amazon</v>
      </c>
      <c r="H313" s="47" t="str">
        <f>IFERROR(__xludf.DUMMYFUNCTION("""COMPUTED_VALUE"""),"Uber,Google,Amazon")</f>
        <v>Uber,Google,Amazon</v>
      </c>
      <c r="I313" s="47">
        <f>IFERROR(__xludf.DUMMYFUNCTION("""COMPUTED_VALUE"""),51.99)</f>
        <v>51.99</v>
      </c>
      <c r="J313" s="47" t="str">
        <f>IFERROR(__xludf.DUMMYFUNCTION("""COMPUTED_VALUE"""),"算法")</f>
        <v>算法</v>
      </c>
      <c r="K313" s="2" t="s">
        <v>4997</v>
      </c>
      <c r="L313" s="6">
        <f>COUNTIF('Coder-1'!B:B,A313)</f>
        <v>0</v>
      </c>
      <c r="M313" s="6">
        <f>COUNTIF('Coder-2'!B:B,A313)</f>
        <v>0</v>
      </c>
      <c r="N313" s="6">
        <f>COUNTIF('Coder-3'!B:B,A313)</f>
        <v>0</v>
      </c>
      <c r="O313" s="6">
        <f>COUNTIF('Coder-4'!B:B,A313)</f>
        <v>0</v>
      </c>
    </row>
    <row r="314">
      <c r="A314" s="83">
        <v>403.0</v>
      </c>
      <c r="B314" s="86" t="str">
        <f>IFERROR(__xludf.DUMMYFUNCTION("IF(ISBLANK(A314),,FILTER('Leetcode List'!B:C,'Leetcode List'!A:A = A314))"),"Frog Jump")</f>
        <v>Frog Jump</v>
      </c>
      <c r="C314" s="83" t="str">
        <f>IFERROR(__xludf.DUMMYFUNCTION("""COMPUTED_VALUE"""),"Hard")</f>
        <v>Hard</v>
      </c>
      <c r="D314" s="83" t="s">
        <v>4995</v>
      </c>
      <c r="E314" s="87" t="str">
        <f>IFERROR(__xludf.DUMMYFUNCTION("IF(ISBLANK(A314),,FILTER('Leetcode List'!E:J,'Leetcode List'!A:A = A314))"),"Wish,Salesforce,Yahoo,Nutanix,ByteDance,Snapchat,Oracle,Apple,Facebook,Amazon,Microsoft,Google")</f>
        <v>Wish,Salesforce,Yahoo,Nutanix,ByteDance,Snapchat,Oracle,Apple,Facebook,Amazon,Microsoft,Google</v>
      </c>
      <c r="F314" s="47" t="str">
        <f>IFERROR(__xludf.DUMMYFUNCTION("""COMPUTED_VALUE"""),"Amazon,Microsoft,Salesforce,Google,Yahoo,ByteDance")</f>
        <v>Amazon,Microsoft,Salesforce,Google,Yahoo,ByteDance</v>
      </c>
      <c r="G314" s="47" t="str">
        <f>IFERROR(__xludf.DUMMYFUNCTION("""COMPUTED_VALUE"""),"Apple,Facebook,Amazon,Microsoft,Salesforce,Google,Yahoo,ByteDance")</f>
        <v>Apple,Facebook,Amazon,Microsoft,Salesforce,Google,Yahoo,ByteDance</v>
      </c>
      <c r="H314" s="47" t="str">
        <f>IFERROR(__xludf.DUMMYFUNCTION("""COMPUTED_VALUE"""),"Oracle,Nutanix,Snapchat,Wish,Apple,Facebook,Amazon,Microsoft,Salesforce,Google,Yahoo,ByteDance")</f>
        <v>Oracle,Nutanix,Snapchat,Wish,Apple,Facebook,Amazon,Microsoft,Salesforce,Google,Yahoo,ByteDance</v>
      </c>
      <c r="I314" s="47">
        <f>IFERROR(__xludf.DUMMYFUNCTION("""COMPUTED_VALUE"""),41.57)</f>
        <v>41.57</v>
      </c>
      <c r="J314" s="47" t="str">
        <f>IFERROR(__xludf.DUMMYFUNCTION("""COMPUTED_VALUE"""),"算法")</f>
        <v>算法</v>
      </c>
      <c r="K314" s="2" t="s">
        <v>4997</v>
      </c>
      <c r="L314" s="6">
        <f>COUNTIF('Coder-1'!B:B,A314)</f>
        <v>0</v>
      </c>
      <c r="M314" s="6">
        <f>COUNTIF('Coder-2'!B:B,A314)</f>
        <v>0</v>
      </c>
      <c r="N314" s="6">
        <f>COUNTIF('Coder-3'!B:B,A314)</f>
        <v>0</v>
      </c>
      <c r="O314" s="6">
        <f>COUNTIF('Coder-4'!B:B,A314)</f>
        <v>0</v>
      </c>
    </row>
    <row r="315">
      <c r="A315" s="83">
        <v>489.0</v>
      </c>
      <c r="B315" s="86" t="str">
        <f>IFERROR(__xludf.DUMMYFUNCTION("IF(ISBLANK(A315),,FILTER('Leetcode List'!B:C,'Leetcode List'!A:A = A315))"),"Robot Room Cleaner")</f>
        <v>Robot Room Cleaner</v>
      </c>
      <c r="C315" s="83" t="str">
        <f>IFERROR(__xludf.DUMMYFUNCTION("""COMPUTED_VALUE"""),"Hard")</f>
        <v>Hard</v>
      </c>
      <c r="D315" s="83" t="s">
        <v>4995</v>
      </c>
      <c r="E315" s="87" t="str">
        <f>IFERROR(__xludf.DUMMYFUNCTION("IF(ISBLANK(A315),,FILTER('Leetcode List'!E:J,'Leetcode List'!A:A = A315))"),"ByteDance,Citadel,Facebook,Amazon,Microsoft,Google")</f>
        <v>ByteDance,Citadel,Facebook,Amazon,Microsoft,Google</v>
      </c>
      <c r="F315" s="47" t="str">
        <f>IFERROR(__xludf.DUMMYFUNCTION("""COMPUTED_VALUE"""),"Facebook,Google,Amazon")</f>
        <v>Facebook,Google,Amazon</v>
      </c>
      <c r="G315" s="47" t="str">
        <f>IFERROR(__xludf.DUMMYFUNCTION("""COMPUTED_VALUE"""),"Citadel,Facebook,Google,Amazon")</f>
        <v>Citadel,Facebook,Google,Amazon</v>
      </c>
      <c r="H315" s="47" t="str">
        <f>IFERROR(__xludf.DUMMYFUNCTION("""COMPUTED_VALUE"""),"ByteDance,Citadel,Facebook,Google,Amazon")</f>
        <v>ByteDance,Citadel,Facebook,Google,Amazon</v>
      </c>
      <c r="I315" s="47">
        <f>IFERROR(__xludf.DUMMYFUNCTION("""COMPUTED_VALUE"""),72.7)</f>
        <v>72.7</v>
      </c>
      <c r="J315" s="47" t="str">
        <f>IFERROR(__xludf.DUMMYFUNCTION("""COMPUTED_VALUE"""),"算法")</f>
        <v>算法</v>
      </c>
      <c r="K315" s="2" t="s">
        <v>4997</v>
      </c>
      <c r="L315" s="6">
        <f>COUNTIF('Coder-1'!B:B,A315)</f>
        <v>0</v>
      </c>
      <c r="M315" s="6">
        <f>COUNTIF('Coder-2'!B:B,A315)</f>
        <v>0</v>
      </c>
      <c r="N315" s="6">
        <f>COUNTIF('Coder-3'!B:B,A315)</f>
        <v>0</v>
      </c>
      <c r="O315" s="6">
        <f>COUNTIF('Coder-4'!B:B,A315)</f>
        <v>0</v>
      </c>
    </row>
    <row r="316">
      <c r="A316" s="83">
        <v>546.0</v>
      </c>
      <c r="B316" s="86" t="str">
        <f>IFERROR(__xludf.DUMMYFUNCTION("IF(ISBLANK(A316),,FILTER('Leetcode List'!B:C,'Leetcode List'!A:A = A316))"),"Remove Boxes")</f>
        <v>Remove Boxes</v>
      </c>
      <c r="C316" s="83" t="str">
        <f>IFERROR(__xludf.DUMMYFUNCTION("""COMPUTED_VALUE"""),"Hard")</f>
        <v>Hard</v>
      </c>
      <c r="D316" s="83" t="s">
        <v>4995</v>
      </c>
      <c r="E316" s="87" t="str">
        <f>IFERROR(__xludf.DUMMYFUNCTION("IF(ISBLANK(A316),,FILTER('Leetcode List'!E:J,'Leetcode List'!A:A = A316))"),"Apple,Amazon,Tencent")</f>
        <v>Apple,Amazon,Tencent</v>
      </c>
      <c r="F316" s="47"/>
      <c r="G316" s="47" t="str">
        <f>IFERROR(__xludf.DUMMYFUNCTION("""COMPUTED_VALUE"""),"Apple,Amazon")</f>
        <v>Apple,Amazon</v>
      </c>
      <c r="H316" s="47" t="str">
        <f>IFERROR(__xludf.DUMMYFUNCTION("""COMPUTED_VALUE"""),"Tencent,Apple,Amazon")</f>
        <v>Tencent,Apple,Amazon</v>
      </c>
      <c r="I316" s="47">
        <f>IFERROR(__xludf.DUMMYFUNCTION("""COMPUTED_VALUE"""),44.1)</f>
        <v>44.1</v>
      </c>
      <c r="J316" s="47" t="str">
        <f>IFERROR(__xludf.DUMMYFUNCTION("""COMPUTED_VALUE"""),"算法")</f>
        <v>算法</v>
      </c>
      <c r="K316" s="2" t="s">
        <v>4997</v>
      </c>
      <c r="L316" s="6">
        <f>COUNTIF('Coder-1'!B:B,A316)</f>
        <v>0</v>
      </c>
      <c r="M316" s="6">
        <f>COUNTIF('Coder-2'!B:B,A316)</f>
        <v>0</v>
      </c>
      <c r="N316" s="6">
        <f>COUNTIF('Coder-3'!B:B,A316)</f>
        <v>0</v>
      </c>
      <c r="O316" s="6">
        <f>COUNTIF('Coder-4'!B:B,A316)</f>
        <v>0</v>
      </c>
    </row>
    <row r="317">
      <c r="A317" s="83">
        <v>1340.0</v>
      </c>
      <c r="B317" s="86" t="str">
        <f>IFERROR(__xludf.DUMMYFUNCTION("IF(ISBLANK(A317),,FILTER('Leetcode List'!B:C,'Leetcode List'!A:A = A317))"),"Jump Game V")</f>
        <v>Jump Game V</v>
      </c>
      <c r="C317" s="83" t="str">
        <f>IFERROR(__xludf.DUMMYFUNCTION("""COMPUTED_VALUE"""),"Hard")</f>
        <v>Hard</v>
      </c>
      <c r="D317" s="83" t="s">
        <v>4995</v>
      </c>
      <c r="E317" s="87" t="str">
        <f>IFERROR(__xludf.DUMMYFUNCTION("IF(ISBLANK(A317),,FILTER('Leetcode List'!E:J,'Leetcode List'!A:A = A317))"),"Microsoft")</f>
        <v>Microsoft</v>
      </c>
      <c r="F317" s="47"/>
      <c r="G317" s="47"/>
      <c r="H317" s="47" t="str">
        <f>IFERROR(__xludf.DUMMYFUNCTION("""COMPUTED_VALUE"""),"Microsoft")</f>
        <v>Microsoft</v>
      </c>
      <c r="I317" s="47">
        <f>IFERROR(__xludf.DUMMYFUNCTION("""COMPUTED_VALUE"""),59.33)</f>
        <v>59.33</v>
      </c>
      <c r="J317" s="47" t="str">
        <f>IFERROR(__xludf.DUMMYFUNCTION("""COMPUTED_VALUE"""),"算法")</f>
        <v>算法</v>
      </c>
      <c r="K317" s="2" t="s">
        <v>4997</v>
      </c>
      <c r="L317" s="6">
        <f>COUNTIF('Coder-1'!B:B,A317)</f>
        <v>0</v>
      </c>
      <c r="M317" s="6">
        <f>COUNTIF('Coder-2'!B:B,A317)</f>
        <v>0</v>
      </c>
      <c r="N317" s="6">
        <f>COUNTIF('Coder-3'!B:B,A317)</f>
        <v>0</v>
      </c>
      <c r="O317" s="6">
        <f>COUNTIF('Coder-4'!B:B,A317)</f>
        <v>0</v>
      </c>
    </row>
    <row r="318">
      <c r="A318" s="83">
        <v>126.0</v>
      </c>
      <c r="B318" s="86" t="str">
        <f>IFERROR(__xludf.DUMMYFUNCTION("IF(ISBLANK(A318),,FILTER('Leetcode List'!B:C,'Leetcode List'!A:A = A318))"),"Word Ladder II")</f>
        <v>Word Ladder II</v>
      </c>
      <c r="C318" s="83" t="str">
        <f>IFERROR(__xludf.DUMMYFUNCTION("""COMPUTED_VALUE"""),"Hard")</f>
        <v>Hard</v>
      </c>
      <c r="D318" s="83" t="s">
        <v>4998</v>
      </c>
      <c r="E318" s="87" t="str">
        <f>IFERROR(__xludf.DUMMYFUNCTION("IF(ISBLANK(A318),,FILTER('Leetcode List'!E:J,'Leetcode List'!A:A = A318))"),"Snapchat,Bloomberg,Pinterest,Box,Yelp,Oracle,Lyft,Apple,Uber,Yahoo,Facebook,Amazon,LinkedIn,Microsoft,Google")</f>
        <v>Snapchat,Bloomberg,Pinterest,Box,Yelp,Oracle,Lyft,Apple,Uber,Yahoo,Facebook,Amazon,LinkedIn,Microsoft,Google</v>
      </c>
      <c r="F318" s="47" t="str">
        <f>IFERROR(__xludf.DUMMYFUNCTION("""COMPUTED_VALUE"""),"Amazon,Bloomberg,Uber,Facebook,Box,Lyft,Microsoft,Google")</f>
        <v>Amazon,Bloomberg,Uber,Facebook,Box,Lyft,Microsoft,Google</v>
      </c>
      <c r="G318" s="47" t="str">
        <f>IFERROR(__xludf.DUMMYFUNCTION("""COMPUTED_VALUE"""),"Apple,Amazon,Bloomberg,Uber,Facebook,Box,Lyft,Microsoft,Google")</f>
        <v>Apple,Amazon,Bloomberg,Uber,Facebook,Box,Lyft,Microsoft,Google</v>
      </c>
      <c r="H318" s="47" t="str">
        <f>IFERROR(__xludf.DUMMYFUNCTION("""COMPUTED_VALUE"""),"Oracle,Pinterest,LinkedIn,Snapchat,Yahoo,Yelp,Apple,Amazon,Bloomberg,Uber,Facebook,Box,Lyft,Microsoft,Google")</f>
        <v>Oracle,Pinterest,LinkedIn,Snapchat,Yahoo,Yelp,Apple,Amazon,Bloomberg,Uber,Facebook,Box,Lyft,Microsoft,Google</v>
      </c>
      <c r="I318" s="47">
        <f>IFERROR(__xludf.DUMMYFUNCTION("""COMPUTED_VALUE"""),23.85)</f>
        <v>23.85</v>
      </c>
      <c r="J318" s="47" t="str">
        <f>IFERROR(__xludf.DUMMYFUNCTION("""COMPUTED_VALUE"""),"算法")</f>
        <v>算法</v>
      </c>
      <c r="L318" s="6">
        <f>COUNTIF('Coder-1'!B:B,A318)</f>
        <v>0</v>
      </c>
      <c r="M318" s="6">
        <f>COUNTIF('Coder-2'!B:B,A318)</f>
        <v>0</v>
      </c>
      <c r="N318" s="6">
        <f>COUNTIF('Coder-3'!B:B,A318)</f>
        <v>0</v>
      </c>
      <c r="O318" s="6">
        <f>COUNTIF('Coder-4'!B:B,A318)</f>
        <v>0</v>
      </c>
    </row>
    <row r="319">
      <c r="A319" s="83">
        <v>130.0</v>
      </c>
      <c r="B319" s="86" t="str">
        <f>IFERROR(__xludf.DUMMYFUNCTION("IF(ISBLANK(A319),,FILTER('Leetcode List'!B:C,'Leetcode List'!A:A = A319))"),"Surrounded Regions")</f>
        <v>Surrounded Regions</v>
      </c>
      <c r="C319" s="83" t="str">
        <f>IFERROR(__xludf.DUMMYFUNCTION("""COMPUTED_VALUE"""),"Medium")</f>
        <v>Medium</v>
      </c>
      <c r="D319" s="83" t="s">
        <v>4998</v>
      </c>
      <c r="E319" s="87" t="str">
        <f>IFERROR(__xludf.DUMMYFUNCTION("IF(ISBLANK(A319),,FILTER('Leetcode List'!E:J,'Leetcode List'!A:A = A319))"),"Splunk,EBay,Uber,Facebook,Amazon,Google")</f>
        <v>Splunk,EBay,Uber,Facebook,Amazon,Google</v>
      </c>
      <c r="F319" s="47" t="str">
        <f>IFERROR(__xludf.DUMMYFUNCTION("""COMPUTED_VALUE"""),"Google,Amazon,Uber")</f>
        <v>Google,Amazon,Uber</v>
      </c>
      <c r="G319" s="47" t="str">
        <f>IFERROR(__xludf.DUMMYFUNCTION("""COMPUTED_VALUE"""),"eBay,Google,Amazon,Uber")</f>
        <v>eBay,Google,Amazon,Uber</v>
      </c>
      <c r="H319" s="47" t="str">
        <f>IFERROR(__xludf.DUMMYFUNCTION("""COMPUTED_VALUE"""),"Splunk,Facebook,eBay,Google,Amazon,Uber")</f>
        <v>Splunk,Facebook,eBay,Google,Amazon,Uber</v>
      </c>
      <c r="I319" s="47">
        <f>IFERROR(__xludf.DUMMYFUNCTION("""COMPUTED_VALUE"""),29.58)</f>
        <v>29.58</v>
      </c>
      <c r="J319" s="47" t="str">
        <f>IFERROR(__xludf.DUMMYFUNCTION("""COMPUTED_VALUE"""),"算法")</f>
        <v>算法</v>
      </c>
      <c r="L319" s="6">
        <f>COUNTIF('Coder-1'!B:B,A319)</f>
        <v>0</v>
      </c>
      <c r="M319" s="6">
        <f>COUNTIF('Coder-2'!B:B,A319)</f>
        <v>0</v>
      </c>
      <c r="N319" s="6">
        <f>COUNTIF('Coder-3'!B:B,A319)</f>
        <v>0</v>
      </c>
      <c r="O319" s="6">
        <f>COUNTIF('Coder-4'!B:B,A319)</f>
        <v>0</v>
      </c>
    </row>
    <row r="320">
      <c r="A320" s="83">
        <v>200.0</v>
      </c>
      <c r="B320" s="86" t="str">
        <f>IFERROR(__xludf.DUMMYFUNCTION("IF(ISBLANK(A320),,FILTER('Leetcode List'!B:C,'Leetcode List'!A:A = A320))"),"Number of Islands")</f>
        <v>Number of Islands</v>
      </c>
      <c r="C320" s="83" t="str">
        <f>IFERROR(__xludf.DUMMYFUNCTION("""COMPUTED_VALUE"""),"Medium")</f>
        <v>Medium</v>
      </c>
      <c r="D320" s="83" t="s">
        <v>4998</v>
      </c>
      <c r="E320" s="87" t="str">
        <f>IFERROR(__xludf.DUMMYFUNCTION("IF(ISBLANK(A320),,FILTER('Leetcode List'!E:J,'Leetcode List'!A:A = A320))"),"Pony.ai,Karat,Tesla,Robinhood,PayTM,ByteDance,Intel,Dropbox,ServiceNow,Yandex,Samsung,AppDynamics,Electronic Arts,Sumologic,Hulu,Cohesity,Arista Networks,LiveRamp,Nutanix,DoorDash,Square,Qualtrics,Evernote,Palantir Technologies,Cruise Automation,Citrix,Zu"&amp;"lily,Houzz,Zenefits,Atlassian,Twitch,Roblox,Audible,Splunk,Tableau,Salesforce,Visa,VMware,Citadel,Affirm,Walmart Labs,Snapchat,JPMorgan,Paypal,Twitter,Expedia,Wish,Nvidia,Oracle,Spotify,Lyft,Cisco,Mathworks,EBay,BlackRock,Apple,Uber,Yahoo,SAP,Bloomberg,Ad"&amp;"obe,Facebook,Amazon,LinkedIn,Microsoft,Alibaba,Goldman Sachs,Google")</f>
        <v>Pony.ai,Karat,Tesla,Robinhood,PayTM,ByteDance,Intel,Dropbox,ServiceNow,Yandex,Samsung,AppDynamics,Electronic Arts,Sumologic,Hulu,Cohesity,Arista Networks,LiveRamp,Nutanix,DoorDash,Square,Qualtrics,Evernote,Palantir Technologies,Cruise Automation,Citrix,Zulily,Houzz,Zenefits,Atlassian,Twitch,Roblox,Audible,Splunk,Tableau,Salesforce,Visa,VMware,Citadel,Affirm,Walmart Labs,Snapchat,JPMorgan,Paypal,Twitter,Expedia,Wish,Nvidia,Oracle,Spotify,Lyft,Cisco,Mathworks,EBay,BlackRock,Apple,Uber,Yahoo,SAP,Bloomberg,Adobe,Facebook,Amazon,LinkedIn,Microsoft,Alibaba,Goldman Sachs,Google</v>
      </c>
      <c r="F320" s="47" t="str">
        <f>IFERROR(__xludf.DUMMYFUNCTION("""COMPUTED_VALUE"""),"Amazon,Bloomberg,Microsoft,Oracle,Facebook,Apple,Uber,Google,DoorDash,Qualtrics,LinkedIn,Snapchat,Expedia,Goldman Sachs,Citadel,VMware,Tesla,Karat,ByteDance,Yandex,eBay,Samsung,Yahoo,Nvidia,Splunk,Pony.ai")</f>
        <v>Amazon,Bloomberg,Microsoft,Oracle,Facebook,Apple,Uber,Google,DoorDash,Qualtrics,LinkedIn,Snapchat,Expedia,Goldman Sachs,Citadel,VMware,Tesla,Karat,ByteDance,Yandex,eBay,Samsung,Yahoo,Nvidia,Splunk,Pony.ai</v>
      </c>
      <c r="G320" s="47" t="str">
        <f>IFERROR(__xludf.DUMMYFUNCTION("""COMPUTED_VALUE"""),"Adobe,Wish,Walmart Labs,Roblox,Lyft,Robinhood,Palantir Technologies,Salesforce,Visa,Intel,Audible,PayTM,Amazon,Bloomberg,Microsoft,Oracle,Facebook,Apple,Uber,Google,DoorDash,Qualtrics,LinkedIn,Snapchat,Expedia,Goldman Sachs,Citadel,VMware,Tesla,Karat,Byte"&amp;"Dance,Yandex,eBay,Samsung,Yahoo,Nvidia,Splunk,Pony.ai")</f>
        <v>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H320" s="47" t="str">
        <f>IFERROR(__xludf.DUMMYFUNCTION("""COMPUTED_VALUE"""),"Cruise Automation,Twitch,Atlassian,Tableau,Affirm,Mathworks,JPMorgan,Electronic Arts,Houzz,Nutanix,Evernote,Dropbox,Paypal,SAP,Square,Arista Networks,ServiceNow,Spotify,Zulily,Cohesity,Zenefits,Adobe,Wish,Walmart Labs,Roblox,Lyft,Robinhood,Palantir Techno"&amp;"logies,Salesforce,Visa,Intel,Audible,PayTM,Amazon,Bloomberg,Microsoft,Oracle,Facebook,Apple,Uber,Google,DoorDash,Qualtrics,LinkedIn,Snapchat,Expedia,Goldman Sachs,Citadel,VMware,Tesla,Karat,ByteDance,Yandex,eBay,Samsung,Yahoo,Nvidia,Splunk,Pony.ai")</f>
        <v>Cruise Automation,Twitch,Atlassian,Tableau,Affirm,Mathworks,JPMorgan,Electronic Arts,Houzz,Nutanix,Evernote,Dropbox,Paypal,SAP,Square,Arista Networks,ServiceNow,Spotify,Zulily,Cohesity,Zenefits,Adobe,Wish,Walmart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I320" s="47">
        <f>IFERROR(__xludf.DUMMYFUNCTION("""COMPUTED_VALUE"""),49.32)</f>
        <v>49.32</v>
      </c>
      <c r="J320" s="47" t="str">
        <f>IFERROR(__xludf.DUMMYFUNCTION("""COMPUTED_VALUE"""),"算法")</f>
        <v>算法</v>
      </c>
      <c r="L320" s="6">
        <f>COUNTIF('Coder-1'!B:B,A320)</f>
        <v>0</v>
      </c>
      <c r="M320" s="6">
        <f>COUNTIF('Coder-2'!B:B,A320)</f>
        <v>0</v>
      </c>
      <c r="N320" s="6">
        <f>COUNTIF('Coder-3'!B:B,A320)</f>
        <v>0</v>
      </c>
      <c r="O320" s="6">
        <f>COUNTIF('Coder-4'!B:B,A320)</f>
        <v>0</v>
      </c>
    </row>
    <row r="321">
      <c r="A321" s="83">
        <v>529.0</v>
      </c>
      <c r="B321" s="86" t="str">
        <f>IFERROR(__xludf.DUMMYFUNCTION("IF(ISBLANK(A321),,FILTER('Leetcode List'!B:C,'Leetcode List'!A:A = A321))"),"Minesweeper")</f>
        <v>Minesweeper</v>
      </c>
      <c r="C321" s="83" t="str">
        <f>IFERROR(__xludf.DUMMYFUNCTION("""COMPUTED_VALUE"""),"Medium")</f>
        <v>Medium</v>
      </c>
      <c r="D321" s="83" t="s">
        <v>4998</v>
      </c>
      <c r="E321" s="87" t="str">
        <f>IFERROR(__xludf.DUMMYFUNCTION("IF(ISBLANK(A321),,FILTER('Leetcode List'!E:J,'Leetcode List'!A:A = A321))"),"Zillow,LiveRamp,Cruise Automation,Oracle,Uber,Bloomberg,Facebook,Amazon,Microsoft,Google")</f>
        <v>Zillow,LiveRamp,Cruise Automation,Oracle,Uber,Bloomberg,Facebook,Amazon,Microsoft,Google</v>
      </c>
      <c r="F321" s="47" t="str">
        <f>IFERROR(__xludf.DUMMYFUNCTION("""COMPUTED_VALUE"""),"Uber,Amazon,Zillow,Google,Facebook")</f>
        <v>Uber,Amazon,Zillow,Google,Facebook</v>
      </c>
      <c r="G321" s="47" t="str">
        <f>IFERROR(__xludf.DUMMYFUNCTION("""COMPUTED_VALUE"""),"Microsoft,Bloomberg,Uber,Amazon,Zillow,Google,Facebook")</f>
        <v>Microsoft,Bloomberg,Uber,Amazon,Zillow,Google,Facebook</v>
      </c>
      <c r="H321" s="47" t="str">
        <f>IFERROR(__xludf.DUMMYFUNCTION("""COMPUTED_VALUE"""),"LiveRamp,Cruise Automation,Microsoft,Bloomberg,Uber,Amazon,Zillow,Google,Facebook")</f>
        <v>LiveRamp,Cruise Automation,Microsoft,Bloomberg,Uber,Amazon,Zillow,Google,Facebook</v>
      </c>
      <c r="I321" s="47">
        <f>IFERROR(__xludf.DUMMYFUNCTION("""COMPUTED_VALUE"""),61.3)</f>
        <v>61.3</v>
      </c>
      <c r="J321" s="47" t="str">
        <f>IFERROR(__xludf.DUMMYFUNCTION("""COMPUTED_VALUE"""),"算法")</f>
        <v>算法</v>
      </c>
      <c r="L321" s="6">
        <f>COUNTIF('Coder-1'!B:B,A321)</f>
        <v>0</v>
      </c>
      <c r="M321" s="6">
        <f>COUNTIF('Coder-2'!B:B,A321)</f>
        <v>0</v>
      </c>
      <c r="N321" s="6">
        <f>COUNTIF('Coder-3'!B:B,A321)</f>
        <v>0</v>
      </c>
      <c r="O321" s="6">
        <f>COUNTIF('Coder-4'!B:B,A321)</f>
        <v>0</v>
      </c>
    </row>
    <row r="322">
      <c r="A322" s="83">
        <v>637.0</v>
      </c>
      <c r="B322" s="86" t="str">
        <f>IFERROR(__xludf.DUMMYFUNCTION("IF(ISBLANK(A322),,FILTER('Leetcode List'!B:C,'Leetcode List'!A:A = A322))"),"Average of Levels in Binary Tree")</f>
        <v>Average of Levels in Binary Tree</v>
      </c>
      <c r="C322" s="83" t="str">
        <f>IFERROR(__xludf.DUMMYFUNCTION("""COMPUTED_VALUE"""),"Easy")</f>
        <v>Easy</v>
      </c>
      <c r="D322" s="83" t="s">
        <v>4998</v>
      </c>
      <c r="E322" s="87" t="str">
        <f>IFERROR(__xludf.DUMMYFUNCTION("IF(ISBLANK(A322),,FILTER('Leetcode List'!E:J,'Leetcode List'!A:A = A322))"),"Facebook,Amazon")</f>
        <v>Facebook,Amazon</v>
      </c>
      <c r="F322" s="47" t="str">
        <f>IFERROR(__xludf.DUMMYFUNCTION("""COMPUTED_VALUE"""),"Facebook")</f>
        <v>Facebook</v>
      </c>
      <c r="G322" s="47" t="str">
        <f>IFERROR(__xludf.DUMMYFUNCTION("""COMPUTED_VALUE"""),"Amazon,Facebook")</f>
        <v>Amazon,Facebook</v>
      </c>
      <c r="H322" s="47" t="str">
        <f>IFERROR(__xludf.DUMMYFUNCTION("""COMPUTED_VALUE"""),"Amazon,Facebook")</f>
        <v>Amazon,Facebook</v>
      </c>
      <c r="I322" s="47">
        <f>IFERROR(__xludf.DUMMYFUNCTION("""COMPUTED_VALUE"""),66.03)</f>
        <v>66.03</v>
      </c>
      <c r="J322" s="47" t="str">
        <f>IFERROR(__xludf.DUMMYFUNCTION("""COMPUTED_VALUE"""),"算法")</f>
        <v>算法</v>
      </c>
      <c r="L322" s="6">
        <f>COUNTIF('Coder-1'!B:B,A322)</f>
        <v>0</v>
      </c>
      <c r="M322" s="6">
        <f>COUNTIF('Coder-2'!B:B,A322)</f>
        <v>0</v>
      </c>
      <c r="N322" s="6">
        <f>COUNTIF('Coder-3'!B:B,A322)</f>
        <v>0</v>
      </c>
      <c r="O322" s="6">
        <f>COUNTIF('Coder-4'!B:B,A322)</f>
        <v>0</v>
      </c>
    </row>
    <row r="323">
      <c r="A323" s="83">
        <v>675.0</v>
      </c>
      <c r="B323" s="86" t="str">
        <f>IFERROR(__xludf.DUMMYFUNCTION("IF(ISBLANK(A323),,FILTER('Leetcode List'!B:C,'Leetcode List'!A:A = A323))"),"Cut Off Trees for Golf Event")</f>
        <v>Cut Off Trees for Golf Event</v>
      </c>
      <c r="C323" s="83" t="str">
        <f>IFERROR(__xludf.DUMMYFUNCTION("""COMPUTED_VALUE"""),"Hard")</f>
        <v>Hard</v>
      </c>
      <c r="D323" s="83" t="s">
        <v>4998</v>
      </c>
      <c r="E323" s="87" t="str">
        <f>IFERROR(__xludf.DUMMYFUNCTION("IF(ISBLANK(A323),,FILTER('Leetcode List'!E:J,'Leetcode List'!A:A = A323))"),"Flipkart,Apple,Amazon")</f>
        <v>Flipkart,Apple,Amazon</v>
      </c>
      <c r="F323" s="47" t="str">
        <f>IFERROR(__xludf.DUMMYFUNCTION("""COMPUTED_VALUE"""),"Apple")</f>
        <v>Apple</v>
      </c>
      <c r="G323" s="47" t="str">
        <f>IFERROR(__xludf.DUMMYFUNCTION("""COMPUTED_VALUE"""),"Flipkart,Apple")</f>
        <v>Flipkart,Apple</v>
      </c>
      <c r="H323" s="47" t="str">
        <f>IFERROR(__xludf.DUMMYFUNCTION("""COMPUTED_VALUE"""),"Amazon,Flipkart,Apple")</f>
        <v>Amazon,Flipkart,Apple</v>
      </c>
      <c r="I323" s="47">
        <f>IFERROR(__xludf.DUMMYFUNCTION("""COMPUTED_VALUE"""),35.4)</f>
        <v>35.4</v>
      </c>
      <c r="J323" s="47" t="str">
        <f>IFERROR(__xludf.DUMMYFUNCTION("""COMPUTED_VALUE"""),"算法")</f>
        <v>算法</v>
      </c>
      <c r="L323" s="6">
        <f>COUNTIF('Coder-1'!B:B,A323)</f>
        <v>0</v>
      </c>
      <c r="M323" s="6">
        <f>COUNTIF('Coder-2'!B:B,A323)</f>
        <v>0</v>
      </c>
      <c r="N323" s="6">
        <f>COUNTIF('Coder-3'!B:B,A323)</f>
        <v>0</v>
      </c>
      <c r="O323" s="6">
        <f>COUNTIF('Coder-4'!B:B,A323)</f>
        <v>0</v>
      </c>
    </row>
    <row r="324">
      <c r="A324" s="46">
        <v>694.0</v>
      </c>
      <c r="B324" s="86" t="str">
        <f>IFERROR(__xludf.DUMMYFUNCTION("IF(ISBLANK(A324),,FILTER('Leetcode List'!B:C,'Leetcode List'!A:A = A324))"),"Number of Distinct Islands")</f>
        <v>Number of Distinct Islands</v>
      </c>
      <c r="C324" s="47" t="str">
        <f>IFERROR(__xludf.DUMMYFUNCTION("""COMPUTED_VALUE"""),"Medium")</f>
        <v>Medium</v>
      </c>
      <c r="D324" s="83" t="s">
        <v>4998</v>
      </c>
      <c r="E324" s="87" t="str">
        <f>IFERROR(__xludf.DUMMYFUNCTION("IF(ISBLANK(A324),,FILTER('Leetcode List'!E:J,'Leetcode List'!A:A = A324))"),"Palantir Technologies,Oracle,Lyft,Apple,Uber,Bloomberg,Facebook,Amazon,Microsoft,Google")</f>
        <v>Palantir Technologies,Oracle,Lyft,Apple,Uber,Bloomberg,Facebook,Amazon,Microsoft,Google</v>
      </c>
      <c r="F324" s="47" t="str">
        <f>IFERROR(__xludf.DUMMYFUNCTION("""COMPUTED_VALUE"""),"Amazon,Bloomberg,Microsoft")</f>
        <v>Amazon,Bloomberg,Microsoft</v>
      </c>
      <c r="G324" s="47" t="str">
        <f>IFERROR(__xludf.DUMMYFUNCTION("""COMPUTED_VALUE"""),"Facebook,Palantir Technologies,Amazon,Bloomberg,Microsoft")</f>
        <v>Facebook,Palantir Technologies,Amazon,Bloomberg,Microsoft</v>
      </c>
      <c r="H324" s="47" t="str">
        <f>IFERROR(__xludf.DUMMYFUNCTION("""COMPUTED_VALUE"""),"Apple,Google,Uber,Oracle,Facebook,Palantir Technologies,Amazon,Bloomberg,Microsoft")</f>
        <v>Apple,Google,Uber,Oracle,Facebook,Palantir Technologies,Amazon,Bloomberg,Microsoft</v>
      </c>
      <c r="I324" s="47">
        <f>IFERROR(__xludf.DUMMYFUNCTION("""COMPUTED_VALUE"""),57.94)</f>
        <v>57.94</v>
      </c>
      <c r="J324" s="47" t="str">
        <f>IFERROR(__xludf.DUMMYFUNCTION("""COMPUTED_VALUE"""),"算法")</f>
        <v>算法</v>
      </c>
      <c r="L324" s="6">
        <f>COUNTIF('Coder-1'!B:B,A324)</f>
        <v>0</v>
      </c>
      <c r="M324" s="6">
        <f>COUNTIF('Coder-2'!B:B,A324)</f>
        <v>0</v>
      </c>
      <c r="N324" s="6">
        <f>COUNTIF('Coder-3'!B:B,A324)</f>
        <v>0</v>
      </c>
      <c r="O324" s="6">
        <f>COUNTIF('Coder-4'!B:B,A324)</f>
        <v>0</v>
      </c>
    </row>
    <row r="325">
      <c r="A325" s="83">
        <v>785.0</v>
      </c>
      <c r="B325" s="86" t="str">
        <f>IFERROR(__xludf.DUMMYFUNCTION("IF(ISBLANK(A325),,FILTER('Leetcode List'!B:C,'Leetcode List'!A:A = A325))"),"Is Graph Bipartite?")</f>
        <v>Is Graph Bipartite?</v>
      </c>
      <c r="C325" s="47" t="str">
        <f>IFERROR(__xludf.DUMMYFUNCTION("""COMPUTED_VALUE"""),"Medium")</f>
        <v>Medium</v>
      </c>
      <c r="D325" s="83" t="s">
        <v>4998</v>
      </c>
      <c r="E325" s="87" t="str">
        <f>IFERROR(__xludf.DUMMYFUNCTION("IF(ISBLANK(A325),,FILTER('Leetcode List'!E:J,'Leetcode List'!A:A = A325))"),"ByteDance,Uber,Bloomberg,LiveRamp,Walmart Labs,EBay,Facebook,Amazon,LinkedIn,Microsoft,Google")</f>
        <v>ByteDance,Uber,Bloomberg,LiveRamp,Walmart Labs,EBay,Facebook,Amazon,LinkedIn,Microsoft,Google</v>
      </c>
      <c r="F325" s="47" t="str">
        <f>IFERROR(__xludf.DUMMYFUNCTION("""COMPUTED_VALUE"""),"Facebook,ByteDance,eBay")</f>
        <v>Facebook,ByteDance,eBay</v>
      </c>
      <c r="G325" s="47" t="str">
        <f>IFERROR(__xludf.DUMMYFUNCTION("""COMPUTED_VALUE"""),"Amazon,Walmart Labs,Facebook,ByteDance,eBay")</f>
        <v>Amazon,Walmart Labs,Facebook,ByteDance,eBay</v>
      </c>
      <c r="H325" s="47" t="str">
        <f>IFERROR(__xludf.DUMMYFUNCTION("""COMPUTED_VALUE"""),"Google,LinkedIn,LiveRamp,Microsoft,Bloomberg,Uber,Amazon,Walmart Labs,Facebook,ByteDance,eBay")</f>
        <v>Google,LinkedIn,LiveRamp,Microsoft,Bloomberg,Uber,Amazon,Walmart Labs,Facebook,ByteDance,eBay</v>
      </c>
      <c r="I325" s="47">
        <f>IFERROR(__xludf.DUMMYFUNCTION("""COMPUTED_VALUE"""),48.65)</f>
        <v>48.65</v>
      </c>
      <c r="J325" s="47" t="str">
        <f>IFERROR(__xludf.DUMMYFUNCTION("""COMPUTED_VALUE"""),"算法")</f>
        <v>算法</v>
      </c>
      <c r="L325" s="6">
        <f>COUNTIF('Coder-1'!B:B,A325)</f>
        <v>0</v>
      </c>
      <c r="M325" s="6">
        <f>COUNTIF('Coder-2'!B:B,A325)</f>
        <v>0</v>
      </c>
      <c r="N325" s="6">
        <f>COUNTIF('Coder-3'!B:B,A325)</f>
        <v>0</v>
      </c>
      <c r="O325" s="6">
        <f>COUNTIF('Coder-4'!B:B,A325)</f>
        <v>0</v>
      </c>
    </row>
    <row r="326">
      <c r="A326" s="83">
        <v>815.0</v>
      </c>
      <c r="B326" s="86" t="str">
        <f>IFERROR(__xludf.DUMMYFUNCTION("IF(ISBLANK(A326),,FILTER('Leetcode List'!B:C,'Leetcode List'!A:A = A326))"),"Bus Routes")</f>
        <v>Bus Routes</v>
      </c>
      <c r="C326" s="47" t="str">
        <f>IFERROR(__xludf.DUMMYFUNCTION("""COMPUTED_VALUE"""),"Hard")</f>
        <v>Hard</v>
      </c>
      <c r="D326" s="83" t="s">
        <v>4998</v>
      </c>
      <c r="E326" s="87" t="str">
        <f>IFERROR(__xludf.DUMMYFUNCTION("IF(ISBLANK(A326),,FILTER('Leetcode List'!E:J,'Leetcode List'!A:A = A326))"),"Square,Qualtrics,DiDi,Uber,Amazon,Google")</f>
        <v>Square,Qualtrics,DiDi,Uber,Amazon,Google</v>
      </c>
      <c r="F326" s="47" t="str">
        <f>IFERROR(__xludf.DUMMYFUNCTION("""COMPUTED_VALUE"""),"Amazon,Qualtrics,Square")</f>
        <v>Amazon,Qualtrics,Square</v>
      </c>
      <c r="G326" s="47" t="str">
        <f>IFERROR(__xludf.DUMMYFUNCTION("""COMPUTED_VALUE"""),"Google,Amazon,Qualtrics,Square")</f>
        <v>Google,Amazon,Qualtrics,Square</v>
      </c>
      <c r="H326" s="47" t="str">
        <f>IFERROR(__xludf.DUMMYFUNCTION("""COMPUTED_VALUE"""),"Uber,DiDi,Google,Amazon,Qualtrics,Square")</f>
        <v>Uber,DiDi,Google,Amazon,Qualtrics,Square</v>
      </c>
      <c r="I326" s="47">
        <f>IFERROR(__xludf.DUMMYFUNCTION("""COMPUTED_VALUE"""),43.43)</f>
        <v>43.43</v>
      </c>
      <c r="J326" s="47" t="str">
        <f>IFERROR(__xludf.DUMMYFUNCTION("""COMPUTED_VALUE"""),"算法")</f>
        <v>算法</v>
      </c>
      <c r="L326" s="6">
        <f>COUNTIF('Coder-1'!B:B,A326)</f>
        <v>0</v>
      </c>
      <c r="M326" s="6">
        <f>COUNTIF('Coder-2'!B:B,A326)</f>
        <v>0</v>
      </c>
      <c r="N326" s="6">
        <f>COUNTIF('Coder-3'!B:B,A326)</f>
        <v>0</v>
      </c>
      <c r="O326" s="6">
        <f>COUNTIF('Coder-4'!B:B,A326)</f>
        <v>0</v>
      </c>
    </row>
    <row r="327">
      <c r="A327" s="83">
        <v>847.0</v>
      </c>
      <c r="B327" s="86" t="str">
        <f>IFERROR(__xludf.DUMMYFUNCTION("IF(ISBLANK(A327),,FILTER('Leetcode List'!B:C,'Leetcode List'!A:A = A327))"),"Shortest Path Visiting All Nodes")</f>
        <v>Shortest Path Visiting All Nodes</v>
      </c>
      <c r="C327" s="47" t="str">
        <f>IFERROR(__xludf.DUMMYFUNCTION("""COMPUTED_VALUE"""),"Hard")</f>
        <v>Hard</v>
      </c>
      <c r="D327" s="83" t="s">
        <v>4998</v>
      </c>
      <c r="E327" s="87" t="str">
        <f>IFERROR(__xludf.DUMMYFUNCTION("IF(ISBLANK(A327),,FILTER('Leetcode List'!E:J,'Leetcode List'!A:A = A327))"),"Codenation,Facebook,Meituan,Amazon,Google")</f>
        <v>Codenation,Facebook,Meituan,Amazon,Google</v>
      </c>
      <c r="F327" s="47" t="str">
        <f>IFERROR(__xludf.DUMMYFUNCTION("""COMPUTED_VALUE"""),"Google")</f>
        <v>Google</v>
      </c>
      <c r="G327" s="47" t="str">
        <f>IFERROR(__xludf.DUMMYFUNCTION("""COMPUTED_VALUE"""),"Google")</f>
        <v>Google</v>
      </c>
      <c r="H327" s="47" t="str">
        <f>IFERROR(__xludf.DUMMYFUNCTION("""COMPUTED_VALUE"""),"Facebook,Codenation,Google")</f>
        <v>Facebook,Codenation,Google</v>
      </c>
      <c r="I327" s="47">
        <f>IFERROR(__xludf.DUMMYFUNCTION("""COMPUTED_VALUE"""),53.9)</f>
        <v>53.9</v>
      </c>
      <c r="J327" s="47" t="str">
        <f>IFERROR(__xludf.DUMMYFUNCTION("""COMPUTED_VALUE"""),"算法")</f>
        <v>算法</v>
      </c>
      <c r="L327" s="6">
        <f>COUNTIF('Coder-1'!B:B,A327)</f>
        <v>0</v>
      </c>
      <c r="M327" s="6">
        <f>COUNTIF('Coder-2'!B:B,A327)</f>
        <v>0</v>
      </c>
      <c r="N327" s="6">
        <f>COUNTIF('Coder-3'!B:B,A327)</f>
        <v>0</v>
      </c>
      <c r="O327" s="6">
        <f>COUNTIF('Coder-4'!B:B,A327)</f>
        <v>0</v>
      </c>
    </row>
    <row r="328">
      <c r="A328" s="83">
        <v>864.0</v>
      </c>
      <c r="B328" s="86" t="str">
        <f>IFERROR(__xludf.DUMMYFUNCTION("IF(ISBLANK(A328),,FILTER('Leetcode List'!B:C,'Leetcode List'!A:A = A328))"),"Shortest Path to Get All Keys")</f>
        <v>Shortest Path to Get All Keys</v>
      </c>
      <c r="C328" s="47" t="str">
        <f>IFERROR(__xludf.DUMMYFUNCTION("""COMPUTED_VALUE"""),"Hard")</f>
        <v>Hard</v>
      </c>
      <c r="D328" s="83" t="s">
        <v>4998</v>
      </c>
      <c r="E328" s="87" t="str">
        <f>IFERROR(__xludf.DUMMYFUNCTION("IF(ISBLANK(A328),,FILTER('Leetcode List'!E:J,'Leetcode List'!A:A = A328))"),"ByteDance,Airbnb,Amazon,Google")</f>
        <v>ByteDance,Airbnb,Amazon,Google</v>
      </c>
      <c r="F328" s="47" t="str">
        <f>IFERROR(__xludf.DUMMYFUNCTION("""COMPUTED_VALUE"""),"ByteDance,Airbnb")</f>
        <v>ByteDance,Airbnb</v>
      </c>
      <c r="G328" s="47" t="str">
        <f>IFERROR(__xludf.DUMMYFUNCTION("""COMPUTED_VALUE"""),"ByteDance,Airbnb")</f>
        <v>ByteDance,Airbnb</v>
      </c>
      <c r="H328" s="47" t="str">
        <f>IFERROR(__xludf.DUMMYFUNCTION("""COMPUTED_VALUE"""),"Google,ByteDance,Airbnb")</f>
        <v>Google,ByteDance,Airbnb</v>
      </c>
      <c r="I328" s="47">
        <f>IFERROR(__xludf.DUMMYFUNCTION("""COMPUTED_VALUE"""),42.25)</f>
        <v>42.25</v>
      </c>
      <c r="J328" s="47" t="str">
        <f>IFERROR(__xludf.DUMMYFUNCTION("""COMPUTED_VALUE"""),"算法")</f>
        <v>算法</v>
      </c>
      <c r="L328" s="6">
        <f>COUNTIF('Coder-1'!B:B,A328)</f>
        <v>0</v>
      </c>
      <c r="M328" s="6">
        <f>COUNTIF('Coder-2'!B:B,A328)</f>
        <v>0</v>
      </c>
      <c r="N328" s="6">
        <f>COUNTIF('Coder-3'!B:B,A328)</f>
        <v>0</v>
      </c>
      <c r="O328" s="6">
        <f>COUNTIF('Coder-4'!B:B,A328)</f>
        <v>0</v>
      </c>
    </row>
    <row r="329">
      <c r="A329" s="83">
        <v>928.0</v>
      </c>
      <c r="B329" s="86" t="str">
        <f>IFERROR(__xludf.DUMMYFUNCTION("IF(ISBLANK(A329),,FILTER('Leetcode List'!B:C,'Leetcode List'!A:A = A329))"),"Minimize Malware Spread II")</f>
        <v>Minimize Malware Spread II</v>
      </c>
      <c r="C329" s="47" t="str">
        <f>IFERROR(__xludf.DUMMYFUNCTION("""COMPUTED_VALUE"""),"Hard")</f>
        <v>Hard</v>
      </c>
      <c r="D329" s="83" t="s">
        <v>4998</v>
      </c>
      <c r="E329" s="87" t="str">
        <f>IFERROR(__xludf.DUMMYFUNCTION("IF(ISBLANK(A329),,FILTER('Leetcode List'!E:J,'Leetcode List'!A:A = A329))"),"Dropbox")</f>
        <v>Dropbox</v>
      </c>
      <c r="F329" s="47"/>
      <c r="G329" s="47"/>
      <c r="H329" s="47" t="str">
        <f>IFERROR(__xludf.DUMMYFUNCTION("""COMPUTED_VALUE"""),"Dropbox")</f>
        <v>Dropbox</v>
      </c>
      <c r="I329" s="47">
        <f>IFERROR(__xludf.DUMMYFUNCTION("""COMPUTED_VALUE"""),41.54)</f>
        <v>41.54</v>
      </c>
      <c r="J329" s="47" t="str">
        <f>IFERROR(__xludf.DUMMYFUNCTION("""COMPUTED_VALUE"""),"算法")</f>
        <v>算法</v>
      </c>
      <c r="L329" s="6">
        <f>COUNTIF('Coder-1'!B:B,A329)</f>
        <v>0</v>
      </c>
      <c r="M329" s="6">
        <f>COUNTIF('Coder-2'!B:B,A329)</f>
        <v>0</v>
      </c>
      <c r="N329" s="6">
        <f>COUNTIF('Coder-3'!B:B,A329)</f>
        <v>0</v>
      </c>
      <c r="O329" s="6">
        <f>COUNTIF('Coder-4'!B:B,A329)</f>
        <v>0</v>
      </c>
    </row>
    <row r="330">
      <c r="A330" s="83">
        <v>913.0</v>
      </c>
      <c r="B330" s="86" t="str">
        <f>IFERROR(__xludf.DUMMYFUNCTION("IF(ISBLANK(A330),,FILTER('Leetcode List'!B:C,'Leetcode List'!A:A = A330))"),"Cat and Mouse")</f>
        <v>Cat and Mouse</v>
      </c>
      <c r="C330" s="47" t="str">
        <f>IFERROR(__xludf.DUMMYFUNCTION("""COMPUTED_VALUE"""),"Hard")</f>
        <v>Hard</v>
      </c>
      <c r="D330" s="83" t="s">
        <v>4998</v>
      </c>
      <c r="E330" s="87" t="str">
        <f>IFERROR(__xludf.DUMMYFUNCTION("IF(ISBLANK(A330),,FILTER('Leetcode List'!E:J,'Leetcode List'!A:A = A330))"),"Google")</f>
        <v>Google</v>
      </c>
      <c r="F330" s="47" t="str">
        <f>IFERROR(__xludf.DUMMYFUNCTION("""COMPUTED_VALUE"""),"Google")</f>
        <v>Google</v>
      </c>
      <c r="G330" s="47" t="str">
        <f>IFERROR(__xludf.DUMMYFUNCTION("""COMPUTED_VALUE"""),"Google")</f>
        <v>Google</v>
      </c>
      <c r="H330" s="47" t="str">
        <f>IFERROR(__xludf.DUMMYFUNCTION("""COMPUTED_VALUE"""),"Google")</f>
        <v>Google</v>
      </c>
      <c r="I330" s="47">
        <f>IFERROR(__xludf.DUMMYFUNCTION("""COMPUTED_VALUE"""),34.77)</f>
        <v>34.77</v>
      </c>
      <c r="J330" s="47" t="str">
        <f>IFERROR(__xludf.DUMMYFUNCTION("""COMPUTED_VALUE"""),"算法")</f>
        <v>算法</v>
      </c>
      <c r="L330" s="6">
        <f>COUNTIF('Coder-1'!B:B,A330)</f>
        <v>0</v>
      </c>
      <c r="M330" s="6">
        <f>COUNTIF('Coder-2'!B:B,A330)</f>
        <v>0</v>
      </c>
      <c r="N330" s="6">
        <f>COUNTIF('Coder-3'!B:B,A330)</f>
        <v>0</v>
      </c>
      <c r="O330" s="6">
        <f>COUNTIF('Coder-4'!B:B,A330)</f>
        <v>0</v>
      </c>
    </row>
    <row r="331">
      <c r="A331" s="47">
        <v>1728.0</v>
      </c>
      <c r="B331" s="86" t="str">
        <f>IFERROR(__xludf.DUMMYFUNCTION("IF(ISBLANK(A331),,FILTER('Leetcode List'!B:C,'Leetcode List'!A:A = A331))"),"Cat and Mouse II")</f>
        <v>Cat and Mouse II</v>
      </c>
      <c r="C331" s="47" t="str">
        <f>IFERROR(__xludf.DUMMYFUNCTION("""COMPUTED_VALUE"""),"Hard")</f>
        <v>Hard</v>
      </c>
      <c r="D331" s="83" t="s">
        <v>4998</v>
      </c>
      <c r="E331" s="87" t="str">
        <f>IFERROR(__xludf.DUMMYFUNCTION("IF(ISBLANK(A331),,FILTER('Leetcode List'!E:J,'Leetcode List'!A:A = A331))"),"Google")</f>
        <v>Google</v>
      </c>
      <c r="F331" s="47"/>
      <c r="G331" s="47"/>
      <c r="H331" s="47" t="str">
        <f>IFERROR(__xludf.DUMMYFUNCTION("""COMPUTED_VALUE"""),"Google")</f>
        <v>Google</v>
      </c>
      <c r="I331" s="47">
        <f>IFERROR(__xludf.DUMMYFUNCTION("""COMPUTED_VALUE"""),40.99)</f>
        <v>40.99</v>
      </c>
      <c r="J331" s="47" t="str">
        <f>IFERROR(__xludf.DUMMYFUNCTION("""COMPUTED_VALUE"""),"算法")</f>
        <v>算法</v>
      </c>
      <c r="L331" s="6">
        <f>COUNTIF('Coder-1'!B:B,A331)</f>
        <v>0</v>
      </c>
      <c r="M331" s="6">
        <f>COUNTIF('Coder-2'!B:B,A331)</f>
        <v>0</v>
      </c>
      <c r="N331" s="6">
        <f>COUNTIF('Coder-3'!B:B,A331)</f>
        <v>0</v>
      </c>
      <c r="O331" s="6">
        <f>COUNTIF('Coder-4'!B:B,A331)</f>
        <v>0</v>
      </c>
    </row>
    <row r="332">
      <c r="A332" s="47">
        <v>1036.0</v>
      </c>
      <c r="B332" s="86" t="str">
        <f>IFERROR(__xludf.DUMMYFUNCTION("IF(ISBLANK(A332),,FILTER('Leetcode List'!B:C,'Leetcode List'!A:A = A332))"),"Escape a Large Maze")</f>
        <v>Escape a Large Maze</v>
      </c>
      <c r="C332" s="47" t="str">
        <f>IFERROR(__xludf.DUMMYFUNCTION("""COMPUTED_VALUE"""),"Hard")</f>
        <v>Hard</v>
      </c>
      <c r="D332" s="83" t="s">
        <v>4998</v>
      </c>
      <c r="E332" s="87" t="str">
        <f>IFERROR(__xludf.DUMMYFUNCTION("IF(ISBLANK(A332),,FILTER('Leetcode List'!E:J,'Leetcode List'!A:A = A332))"),"UiPath,Uber,Facebook,Uipath,Google")</f>
        <v>UiPath,Uber,Facebook,Uipath,Google</v>
      </c>
      <c r="F332" s="47"/>
      <c r="G332" s="47"/>
      <c r="H332" s="47" t="str">
        <f>IFERROR(__xludf.DUMMYFUNCTION("""COMPUTED_VALUE"""),"Uber,Google,Facebook,UiPath")</f>
        <v>Uber,Google,Facebook,UiPath</v>
      </c>
      <c r="I332" s="47">
        <f>IFERROR(__xludf.DUMMYFUNCTION("""COMPUTED_VALUE"""),34.4)</f>
        <v>34.4</v>
      </c>
      <c r="J332" s="47" t="str">
        <f>IFERROR(__xludf.DUMMYFUNCTION("""COMPUTED_VALUE"""),"算法")</f>
        <v>算法</v>
      </c>
      <c r="L332" s="6">
        <f>COUNTIF('Coder-1'!B:B,A332)</f>
        <v>0</v>
      </c>
      <c r="M332" s="6">
        <f>COUNTIF('Coder-2'!B:B,A332)</f>
        <v>0</v>
      </c>
      <c r="N332" s="6">
        <f>COUNTIF('Coder-3'!B:B,A332)</f>
        <v>0</v>
      </c>
      <c r="O332" s="6">
        <f>COUNTIF('Coder-4'!B:B,A332)</f>
        <v>0</v>
      </c>
    </row>
    <row r="333">
      <c r="A333" s="47">
        <v>1245.0</v>
      </c>
      <c r="B333" s="86" t="str">
        <f>IFERROR(__xludf.DUMMYFUNCTION("IF(ISBLANK(A333),,FILTER('Leetcode List'!B:C,'Leetcode List'!A:A = A333))"),"Tree Diameter")</f>
        <v>Tree Diameter</v>
      </c>
      <c r="C333" s="47" t="str">
        <f>IFERROR(__xludf.DUMMYFUNCTION("""COMPUTED_VALUE"""),"Medium")</f>
        <v>Medium</v>
      </c>
      <c r="D333" s="83" t="s">
        <v>4998</v>
      </c>
      <c r="E333" s="87" t="str">
        <f>IFERROR(__xludf.DUMMYFUNCTION("IF(ISBLANK(A333),,FILTER('Leetcode List'!E:J,'Leetcode List'!A:A = A333))"),"Amazon,Facebook,Google")</f>
        <v>Amazon,Facebook,Google</v>
      </c>
      <c r="F333" s="47"/>
      <c r="G333" s="47" t="str">
        <f>IFERROR(__xludf.DUMMYFUNCTION("""COMPUTED_VALUE"""),"Facebook,Google,Amazon")</f>
        <v>Facebook,Google,Amazon</v>
      </c>
      <c r="H333" s="47" t="str">
        <f>IFERROR(__xludf.DUMMYFUNCTION("""COMPUTED_VALUE"""),"Facebook,Google,Amazon")</f>
        <v>Facebook,Google,Amazon</v>
      </c>
      <c r="I333" s="47">
        <f>IFERROR(__xludf.DUMMYFUNCTION("""COMPUTED_VALUE"""),61.11)</f>
        <v>61.11</v>
      </c>
      <c r="J333" s="47" t="str">
        <f>IFERROR(__xludf.DUMMYFUNCTION("""COMPUTED_VALUE"""),"算法")</f>
        <v>算法</v>
      </c>
      <c r="L333" s="6">
        <f>COUNTIF('Coder-1'!B:B,A333)</f>
        <v>0</v>
      </c>
      <c r="M333" s="6">
        <f>COUNTIF('Coder-2'!B:B,A333)</f>
        <v>0</v>
      </c>
      <c r="N333" s="6">
        <f>COUNTIF('Coder-3'!B:B,A333)</f>
        <v>0</v>
      </c>
      <c r="O333" s="6">
        <f>COUNTIF('Coder-4'!B:B,A333)</f>
        <v>0</v>
      </c>
    </row>
    <row r="334">
      <c r="A334" s="47">
        <v>1263.0</v>
      </c>
      <c r="B334" s="86" t="str">
        <f>IFERROR(__xludf.DUMMYFUNCTION("IF(ISBLANK(A334),,FILTER('Leetcode List'!B:C,'Leetcode List'!A:A = A334))"),"Minimum Moves to Move a Box to Their Target Location")</f>
        <v>Minimum Moves to Move a Box to Their Target Location</v>
      </c>
      <c r="C334" s="47" t="str">
        <f>IFERROR(__xludf.DUMMYFUNCTION("""COMPUTED_VALUE"""),"Hard")</f>
        <v>Hard</v>
      </c>
      <c r="D334" s="83" t="s">
        <v>4998</v>
      </c>
      <c r="E334" s="87" t="str">
        <f>IFERROR(__xludf.DUMMYFUNCTION("IF(ISBLANK(A334),,FILTER('Leetcode List'!E:J,'Leetcode List'!A:A = A334))"),"")</f>
        <v/>
      </c>
      <c r="F334" s="47"/>
      <c r="G334" s="47"/>
      <c r="H334" s="47"/>
      <c r="I334" s="47">
        <f>IFERROR(__xludf.DUMMYFUNCTION("""COMPUTED_VALUE"""),43.37)</f>
        <v>43.37</v>
      </c>
      <c r="J334" s="47" t="str">
        <f>IFERROR(__xludf.DUMMYFUNCTION("""COMPUTED_VALUE"""),"算法")</f>
        <v>算法</v>
      </c>
      <c r="L334" s="6">
        <f>COUNTIF('Coder-1'!B:B,A334)</f>
        <v>0</v>
      </c>
      <c r="M334" s="6">
        <f>COUNTIF('Coder-2'!B:B,A334)</f>
        <v>0</v>
      </c>
      <c r="N334" s="6">
        <f>COUNTIF('Coder-3'!B:B,A334)</f>
        <v>0</v>
      </c>
      <c r="O334" s="6">
        <f>COUNTIF('Coder-4'!B:B,A334)</f>
        <v>0</v>
      </c>
    </row>
    <row r="335">
      <c r="A335" s="47">
        <v>1293.0</v>
      </c>
      <c r="B335" s="86" t="str">
        <f>IFERROR(__xludf.DUMMYFUNCTION("IF(ISBLANK(A335),,FILTER('Leetcode List'!B:C,'Leetcode List'!A:A = A335))"),"Shortest Path in a Grid with Obstacles Elimination")</f>
        <v>Shortest Path in a Grid with Obstacles Elimination</v>
      </c>
      <c r="C335" s="47" t="str">
        <f>IFERROR(__xludf.DUMMYFUNCTION("""COMPUTED_VALUE"""),"Hard")</f>
        <v>Hard</v>
      </c>
      <c r="D335" s="83" t="s">
        <v>4998</v>
      </c>
      <c r="E335" s="87" t="str">
        <f>IFERROR(__xludf.DUMMYFUNCTION("IF(ISBLANK(A335),,FILTER('Leetcode List'!E:J,'Leetcode List'!A:A = A335))"),"ByteDance,Amazon,DiDi,Google")</f>
        <v>ByteDance,Amazon,DiDi,Google</v>
      </c>
      <c r="F335" s="47" t="str">
        <f>IFERROR(__xludf.DUMMYFUNCTION("""COMPUTED_VALUE"""),"Amazon,Google")</f>
        <v>Amazon,Google</v>
      </c>
      <c r="G335" s="47" t="str">
        <f>IFERROR(__xludf.DUMMYFUNCTION("""COMPUTED_VALUE"""),"DiDi,Amazon,Google")</f>
        <v>DiDi,Amazon,Google</v>
      </c>
      <c r="H335" s="47" t="str">
        <f>IFERROR(__xludf.DUMMYFUNCTION("""COMPUTED_VALUE"""),"ByteDance,DiDi,Amazon,Google")</f>
        <v>ByteDance,DiDi,Amazon,Google</v>
      </c>
      <c r="I335" s="47">
        <f>IFERROR(__xludf.DUMMYFUNCTION("""COMPUTED_VALUE"""),43.06)</f>
        <v>43.06</v>
      </c>
      <c r="J335" s="47" t="str">
        <f>IFERROR(__xludf.DUMMYFUNCTION("""COMPUTED_VALUE"""),"算法")</f>
        <v>算法</v>
      </c>
      <c r="L335" s="6">
        <f>COUNTIF('Coder-1'!B:B,A335)</f>
        <v>0</v>
      </c>
      <c r="M335" s="6">
        <f>COUNTIF('Coder-2'!B:B,A335)</f>
        <v>0</v>
      </c>
      <c r="N335" s="6">
        <f>COUNTIF('Coder-3'!B:B,A335)</f>
        <v>0</v>
      </c>
      <c r="O335" s="6">
        <f>COUNTIF('Coder-4'!B:B,A335)</f>
        <v>0</v>
      </c>
    </row>
    <row r="336">
      <c r="A336" s="47">
        <v>1298.0</v>
      </c>
      <c r="B336" s="86" t="str">
        <f>IFERROR(__xludf.DUMMYFUNCTION("IF(ISBLANK(A336),,FILTER('Leetcode List'!B:C,'Leetcode List'!A:A = A336))"),"Maximum Candies You Can Get from Boxes")</f>
        <v>Maximum Candies You Can Get from Boxes</v>
      </c>
      <c r="C336" s="47" t="str">
        <f>IFERROR(__xludf.DUMMYFUNCTION("""COMPUTED_VALUE"""),"Hard")</f>
        <v>Hard</v>
      </c>
      <c r="D336" s="83" t="s">
        <v>4998</v>
      </c>
      <c r="E336" s="87" t="str">
        <f>IFERROR(__xludf.DUMMYFUNCTION("IF(ISBLANK(A336),,FILTER('Leetcode List'!E:J,'Leetcode List'!A:A = A336))"),"Airbnb")</f>
        <v>Airbnb</v>
      </c>
      <c r="F336" s="47"/>
      <c r="G336" s="47"/>
      <c r="H336" s="47" t="str">
        <f>IFERROR(__xludf.DUMMYFUNCTION("""COMPUTED_VALUE"""),"Airbnb")</f>
        <v>Airbnb</v>
      </c>
      <c r="I336" s="47">
        <f>IFERROR(__xludf.DUMMYFUNCTION("""COMPUTED_VALUE"""),59.81)</f>
        <v>59.81</v>
      </c>
      <c r="J336" s="47" t="str">
        <f>IFERROR(__xludf.DUMMYFUNCTION("""COMPUTED_VALUE"""),"算法")</f>
        <v>算法</v>
      </c>
      <c r="L336" s="6">
        <f>COUNTIF('Coder-1'!B:B,A336)</f>
        <v>0</v>
      </c>
      <c r="M336" s="6">
        <f>COUNTIF('Coder-2'!B:B,A336)</f>
        <v>0</v>
      </c>
      <c r="N336" s="6">
        <f>COUNTIF('Coder-3'!B:B,A336)</f>
        <v>0</v>
      </c>
      <c r="O336" s="6">
        <f>COUNTIF('Coder-4'!B:B,A336)</f>
        <v>0</v>
      </c>
    </row>
    <row r="337">
      <c r="A337" s="47">
        <v>1311.0</v>
      </c>
      <c r="B337" s="86" t="str">
        <f>IFERROR(__xludf.DUMMYFUNCTION("IF(ISBLANK(A337),,FILTER('Leetcode List'!B:C,'Leetcode List'!A:A = A337))"),"Get Watched Videos by Your Friends")</f>
        <v>Get Watched Videos by Your Friends</v>
      </c>
      <c r="C337" s="47" t="str">
        <f>IFERROR(__xludf.DUMMYFUNCTION("""COMPUTED_VALUE"""),"Medium")</f>
        <v>Medium</v>
      </c>
      <c r="D337" s="83" t="s">
        <v>4998</v>
      </c>
      <c r="E337" s="87" t="str">
        <f>IFERROR(__xludf.DUMMYFUNCTION("IF(ISBLANK(A337),,FILTER('Leetcode List'!E:J,'Leetcode List'!A:A = A337))"),"Amazon")</f>
        <v>Amazon</v>
      </c>
      <c r="F337" s="47"/>
      <c r="G337" s="47" t="str">
        <f>IFERROR(__xludf.DUMMYFUNCTION("""COMPUTED_VALUE"""),"Amazon")</f>
        <v>Amazon</v>
      </c>
      <c r="H337" s="47" t="str">
        <f>IFERROR(__xludf.DUMMYFUNCTION("""COMPUTED_VALUE"""),"Amazon")</f>
        <v>Amazon</v>
      </c>
      <c r="I337" s="47">
        <f>IFERROR(__xludf.DUMMYFUNCTION("""COMPUTED_VALUE"""),44.25)</f>
        <v>44.25</v>
      </c>
      <c r="J337" s="47" t="str">
        <f>IFERROR(__xludf.DUMMYFUNCTION("""COMPUTED_VALUE"""),"算法")</f>
        <v>算法</v>
      </c>
      <c r="L337" s="6">
        <f>COUNTIF('Coder-1'!B:B,A337)</f>
        <v>0</v>
      </c>
      <c r="M337" s="6">
        <f>COUNTIF('Coder-2'!B:B,A337)</f>
        <v>0</v>
      </c>
      <c r="N337" s="6">
        <f>COUNTIF('Coder-3'!B:B,A337)</f>
        <v>0</v>
      </c>
      <c r="O337" s="6">
        <f>COUNTIF('Coder-4'!B:B,A337)</f>
        <v>0</v>
      </c>
    </row>
    <row r="338">
      <c r="A338" s="83">
        <v>1345.0</v>
      </c>
      <c r="B338" s="86" t="str">
        <f>IFERROR(__xludf.DUMMYFUNCTION("IF(ISBLANK(A338),,FILTER('Leetcode List'!B:C,'Leetcode List'!A:A = A338))"),"Jump Game IV")</f>
        <v>Jump Game IV</v>
      </c>
      <c r="C338" s="47" t="str">
        <f>IFERROR(__xludf.DUMMYFUNCTION("""COMPUTED_VALUE"""),"Hard")</f>
        <v>Hard</v>
      </c>
      <c r="D338" s="83" t="s">
        <v>4998</v>
      </c>
      <c r="E338" s="87" t="str">
        <f>IFERROR(__xludf.DUMMYFUNCTION("IF(ISBLANK(A338),,FILTER('Leetcode List'!E:J,'Leetcode List'!A:A = A338))"),"Amazon,Google")</f>
        <v>Amazon,Google</v>
      </c>
      <c r="F338" s="47" t="str">
        <f>IFERROR(__xludf.DUMMYFUNCTION("""COMPUTED_VALUE"""),"Google,Amazon")</f>
        <v>Google,Amazon</v>
      </c>
      <c r="G338" s="47" t="str">
        <f>IFERROR(__xludf.DUMMYFUNCTION("""COMPUTED_VALUE"""),"Google,Amazon")</f>
        <v>Google,Amazon</v>
      </c>
      <c r="H338" s="47" t="str">
        <f>IFERROR(__xludf.DUMMYFUNCTION("""COMPUTED_VALUE"""),"Google,Amazon")</f>
        <v>Google,Amazon</v>
      </c>
      <c r="I338" s="47">
        <f>IFERROR(__xludf.DUMMYFUNCTION("""COMPUTED_VALUE"""),41.96)</f>
        <v>41.96</v>
      </c>
      <c r="J338" s="47" t="str">
        <f>IFERROR(__xludf.DUMMYFUNCTION("""COMPUTED_VALUE"""),"算法")</f>
        <v>算法</v>
      </c>
      <c r="L338" s="6">
        <f>COUNTIF('Coder-1'!B:B,A338)</f>
        <v>0</v>
      </c>
      <c r="M338" s="6">
        <f>COUNTIF('Coder-2'!B:B,A338)</f>
        <v>0</v>
      </c>
      <c r="N338" s="6">
        <f>COUNTIF('Coder-3'!B:B,A338)</f>
        <v>0</v>
      </c>
      <c r="O338" s="6">
        <f>COUNTIF('Coder-4'!B:B,A338)</f>
        <v>0</v>
      </c>
    </row>
    <row r="339">
      <c r="A339" s="83">
        <v>1559.0</v>
      </c>
      <c r="B339" s="86" t="str">
        <f>IFERROR(__xludf.DUMMYFUNCTION("IF(ISBLANK(A339),,FILTER('Leetcode List'!B:C,'Leetcode List'!A:A = A339))"),"Detect Cycles in 2D Grid")</f>
        <v>Detect Cycles in 2D Grid</v>
      </c>
      <c r="C339" s="47" t="str">
        <f>IFERROR(__xludf.DUMMYFUNCTION("""COMPUTED_VALUE"""),"Hard")</f>
        <v>Hard</v>
      </c>
      <c r="D339" s="83" t="s">
        <v>4998</v>
      </c>
      <c r="E339" s="87" t="str">
        <f>IFERROR(__xludf.DUMMYFUNCTION("IF(ISBLANK(A339),,FILTER('Leetcode List'!E:J,'Leetcode List'!A:A = A339))"),"Nutanix,Amazon")</f>
        <v>Nutanix,Amazon</v>
      </c>
      <c r="F339" s="47" t="str">
        <f>IFERROR(__xludf.DUMMYFUNCTION("""COMPUTED_VALUE"""),"Amazon")</f>
        <v>Amazon</v>
      </c>
      <c r="G339" s="47" t="str">
        <f>IFERROR(__xludf.DUMMYFUNCTION("""COMPUTED_VALUE"""),"Amazon")</f>
        <v>Amazon</v>
      </c>
      <c r="H339" s="47" t="str">
        <f>IFERROR(__xludf.DUMMYFUNCTION("""COMPUTED_VALUE"""),"Nutanix,Amazon")</f>
        <v>Nutanix,Amazon</v>
      </c>
      <c r="I339" s="47">
        <f>IFERROR(__xludf.DUMMYFUNCTION("""COMPUTED_VALUE"""),44.42)</f>
        <v>44.42</v>
      </c>
      <c r="J339" s="47" t="str">
        <f>IFERROR(__xludf.DUMMYFUNCTION("""COMPUTED_VALUE"""),"算法")</f>
        <v>算法</v>
      </c>
      <c r="L339" s="6">
        <f>COUNTIF('Coder-1'!B:B,A339)</f>
        <v>0</v>
      </c>
      <c r="M339" s="6">
        <f>COUNTIF('Coder-2'!B:B,A339)</f>
        <v>0</v>
      </c>
      <c r="N339" s="6">
        <f>COUNTIF('Coder-3'!B:B,A339)</f>
        <v>0</v>
      </c>
      <c r="O339" s="6">
        <f>COUNTIF('Coder-4'!B:B,A339)</f>
        <v>0</v>
      </c>
    </row>
    <row r="340">
      <c r="A340" s="83">
        <v>1568.0</v>
      </c>
      <c r="B340" s="86" t="str">
        <f>IFERROR(__xludf.DUMMYFUNCTION("IF(ISBLANK(A340),,FILTER('Leetcode List'!B:C,'Leetcode List'!A:A = A340))"),"Minimum Number of Days to Disconnect Island")</f>
        <v>Minimum Number of Days to Disconnect Island</v>
      </c>
      <c r="C340" s="47" t="str">
        <f>IFERROR(__xludf.DUMMYFUNCTION("""COMPUTED_VALUE"""),"Hard")</f>
        <v>Hard</v>
      </c>
      <c r="D340" s="83" t="s">
        <v>4998</v>
      </c>
      <c r="E340" s="87" t="str">
        <f>IFERROR(__xludf.DUMMYFUNCTION("IF(ISBLANK(A340),,FILTER('Leetcode List'!E:J,'Leetcode List'!A:A = A340))"),"Unacademy")</f>
        <v>Unacademy</v>
      </c>
      <c r="F340" s="47"/>
      <c r="G340" s="47"/>
      <c r="H340" s="47" t="str">
        <f>IFERROR(__xludf.DUMMYFUNCTION("""COMPUTED_VALUE"""),"Unacademy")</f>
        <v>Unacademy</v>
      </c>
      <c r="I340" s="47">
        <f>IFERROR(__xludf.DUMMYFUNCTION("""COMPUTED_VALUE"""),50.11)</f>
        <v>50.11</v>
      </c>
      <c r="J340" s="47" t="str">
        <f>IFERROR(__xludf.DUMMYFUNCTION("""COMPUTED_VALUE"""),"算法")</f>
        <v>算法</v>
      </c>
      <c r="L340" s="6">
        <f>COUNTIF('Coder-1'!B:B,A340)</f>
        <v>0</v>
      </c>
      <c r="M340" s="6">
        <f>COUNTIF('Coder-2'!B:B,A340)</f>
        <v>0</v>
      </c>
      <c r="N340" s="6">
        <f>COUNTIF('Coder-3'!B:B,A340)</f>
        <v>0</v>
      </c>
      <c r="O340" s="6">
        <f>COUNTIF('Coder-4'!B:B,A340)</f>
        <v>0</v>
      </c>
    </row>
    <row r="341">
      <c r="A341" s="83">
        <v>1617.0</v>
      </c>
      <c r="B341" s="86" t="str">
        <f>IFERROR(__xludf.DUMMYFUNCTION("IF(ISBLANK(A341),,FILTER('Leetcode List'!B:C,'Leetcode List'!A:A = A341))"),"Count Subtrees With Max Distance Between Cities")</f>
        <v>Count Subtrees With Max Distance Between Cities</v>
      </c>
      <c r="C341" s="83" t="str">
        <f>IFERROR(__xludf.DUMMYFUNCTION("""COMPUTED_VALUE"""),"Hard")</f>
        <v>Hard</v>
      </c>
      <c r="D341" s="83" t="s">
        <v>4998</v>
      </c>
      <c r="E341" s="87" t="str">
        <f>IFERROR(__xludf.DUMMYFUNCTION("IF(ISBLANK(A341),,FILTER('Leetcode List'!E:J,'Leetcode List'!A:A = A341))"),"Codenation")</f>
        <v>Codenation</v>
      </c>
      <c r="F341" s="47"/>
      <c r="G341" s="47"/>
      <c r="H341" s="47" t="str">
        <f>IFERROR(__xludf.DUMMYFUNCTION("""COMPUTED_VALUE"""),"Codenation")</f>
        <v>Codenation</v>
      </c>
      <c r="I341" s="47">
        <f>IFERROR(__xludf.DUMMYFUNCTION("""COMPUTED_VALUE"""),63.22)</f>
        <v>63.22</v>
      </c>
      <c r="J341" s="47" t="str">
        <f>IFERROR(__xludf.DUMMYFUNCTION("""COMPUTED_VALUE"""),"算法")</f>
        <v>算法</v>
      </c>
      <c r="L341" s="6">
        <f>COUNTIF('Coder-1'!B:B,A341)</f>
        <v>0</v>
      </c>
      <c r="M341" s="6">
        <f>COUNTIF('Coder-2'!B:B,A341)</f>
        <v>0</v>
      </c>
      <c r="N341" s="6">
        <f>COUNTIF('Coder-3'!B:B,A341)</f>
        <v>0</v>
      </c>
      <c r="O341" s="6">
        <f>COUNTIF('Coder-4'!B:B,A341)</f>
        <v>0</v>
      </c>
    </row>
    <row r="342">
      <c r="A342" s="83">
        <v>1654.0</v>
      </c>
      <c r="B342" s="86" t="str">
        <f>IFERROR(__xludf.DUMMYFUNCTION("IF(ISBLANK(A342),,FILTER('Leetcode List'!B:C,'Leetcode List'!A:A = A342))"),"Minimum Jumps to Reach Home")</f>
        <v>Minimum Jumps to Reach Home</v>
      </c>
      <c r="C342" s="83" t="str">
        <f>IFERROR(__xludf.DUMMYFUNCTION("""COMPUTED_VALUE"""),"Medium")</f>
        <v>Medium</v>
      </c>
      <c r="D342" s="83" t="s">
        <v>4998</v>
      </c>
      <c r="E342" s="87" t="str">
        <f>IFERROR(__xludf.DUMMYFUNCTION("IF(ISBLANK(A342),,FILTER('Leetcode List'!E:J,'Leetcode List'!A:A = A342))"),"")</f>
        <v/>
      </c>
      <c r="F342" s="47"/>
      <c r="G342" s="47"/>
      <c r="H342" s="47"/>
      <c r="I342" s="47">
        <f>IFERROR(__xludf.DUMMYFUNCTION("""COMPUTED_VALUE"""),25.49)</f>
        <v>25.49</v>
      </c>
      <c r="J342" s="47" t="str">
        <f>IFERROR(__xludf.DUMMYFUNCTION("""COMPUTED_VALUE"""),"算法")</f>
        <v>算法</v>
      </c>
      <c r="L342" s="6">
        <f>COUNTIF('Coder-1'!B:B,A342)</f>
        <v>0</v>
      </c>
      <c r="M342" s="6">
        <f>COUNTIF('Coder-2'!B:B,A342)</f>
        <v>0</v>
      </c>
      <c r="N342" s="6">
        <f>COUNTIF('Coder-3'!B:B,A342)</f>
        <v>0</v>
      </c>
      <c r="O342" s="6">
        <f>COUNTIF('Coder-4'!B:B,A342)</f>
        <v>0</v>
      </c>
    </row>
    <row r="343">
      <c r="A343" s="83">
        <v>207.0</v>
      </c>
      <c r="B343" s="86" t="str">
        <f>IFERROR(__xludf.DUMMYFUNCTION("IF(ISBLANK(A343),,FILTER('Leetcode List'!B:C,'Leetcode List'!A:A = A343))"),"Course Schedule")</f>
        <v>Course Schedule</v>
      </c>
      <c r="C343" s="83" t="str">
        <f>IFERROR(__xludf.DUMMYFUNCTION("""COMPUTED_VALUE"""),"Medium")</f>
        <v>Medium</v>
      </c>
      <c r="D343" s="83" t="s">
        <v>4998</v>
      </c>
      <c r="E343" s="87" t="str">
        <f>IFERROR(__xludf.DUMMYFUNCTION("IF(ISBLANK(A343),,FILTER('Leetcode List'!E:J,'Leetcode List'!A:A = A343))"),"Karat,Wish,Roblox,Cisco,Cohesity,Nutanix,Zenefits,ByteDance,Salesforce,Paypal,Yelp,Oracle,Intuit,EBay,Apple,Uber,Yahoo,Bloomberg,Facebook,Amazon,LinkedIn,Microsoft,Goldman Sachs,Google")</f>
        <v>Karat,Wish,Roblox,Cisco,Cohesity,Nutanix,Zenefits,ByteDance,Salesforce,Paypal,Yelp,Oracle,Intuit,EBay,Apple,Uber,Yahoo,Bloomberg,Facebook,Amazon,LinkedIn,Microsoft,Goldman Sachs,Google</v>
      </c>
      <c r="F343" s="47" t="str">
        <f>IFERROR(__xludf.DUMMYFUNCTION("""COMPUTED_VALUE"""),"Amazon,Facebook,Intuit,Karat,ByteDance,Microsoft,Bloomberg,Uber")</f>
        <v>Amazon,Facebook,Intuit,Karat,ByteDance,Microsoft,Bloomberg,Uber</v>
      </c>
      <c r="G343" s="47" t="str">
        <f>IFERROR(__xludf.DUMMYFUNCTION("""COMPUTED_VALUE"""),"Roblox,Wish,Apple,Cisco,eBay,Amazon,Facebook,Intuit,Karat,ByteDance,Microsoft,Bloomberg,Uber")</f>
        <v>Roblox,Wish,Apple,Cisco,eBay,Amazon,Facebook,Intuit,Karat,ByteDance,Microsoft,Bloomberg,Uber</v>
      </c>
      <c r="H343" s="47" t="str">
        <f>IFERROR(__xludf.DUMMYFUNCTION("""COMPUTED_VALUE"""),"Google,Oracle,Yahoo,Cohesity,LinkedIn,Salesforce,Yelp,Zenefits,Roblox,Wish,Apple,Cisco,eBay,Amazon,Facebook,Intuit,Karat,ByteDance,Microsoft,Bloomberg,Uber")</f>
        <v>Google,Oracle,Yahoo,Cohesity,LinkedIn,Salesforce,Yelp,Zenefits,Roblox,Wish,Apple,Cisco,eBay,Amazon,Facebook,Intuit,Karat,ByteDance,Microsoft,Bloomberg,Uber</v>
      </c>
      <c r="I343" s="47">
        <f>IFERROR(__xludf.DUMMYFUNCTION("""COMPUTED_VALUE"""),44.3)</f>
        <v>44.3</v>
      </c>
      <c r="J343" s="47" t="str">
        <f>IFERROR(__xludf.DUMMYFUNCTION("""COMPUTED_VALUE"""),"算法")</f>
        <v>算法</v>
      </c>
      <c r="K343" s="2" t="s">
        <v>4999</v>
      </c>
      <c r="L343" s="6">
        <f>COUNTIF('Coder-1'!B:B,A343)</f>
        <v>0</v>
      </c>
      <c r="M343" s="6">
        <f>COUNTIF('Coder-2'!B:B,A343)</f>
        <v>0</v>
      </c>
      <c r="N343" s="6">
        <f>COUNTIF('Coder-3'!B:B,A343)</f>
        <v>0</v>
      </c>
      <c r="O343" s="6">
        <f>COUNTIF('Coder-4'!B:B,A343)</f>
        <v>0</v>
      </c>
    </row>
    <row r="344">
      <c r="A344" s="83">
        <v>210.0</v>
      </c>
      <c r="B344" s="86" t="str">
        <f>IFERROR(__xludf.DUMMYFUNCTION("IF(ISBLANK(A344),,FILTER('Leetcode List'!B:C,'Leetcode List'!A:A = A344))"),"Course Schedule II")</f>
        <v>Course Schedule II</v>
      </c>
      <c r="C344" s="83" t="str">
        <f>IFERROR(__xludf.DUMMYFUNCTION("""COMPUTED_VALUE"""),"Medium")</f>
        <v>Medium</v>
      </c>
      <c r="D344" s="83" t="s">
        <v>4998</v>
      </c>
      <c r="E344" s="87" t="str">
        <f>IFERROR(__xludf.DUMMYFUNCTION("IF(ISBLANK(A344),,FILTER('Leetcode List'!E:J,'Leetcode List'!A:A = A344))"),"Karat,Snapchat,Robinhood,Roblox,EBay,Goldman Sachs,Nutanix,DoorDash,Pinterest,Palantir Technologies,Wayfair,Zenefits,Walmart Labs,Twitter,Oracle,Intuit,Apple,Uber,Bloomberg,Facebook,Amazon,Microsoft,Google")</f>
        <v>Karat,Snapchat,Robinhood,Roblox,EBay,Goldman Sachs,Nutanix,DoorDash,Pinterest,Palantir Technologies,Wayfair,Zenefits,Walmart Labs,Twitter,Oracle,Intuit,Apple,Uber,Bloomberg,Facebook,Amazon,Microsoft,Google</v>
      </c>
      <c r="F344" s="47" t="str">
        <f>IFERROR(__xludf.DUMMYFUNCTION("""COMPUTED_VALUE"""),"Amazon,DoorDash,Microsoft,Google,Oracle,Snapchat,Facebook,Intuit,Pinterest,Wayfair,Karat")</f>
        <v>Amazon,DoorDash,Microsoft,Google,Oracle,Snapchat,Facebook,Intuit,Pinterest,Wayfair,Karat</v>
      </c>
      <c r="G344" s="47" t="str">
        <f>IFERROR(__xludf.DUMMYFUNCTION("""COMPUTED_VALUE"""),"Apple,eBay,Roblox,Walmart Labs,Robinhood,Amazon,DoorDash,Microsoft,Google,Oracle,Snapchat,Facebook,Intuit,Pinterest,Wayfair,Karat")</f>
        <v>Apple,eBay,Roblox,Walmart Labs,Robinhood,Amazon,DoorDash,Microsoft,Google,Oracle,Snapchat,Facebook,Intuit,Pinterest,Wayfair,Karat</v>
      </c>
      <c r="H344" s="47" t="str">
        <f>IFERROR(__xludf.DUMMYFUNCTION("""COMPUTED_VALUE"""),"Uber,Twitter,Bloomberg,Goldman Sachs,Zenefits,Apple,eBay,Roblox,Walmart Labs,Robinhood,Amazon,DoorDash,Microsoft,Google,Oracle,Snapchat,Facebook,Intuit,Pinterest,Wayfair,Karat")</f>
        <v>Uber,Twitter,Bloomberg,Goldman Sachs,Zenefits,Apple,eBay,Roblox,Walmart Labs,Robinhood,Amazon,DoorDash,Microsoft,Google,Oracle,Snapchat,Facebook,Intuit,Pinterest,Wayfair,Karat</v>
      </c>
      <c r="I344" s="47">
        <f>IFERROR(__xludf.DUMMYFUNCTION("""COMPUTED_VALUE"""),42.78)</f>
        <v>42.78</v>
      </c>
      <c r="J344" s="47" t="str">
        <f>IFERROR(__xludf.DUMMYFUNCTION("""COMPUTED_VALUE"""),"算法")</f>
        <v>算法</v>
      </c>
      <c r="K344" s="2" t="s">
        <v>4999</v>
      </c>
      <c r="L344" s="6">
        <f>COUNTIF('Coder-1'!B:B,A344)</f>
        <v>0</v>
      </c>
      <c r="M344" s="6">
        <f>COUNTIF('Coder-2'!B:B,A344)</f>
        <v>0</v>
      </c>
      <c r="N344" s="6">
        <f>COUNTIF('Coder-3'!B:B,A344)</f>
        <v>0</v>
      </c>
      <c r="O344" s="6">
        <f>COUNTIF('Coder-4'!B:B,A344)</f>
        <v>0</v>
      </c>
    </row>
    <row r="345">
      <c r="A345" s="83">
        <v>269.0</v>
      </c>
      <c r="B345" s="86" t="str">
        <f>IFERROR(__xludf.DUMMYFUNCTION("IF(ISBLANK(A345),,FILTER('Leetcode List'!B:C,'Leetcode List'!A:A = A345))"),"Alien Dictionary")</f>
        <v>Alien Dictionary</v>
      </c>
      <c r="C345" s="83" t="str">
        <f>IFERROR(__xludf.DUMMYFUNCTION("""COMPUTED_VALUE"""),"Hard")</f>
        <v>Hard</v>
      </c>
      <c r="D345" s="83" t="s">
        <v>4998</v>
      </c>
      <c r="E345" s="87" t="str">
        <f>IFERROR(__xludf.DUMMYFUNCTION("IF(ISBLANK(A345),,FILTER('Leetcode List'!E:J,'Leetcode List'!A:A = A345))"),"ByteDance,EBay,Cohesity,DoorDash,Square,Pinterest,Pocket Gems,Flipkart,VMware,Walmart Labs,Snapchat,Twitter,Apple,Airbnb,Uber,Bloomberg,Facebook,Amazon,Microsoft,Google")</f>
        <v>ByteDance,EBay,Cohesity,DoorDash,Square,Pinterest,Pocket Gems,Flipkart,VMware,Walmart Labs,Snapchat,Twitter,Apple,Airbnb,Uber,Bloomberg,Facebook,Amazon,Microsoft,Google</v>
      </c>
      <c r="F345" s="47" t="str">
        <f>IFERROR(__xludf.DUMMYFUNCTION("""COMPUTED_VALUE"""),"Facebook,Amazon,Pinterest,Microsoft,Google,Airbnb")</f>
        <v>Facebook,Amazon,Pinterest,Microsoft,Google,Airbnb</v>
      </c>
      <c r="G345" s="47" t="str">
        <f>IFERROR(__xludf.DUMMYFUNCTION("""COMPUTED_VALUE"""),"Apple,Uber,Bloomberg,Facebook,Amazon,Pinterest,Microsoft,Google,Airbnb")</f>
        <v>Apple,Uber,Bloomberg,Facebook,Amazon,Pinterest,Microsoft,Google,Airbnb</v>
      </c>
      <c r="H345" s="47" t="str">
        <f>IFERROR(__xludf.DUMMYFUNCTION("""COMPUTED_VALUE"""),"VMware,Twitter,Snapchat,Walmart Labs,Flipkart,eBay,ByteDance,Pocket Gems,Apple,Uber,Bloomberg,Facebook,Amazon,Pinterest,Microsoft,Google,Airbnb")</f>
        <v>VMware,Twitter,Snapchat,Walmart Labs,Flipkart,eBay,ByteDance,Pocket Gems,Apple,Uber,Bloomberg,Facebook,Amazon,Pinterest,Microsoft,Google,Airbnb</v>
      </c>
      <c r="I345" s="47">
        <f>IFERROR(__xludf.DUMMYFUNCTION("""COMPUTED_VALUE"""),33.75)</f>
        <v>33.75</v>
      </c>
      <c r="J345" s="47" t="str">
        <f>IFERROR(__xludf.DUMMYFUNCTION("""COMPUTED_VALUE"""),"算法")</f>
        <v>算法</v>
      </c>
      <c r="K345" s="2" t="s">
        <v>4999</v>
      </c>
      <c r="L345" s="6">
        <f>COUNTIF('Coder-1'!B:B,A345)</f>
        <v>0</v>
      </c>
      <c r="M345" s="6">
        <f>COUNTIF('Coder-2'!B:B,A345)</f>
        <v>0</v>
      </c>
      <c r="N345" s="6">
        <f>COUNTIF('Coder-3'!B:B,A345)</f>
        <v>0</v>
      </c>
      <c r="O345" s="6">
        <f>COUNTIF('Coder-4'!B:B,A345)</f>
        <v>0</v>
      </c>
    </row>
    <row r="346">
      <c r="A346" s="83">
        <v>310.0</v>
      </c>
      <c r="B346" s="86" t="str">
        <f>IFERROR(__xludf.DUMMYFUNCTION("IF(ISBLANK(A346),,FILTER('Leetcode List'!B:C,'Leetcode List'!A:A = A346))"),"Minimum Height Trees")</f>
        <v>Minimum Height Trees</v>
      </c>
      <c r="C346" s="83" t="str">
        <f>IFERROR(__xludf.DUMMYFUNCTION("""COMPUTED_VALUE"""),"Medium")</f>
        <v>Medium</v>
      </c>
      <c r="D346" s="83" t="s">
        <v>4998</v>
      </c>
      <c r="E346" s="87" t="str">
        <f>IFERROR(__xludf.DUMMYFUNCTION("IF(ISBLANK(A346),,FILTER('Leetcode List'!E:J,'Leetcode List'!A:A = A346))"),"Apple,Snapchat,Bloomberg,Facebook,Amazon,Google")</f>
        <v>Apple,Snapchat,Bloomberg,Facebook,Amazon,Google</v>
      </c>
      <c r="F346" s="47" t="str">
        <f>IFERROR(__xludf.DUMMYFUNCTION("""COMPUTED_VALUE"""),"Facebook")</f>
        <v>Facebook</v>
      </c>
      <c r="G346" s="47" t="str">
        <f>IFERROR(__xludf.DUMMYFUNCTION("""COMPUTED_VALUE"""),"Amazon,Google,Bloomberg,Facebook")</f>
        <v>Amazon,Google,Bloomberg,Facebook</v>
      </c>
      <c r="H346" s="47" t="str">
        <f>IFERROR(__xludf.DUMMYFUNCTION("""COMPUTED_VALUE"""),"Snapchat,Apple,Amazon,Google,Bloomberg,Facebook")</f>
        <v>Snapchat,Apple,Amazon,Google,Bloomberg,Facebook</v>
      </c>
      <c r="I346" s="47">
        <f>IFERROR(__xludf.DUMMYFUNCTION("""COMPUTED_VALUE"""),34.77)</f>
        <v>34.77</v>
      </c>
      <c r="J346" s="47" t="str">
        <f>IFERROR(__xludf.DUMMYFUNCTION("""COMPUTED_VALUE"""),"算法")</f>
        <v>算法</v>
      </c>
      <c r="K346" s="2" t="s">
        <v>4999</v>
      </c>
      <c r="L346" s="6">
        <f>COUNTIF('Coder-1'!B:B,A346)</f>
        <v>0</v>
      </c>
      <c r="M346" s="6">
        <f>COUNTIF('Coder-2'!B:B,A346)</f>
        <v>0</v>
      </c>
      <c r="N346" s="6">
        <f>COUNTIF('Coder-3'!B:B,A346)</f>
        <v>0</v>
      </c>
      <c r="O346" s="6">
        <f>COUNTIF('Coder-4'!B:B,A346)</f>
        <v>0</v>
      </c>
    </row>
    <row r="347">
      <c r="A347" s="83">
        <v>444.0</v>
      </c>
      <c r="B347" s="86" t="str">
        <f>IFERROR(__xludf.DUMMYFUNCTION("IF(ISBLANK(A347),,FILTER('Leetcode List'!B:C,'Leetcode List'!A:A = A347))"),"Sequence Reconstruction")</f>
        <v>Sequence Reconstruction</v>
      </c>
      <c r="C347" s="83" t="str">
        <f>IFERROR(__xludf.DUMMYFUNCTION("""COMPUTED_VALUE"""),"Medium")</f>
        <v>Medium</v>
      </c>
      <c r="D347" s="83" t="s">
        <v>4998</v>
      </c>
      <c r="E347" s="87" t="str">
        <f>IFERROR(__xludf.DUMMYFUNCTION("IF(ISBLANK(A347),,FILTER('Leetcode List'!E:J,'Leetcode List'!A:A = A347))"),"Google")</f>
        <v>Google</v>
      </c>
      <c r="F347" s="47"/>
      <c r="G347" s="47" t="str">
        <f>IFERROR(__xludf.DUMMYFUNCTION("""COMPUTED_VALUE"""),"Google")</f>
        <v>Google</v>
      </c>
      <c r="H347" s="47" t="str">
        <f>IFERROR(__xludf.DUMMYFUNCTION("""COMPUTED_VALUE"""),"Google")</f>
        <v>Google</v>
      </c>
      <c r="I347" s="47">
        <f>IFERROR(__xludf.DUMMYFUNCTION("""COMPUTED_VALUE"""),23.61)</f>
        <v>23.61</v>
      </c>
      <c r="J347" s="47" t="str">
        <f>IFERROR(__xludf.DUMMYFUNCTION("""COMPUTED_VALUE"""),"算法")</f>
        <v>算法</v>
      </c>
      <c r="K347" s="2" t="s">
        <v>4999</v>
      </c>
      <c r="L347" s="6">
        <f>COUNTIF('Coder-1'!B:B,A347)</f>
        <v>0</v>
      </c>
      <c r="M347" s="6">
        <f>COUNTIF('Coder-2'!B:B,A347)</f>
        <v>0</v>
      </c>
      <c r="N347" s="6">
        <f>COUNTIF('Coder-3'!B:B,A347)</f>
        <v>0</v>
      </c>
      <c r="O347" s="6">
        <f>COUNTIF('Coder-4'!B:B,A347)</f>
        <v>0</v>
      </c>
    </row>
    <row r="348">
      <c r="A348" s="83">
        <v>802.0</v>
      </c>
      <c r="B348" s="86" t="str">
        <f>IFERROR(__xludf.DUMMYFUNCTION("IF(ISBLANK(A348),,FILTER('Leetcode List'!B:C,'Leetcode List'!A:A = A348))"),"Find Eventual Safe States")</f>
        <v>Find Eventual Safe States</v>
      </c>
      <c r="C348" s="83" t="str">
        <f>IFERROR(__xludf.DUMMYFUNCTION("""COMPUTED_VALUE"""),"Medium")</f>
        <v>Medium</v>
      </c>
      <c r="D348" s="83" t="s">
        <v>4998</v>
      </c>
      <c r="E348" s="87" t="str">
        <f>IFERROR(__xludf.DUMMYFUNCTION("IF(ISBLANK(A348),,FILTER('Leetcode List'!E:J,'Leetcode List'!A:A = A348))"),"Apple,Google")</f>
        <v>Apple,Google</v>
      </c>
      <c r="F348" s="47"/>
      <c r="G348" s="47"/>
      <c r="H348" s="47" t="str">
        <f>IFERROR(__xludf.DUMMYFUNCTION("""COMPUTED_VALUE"""),"Google,Apple")</f>
        <v>Google,Apple</v>
      </c>
      <c r="I348" s="47">
        <f>IFERROR(__xludf.DUMMYFUNCTION("""COMPUTED_VALUE"""),49.9)</f>
        <v>49.9</v>
      </c>
      <c r="J348" s="47" t="str">
        <f>IFERROR(__xludf.DUMMYFUNCTION("""COMPUTED_VALUE"""),"算法")</f>
        <v>算法</v>
      </c>
      <c r="K348" s="2" t="s">
        <v>4999</v>
      </c>
      <c r="L348" s="6">
        <f>COUNTIF('Coder-1'!B:B,A348)</f>
        <v>0</v>
      </c>
      <c r="M348" s="6">
        <f>COUNTIF('Coder-2'!B:B,A348)</f>
        <v>0</v>
      </c>
      <c r="N348" s="6">
        <f>COUNTIF('Coder-3'!B:B,A348)</f>
        <v>0</v>
      </c>
      <c r="O348" s="6">
        <f>COUNTIF('Coder-4'!B:B,A348)</f>
        <v>0</v>
      </c>
    </row>
    <row r="349">
      <c r="A349" s="83">
        <v>1136.0</v>
      </c>
      <c r="B349" s="86" t="str">
        <f>IFERROR(__xludf.DUMMYFUNCTION("IF(ISBLANK(A349),,FILTER('Leetcode List'!B:C,'Leetcode List'!A:A = A349))"),"Parallel Courses")</f>
        <v>Parallel Courses</v>
      </c>
      <c r="C349" s="83" t="str">
        <f>IFERROR(__xludf.DUMMYFUNCTION("""COMPUTED_VALUE"""),"Medium")</f>
        <v>Medium</v>
      </c>
      <c r="D349" s="83" t="s">
        <v>4998</v>
      </c>
      <c r="E349" s="87" t="str">
        <f>IFERROR(__xludf.DUMMYFUNCTION("IF(ISBLANK(A349),,FILTER('Leetcode List'!E:J,'Leetcode List'!A:A = A349))"),"Twitch,Uber,Microsoft,Google")</f>
        <v>Twitch,Uber,Microsoft,Google</v>
      </c>
      <c r="F349" s="47" t="str">
        <f>IFERROR(__xludf.DUMMYFUNCTION("""COMPUTED_VALUE"""),"Google,Uber")</f>
        <v>Google,Uber</v>
      </c>
      <c r="G349" s="47" t="str">
        <f>IFERROR(__xludf.DUMMYFUNCTION("""COMPUTED_VALUE"""),"Twitch,Google,Uber")</f>
        <v>Twitch,Google,Uber</v>
      </c>
      <c r="H349" s="47" t="str">
        <f>IFERROR(__xludf.DUMMYFUNCTION("""COMPUTED_VALUE"""),"Microsoft,Twitch,Google,Uber")</f>
        <v>Microsoft,Twitch,Google,Uber</v>
      </c>
      <c r="I349" s="47">
        <f>IFERROR(__xludf.DUMMYFUNCTION("""COMPUTED_VALUE"""),60.7)</f>
        <v>60.7</v>
      </c>
      <c r="J349" s="47" t="str">
        <f>IFERROR(__xludf.DUMMYFUNCTION("""COMPUTED_VALUE"""),"算法")</f>
        <v>算法</v>
      </c>
      <c r="K349" s="2" t="s">
        <v>4999</v>
      </c>
      <c r="L349" s="6">
        <f>COUNTIF('Coder-1'!B:B,A349)</f>
        <v>0</v>
      </c>
      <c r="M349" s="6">
        <f>COUNTIF('Coder-2'!B:B,A349)</f>
        <v>0</v>
      </c>
      <c r="N349" s="6">
        <f>COUNTIF('Coder-3'!B:B,A349)</f>
        <v>0</v>
      </c>
      <c r="O349" s="6">
        <f>COUNTIF('Coder-4'!B:B,A349)</f>
        <v>0</v>
      </c>
    </row>
    <row r="350">
      <c r="A350" s="83">
        <v>1203.0</v>
      </c>
      <c r="B350" s="86" t="str">
        <f>IFERROR(__xludf.DUMMYFUNCTION("IF(ISBLANK(A350),,FILTER('Leetcode List'!B:C,'Leetcode List'!A:A = A350))"),"Sort Items by Groups Respecting Dependencies")</f>
        <v>Sort Items by Groups Respecting Dependencies</v>
      </c>
      <c r="C350" s="83" t="str">
        <f>IFERROR(__xludf.DUMMYFUNCTION("""COMPUTED_VALUE"""),"Hard")</f>
        <v>Hard</v>
      </c>
      <c r="D350" s="83" t="s">
        <v>4998</v>
      </c>
      <c r="E350" s="87" t="str">
        <f>IFERROR(__xludf.DUMMYFUNCTION("IF(ISBLANK(A350),,FILTER('Leetcode List'!E:J,'Leetcode List'!A:A = A350))"),"Google")</f>
        <v>Google</v>
      </c>
      <c r="F350" s="47"/>
      <c r="G350" s="47" t="str">
        <f>IFERROR(__xludf.DUMMYFUNCTION("""COMPUTED_VALUE"""),"Google")</f>
        <v>Google</v>
      </c>
      <c r="H350" s="47" t="str">
        <f>IFERROR(__xludf.DUMMYFUNCTION("""COMPUTED_VALUE"""),"Google")</f>
        <v>Google</v>
      </c>
      <c r="I350" s="47">
        <f>IFERROR(__xludf.DUMMYFUNCTION("""COMPUTED_VALUE"""),48.29)</f>
        <v>48.29</v>
      </c>
      <c r="J350" s="47" t="str">
        <f>IFERROR(__xludf.DUMMYFUNCTION("""COMPUTED_VALUE"""),"算法")</f>
        <v>算法</v>
      </c>
      <c r="K350" s="2" t="s">
        <v>4999</v>
      </c>
      <c r="L350" s="6">
        <f>COUNTIF('Coder-1'!B:B,A350)</f>
        <v>0</v>
      </c>
      <c r="M350" s="6">
        <f>COUNTIF('Coder-2'!B:B,A350)</f>
        <v>0</v>
      </c>
      <c r="N350" s="6">
        <f>COUNTIF('Coder-3'!B:B,A350)</f>
        <v>0</v>
      </c>
      <c r="O350" s="6">
        <f>COUNTIF('Coder-4'!B:B,A350)</f>
        <v>0</v>
      </c>
    </row>
    <row r="351">
      <c r="A351" s="83">
        <v>1462.0</v>
      </c>
      <c r="B351" s="86" t="str">
        <f>IFERROR(__xludf.DUMMYFUNCTION("IF(ISBLANK(A351),,FILTER('Leetcode List'!B:C,'Leetcode List'!A:A = A351))"),"Course Schedule IV")</f>
        <v>Course Schedule IV</v>
      </c>
      <c r="C351" s="83" t="str">
        <f>IFERROR(__xludf.DUMMYFUNCTION("""COMPUTED_VALUE"""),"Medium")</f>
        <v>Medium</v>
      </c>
      <c r="D351" s="83" t="s">
        <v>4998</v>
      </c>
      <c r="E351" s="87" t="str">
        <f>IFERROR(__xludf.DUMMYFUNCTION("IF(ISBLANK(A351),,FILTER('Leetcode List'!E:J,'Leetcode List'!A:A = A351))"),"Amazon,Uber")</f>
        <v>Amazon,Uber</v>
      </c>
      <c r="F351" s="47"/>
      <c r="G351" s="47" t="str">
        <f>IFERROR(__xludf.DUMMYFUNCTION("""COMPUTED_VALUE"""),"Amazon")</f>
        <v>Amazon</v>
      </c>
      <c r="H351" s="47" t="str">
        <f>IFERROR(__xludf.DUMMYFUNCTION("""COMPUTED_VALUE"""),"Uber,Amazon")</f>
        <v>Uber,Amazon</v>
      </c>
      <c r="I351" s="47">
        <f>IFERROR(__xludf.DUMMYFUNCTION("""COMPUTED_VALUE"""),44.78)</f>
        <v>44.78</v>
      </c>
      <c r="J351" s="47" t="str">
        <f>IFERROR(__xludf.DUMMYFUNCTION("""COMPUTED_VALUE"""),"算法")</f>
        <v>算法</v>
      </c>
      <c r="K351" s="2" t="s">
        <v>4999</v>
      </c>
      <c r="L351" s="6">
        <f>COUNTIF('Coder-1'!B:B,A351)</f>
        <v>0</v>
      </c>
      <c r="M351" s="6">
        <f>COUNTIF('Coder-2'!B:B,A351)</f>
        <v>0</v>
      </c>
      <c r="N351" s="6">
        <f>COUNTIF('Coder-3'!B:B,A351)</f>
        <v>0</v>
      </c>
      <c r="O351" s="6">
        <f>COUNTIF('Coder-4'!B:B,A351)</f>
        <v>0</v>
      </c>
    </row>
    <row r="352">
      <c r="A352" s="83">
        <v>1591.0</v>
      </c>
      <c r="B352" s="86" t="str">
        <f>IFERROR(__xludf.DUMMYFUNCTION("IF(ISBLANK(A352),,FILTER('Leetcode List'!B:C,'Leetcode List'!A:A = A352))"),"Strange Printer II")</f>
        <v>Strange Printer II</v>
      </c>
      <c r="C352" s="83" t="str">
        <f>IFERROR(__xludf.DUMMYFUNCTION("""COMPUTED_VALUE"""),"Hard")</f>
        <v>Hard</v>
      </c>
      <c r="D352" s="83" t="s">
        <v>4998</v>
      </c>
      <c r="E352" s="87" t="str">
        <f>IFERROR(__xludf.DUMMYFUNCTION("IF(ISBLANK(A352),,FILTER('Leetcode List'!E:J,'Leetcode List'!A:A = A352))"),"Google")</f>
        <v>Google</v>
      </c>
      <c r="F352" s="47"/>
      <c r="G352" s="47"/>
      <c r="H352" s="47" t="str">
        <f>IFERROR(__xludf.DUMMYFUNCTION("""COMPUTED_VALUE"""),"Google")</f>
        <v>Google</v>
      </c>
      <c r="I352" s="47">
        <f>IFERROR(__xludf.DUMMYFUNCTION("""COMPUTED_VALUE"""),55.11)</f>
        <v>55.11</v>
      </c>
      <c r="J352" s="47" t="str">
        <f>IFERROR(__xludf.DUMMYFUNCTION("""COMPUTED_VALUE"""),"算法")</f>
        <v>算法</v>
      </c>
      <c r="K352" s="2" t="s">
        <v>4999</v>
      </c>
      <c r="L352" s="6">
        <f>COUNTIF('Coder-1'!B:B,A352)</f>
        <v>0</v>
      </c>
      <c r="M352" s="6">
        <f>COUNTIF('Coder-2'!B:B,A352)</f>
        <v>0</v>
      </c>
      <c r="N352" s="6">
        <f>COUNTIF('Coder-3'!B:B,A352)</f>
        <v>0</v>
      </c>
      <c r="O352" s="6">
        <f>COUNTIF('Coder-4'!B:B,A352)</f>
        <v>0</v>
      </c>
    </row>
    <row r="353">
      <c r="A353" s="83">
        <v>743.0</v>
      </c>
      <c r="B353" s="86" t="str">
        <f>IFERROR(__xludf.DUMMYFUNCTION("IF(ISBLANK(A353),,FILTER('Leetcode List'!B:C,'Leetcode List'!A:A = A353))"),"Network Delay Time")</f>
        <v>Network Delay Time</v>
      </c>
      <c r="C353" s="83" t="str">
        <f>IFERROR(__xludf.DUMMYFUNCTION("""COMPUTED_VALUE"""),"Medium")</f>
        <v>Medium</v>
      </c>
      <c r="D353" s="83" t="s">
        <v>4998</v>
      </c>
      <c r="E353" s="87" t="str">
        <f>IFERROR(__xludf.DUMMYFUNCTION("IF(ISBLANK(A353),,FILTER('Leetcode List'!E:J,'Leetcode List'!A:A = A353))"),"Akuna Capital,Amazon,Microsoft,Google")</f>
        <v>Akuna Capital,Amazon,Microsoft,Google</v>
      </c>
      <c r="F353" s="47" t="str">
        <f>IFERROR(__xludf.DUMMYFUNCTION("""COMPUTED_VALUE"""),"Amazon")</f>
        <v>Amazon</v>
      </c>
      <c r="G353" s="47" t="str">
        <f>IFERROR(__xludf.DUMMYFUNCTION("""COMPUTED_VALUE"""),"Google,Amazon")</f>
        <v>Google,Amazon</v>
      </c>
      <c r="H353" s="47" t="str">
        <f>IFERROR(__xludf.DUMMYFUNCTION("""COMPUTED_VALUE"""),"Akuna Capital,Google,Amazon")</f>
        <v>Akuna Capital,Google,Amazon</v>
      </c>
      <c r="I353" s="47">
        <f>IFERROR(__xludf.DUMMYFUNCTION("""COMPUTED_VALUE"""),45.6)</f>
        <v>45.6</v>
      </c>
      <c r="J353" s="47" t="str">
        <f>IFERROR(__xludf.DUMMYFUNCTION("""COMPUTED_VALUE"""),"算法")</f>
        <v>算法</v>
      </c>
      <c r="K353" s="2" t="s">
        <v>5000</v>
      </c>
      <c r="L353" s="6">
        <f>COUNTIF('Coder-1'!B:B,A353)</f>
        <v>0</v>
      </c>
      <c r="M353" s="6">
        <f>COUNTIF('Coder-2'!B:B,A353)</f>
        <v>0</v>
      </c>
      <c r="N353" s="6">
        <f>COUNTIF('Coder-3'!B:B,A353)</f>
        <v>0</v>
      </c>
      <c r="O353" s="6">
        <f>COUNTIF('Coder-4'!B:B,A353)</f>
        <v>0</v>
      </c>
    </row>
    <row r="354">
      <c r="A354" s="83">
        <v>407.0</v>
      </c>
      <c r="B354" s="86" t="str">
        <f>IFERROR(__xludf.DUMMYFUNCTION("IF(ISBLANK(A354),,FILTER('Leetcode List'!B:C,'Leetcode List'!A:A = A354))"),"Trapping Rain Water II")</f>
        <v>Trapping Rain Water II</v>
      </c>
      <c r="C354" s="83" t="str">
        <f>IFERROR(__xludf.DUMMYFUNCTION("""COMPUTED_VALUE"""),"Hard")</f>
        <v>Hard</v>
      </c>
      <c r="D354" s="83" t="s">
        <v>4998</v>
      </c>
      <c r="E354" s="87" t="str">
        <f>IFERROR(__xludf.DUMMYFUNCTION("IF(ISBLANK(A354),,FILTER('Leetcode List'!E:J,'Leetcode List'!A:A = A354))"),"Facebook,ByteDance,Twitter,Apple,Amazon,Microsoft,Google")</f>
        <v>Facebook,ByteDance,Twitter,Apple,Amazon,Microsoft,Google</v>
      </c>
      <c r="F354" s="47" t="str">
        <f>IFERROR(__xludf.DUMMYFUNCTION("""COMPUTED_VALUE"""),"Amazon,Google")</f>
        <v>Amazon,Google</v>
      </c>
      <c r="G354" s="47" t="str">
        <f>IFERROR(__xludf.DUMMYFUNCTION("""COMPUTED_VALUE"""),"ByteDance,Amazon,Google")</f>
        <v>ByteDance,Amazon,Google</v>
      </c>
      <c r="H354" s="47" t="str">
        <f>IFERROR(__xludf.DUMMYFUNCTION("""COMPUTED_VALUE"""),"Apple,Facebook,Microsoft,Twitter,ByteDance,Amazon,Google")</f>
        <v>Apple,Facebook,Microsoft,Twitter,ByteDance,Amazon,Google</v>
      </c>
      <c r="I354" s="47">
        <f>IFERROR(__xludf.DUMMYFUNCTION("""COMPUTED_VALUE"""),44.39)</f>
        <v>44.39</v>
      </c>
      <c r="J354" s="47" t="str">
        <f>IFERROR(__xludf.DUMMYFUNCTION("""COMPUTED_VALUE"""),"算法")</f>
        <v>算法</v>
      </c>
      <c r="K354" s="2" t="s">
        <v>5000</v>
      </c>
      <c r="L354" s="6">
        <f>COUNTIF('Coder-1'!B:B,A354)</f>
        <v>0</v>
      </c>
      <c r="M354" s="6">
        <f>COUNTIF('Coder-2'!B:B,A354)</f>
        <v>0</v>
      </c>
      <c r="N354" s="6">
        <f>COUNTIF('Coder-3'!B:B,A354)</f>
        <v>0</v>
      </c>
      <c r="O354" s="6">
        <f>COUNTIF('Coder-4'!B:B,A354)</f>
        <v>0</v>
      </c>
    </row>
    <row r="355">
      <c r="A355" s="83">
        <v>778.0</v>
      </c>
      <c r="B355" s="86" t="str">
        <f>IFERROR(__xludf.DUMMYFUNCTION("IF(ISBLANK(A355),,FILTER('Leetcode List'!B:C,'Leetcode List'!A:A = A355))"),"Swim in Rising Water")</f>
        <v>Swim in Rising Water</v>
      </c>
      <c r="C355" s="83" t="str">
        <f>IFERROR(__xludf.DUMMYFUNCTION("""COMPUTED_VALUE"""),"Hard")</f>
        <v>Hard</v>
      </c>
      <c r="D355" s="83" t="s">
        <v>4998</v>
      </c>
      <c r="E355" s="87" t="str">
        <f>IFERROR(__xludf.DUMMYFUNCTION("IF(ISBLANK(A355),,FILTER('Leetcode List'!E:J,'Leetcode List'!A:A = A355))"),"Amazon,Facebook,Google")</f>
        <v>Amazon,Facebook,Google</v>
      </c>
      <c r="F355" s="47"/>
      <c r="G355" s="47"/>
      <c r="H355" s="47" t="str">
        <f>IFERROR(__xludf.DUMMYFUNCTION("""COMPUTED_VALUE"""),"Facebook,Google,Amazon")</f>
        <v>Facebook,Google,Amazon</v>
      </c>
      <c r="I355" s="47">
        <f>IFERROR(__xludf.DUMMYFUNCTION("""COMPUTED_VALUE"""),54.76)</f>
        <v>54.76</v>
      </c>
      <c r="J355" s="47" t="str">
        <f>IFERROR(__xludf.DUMMYFUNCTION("""COMPUTED_VALUE"""),"算法")</f>
        <v>算法</v>
      </c>
      <c r="K355" s="2" t="s">
        <v>5000</v>
      </c>
      <c r="L355" s="6">
        <f>COUNTIF('Coder-1'!B:B,A355)</f>
        <v>0</v>
      </c>
      <c r="M355" s="6">
        <f>COUNTIF('Coder-2'!B:B,A355)</f>
        <v>0</v>
      </c>
      <c r="N355" s="6">
        <f>COUNTIF('Coder-3'!B:B,A355)</f>
        <v>0</v>
      </c>
      <c r="O355" s="6">
        <f>COUNTIF('Coder-4'!B:B,A355)</f>
        <v>0</v>
      </c>
    </row>
    <row r="356">
      <c r="A356" s="83">
        <v>505.0</v>
      </c>
      <c r="B356" s="86" t="str">
        <f>IFERROR(__xludf.DUMMYFUNCTION("IF(ISBLANK(A356),,FILTER('Leetcode List'!B:C,'Leetcode List'!A:A = A356))"),"The Maze II")</f>
        <v>The Maze II</v>
      </c>
      <c r="C356" s="83" t="str">
        <f>IFERROR(__xludf.DUMMYFUNCTION("""COMPUTED_VALUE"""),"Medium")</f>
        <v>Medium</v>
      </c>
      <c r="D356" s="83" t="s">
        <v>4998</v>
      </c>
      <c r="E356" s="87" t="str">
        <f>IFERROR(__xludf.DUMMYFUNCTION("IF(ISBLANK(A356),,FILTER('Leetcode List'!E:J,'Leetcode List'!A:A = A356))"),"Snapchat,Oracle,Facebook,Amazon,Google")</f>
        <v>Snapchat,Oracle,Facebook,Amazon,Google</v>
      </c>
      <c r="F356" s="47"/>
      <c r="G356" s="47"/>
      <c r="H356" s="47" t="str">
        <f>IFERROR(__xludf.DUMMYFUNCTION("""COMPUTED_VALUE"""),"Amazon,Facebook,Google,Snapchat,Oracle")</f>
        <v>Amazon,Facebook,Google,Snapchat,Oracle</v>
      </c>
      <c r="I356" s="47">
        <f>IFERROR(__xludf.DUMMYFUNCTION("""COMPUTED_VALUE"""),48.62)</f>
        <v>48.62</v>
      </c>
      <c r="J356" s="47" t="str">
        <f>IFERROR(__xludf.DUMMYFUNCTION("""COMPUTED_VALUE"""),"算法")</f>
        <v>算法</v>
      </c>
      <c r="K356" s="2" t="s">
        <v>5000</v>
      </c>
      <c r="L356" s="6">
        <f>COUNTIF('Coder-1'!B:B,A356)</f>
        <v>0</v>
      </c>
      <c r="M356" s="6">
        <f>COUNTIF('Coder-2'!B:B,A356)</f>
        <v>0</v>
      </c>
      <c r="N356" s="6">
        <f>COUNTIF('Coder-3'!B:B,A356)</f>
        <v>0</v>
      </c>
      <c r="O356" s="6">
        <f>COUNTIF('Coder-4'!B:B,A356)</f>
        <v>0</v>
      </c>
    </row>
    <row r="357">
      <c r="A357" s="83">
        <v>787.0</v>
      </c>
      <c r="B357" s="86" t="str">
        <f>IFERROR(__xludf.DUMMYFUNCTION("IF(ISBLANK(A357),,FILTER('Leetcode List'!B:C,'Leetcode List'!A:A = A357))"),"Cheapest Flights Within K Stops")</f>
        <v>Cheapest Flights Within K Stops</v>
      </c>
      <c r="C357" s="83" t="str">
        <f>IFERROR(__xludf.DUMMYFUNCTION("""COMPUTED_VALUE"""),"Medium")</f>
        <v>Medium</v>
      </c>
      <c r="D357" s="83" t="s">
        <v>4998</v>
      </c>
      <c r="E357" s="90" t="str">
        <f>IFERROR(__xludf.DUMMYFUNCTION("IF(ISBLANK(A357),,FILTER('Leetcode List'!E:J,'Leetcode List'!A:A = A357))"),"Qualtrics,Expedia,Apple,EBay,Airbnb,Bloomberg,Facebook,Amazon,Microsoft,Google")</f>
        <v>Qualtrics,Expedia,Apple,EBay,Airbnb,Bloomberg,Facebook,Amazon,Microsoft,Google</v>
      </c>
      <c r="F357" s="47" t="str">
        <f>IFERROR(__xludf.DUMMYFUNCTION("""COMPUTED_VALUE"""),"Facebook,Expedia,Qualtrics,Airbnb,Amazon,Apple")</f>
        <v>Facebook,Expedia,Qualtrics,Airbnb,Amazon,Apple</v>
      </c>
      <c r="G357" s="47" t="str">
        <f>IFERROR(__xludf.DUMMYFUNCTION("""COMPUTED_VALUE"""),"eBay,Facebook,Expedia,Qualtrics,Airbnb,Amazon,Apple")</f>
        <v>eBay,Facebook,Expedia,Qualtrics,Airbnb,Amazon,Apple</v>
      </c>
      <c r="H357" s="47" t="str">
        <f>IFERROR(__xludf.DUMMYFUNCTION("""COMPUTED_VALUE"""),"Bloomberg,Google,eBay,Facebook,Expedia,Qualtrics,Airbnb,Amazon,Apple")</f>
        <v>Bloomberg,Google,eBay,Facebook,Expedia,Qualtrics,Airbnb,Amazon,Apple</v>
      </c>
      <c r="I357" s="47">
        <f>IFERROR(__xludf.DUMMYFUNCTION("""COMPUTED_VALUE"""),39.59)</f>
        <v>39.59</v>
      </c>
      <c r="J357" s="47" t="str">
        <f>IFERROR(__xludf.DUMMYFUNCTION("""COMPUTED_VALUE"""),"算法")</f>
        <v>算法</v>
      </c>
      <c r="K357" s="2" t="s">
        <v>5000</v>
      </c>
      <c r="L357" s="6">
        <f>COUNTIF('Coder-1'!B:B,A357)</f>
        <v>0</v>
      </c>
      <c r="M357" s="6">
        <f>COUNTIF('Coder-2'!B:B,A357)</f>
        <v>0</v>
      </c>
      <c r="N357" s="6">
        <f>COUNTIF('Coder-3'!B:B,A357)</f>
        <v>0</v>
      </c>
      <c r="O357" s="6">
        <f>COUNTIF('Coder-4'!B:B,A357)</f>
        <v>0</v>
      </c>
    </row>
    <row r="358">
      <c r="A358" s="83">
        <v>882.0</v>
      </c>
      <c r="B358" s="86" t="str">
        <f>IFERROR(__xludf.DUMMYFUNCTION("IF(ISBLANK(A358),,FILTER('Leetcode List'!B:C,'Leetcode List'!A:A = A358))"),"Reachable Nodes In Subdivided Graph")</f>
        <v>Reachable Nodes In Subdivided Graph</v>
      </c>
      <c r="C358" s="83" t="str">
        <f>IFERROR(__xludf.DUMMYFUNCTION("""COMPUTED_VALUE"""),"Hard")</f>
        <v>Hard</v>
      </c>
      <c r="D358" s="83" t="s">
        <v>4998</v>
      </c>
      <c r="E358" s="90" t="str">
        <f>IFERROR(__xludf.DUMMYFUNCTION("IF(ISBLANK(A358),,FILTER('Leetcode List'!E:J,'Leetcode List'!A:A = A358))"),"Amazon")</f>
        <v>Amazon</v>
      </c>
      <c r="F358" s="47"/>
      <c r="G358" s="47"/>
      <c r="H358" s="47" t="str">
        <f>IFERROR(__xludf.DUMMYFUNCTION("""COMPUTED_VALUE"""),"Amazon")</f>
        <v>Amazon</v>
      </c>
      <c r="I358" s="47">
        <f>IFERROR(__xludf.DUMMYFUNCTION("""COMPUTED_VALUE"""),43.02)</f>
        <v>43.02</v>
      </c>
      <c r="J358" s="47" t="str">
        <f>IFERROR(__xludf.DUMMYFUNCTION("""COMPUTED_VALUE"""),"算法")</f>
        <v>算法</v>
      </c>
      <c r="K358" s="2" t="s">
        <v>5000</v>
      </c>
      <c r="L358" s="6">
        <f>COUNTIF('Coder-1'!B:B,A358)</f>
        <v>0</v>
      </c>
      <c r="M358" s="6">
        <f>COUNTIF('Coder-2'!B:B,A358)</f>
        <v>0</v>
      </c>
      <c r="N358" s="6">
        <f>COUNTIF('Coder-3'!B:B,A358)</f>
        <v>0</v>
      </c>
      <c r="O358" s="6">
        <f>COUNTIF('Coder-4'!B:B,A358)</f>
        <v>0</v>
      </c>
    </row>
    <row r="359">
      <c r="A359" s="47">
        <v>1066.0</v>
      </c>
      <c r="B359" s="86" t="str">
        <f>IFERROR(__xludf.DUMMYFUNCTION("IF(ISBLANK(A359),,FILTER('Leetcode List'!B:C,'Leetcode List'!A:A = A359))"),"Campus Bikes II")</f>
        <v>Campus Bikes II</v>
      </c>
      <c r="C359" s="85" t="str">
        <f>IFERROR(__xludf.DUMMYFUNCTION("""COMPUTED_VALUE"""),"Medium")</f>
        <v>Medium</v>
      </c>
      <c r="D359" s="83" t="s">
        <v>4998</v>
      </c>
      <c r="E359" s="90" t="str">
        <f>IFERROR(__xludf.DUMMYFUNCTION("IF(ISBLANK(A359),,FILTER('Leetcode List'!E:J,'Leetcode List'!A:A = A359))"),"Amazon,Google")</f>
        <v>Amazon,Google</v>
      </c>
      <c r="F359" s="85" t="str">
        <f>IFERROR(__xludf.DUMMYFUNCTION("""COMPUTED_VALUE"""),"Google")</f>
        <v>Google</v>
      </c>
      <c r="G359" s="85" t="str">
        <f>IFERROR(__xludf.DUMMYFUNCTION("""COMPUTED_VALUE"""),"Google")</f>
        <v>Google</v>
      </c>
      <c r="H359" s="85" t="str">
        <f>IFERROR(__xludf.DUMMYFUNCTION("""COMPUTED_VALUE"""),"Amazon,Google")</f>
        <v>Amazon,Google</v>
      </c>
      <c r="I359" s="85">
        <f>IFERROR(__xludf.DUMMYFUNCTION("""COMPUTED_VALUE"""),54.18)</f>
        <v>54.18</v>
      </c>
      <c r="J359" s="85" t="str">
        <f>IFERROR(__xludf.DUMMYFUNCTION("""COMPUTED_VALUE"""),"算法")</f>
        <v>算法</v>
      </c>
      <c r="K359" s="2" t="s">
        <v>5000</v>
      </c>
      <c r="L359" s="6">
        <f>COUNTIF('Coder-1'!B:B,A359)</f>
        <v>0</v>
      </c>
      <c r="M359" s="6">
        <f>COUNTIF('Coder-2'!B:B,A359)</f>
        <v>0</v>
      </c>
      <c r="N359" s="6">
        <f>COUNTIF('Coder-3'!B:B,A359)</f>
        <v>0</v>
      </c>
      <c r="O359" s="6">
        <f>COUNTIF('Coder-4'!B:B,A359)</f>
        <v>0</v>
      </c>
    </row>
    <row r="360">
      <c r="A360" s="47">
        <v>1368.0</v>
      </c>
      <c r="B360" s="86" t="str">
        <f>IFERROR(__xludf.DUMMYFUNCTION("IF(ISBLANK(A360),,FILTER('Leetcode List'!B:C,'Leetcode List'!A:A = A360))"),"Minimum Cost to Make at Least One Valid Path in a Grid")</f>
        <v>Minimum Cost to Make at Least One Valid Path in a Grid</v>
      </c>
      <c r="C360" s="85" t="str">
        <f>IFERROR(__xludf.DUMMYFUNCTION("""COMPUTED_VALUE"""),"Hard")</f>
        <v>Hard</v>
      </c>
      <c r="D360" s="83" t="s">
        <v>4998</v>
      </c>
      <c r="E360" s="90" t="str">
        <f>IFERROR(__xludf.DUMMYFUNCTION("IF(ISBLANK(A360),,FILTER('Leetcode List'!E:J,'Leetcode List'!A:A = A360))"),"Uber,Google")</f>
        <v>Uber,Google</v>
      </c>
      <c r="F360" s="85" t="str">
        <f>IFERROR(__xludf.DUMMYFUNCTION("""COMPUTED_VALUE"""),"Google")</f>
        <v>Google</v>
      </c>
      <c r="G360" s="85" t="str">
        <f>IFERROR(__xludf.DUMMYFUNCTION("""COMPUTED_VALUE"""),"Uber,Google")</f>
        <v>Uber,Google</v>
      </c>
      <c r="H360" s="85" t="str">
        <f>IFERROR(__xludf.DUMMYFUNCTION("""COMPUTED_VALUE"""),"Uber,Google")</f>
        <v>Uber,Google</v>
      </c>
      <c r="I360" s="85">
        <f>IFERROR(__xludf.DUMMYFUNCTION("""COMPUTED_VALUE"""),57.47)</f>
        <v>57.47</v>
      </c>
      <c r="J360" s="85" t="str">
        <f>IFERROR(__xludf.DUMMYFUNCTION("""COMPUTED_VALUE"""),"算法")</f>
        <v>算法</v>
      </c>
      <c r="K360" s="2" t="s">
        <v>5000</v>
      </c>
      <c r="L360" s="6">
        <f>COUNTIF('Coder-1'!B:B,A360)</f>
        <v>0</v>
      </c>
      <c r="M360" s="6">
        <f>COUNTIF('Coder-2'!B:B,A360)</f>
        <v>0</v>
      </c>
      <c r="N360" s="6">
        <f>COUNTIF('Coder-3'!B:B,A360)</f>
        <v>0</v>
      </c>
      <c r="O360" s="6">
        <f>COUNTIF('Coder-4'!B:B,A360)</f>
        <v>0</v>
      </c>
    </row>
    <row r="361">
      <c r="A361" s="47">
        <v>1514.0</v>
      </c>
      <c r="B361" s="86" t="str">
        <f>IFERROR(__xludf.DUMMYFUNCTION("IF(ISBLANK(A361),,FILTER('Leetcode List'!B:C,'Leetcode List'!A:A = A361))"),"Path with Maximum Probability")</f>
        <v>Path with Maximum Probability</v>
      </c>
      <c r="C361" s="85" t="str">
        <f>IFERROR(__xludf.DUMMYFUNCTION("""COMPUTED_VALUE"""),"Medium")</f>
        <v>Medium</v>
      </c>
      <c r="D361" s="83" t="s">
        <v>4998</v>
      </c>
      <c r="E361" s="90" t="str">
        <f>IFERROR(__xludf.DUMMYFUNCTION("IF(ISBLANK(A361),,FILTER('Leetcode List'!E:J,'Leetcode List'!A:A = A361))"),"Google")</f>
        <v>Google</v>
      </c>
      <c r="F361" s="85" t="str">
        <f>IFERROR(__xludf.DUMMYFUNCTION("""COMPUTED_VALUE"""),"Google")</f>
        <v>Google</v>
      </c>
      <c r="G361" s="85" t="str">
        <f>IFERROR(__xludf.DUMMYFUNCTION("""COMPUTED_VALUE"""),"Google")</f>
        <v>Google</v>
      </c>
      <c r="H361" s="85" t="str">
        <f>IFERROR(__xludf.DUMMYFUNCTION("""COMPUTED_VALUE"""),"Google")</f>
        <v>Google</v>
      </c>
      <c r="I361" s="85">
        <f>IFERROR(__xludf.DUMMYFUNCTION("""COMPUTED_VALUE"""),40.69)</f>
        <v>40.69</v>
      </c>
      <c r="J361" s="85" t="str">
        <f>IFERROR(__xludf.DUMMYFUNCTION("""COMPUTED_VALUE"""),"算法")</f>
        <v>算法</v>
      </c>
      <c r="K361" s="2" t="s">
        <v>5000</v>
      </c>
      <c r="L361" s="6">
        <f>COUNTIF('Coder-1'!B:B,A361)</f>
        <v>0</v>
      </c>
      <c r="M361" s="6">
        <f>COUNTIF('Coder-2'!B:B,A361)</f>
        <v>0</v>
      </c>
      <c r="N361" s="6">
        <f>COUNTIF('Coder-3'!B:B,A361)</f>
        <v>0</v>
      </c>
      <c r="O361" s="6">
        <f>COUNTIF('Coder-4'!B:B,A361)</f>
        <v>0</v>
      </c>
    </row>
    <row r="362">
      <c r="A362" s="47">
        <v>1786.0</v>
      </c>
      <c r="B362" s="86" t="str">
        <f>IFERROR(__xludf.DUMMYFUNCTION("IF(ISBLANK(A362),,FILTER('Leetcode List'!B:C,'Leetcode List'!A:A = A362))"),"Number of Restricted Paths From First to Last Node")</f>
        <v>Number of Restricted Paths From First to Last Node</v>
      </c>
      <c r="C362" s="85" t="str">
        <f>IFERROR(__xludf.DUMMYFUNCTION("""COMPUTED_VALUE"""),"Medium")</f>
        <v>Medium</v>
      </c>
      <c r="D362" s="83" t="s">
        <v>4998</v>
      </c>
      <c r="E362" s="90" t="str">
        <f>IFERROR(__xludf.DUMMYFUNCTION("IF(ISBLANK(A362),,FILTER('Leetcode List'!E:J,'Leetcode List'!A:A = A362))"),"Google")</f>
        <v>Google</v>
      </c>
      <c r="F362" s="85"/>
      <c r="G362" s="85"/>
      <c r="H362" s="85" t="str">
        <f>IFERROR(__xludf.DUMMYFUNCTION("""COMPUTED_VALUE"""),"Google")</f>
        <v>Google</v>
      </c>
      <c r="I362" s="85">
        <f>IFERROR(__xludf.DUMMYFUNCTION("""COMPUTED_VALUE"""),35.93)</f>
        <v>35.93</v>
      </c>
      <c r="J362" s="85" t="str">
        <f>IFERROR(__xludf.DUMMYFUNCTION("""COMPUTED_VALUE"""),"算法")</f>
        <v>算法</v>
      </c>
      <c r="K362" s="2" t="s">
        <v>5000</v>
      </c>
      <c r="L362" s="6">
        <f>COUNTIF('Coder-1'!B:B,A362)</f>
        <v>0</v>
      </c>
      <c r="M362" s="6">
        <f>COUNTIF('Coder-2'!B:B,A362)</f>
        <v>0</v>
      </c>
      <c r="N362" s="6">
        <f>COUNTIF('Coder-3'!B:B,A362)</f>
        <v>0</v>
      </c>
      <c r="O362" s="6">
        <f>COUNTIF('Coder-4'!B:B,A362)</f>
        <v>0</v>
      </c>
    </row>
    <row r="363">
      <c r="A363" s="47">
        <v>208.0</v>
      </c>
      <c r="B363" s="86" t="str">
        <f>IFERROR(__xludf.DUMMYFUNCTION("IF(ISBLANK(A363),,FILTER('Leetcode List'!B:C,'Leetcode List'!A:A = A363))"),"Implement Trie (Prefix Tree)")</f>
        <v>Implement Trie (Prefix Tree)</v>
      </c>
      <c r="C363" s="85" t="str">
        <f>IFERROR(__xludf.DUMMYFUNCTION("""COMPUTED_VALUE"""),"Medium")</f>
        <v>Medium</v>
      </c>
      <c r="D363" s="47" t="s">
        <v>1606</v>
      </c>
      <c r="E363" s="90" t="str">
        <f>IFERROR(__xludf.DUMMYFUNCTION("IF(ISBLANK(A363),,FILTER('Leetcode List'!E:J,'Leetcode List'!A:A = A363))"),"Audible,Citadel,Adobe,Goldman Sachs,Nutanix,Quip (Salesforce),Square,Pinterest,Qualtrics,Walmart Labs,Twitter,Oracle,EBay,Apple,Uber,Bloomberg,Facebook,Amazon,Microsoft,Google")</f>
        <v>Audible,Citadel,Adobe,Goldman Sachs,Nutanix,Quip (Salesforce),Square,Pinterest,Qualtrics,Walmart Labs,Twitter,Oracle,EBay,Apple,Uber,Bloomberg,Facebook,Amazon,Microsoft,Google</v>
      </c>
      <c r="F363" s="85" t="str">
        <f>IFERROR(__xludf.DUMMYFUNCTION("""COMPUTED_VALUE"""),"Amazon,Pinterest,Google,Oracle,Apple,Facebook,Microsoft,Twitter,Goldman Sachs")</f>
        <v>Amazon,Pinterest,Google,Oracle,Apple,Facebook,Microsoft,Twitter,Goldman Sachs</v>
      </c>
      <c r="G363" s="85" t="str">
        <f>IFERROR(__xludf.DUMMYFUNCTION("""COMPUTED_VALUE"""),"Uber,Audible,Citadel,Amazon,Pinterest,Google,Oracle,Apple,Facebook,Microsoft,Twitter,Goldman Sachs")</f>
        <v>Uber,Audible,Citadel,Amazon,Pinterest,Google,Oracle,Apple,Facebook,Microsoft,Twitter,Goldman Sachs</v>
      </c>
      <c r="H363" s="85" t="str">
        <f>IFERROR(__xludf.DUMMYFUNCTION("""COMPUTED_VALUE"""),"eBay,Qualtrics,Square,Adobe,Walmart Labs,Quip (Salesforce),Bloomberg,Uber,Audible,Citadel,Amazon,Pinterest,Google,Oracle,Apple,Facebook,Microsoft,Twitter,Goldman Sachs")</f>
        <v>eBay,Qualtrics,Square,Adobe,Walmart Labs,Quip (Salesforce),Bloomberg,Uber,Audible,Citadel,Amazon,Pinterest,Google,Oracle,Apple,Facebook,Microsoft,Twitter,Goldman Sachs</v>
      </c>
      <c r="I363" s="85">
        <f>IFERROR(__xludf.DUMMYFUNCTION("""COMPUTED_VALUE"""),52.31)</f>
        <v>52.31</v>
      </c>
      <c r="J363" s="85" t="str">
        <f>IFERROR(__xludf.DUMMYFUNCTION("""COMPUTED_VALUE"""),"算法")</f>
        <v>算法</v>
      </c>
      <c r="L363" s="6">
        <f>COUNTIF('Coder-1'!B:B,A363)</f>
        <v>0</v>
      </c>
      <c r="M363" s="6">
        <f>COUNTIF('Coder-2'!B:B,A363)</f>
        <v>0</v>
      </c>
      <c r="N363" s="6">
        <f>COUNTIF('Coder-3'!B:B,A363)</f>
        <v>0</v>
      </c>
      <c r="O363" s="6">
        <f>COUNTIF('Coder-4'!B:B,A363)</f>
        <v>0</v>
      </c>
    </row>
    <row r="364">
      <c r="A364" s="47">
        <v>211.0</v>
      </c>
      <c r="B364" s="86" t="str">
        <f>IFERROR(__xludf.DUMMYFUNCTION("IF(ISBLANK(A364),,FILTER('Leetcode List'!B:C,'Leetcode List'!A:A = A364))"),"Design Add and Search Words Data Structure")</f>
        <v>Design Add and Search Words Data Structure</v>
      </c>
      <c r="C364" s="85" t="str">
        <f>IFERROR(__xludf.DUMMYFUNCTION("""COMPUTED_VALUE"""),"Medium")</f>
        <v>Medium</v>
      </c>
      <c r="D364" s="47" t="s">
        <v>1606</v>
      </c>
      <c r="E364" s="90" t="str">
        <f>IFERROR(__xludf.DUMMYFUNCTION("IF(ISBLANK(A364),,FILTER('Leetcode List'!E:J,'Leetcode List'!A:A = A364))"),"Oracle,Bloomberg,Adobe,Salesforce,EBay,Apple,Airbnb,Uber,Facebook,Amazon,Microsoft,Google")</f>
        <v>Oracle,Bloomberg,Adobe,Salesforce,EBay,Apple,Airbnb,Uber,Facebook,Amazon,Microsoft,Google</v>
      </c>
      <c r="F364" s="85" t="str">
        <f>IFERROR(__xludf.DUMMYFUNCTION("""COMPUTED_VALUE"""),"Facebook,Google,Amazon,Oracle,Adobe")</f>
        <v>Facebook,Google,Amazon,Oracle,Adobe</v>
      </c>
      <c r="G364" s="85" t="str">
        <f>IFERROR(__xludf.DUMMYFUNCTION("""COMPUTED_VALUE"""),"Apple,eBay,Facebook,Google,Amazon,Oracle,Adobe")</f>
        <v>Apple,eBay,Facebook,Google,Amazon,Oracle,Adobe</v>
      </c>
      <c r="H364" s="85" t="str">
        <f>IFERROR(__xludf.DUMMYFUNCTION("""COMPUTED_VALUE"""),"Uber,Bloomberg,Salesforce,Microsoft,Apple,eBay,Facebook,Google,Amazon,Oracle,Adobe")</f>
        <v>Uber,Bloomberg,Salesforce,Microsoft,Apple,eBay,Facebook,Google,Amazon,Oracle,Adobe</v>
      </c>
      <c r="I364" s="85">
        <f>IFERROR(__xludf.DUMMYFUNCTION("""COMPUTED_VALUE"""),40.37)</f>
        <v>40.37</v>
      </c>
      <c r="J364" s="85" t="str">
        <f>IFERROR(__xludf.DUMMYFUNCTION("""COMPUTED_VALUE"""),"算法")</f>
        <v>算法</v>
      </c>
      <c r="L364" s="6">
        <f>COUNTIF('Coder-1'!B:B,A364)</f>
        <v>0</v>
      </c>
      <c r="M364" s="6">
        <f>COUNTIF('Coder-2'!B:B,A364)</f>
        <v>0</v>
      </c>
      <c r="N364" s="6">
        <f>COUNTIF('Coder-3'!B:B,A364)</f>
        <v>0</v>
      </c>
      <c r="O364" s="6">
        <f>COUNTIF('Coder-4'!B:B,A364)</f>
        <v>0</v>
      </c>
    </row>
    <row r="365">
      <c r="A365" s="47">
        <v>421.0</v>
      </c>
      <c r="B365" s="86" t="str">
        <f>IFERROR(__xludf.DUMMYFUNCTION("IF(ISBLANK(A365),,FILTER('Leetcode List'!B:C,'Leetcode List'!A:A = A365))"),"Maximum XOR of Two Numbers in an Array")</f>
        <v>Maximum XOR of Two Numbers in an Array</v>
      </c>
      <c r="C365" s="85" t="str">
        <f>IFERROR(__xludf.DUMMYFUNCTION("""COMPUTED_VALUE"""),"Medium")</f>
        <v>Medium</v>
      </c>
      <c r="D365" s="47" t="s">
        <v>1606</v>
      </c>
      <c r="E365" s="90" t="str">
        <f>IFERROR(__xludf.DUMMYFUNCTION("IF(ISBLANK(A365),,FILTER('Leetcode List'!E:J,'Leetcode List'!A:A = A365))"),"VMware,Uber,Amazon,Google")</f>
        <v>VMware,Uber,Amazon,Google</v>
      </c>
      <c r="F365" s="85" t="str">
        <f>IFERROR(__xludf.DUMMYFUNCTION("""COMPUTED_VALUE"""),"VMware")</f>
        <v>VMware</v>
      </c>
      <c r="G365" s="85" t="str">
        <f>IFERROR(__xludf.DUMMYFUNCTION("""COMPUTED_VALUE"""),"Amazon,VMware")</f>
        <v>Amazon,VMware</v>
      </c>
      <c r="H365" s="85" t="str">
        <f>IFERROR(__xludf.DUMMYFUNCTION("""COMPUTED_VALUE"""),"Google,Uber,Amazon,VMware")</f>
        <v>Google,Uber,Amazon,VMware</v>
      </c>
      <c r="I365" s="85">
        <f>IFERROR(__xludf.DUMMYFUNCTION("""COMPUTED_VALUE"""),54.17)</f>
        <v>54.17</v>
      </c>
      <c r="J365" s="85" t="str">
        <f>IFERROR(__xludf.DUMMYFUNCTION("""COMPUTED_VALUE"""),"算法")</f>
        <v>算法</v>
      </c>
      <c r="L365" s="6">
        <f>COUNTIF('Coder-1'!B:B,A365)</f>
        <v>0</v>
      </c>
      <c r="M365" s="6">
        <f>COUNTIF('Coder-2'!B:B,A365)</f>
        <v>0</v>
      </c>
      <c r="N365" s="6">
        <f>COUNTIF('Coder-3'!B:B,A365)</f>
        <v>0</v>
      </c>
      <c r="O365" s="6">
        <f>COUNTIF('Coder-4'!B:B,A365)</f>
        <v>0</v>
      </c>
    </row>
    <row r="366">
      <c r="A366" s="47">
        <v>648.0</v>
      </c>
      <c r="B366" s="86" t="str">
        <f>IFERROR(__xludf.DUMMYFUNCTION("IF(ISBLANK(A366),,FILTER('Leetcode List'!B:C,'Leetcode List'!A:A = A366))"),"Replace Words")</f>
        <v>Replace Words</v>
      </c>
      <c r="C366" s="85" t="str">
        <f>IFERROR(__xludf.DUMMYFUNCTION("""COMPUTED_VALUE"""),"Medium")</f>
        <v>Medium</v>
      </c>
      <c r="D366" s="47" t="s">
        <v>1606</v>
      </c>
      <c r="E366" s="90" t="str">
        <f>IFERROR(__xludf.DUMMYFUNCTION("IF(ISBLANK(A366),,FILTER('Leetcode List'!E:J,'Leetcode List'!A:A = A366))"),"Uber")</f>
        <v>Uber</v>
      </c>
      <c r="F366" s="85"/>
      <c r="G366" s="85"/>
      <c r="H366" s="85" t="str">
        <f>IFERROR(__xludf.DUMMYFUNCTION("""COMPUTED_VALUE"""),"Uber")</f>
        <v>Uber</v>
      </c>
      <c r="I366" s="85">
        <f>IFERROR(__xludf.DUMMYFUNCTION("""COMPUTED_VALUE"""),58.77)</f>
        <v>58.77</v>
      </c>
      <c r="J366" s="85" t="str">
        <f>IFERROR(__xludf.DUMMYFUNCTION("""COMPUTED_VALUE"""),"算法")</f>
        <v>算法</v>
      </c>
      <c r="L366" s="6">
        <f>COUNTIF('Coder-1'!B:B,A366)</f>
        <v>0</v>
      </c>
      <c r="M366" s="6">
        <f>COUNTIF('Coder-2'!B:B,A366)</f>
        <v>0</v>
      </c>
      <c r="N366" s="6">
        <f>COUNTIF('Coder-3'!B:B,A366)</f>
        <v>0</v>
      </c>
      <c r="O366" s="6">
        <f>COUNTIF('Coder-4'!B:B,A366)</f>
        <v>0</v>
      </c>
    </row>
    <row r="367">
      <c r="A367" s="47">
        <v>588.0</v>
      </c>
      <c r="B367" s="86" t="str">
        <f>IFERROR(__xludf.DUMMYFUNCTION("IF(ISBLANK(A367),,FILTER('Leetcode List'!B:C,'Leetcode List'!A:A = A367))"),"Design In-Memory File System")</f>
        <v>Design In-Memory File System</v>
      </c>
      <c r="C367" s="85" t="str">
        <f>IFERROR(__xludf.DUMMYFUNCTION("""COMPUTED_VALUE"""),"Hard")</f>
        <v>Hard</v>
      </c>
      <c r="D367" s="47" t="s">
        <v>1606</v>
      </c>
      <c r="E367" s="90" t="str">
        <f>IFERROR(__xludf.DUMMYFUNCTION("IF(ISBLANK(A367),,FILTER('Leetcode List'!E:J,'Leetcode List'!A:A = A367))"),"Citadel,Facebook,Microsoft,Google,Baidu,Airbnb,Amazon,Goldman Sachs")</f>
        <v>Citadel,Facebook,Microsoft,Google,Baidu,Airbnb,Amazon,Goldman Sachs</v>
      </c>
      <c r="F367" s="85" t="str">
        <f>IFERROR(__xludf.DUMMYFUNCTION("""COMPUTED_VALUE"""),"Amazon,Microsoft,Citadel,Google")</f>
        <v>Amazon,Microsoft,Citadel,Google</v>
      </c>
      <c r="G367" s="85" t="str">
        <f>IFERROR(__xludf.DUMMYFUNCTION("""COMPUTED_VALUE"""),"Amazon,Microsoft,Citadel,Google")</f>
        <v>Amazon,Microsoft,Citadel,Google</v>
      </c>
      <c r="H367" s="85" t="str">
        <f>IFERROR(__xludf.DUMMYFUNCTION("""COMPUTED_VALUE"""),"Airbnb,Facebook,Goldman Sachs,Baidu,Amazon,Microsoft,Citadel,Google")</f>
        <v>Airbnb,Facebook,Goldman Sachs,Baidu,Amazon,Microsoft,Citadel,Google</v>
      </c>
      <c r="I367" s="85">
        <f>IFERROR(__xludf.DUMMYFUNCTION("""COMPUTED_VALUE"""),46.66)</f>
        <v>46.66</v>
      </c>
      <c r="J367" s="85" t="str">
        <f>IFERROR(__xludf.DUMMYFUNCTION("""COMPUTED_VALUE"""),"算法")</f>
        <v>算法</v>
      </c>
      <c r="L367" s="6">
        <f>COUNTIF('Coder-1'!B:B,A367)</f>
        <v>0</v>
      </c>
      <c r="M367" s="6">
        <f>COUNTIF('Coder-2'!B:B,A367)</f>
        <v>0</v>
      </c>
      <c r="N367" s="6">
        <f>COUNTIF('Coder-3'!B:B,A367)</f>
        <v>0</v>
      </c>
      <c r="O367" s="6">
        <f>COUNTIF('Coder-4'!B:B,A367)</f>
        <v>0</v>
      </c>
    </row>
    <row r="368">
      <c r="A368" s="47">
        <v>677.0</v>
      </c>
      <c r="B368" s="86" t="str">
        <f>IFERROR(__xludf.DUMMYFUNCTION("IF(ISBLANK(A368),,FILTER('Leetcode List'!B:C,'Leetcode List'!A:A = A368))"),"Map Sum Pairs")</f>
        <v>Map Sum Pairs</v>
      </c>
      <c r="C368" s="85" t="str">
        <f>IFERROR(__xludf.DUMMYFUNCTION("""COMPUTED_VALUE"""),"Medium")</f>
        <v>Medium</v>
      </c>
      <c r="D368" s="47" t="s">
        <v>1606</v>
      </c>
      <c r="E368" s="90" t="str">
        <f>IFERROR(__xludf.DUMMYFUNCTION("IF(ISBLANK(A368),,FILTER('Leetcode List'!E:J,'Leetcode List'!A:A = A368))"),"Akuna Capital")</f>
        <v>Akuna Capital</v>
      </c>
      <c r="F368" s="85"/>
      <c r="G368" s="85"/>
      <c r="H368" s="85" t="str">
        <f>IFERROR(__xludf.DUMMYFUNCTION("""COMPUTED_VALUE"""),"Akuna Capital")</f>
        <v>Akuna Capital</v>
      </c>
      <c r="I368" s="85">
        <f>IFERROR(__xludf.DUMMYFUNCTION("""COMPUTED_VALUE"""),54.02)</f>
        <v>54.02</v>
      </c>
      <c r="J368" s="85" t="str">
        <f>IFERROR(__xludf.DUMMYFUNCTION("""COMPUTED_VALUE"""),"算法")</f>
        <v>算法</v>
      </c>
      <c r="L368" s="6">
        <f>COUNTIF('Coder-1'!B:B,A368)</f>
        <v>0</v>
      </c>
      <c r="M368" s="6">
        <f>COUNTIF('Coder-2'!B:B,A368)</f>
        <v>0</v>
      </c>
      <c r="N368" s="6">
        <f>COUNTIF('Coder-3'!B:B,A368)</f>
        <v>0</v>
      </c>
      <c r="O368" s="6">
        <f>COUNTIF('Coder-4'!B:B,A368)</f>
        <v>0</v>
      </c>
    </row>
    <row r="369">
      <c r="A369" s="47">
        <v>676.0</v>
      </c>
      <c r="B369" s="86" t="str">
        <f>IFERROR(__xludf.DUMMYFUNCTION("IF(ISBLANK(A369),,FILTER('Leetcode List'!B:C,'Leetcode List'!A:A = A369))"),"Implement Magic Dictionary")</f>
        <v>Implement Magic Dictionary</v>
      </c>
      <c r="C369" s="85" t="str">
        <f>IFERROR(__xludf.DUMMYFUNCTION("""COMPUTED_VALUE"""),"Medium")</f>
        <v>Medium</v>
      </c>
      <c r="D369" s="47" t="s">
        <v>1606</v>
      </c>
      <c r="E369" s="90" t="str">
        <f>IFERROR(__xludf.DUMMYFUNCTION("IF(ISBLANK(A369),,FILTER('Leetcode List'!E:J,'Leetcode List'!A:A = A369))"),"ByteDance,Amazon,Facebook,Microsoft,Google")</f>
        <v>ByteDance,Amazon,Facebook,Microsoft,Google</v>
      </c>
      <c r="F369" s="85"/>
      <c r="G369" s="85" t="str">
        <f>IFERROR(__xludf.DUMMYFUNCTION("""COMPUTED_VALUE"""),"ByteDance")</f>
        <v>ByteDance</v>
      </c>
      <c r="H369" s="85" t="str">
        <f>IFERROR(__xludf.DUMMYFUNCTION("""COMPUTED_VALUE"""),"Facebook,Google,Amazon,ByteDance")</f>
        <v>Facebook,Google,Amazon,ByteDance</v>
      </c>
      <c r="I369" s="85">
        <f>IFERROR(__xludf.DUMMYFUNCTION("""COMPUTED_VALUE"""),55.31)</f>
        <v>55.31</v>
      </c>
      <c r="J369" s="85" t="str">
        <f>IFERROR(__xludf.DUMMYFUNCTION("""COMPUTED_VALUE"""),"算法")</f>
        <v>算法</v>
      </c>
      <c r="L369" s="6">
        <f>COUNTIF('Coder-1'!B:B,A369)</f>
        <v>0</v>
      </c>
      <c r="M369" s="6">
        <f>COUNTIF('Coder-2'!B:B,A369)</f>
        <v>0</v>
      </c>
      <c r="N369" s="6">
        <f>COUNTIF('Coder-3'!B:B,A369)</f>
        <v>0</v>
      </c>
      <c r="O369" s="6">
        <f>COUNTIF('Coder-4'!B:B,A369)</f>
        <v>0</v>
      </c>
    </row>
    <row r="370">
      <c r="A370" s="47">
        <v>212.0</v>
      </c>
      <c r="B370" s="86" t="str">
        <f>IFERROR(__xludf.DUMMYFUNCTION("IF(ISBLANK(A370),,FILTER('Leetcode List'!B:C,'Leetcode List'!A:A = A370))"),"Word Search II")</f>
        <v>Word Search II</v>
      </c>
      <c r="C370" s="85" t="str">
        <f>IFERROR(__xludf.DUMMYFUNCTION("""COMPUTED_VALUE"""),"Hard")</f>
        <v>Hard</v>
      </c>
      <c r="D370" s="47" t="s">
        <v>1606</v>
      </c>
      <c r="E370" s="90" t="str">
        <f>IFERROR(__xludf.DUMMYFUNCTION("IF(ISBLANK(A370),,FILTER('Leetcode List'!E:J,'Leetcode List'!A:A = A370))"),"Twitter,Cisco,EBay,Houzz,Roblox,Salesforce,Citadel,Snapchat,Zillow,Oracle,Apple,Airbnb,Uber,Yahoo,Bloomberg,Facebook,Amazon,Microsoft,Google")</f>
        <v>Twitter,Cisco,EBay,Houzz,Roblox,Salesforce,Citadel,Snapchat,Zillow,Oracle,Apple,Airbnb,Uber,Yahoo,Bloomberg,Facebook,Amazon,Microsoft,Google</v>
      </c>
      <c r="F370" s="85" t="str">
        <f>IFERROR(__xludf.DUMMYFUNCTION("""COMPUTED_VALUE"""),"Amazon,Microsoft,Uber,Apple,Google,Twitter,Snapchat")</f>
        <v>Amazon,Microsoft,Uber,Apple,Google,Twitter,Snapchat</v>
      </c>
      <c r="G370" s="85" t="str">
        <f>IFERROR(__xludf.DUMMYFUNCTION("""COMPUTED_VALUE"""),"Oracle,Cisco,Facebook,Bloomberg,Zillow,Amazon,Microsoft,Uber,Apple,Google,Twitter,Snapchat")</f>
        <v>Oracle,Cisco,Facebook,Bloomberg,Zillow,Amazon,Microsoft,Uber,Apple,Google,Twitter,Snapchat</v>
      </c>
      <c r="H370" s="85" t="str">
        <f>IFERROR(__xludf.DUMMYFUNCTION("""COMPUTED_VALUE"""),"Airbnb,Yahoo,eBay,Salesforce,Citadel,Oracle,Cisco,Facebook,Bloomberg,Zillow,Amazon,Microsoft,Uber,Apple,Google,Twitter,Snapchat")</f>
        <v>Airbnb,Yahoo,eBay,Salesforce,Citadel,Oracle,Cisco,Facebook,Bloomberg,Zillow,Amazon,Microsoft,Uber,Apple,Google,Twitter,Snapchat</v>
      </c>
      <c r="I370" s="85">
        <f>IFERROR(__xludf.DUMMYFUNCTION("""COMPUTED_VALUE"""),37.29)</f>
        <v>37.29</v>
      </c>
      <c r="J370" s="85" t="str">
        <f>IFERROR(__xludf.DUMMYFUNCTION("""COMPUTED_VALUE"""),"算法")</f>
        <v>算法</v>
      </c>
      <c r="L370" s="6">
        <f>COUNTIF('Coder-1'!B:B,A370)</f>
        <v>0</v>
      </c>
      <c r="M370" s="6">
        <f>COUNTIF('Coder-2'!B:B,A370)</f>
        <v>0</v>
      </c>
      <c r="N370" s="6">
        <f>COUNTIF('Coder-3'!B:B,A370)</f>
        <v>0</v>
      </c>
      <c r="O370" s="6">
        <f>COUNTIF('Coder-4'!B:B,A370)</f>
        <v>0</v>
      </c>
    </row>
    <row r="371">
      <c r="A371" s="47">
        <v>745.0</v>
      </c>
      <c r="B371" s="86" t="str">
        <f>IFERROR(__xludf.DUMMYFUNCTION("IF(ISBLANK(A371),,FILTER('Leetcode List'!B:C,'Leetcode List'!A:A = A371))"),"Prefix and Suffix Search")</f>
        <v>Prefix and Suffix Search</v>
      </c>
      <c r="C371" s="85" t="str">
        <f>IFERROR(__xludf.DUMMYFUNCTION("""COMPUTED_VALUE"""),"Hard")</f>
        <v>Hard</v>
      </c>
      <c r="D371" s="47" t="s">
        <v>1606</v>
      </c>
      <c r="E371" s="90" t="str">
        <f>IFERROR(__xludf.DUMMYFUNCTION("IF(ISBLANK(A371),,FILTER('Leetcode List'!E:J,'Leetcode List'!A:A = A371))"),"Amazon,Facebook,Google")</f>
        <v>Amazon,Facebook,Google</v>
      </c>
      <c r="F371" s="85"/>
      <c r="G371" s="85"/>
      <c r="H371" s="85" t="str">
        <f>IFERROR(__xludf.DUMMYFUNCTION("""COMPUTED_VALUE"""),"Amazon,Facebook")</f>
        <v>Amazon,Facebook</v>
      </c>
      <c r="I371" s="85">
        <f>IFERROR(__xludf.DUMMYFUNCTION("""COMPUTED_VALUE"""),35.43)</f>
        <v>35.43</v>
      </c>
      <c r="J371" s="85" t="str">
        <f>IFERROR(__xludf.DUMMYFUNCTION("""COMPUTED_VALUE"""),"算法")</f>
        <v>算法</v>
      </c>
      <c r="L371" s="6">
        <f>COUNTIF('Coder-1'!B:B,A371)</f>
        <v>0</v>
      </c>
      <c r="M371" s="6">
        <f>COUNTIF('Coder-2'!B:B,A371)</f>
        <v>0</v>
      </c>
      <c r="N371" s="6">
        <f>COUNTIF('Coder-3'!B:B,A371)</f>
        <v>0</v>
      </c>
      <c r="O371" s="6">
        <f>COUNTIF('Coder-4'!B:B,A371)</f>
        <v>0</v>
      </c>
    </row>
    <row r="372">
      <c r="A372" s="47">
        <v>1268.0</v>
      </c>
      <c r="B372" s="86" t="str">
        <f>IFERROR(__xludf.DUMMYFUNCTION("IF(ISBLANK(A372),,FILTER('Leetcode List'!B:C,'Leetcode List'!A:A = A372))"),"Search Suggestions System")</f>
        <v>Search Suggestions System</v>
      </c>
      <c r="C372" s="85" t="str">
        <f>IFERROR(__xludf.DUMMYFUNCTION("""COMPUTED_VALUE"""),"Medium")</f>
        <v>Medium</v>
      </c>
      <c r="D372" s="47" t="s">
        <v>1606</v>
      </c>
      <c r="E372" s="90" t="str">
        <f>IFERROR(__xludf.DUMMYFUNCTION("IF(ISBLANK(A372),,FILTER('Leetcode List'!E:J,'Leetcode List'!A:A = A372))"),"Google,Amazon")</f>
        <v>Google,Amazon</v>
      </c>
      <c r="F372" s="85" t="str">
        <f>IFERROR(__xludf.DUMMYFUNCTION("""COMPUTED_VALUE"""),"Amazon")</f>
        <v>Amazon</v>
      </c>
      <c r="G372" s="85" t="str">
        <f>IFERROR(__xludf.DUMMYFUNCTION("""COMPUTED_VALUE"""),"Amazon")</f>
        <v>Amazon</v>
      </c>
      <c r="H372" s="85" t="str">
        <f>IFERROR(__xludf.DUMMYFUNCTION("""COMPUTED_VALUE"""),"Google,Amazon")</f>
        <v>Google,Amazon</v>
      </c>
      <c r="I372" s="85">
        <f>IFERROR(__xludf.DUMMYFUNCTION("""COMPUTED_VALUE"""),64.68)</f>
        <v>64.68</v>
      </c>
      <c r="J372" s="85" t="str">
        <f>IFERROR(__xludf.DUMMYFUNCTION("""COMPUTED_VALUE"""),"算法")</f>
        <v>算法</v>
      </c>
      <c r="L372" s="6">
        <f>COUNTIF('Coder-1'!B:B,A372)</f>
        <v>0</v>
      </c>
      <c r="M372" s="6">
        <f>COUNTIF('Coder-2'!B:B,A372)</f>
        <v>0</v>
      </c>
      <c r="N372" s="6">
        <f>COUNTIF('Coder-3'!B:B,A372)</f>
        <v>0</v>
      </c>
      <c r="O372" s="6">
        <f>COUNTIF('Coder-4'!B:B,A372)</f>
        <v>0</v>
      </c>
    </row>
    <row r="373">
      <c r="A373" s="47">
        <v>1032.0</v>
      </c>
      <c r="B373" s="86" t="str">
        <f>IFERROR(__xludf.DUMMYFUNCTION("IF(ISBLANK(A373),,FILTER('Leetcode List'!B:C,'Leetcode List'!A:A = A373))"),"Stream of Characters")</f>
        <v>Stream of Characters</v>
      </c>
      <c r="C373" s="85" t="str">
        <f>IFERROR(__xludf.DUMMYFUNCTION("""COMPUTED_VALUE"""),"Hard")</f>
        <v>Hard</v>
      </c>
      <c r="D373" s="47" t="s">
        <v>1606</v>
      </c>
      <c r="E373" s="90" t="str">
        <f>IFERROR(__xludf.DUMMYFUNCTION("IF(ISBLANK(A373),,FILTER('Leetcode List'!E:J,'Leetcode List'!A:A = A373))"),"Facebook,Amazon,Google")</f>
        <v>Facebook,Amazon,Google</v>
      </c>
      <c r="F373" s="85" t="str">
        <f>IFERROR(__xludf.DUMMYFUNCTION("""COMPUTED_VALUE"""),"Facebook")</f>
        <v>Facebook</v>
      </c>
      <c r="G373" s="85" t="str">
        <f>IFERROR(__xludf.DUMMYFUNCTION("""COMPUTED_VALUE"""),"Google,Facebook")</f>
        <v>Google,Facebook</v>
      </c>
      <c r="H373" s="85" t="str">
        <f>IFERROR(__xludf.DUMMYFUNCTION("""COMPUTED_VALUE"""),"Amazon,Google,Facebook")</f>
        <v>Amazon,Google,Facebook</v>
      </c>
      <c r="I373" s="85">
        <f>IFERROR(__xludf.DUMMYFUNCTION("""COMPUTED_VALUE"""),48.62)</f>
        <v>48.62</v>
      </c>
      <c r="J373" s="85" t="str">
        <f>IFERROR(__xludf.DUMMYFUNCTION("""COMPUTED_VALUE"""),"算法")</f>
        <v>算法</v>
      </c>
      <c r="L373" s="6">
        <f>COUNTIF('Coder-1'!B:B,A373)</f>
        <v>0</v>
      </c>
      <c r="M373" s="6">
        <f>COUNTIF('Coder-2'!B:B,A373)</f>
        <v>0</v>
      </c>
      <c r="N373" s="6">
        <f>COUNTIF('Coder-3'!B:B,A373)</f>
        <v>0</v>
      </c>
      <c r="O373" s="6">
        <f>COUNTIF('Coder-4'!B:B,A373)</f>
        <v>0</v>
      </c>
    </row>
    <row r="374">
      <c r="A374" s="47">
        <v>1707.0</v>
      </c>
      <c r="B374" s="86" t="str">
        <f>IFERROR(__xludf.DUMMYFUNCTION("IF(ISBLANK(A374),,FILTER('Leetcode List'!B:C,'Leetcode List'!A:A = A374))"),"Maximum XOR With an Element From Array")</f>
        <v>Maximum XOR With an Element From Array</v>
      </c>
      <c r="C374" s="85" t="str">
        <f>IFERROR(__xludf.DUMMYFUNCTION("""COMPUTED_VALUE"""),"Hard")</f>
        <v>Hard</v>
      </c>
      <c r="D374" s="47" t="s">
        <v>1606</v>
      </c>
      <c r="E374" s="90" t="str">
        <f>IFERROR(__xludf.DUMMYFUNCTION("IF(ISBLANK(A374),,FILTER('Leetcode List'!E:J,'Leetcode List'!A:A = A374))"),"Google")</f>
        <v>Google</v>
      </c>
      <c r="F374" s="85"/>
      <c r="G374" s="85"/>
      <c r="H374" s="85" t="str">
        <f>IFERROR(__xludf.DUMMYFUNCTION("""COMPUTED_VALUE"""),"Google")</f>
        <v>Google</v>
      </c>
      <c r="I374" s="85">
        <f>IFERROR(__xludf.DUMMYFUNCTION("""COMPUTED_VALUE"""),46.31)</f>
        <v>46.31</v>
      </c>
      <c r="J374" s="85" t="str">
        <f>IFERROR(__xludf.DUMMYFUNCTION("""COMPUTED_VALUE"""),"算法")</f>
        <v>算法</v>
      </c>
      <c r="L374" s="6">
        <f>COUNTIF('Coder-1'!B:B,A374)</f>
        <v>0</v>
      </c>
      <c r="M374" s="6">
        <f>COUNTIF('Coder-2'!B:B,A374)</f>
        <v>0</v>
      </c>
      <c r="N374" s="6">
        <f>COUNTIF('Coder-3'!B:B,A374)</f>
        <v>0</v>
      </c>
      <c r="O374" s="6">
        <f>COUNTIF('Coder-4'!B:B,A374)</f>
        <v>0</v>
      </c>
    </row>
    <row r="375">
      <c r="A375" s="47">
        <v>55.0</v>
      </c>
      <c r="B375" s="86" t="str">
        <f>IFERROR(__xludf.DUMMYFUNCTION("IF(ISBLANK(A375),,FILTER('Leetcode List'!B:C,'Leetcode List'!A:A = A375))"),"Jump Game")</f>
        <v>Jump Game</v>
      </c>
      <c r="C375" s="85" t="str">
        <f>IFERROR(__xludf.DUMMYFUNCTION("""COMPUTED_VALUE"""),"Medium")</f>
        <v>Medium</v>
      </c>
      <c r="D375" s="47" t="s">
        <v>61</v>
      </c>
      <c r="E375" s="90" t="str">
        <f>IFERROR(__xludf.DUMMYFUNCTION("IF(ISBLANK(A375),,FILTER('Leetcode List'!E:J,'Leetcode List'!A:A = A375))"),"Nutanix,Postmates,ByteDance,Oracle,Apple,Uber,Bloomberg,Adobe,Facebook,Amazon,Microsoft,Google")</f>
        <v>Nutanix,Postmates,ByteDance,Oracle,Apple,Uber,Bloomberg,Adobe,Facebook,Amazon,Microsoft,Google</v>
      </c>
      <c r="F375" s="85" t="str">
        <f>IFERROR(__xludf.DUMMYFUNCTION("""COMPUTED_VALUE"""),"Amazon,Microsoft,Facebook,Bloomberg")</f>
        <v>Amazon,Microsoft,Facebook,Bloomberg</v>
      </c>
      <c r="G375" s="85" t="str">
        <f>IFERROR(__xludf.DUMMYFUNCTION("""COMPUTED_VALUE"""),"Adobe,Apple,Nutanix,ByteDance,Amazon,Microsoft,Facebook,Bloomberg")</f>
        <v>Adobe,Apple,Nutanix,ByteDance,Amazon,Microsoft,Facebook,Bloomberg</v>
      </c>
      <c r="H375" s="85" t="str">
        <f>IFERROR(__xludf.DUMMYFUNCTION("""COMPUTED_VALUE"""),"Google,Uber,Oracle,Adobe,Apple,Nutanix,ByteDance,Amazon,Microsoft,Facebook,Bloomberg")</f>
        <v>Google,Uber,Oracle,Adobe,Apple,Nutanix,ByteDance,Amazon,Microsoft,Facebook,Bloomberg</v>
      </c>
      <c r="I375" s="85">
        <f>IFERROR(__xludf.DUMMYFUNCTION("""COMPUTED_VALUE"""),35.19)</f>
        <v>35.19</v>
      </c>
      <c r="J375" s="85" t="str">
        <f>IFERROR(__xludf.DUMMYFUNCTION("""COMPUTED_VALUE"""),"算法")</f>
        <v>算法</v>
      </c>
      <c r="L375" s="6">
        <f>COUNTIF('Coder-1'!B:B,A375)</f>
        <v>0</v>
      </c>
      <c r="M375" s="6">
        <f>COUNTIF('Coder-2'!B:B,A375)</f>
        <v>0</v>
      </c>
      <c r="N375" s="6">
        <f>COUNTIF('Coder-3'!B:B,A375)</f>
        <v>0</v>
      </c>
      <c r="O375" s="6">
        <f>COUNTIF('Coder-4'!B:B,A375)</f>
        <v>0</v>
      </c>
    </row>
    <row r="376">
      <c r="A376" s="47">
        <v>45.0</v>
      </c>
      <c r="B376" s="86" t="str">
        <f>IFERROR(__xludf.DUMMYFUNCTION("IF(ISBLANK(A376),,FILTER('Leetcode List'!B:C,'Leetcode List'!A:A = A376))"),"Jump Game II")</f>
        <v>Jump Game II</v>
      </c>
      <c r="C376" s="85" t="str">
        <f>IFERROR(__xludf.DUMMYFUNCTION("""COMPUTED_VALUE"""),"Medium")</f>
        <v>Medium</v>
      </c>
      <c r="D376" s="47" t="s">
        <v>61</v>
      </c>
      <c r="E376" s="90" t="str">
        <f>IFERROR(__xludf.DUMMYFUNCTION("IF(ISBLANK(A376),,FILTER('Leetcode List'!E:J,'Leetcode List'!A:A = A376))"),"Flipkart,Salesforce,Nutanix,Oracle,Huawei,Apple,Uber,Adobe,Facebook,Amazon,Microsoft,Goldman Sachs,Google")</f>
        <v>Flipkart,Salesforce,Nutanix,Oracle,Huawei,Apple,Uber,Adobe,Facebook,Amazon,Microsoft,Goldman Sachs,Google</v>
      </c>
      <c r="F376" s="85" t="str">
        <f>IFERROR(__xludf.DUMMYFUNCTION("""COMPUTED_VALUE"""),"Amazon,Apple")</f>
        <v>Amazon,Apple</v>
      </c>
      <c r="G376" s="85" t="str">
        <f>IFERROR(__xludf.DUMMYFUNCTION("""COMPUTED_VALUE"""),"Microsoft,Google,Adobe,Amazon,Apple")</f>
        <v>Microsoft,Google,Adobe,Amazon,Apple</v>
      </c>
      <c r="H376" s="85" t="str">
        <f>IFERROR(__xludf.DUMMYFUNCTION("""COMPUTED_VALUE"""),"Nutanix,Facebook,Oracle,Huawei,Uber,Flipkart,Salesforce,Microsoft,Google,Adobe,Amazon,Apple")</f>
        <v>Nutanix,Facebook,Oracle,Huawei,Uber,Flipkart,Salesforce,Microsoft,Google,Adobe,Amazon,Apple</v>
      </c>
      <c r="I376" s="85">
        <f>IFERROR(__xludf.DUMMYFUNCTION("""COMPUTED_VALUE"""),31.52)</f>
        <v>31.52</v>
      </c>
      <c r="J376" s="85" t="str">
        <f>IFERROR(__xludf.DUMMYFUNCTION("""COMPUTED_VALUE"""),"算法")</f>
        <v>算法</v>
      </c>
      <c r="L376" s="6">
        <f>COUNTIF('Coder-1'!B:B,A376)</f>
        <v>0</v>
      </c>
      <c r="M376" s="6">
        <f>COUNTIF('Coder-2'!B:B,A376)</f>
        <v>0</v>
      </c>
      <c r="N376" s="6">
        <f>COUNTIF('Coder-3'!B:B,A376)</f>
        <v>0</v>
      </c>
      <c r="O376" s="6">
        <f>COUNTIF('Coder-4'!B:B,A376)</f>
        <v>0</v>
      </c>
    </row>
    <row r="377">
      <c r="A377" s="47">
        <v>134.0</v>
      </c>
      <c r="B377" s="86" t="str">
        <f>IFERROR(__xludf.DUMMYFUNCTION("IF(ISBLANK(A377),,FILTER('Leetcode List'!B:C,'Leetcode List'!A:A = A377))"),"Gas Station")</f>
        <v>Gas Station</v>
      </c>
      <c r="C377" s="85" t="str">
        <f>IFERROR(__xludf.DUMMYFUNCTION("""COMPUTED_VALUE"""),"Medium")</f>
        <v>Medium</v>
      </c>
      <c r="D377" s="47" t="s">
        <v>61</v>
      </c>
      <c r="E377" s="90" t="str">
        <f>IFERROR(__xludf.DUMMYFUNCTION("IF(ISBLANK(A377),,FILTER('Leetcode List'!E:J,'Leetcode List'!A:A = A377))"),"Hotstar,Citrix,Uber,Bloomberg,Facebook,Paypal,Expedia,IBM,Apple,Amazon,Microsoft,Google")</f>
        <v>Hotstar,Citrix,Uber,Bloomberg,Facebook,Paypal,Expedia,IBM,Apple,Amazon,Microsoft,Google</v>
      </c>
      <c r="F377" s="85" t="str">
        <f>IFERROR(__xludf.DUMMYFUNCTION("""COMPUTED_VALUE"""),"Amazon,Google,Microsoft,Bloomberg,Facebook,Apple,Citrix,Hotstar")</f>
        <v>Amazon,Google,Microsoft,Bloomberg,Facebook,Apple,Citrix,Hotstar</v>
      </c>
      <c r="G377" s="85" t="str">
        <f>IFERROR(__xludf.DUMMYFUNCTION("""COMPUTED_VALUE"""),"Uber,IBM,Amazon,Google,Microsoft,Bloomberg,Facebook,Apple,Citrix,Hotstar")</f>
        <v>Uber,IBM,Amazon,Google,Microsoft,Bloomberg,Facebook,Apple,Citrix,Hotstar</v>
      </c>
      <c r="H377" s="85" t="str">
        <f>IFERROR(__xludf.DUMMYFUNCTION("""COMPUTED_VALUE"""),"Expedia,Uber,IBM,Amazon,Google,Microsoft,Bloomberg,Facebook,Apple,Citrix,Hotstar")</f>
        <v>Expedia,Uber,IBM,Amazon,Google,Microsoft,Bloomberg,Facebook,Apple,Citrix,Hotstar</v>
      </c>
      <c r="I377" s="85">
        <f>IFERROR(__xludf.DUMMYFUNCTION("""COMPUTED_VALUE"""),41.4)</f>
        <v>41.4</v>
      </c>
      <c r="J377" s="85" t="str">
        <f>IFERROR(__xludf.DUMMYFUNCTION("""COMPUTED_VALUE"""),"算法")</f>
        <v>算法</v>
      </c>
      <c r="L377" s="6">
        <f>COUNTIF('Coder-1'!B:B,A377)</f>
        <v>0</v>
      </c>
      <c r="M377" s="6">
        <f>COUNTIF('Coder-2'!B:B,A377)</f>
        <v>0</v>
      </c>
      <c r="N377" s="6">
        <f>COUNTIF('Coder-3'!B:B,A377)</f>
        <v>0</v>
      </c>
      <c r="O377" s="6">
        <f>COUNTIF('Coder-4'!B:B,A377)</f>
        <v>0</v>
      </c>
    </row>
    <row r="378">
      <c r="A378" s="47">
        <v>221.0</v>
      </c>
      <c r="B378" s="86" t="str">
        <f>IFERROR(__xludf.DUMMYFUNCTION("IF(ISBLANK(A378),,FILTER('Leetcode List'!B:C,'Leetcode List'!A:A = A378))"),"Maximal Square")</f>
        <v>Maximal Square</v>
      </c>
      <c r="C378" s="85" t="str">
        <f>IFERROR(__xludf.DUMMYFUNCTION("""COMPUTED_VALUE"""),"Medium")</f>
        <v>Medium</v>
      </c>
      <c r="D378" s="47" t="s">
        <v>61</v>
      </c>
      <c r="E378" s="90" t="str">
        <f>IFERROR(__xludf.DUMMYFUNCTION("IF(ISBLANK(A378),,FILTER('Leetcode List'!E:J,'Leetcode List'!A:A = A378))"),"AppDynamics,Booking.com,Twilio,ByteDance,FactSet,Walmart Labs,Paypal,Twitter,IBM,Yahoo,Goldman Sachs,Two Sigma,VMware,Citadel,Oracle,Huawei,Apple,Airbnb,Uber,Bloomberg,Adobe,Facebook,Amazon,Microsoft,Google")</f>
        <v>AppDynamics,Booking.com,Twilio,ByteDance,FactSet,Walmart Labs,Paypal,Twitter,IBM,Yahoo,Goldman Sachs,Two Sigma,VMware,Citadel,Oracle,Huawei,Apple,Airbnb,Uber,Bloomberg,Adobe,Facebook,Amazon,Microsoft,Google</v>
      </c>
      <c r="F378" s="85" t="str">
        <f>IFERROR(__xludf.DUMMYFUNCTION("""COMPUTED_VALUE"""),"Amazon,IBM,Google,Twitter,ByteDance,Apple")</f>
        <v>Amazon,IBM,Google,Twitter,ByteDance,Apple</v>
      </c>
      <c r="G378" s="85" t="str">
        <f>IFERROR(__xludf.DUMMYFUNCTION("""COMPUTED_VALUE"""),"Adobe,Citadel,Paypal,Facebook,Microsoft,Bloomberg,AppDynamics,Booking.com,Goldman Sachs,Amazon,IBM,Google,Twitter,ByteDance,Apple")</f>
        <v>Adobe,Citadel,Paypal,Facebook,Microsoft,Bloomberg,AppDynamics,Booking.com,Goldman Sachs,Amazon,IBM,Google,Twitter,ByteDance,Apple</v>
      </c>
      <c r="H378" s="85" t="str">
        <f>IFERROR(__xludf.DUMMYFUNCTION("""COMPUTED_VALUE"""),"Uber,VMware,Huawei,Oracle,Yahoo,Twilio,Walmart Labs,FactSet,Airbnb,Adobe,Citadel,Paypal,Facebook,Microsoft,Bloomberg,AppDynamics,Booking.com,Goldman Sachs,Amazon,IBM,Google,Twitter,ByteDance,Apple")</f>
        <v>Uber,VMware,Huawei,Oracle,Yahoo,Twilio,Walmart Labs,FactSet,Airbnb,Adobe,Citadel,Paypal,Facebook,Microsoft,Bloomberg,AppDynamics,Booking.com,Goldman Sachs,Amazon,IBM,Google,Twitter,ByteDance,Apple</v>
      </c>
      <c r="I378" s="85">
        <f>IFERROR(__xludf.DUMMYFUNCTION("""COMPUTED_VALUE"""),39.4)</f>
        <v>39.4</v>
      </c>
      <c r="J378" s="85" t="str">
        <f>IFERROR(__xludf.DUMMYFUNCTION("""COMPUTED_VALUE"""),"算法")</f>
        <v>算法</v>
      </c>
      <c r="L378" s="6">
        <f>COUNTIF('Coder-1'!B:B,A378)</f>
        <v>0</v>
      </c>
      <c r="M378" s="6">
        <f>COUNTIF('Coder-2'!B:B,A378)</f>
        <v>0</v>
      </c>
      <c r="N378" s="6">
        <f>COUNTIF('Coder-3'!B:B,A378)</f>
        <v>0</v>
      </c>
      <c r="O378" s="6">
        <f>COUNTIF('Coder-4'!B:B,A378)</f>
        <v>0</v>
      </c>
    </row>
    <row r="379">
      <c r="A379" s="47">
        <v>229.0</v>
      </c>
      <c r="B379" s="86" t="str">
        <f>IFERROR(__xludf.DUMMYFUNCTION("IF(ISBLANK(A379),,FILTER('Leetcode List'!B:C,'Leetcode List'!A:A = A379))"),"Majority Element II")</f>
        <v>Majority Element II</v>
      </c>
      <c r="C379" s="85" t="str">
        <f>IFERROR(__xludf.DUMMYFUNCTION("""COMPUTED_VALUE"""),"Medium")</f>
        <v>Medium</v>
      </c>
      <c r="D379" s="47" t="s">
        <v>61</v>
      </c>
      <c r="E379" s="90" t="str">
        <f>IFERROR(__xludf.DUMMYFUNCTION("IF(ISBLANK(A379),,FILTER('Leetcode List'!E:J,'Leetcode List'!A:A = A379))"),"Zenefits,Apple,Uber,Bloomberg,Adobe,Facebook,Amazon,Microsoft,Google")</f>
        <v>Zenefits,Apple,Uber,Bloomberg,Adobe,Facebook,Amazon,Microsoft,Google</v>
      </c>
      <c r="F379" s="85" t="str">
        <f>IFERROR(__xludf.DUMMYFUNCTION("""COMPUTED_VALUE"""),"Google,Amazon")</f>
        <v>Google,Amazon</v>
      </c>
      <c r="G379" s="85" t="str">
        <f>IFERROR(__xludf.DUMMYFUNCTION("""COMPUTED_VALUE"""),"Adobe,Google,Amazon")</f>
        <v>Adobe,Google,Amazon</v>
      </c>
      <c r="H379" s="85" t="str">
        <f>IFERROR(__xludf.DUMMYFUNCTION("""COMPUTED_VALUE"""),"Bloomberg,Apple,Microsoft,Facebook,Zenefits,Adobe,Google,Amazon")</f>
        <v>Bloomberg,Apple,Microsoft,Facebook,Zenefits,Adobe,Google,Amazon</v>
      </c>
      <c r="I379" s="85">
        <f>IFERROR(__xludf.DUMMYFUNCTION("""COMPUTED_VALUE"""),38.89)</f>
        <v>38.89</v>
      </c>
      <c r="J379" s="85" t="str">
        <f>IFERROR(__xludf.DUMMYFUNCTION("""COMPUTED_VALUE"""),"算法")</f>
        <v>算法</v>
      </c>
      <c r="L379" s="6">
        <f>COUNTIF('Coder-1'!B:B,A379)</f>
        <v>0</v>
      </c>
      <c r="M379" s="6">
        <f>COUNTIF('Coder-2'!B:B,A379)</f>
        <v>0</v>
      </c>
      <c r="N379" s="6">
        <f>COUNTIF('Coder-3'!B:B,A379)</f>
        <v>0</v>
      </c>
      <c r="O379" s="6">
        <f>COUNTIF('Coder-4'!B:B,A379)</f>
        <v>0</v>
      </c>
    </row>
    <row r="380">
      <c r="A380" s="47">
        <v>659.0</v>
      </c>
      <c r="B380" s="86" t="str">
        <f>IFERROR(__xludf.DUMMYFUNCTION("IF(ISBLANK(A380),,FILTER('Leetcode List'!B:C,'Leetcode List'!A:A = A380))"),"Split Array into Consecutive Subsequences")</f>
        <v>Split Array into Consecutive Subsequences</v>
      </c>
      <c r="C380" s="85" t="str">
        <f>IFERROR(__xludf.DUMMYFUNCTION("""COMPUTED_VALUE"""),"Medium")</f>
        <v>Medium</v>
      </c>
      <c r="D380" s="47" t="s">
        <v>61</v>
      </c>
      <c r="E380" s="90" t="str">
        <f>IFERROR(__xludf.DUMMYFUNCTION("IF(ISBLANK(A380),,FILTER('Leetcode List'!E:J,'Leetcode List'!A:A = A380))"),"Uber,Google")</f>
        <v>Uber,Google</v>
      </c>
      <c r="F380" s="85" t="str">
        <f>IFERROR(__xludf.DUMMYFUNCTION("""COMPUTED_VALUE"""),"Uber")</f>
        <v>Uber</v>
      </c>
      <c r="G380" s="85" t="str">
        <f>IFERROR(__xludf.DUMMYFUNCTION("""COMPUTED_VALUE"""),"Google,Uber")</f>
        <v>Google,Uber</v>
      </c>
      <c r="H380" s="85" t="str">
        <f>IFERROR(__xludf.DUMMYFUNCTION("""COMPUTED_VALUE"""),"Google,Uber")</f>
        <v>Google,Uber</v>
      </c>
      <c r="I380" s="85">
        <f>IFERROR(__xludf.DUMMYFUNCTION("""COMPUTED_VALUE"""),44.42)</f>
        <v>44.42</v>
      </c>
      <c r="J380" s="85" t="str">
        <f>IFERROR(__xludf.DUMMYFUNCTION("""COMPUTED_VALUE"""),"算法")</f>
        <v>算法</v>
      </c>
      <c r="L380" s="6">
        <f>COUNTIF('Coder-1'!B:B,A380)</f>
        <v>0</v>
      </c>
      <c r="M380" s="6">
        <f>COUNTIF('Coder-2'!B:B,A380)</f>
        <v>0</v>
      </c>
      <c r="N380" s="6">
        <f>COUNTIF('Coder-3'!B:B,A380)</f>
        <v>0</v>
      </c>
      <c r="O380" s="6">
        <f>COUNTIF('Coder-4'!B:B,A380)</f>
        <v>0</v>
      </c>
    </row>
    <row r="381">
      <c r="A381" s="47">
        <v>484.0</v>
      </c>
      <c r="B381" s="86" t="str">
        <f>IFERROR(__xludf.DUMMYFUNCTION("IF(ISBLANK(A381),,FILTER('Leetcode List'!B:C,'Leetcode List'!A:A = A381))"),"Find Permutation")</f>
        <v>Find Permutation</v>
      </c>
      <c r="C381" s="85" t="str">
        <f>IFERROR(__xludf.DUMMYFUNCTION("""COMPUTED_VALUE"""),"Medium")</f>
        <v>Medium</v>
      </c>
      <c r="D381" s="47" t="s">
        <v>61</v>
      </c>
      <c r="E381" s="90" t="str">
        <f>IFERROR(__xludf.DUMMYFUNCTION("IF(ISBLANK(A381),,FILTER('Leetcode List'!E:J,'Leetcode List'!A:A = A381))"),"Google")</f>
        <v>Google</v>
      </c>
      <c r="F381" s="85"/>
      <c r="G381" s="85"/>
      <c r="H381" s="85" t="str">
        <f>IFERROR(__xludf.DUMMYFUNCTION("""COMPUTED_VALUE"""),"Google")</f>
        <v>Google</v>
      </c>
      <c r="I381" s="85">
        <f>IFERROR(__xludf.DUMMYFUNCTION("""COMPUTED_VALUE"""),64.25)</f>
        <v>64.25</v>
      </c>
      <c r="J381" s="85" t="str">
        <f>IFERROR(__xludf.DUMMYFUNCTION("""COMPUTED_VALUE"""),"算法")</f>
        <v>算法</v>
      </c>
      <c r="L381" s="6">
        <f>COUNTIF('Coder-1'!B:B,A381)</f>
        <v>0</v>
      </c>
      <c r="M381" s="6">
        <f>COUNTIF('Coder-2'!B:B,A381)</f>
        <v>0</v>
      </c>
      <c r="N381" s="6">
        <f>COUNTIF('Coder-3'!B:B,A381)</f>
        <v>0</v>
      </c>
      <c r="O381" s="6">
        <f>COUNTIF('Coder-4'!B:B,A381)</f>
        <v>0</v>
      </c>
    </row>
    <row r="382">
      <c r="A382" s="47">
        <v>386.0</v>
      </c>
      <c r="B382" s="86" t="str">
        <f>IFERROR(__xludf.DUMMYFUNCTION("IF(ISBLANK(A382),,FILTER('Leetcode List'!B:C,'Leetcode List'!A:A = A382))"),"Lexicographical Numbers")</f>
        <v>Lexicographical Numbers</v>
      </c>
      <c r="C382" s="85" t="str">
        <f>IFERROR(__xludf.DUMMYFUNCTION("""COMPUTED_VALUE"""),"Medium")</f>
        <v>Medium</v>
      </c>
      <c r="D382" s="47" t="s">
        <v>61</v>
      </c>
      <c r="E382" s="90" t="str">
        <f>IFERROR(__xludf.DUMMYFUNCTION("IF(ISBLANK(A382),,FILTER('Leetcode List'!E:J,'Leetcode List'!A:A = A382))"),"Pony.ai,ByteDance,Bloomberg,Adobe,Google")</f>
        <v>Pony.ai,ByteDance,Bloomberg,Adobe,Google</v>
      </c>
      <c r="F382" s="85" t="str">
        <f>IFERROR(__xludf.DUMMYFUNCTION("""COMPUTED_VALUE"""),"Pony.ai,ByteDance")</f>
        <v>Pony.ai,ByteDance</v>
      </c>
      <c r="G382" s="85" t="str">
        <f>IFERROR(__xludf.DUMMYFUNCTION("""COMPUTED_VALUE"""),"Pony.ai,ByteDance")</f>
        <v>Pony.ai,ByteDance</v>
      </c>
      <c r="H382" s="85" t="str">
        <f>IFERROR(__xludf.DUMMYFUNCTION("""COMPUTED_VALUE"""),"Adobe,Bloomberg,Pony.ai,ByteDance")</f>
        <v>Adobe,Bloomberg,Pony.ai,ByteDance</v>
      </c>
      <c r="I382" s="85">
        <f>IFERROR(__xludf.DUMMYFUNCTION("""COMPUTED_VALUE"""),54.34)</f>
        <v>54.34</v>
      </c>
      <c r="J382" s="85" t="str">
        <f>IFERROR(__xludf.DUMMYFUNCTION("""COMPUTED_VALUE"""),"算法")</f>
        <v>算法</v>
      </c>
      <c r="L382" s="6">
        <f>COUNTIF('Coder-1'!B:B,A382)</f>
        <v>0</v>
      </c>
      <c r="M382" s="6">
        <f>COUNTIF('Coder-2'!B:B,A382)</f>
        <v>0</v>
      </c>
      <c r="N382" s="6">
        <f>COUNTIF('Coder-3'!B:B,A382)</f>
        <v>0</v>
      </c>
      <c r="O382" s="6">
        <f>COUNTIF('Coder-4'!B:B,A382)</f>
        <v>0</v>
      </c>
    </row>
    <row r="383">
      <c r="A383" s="47">
        <v>624.0</v>
      </c>
      <c r="B383" s="86" t="str">
        <f>IFERROR(__xludf.DUMMYFUNCTION("IF(ISBLANK(A383),,FILTER('Leetcode List'!B:C,'Leetcode List'!A:A = A383))"),"Maximum Distance in Arrays")</f>
        <v>Maximum Distance in Arrays</v>
      </c>
      <c r="C383" s="85" t="str">
        <f>IFERROR(__xludf.DUMMYFUNCTION("""COMPUTED_VALUE"""),"Medium")</f>
        <v>Medium</v>
      </c>
      <c r="D383" s="47" t="s">
        <v>61</v>
      </c>
      <c r="E383" s="90" t="str">
        <f>IFERROR(__xludf.DUMMYFUNCTION("IF(ISBLANK(A383),,FILTER('Leetcode List'!E:J,'Leetcode List'!A:A = A383))"),"Yahoo")</f>
        <v>Yahoo</v>
      </c>
      <c r="F383" s="85"/>
      <c r="G383" s="85"/>
      <c r="H383" s="85" t="str">
        <f>IFERROR(__xludf.DUMMYFUNCTION("""COMPUTED_VALUE"""),"Yahoo")</f>
        <v>Yahoo</v>
      </c>
      <c r="I383" s="85">
        <f>IFERROR(__xludf.DUMMYFUNCTION("""COMPUTED_VALUE"""),39.6)</f>
        <v>39.6</v>
      </c>
      <c r="J383" s="85" t="str">
        <f>IFERROR(__xludf.DUMMYFUNCTION("""COMPUTED_VALUE"""),"算法")</f>
        <v>算法</v>
      </c>
      <c r="L383" s="6">
        <f>COUNTIF('Coder-1'!B:B,A383)</f>
        <v>0</v>
      </c>
      <c r="M383" s="6">
        <f>COUNTIF('Coder-2'!B:B,A383)</f>
        <v>0</v>
      </c>
      <c r="N383" s="6">
        <f>COUNTIF('Coder-3'!B:B,A383)</f>
        <v>0</v>
      </c>
      <c r="O383" s="6">
        <f>COUNTIF('Coder-4'!B:B,A383)</f>
        <v>0</v>
      </c>
    </row>
    <row r="384">
      <c r="A384" s="47">
        <v>665.0</v>
      </c>
      <c r="B384" s="86" t="str">
        <f>IFERROR(__xludf.DUMMYFUNCTION("IF(ISBLANK(A384),,FILTER('Leetcode List'!B:C,'Leetcode List'!A:A = A384))"),"Non-decreasing Array")</f>
        <v>Non-decreasing Array</v>
      </c>
      <c r="C384" s="85" t="str">
        <f>IFERROR(__xludf.DUMMYFUNCTION("""COMPUTED_VALUE"""),"Medium")</f>
        <v>Medium</v>
      </c>
      <c r="D384" s="47" t="s">
        <v>61</v>
      </c>
      <c r="E384" s="90" t="str">
        <f>IFERROR(__xludf.DUMMYFUNCTION("IF(ISBLANK(A384),,FILTER('Leetcode List'!E:J,'Leetcode List'!A:A = A384))"),"EBay,Apple,Bloomberg,Adobe,Facebook,Microsoft,Amazon,Google")</f>
        <v>EBay,Apple,Bloomberg,Adobe,Facebook,Microsoft,Amazon,Google</v>
      </c>
      <c r="F384" s="85" t="str">
        <f>IFERROR(__xludf.DUMMYFUNCTION("""COMPUTED_VALUE"""),"Facebook,Microsoft")</f>
        <v>Facebook,Microsoft</v>
      </c>
      <c r="G384" s="85" t="str">
        <f>IFERROR(__xludf.DUMMYFUNCTION("""COMPUTED_VALUE"""),"Amazon,eBay,Bloomberg,Facebook,Microsoft")</f>
        <v>Amazon,eBay,Bloomberg,Facebook,Microsoft</v>
      </c>
      <c r="H384" s="85" t="str">
        <f>IFERROR(__xludf.DUMMYFUNCTION("""COMPUTED_VALUE"""),"Google,Adobe,Apple,Amazon,eBay,Bloomberg,Facebook,Microsoft")</f>
        <v>Google,Adobe,Apple,Amazon,eBay,Bloomberg,Facebook,Microsoft</v>
      </c>
      <c r="I384" s="85">
        <f>IFERROR(__xludf.DUMMYFUNCTION("""COMPUTED_VALUE"""),19.81)</f>
        <v>19.81</v>
      </c>
      <c r="J384" s="85" t="str">
        <f>IFERROR(__xludf.DUMMYFUNCTION("""COMPUTED_VALUE"""),"算法")</f>
        <v>算法</v>
      </c>
      <c r="L384" s="6">
        <f>COUNTIF('Coder-1'!B:B,A384)</f>
        <v>0</v>
      </c>
      <c r="M384" s="6">
        <f>COUNTIF('Coder-2'!B:B,A384)</f>
        <v>0</v>
      </c>
      <c r="N384" s="6">
        <f>COUNTIF('Coder-3'!B:B,A384)</f>
        <v>0</v>
      </c>
      <c r="O384" s="6">
        <f>COUNTIF('Coder-4'!B:B,A384)</f>
        <v>0</v>
      </c>
    </row>
    <row r="385">
      <c r="A385" s="47">
        <v>670.0</v>
      </c>
      <c r="B385" s="86" t="str">
        <f>IFERROR(__xludf.DUMMYFUNCTION("IF(ISBLANK(A385),,FILTER('Leetcode List'!B:C,'Leetcode List'!A:A = A385))"),"Maximum Swap")</f>
        <v>Maximum Swap</v>
      </c>
      <c r="C385" s="85" t="str">
        <f>IFERROR(__xludf.DUMMYFUNCTION("""COMPUTED_VALUE"""),"Medium")</f>
        <v>Medium</v>
      </c>
      <c r="D385" s="47" t="s">
        <v>61</v>
      </c>
      <c r="E385" s="90" t="str">
        <f>IFERROR(__xludf.DUMMYFUNCTION("IF(ISBLANK(A385),,FILTER('Leetcode List'!E:J,'Leetcode List'!A:A = A385))"),"Apple,Amazon,ByteDance,Uber,Facebook,Microsoft")</f>
        <v>Apple,Amazon,ByteDance,Uber,Facebook,Microsoft</v>
      </c>
      <c r="F385" s="85" t="str">
        <f>IFERROR(__xludf.DUMMYFUNCTION("""COMPUTED_VALUE"""),"Facebook,Amazon")</f>
        <v>Facebook,Amazon</v>
      </c>
      <c r="G385" s="85" t="str">
        <f>IFERROR(__xludf.DUMMYFUNCTION("""COMPUTED_VALUE"""),"Apple,ByteDance,Facebook,Amazon")</f>
        <v>Apple,ByteDance,Facebook,Amazon</v>
      </c>
      <c r="H385" s="85" t="str">
        <f>IFERROR(__xludf.DUMMYFUNCTION("""COMPUTED_VALUE"""),"Microsoft,Uber,Apple,ByteDance,Facebook,Amazon")</f>
        <v>Microsoft,Uber,Apple,ByteDance,Facebook,Amazon</v>
      </c>
      <c r="I385" s="85">
        <f>IFERROR(__xludf.DUMMYFUNCTION("""COMPUTED_VALUE"""),45.21)</f>
        <v>45.21</v>
      </c>
      <c r="J385" s="85" t="str">
        <f>IFERROR(__xludf.DUMMYFUNCTION("""COMPUTED_VALUE"""),"算法")</f>
        <v>算法</v>
      </c>
      <c r="L385" s="6">
        <f>COUNTIF('Coder-1'!B:B,A385)</f>
        <v>0</v>
      </c>
      <c r="M385" s="6">
        <f>COUNTIF('Coder-2'!B:B,A385)</f>
        <v>0</v>
      </c>
      <c r="N385" s="6">
        <f>COUNTIF('Coder-3'!B:B,A385)</f>
        <v>0</v>
      </c>
      <c r="O385" s="6">
        <f>COUNTIF('Coder-4'!B:B,A385)</f>
        <v>0</v>
      </c>
    </row>
    <row r="386">
      <c r="A386" s="47">
        <v>321.0</v>
      </c>
      <c r="B386" s="86" t="str">
        <f>IFERROR(__xludf.DUMMYFUNCTION("IF(ISBLANK(A386),,FILTER('Leetcode List'!B:C,'Leetcode List'!A:A = A386))"),"Create Maximum Number")</f>
        <v>Create Maximum Number</v>
      </c>
      <c r="C386" s="85" t="str">
        <f>IFERROR(__xludf.DUMMYFUNCTION("""COMPUTED_VALUE"""),"Hard")</f>
        <v>Hard</v>
      </c>
      <c r="D386" s="47" t="s">
        <v>61</v>
      </c>
      <c r="E386" s="90" t="str">
        <f>IFERROR(__xludf.DUMMYFUNCTION("IF(ISBLANK(A386),,FILTER('Leetcode List'!E:J,'Leetcode List'!A:A = A386))"),"Apple,Amazon,Google")</f>
        <v>Apple,Amazon,Google</v>
      </c>
      <c r="F386" s="85"/>
      <c r="G386" s="85" t="str">
        <f>IFERROR(__xludf.DUMMYFUNCTION("""COMPUTED_VALUE"""),"Apple")</f>
        <v>Apple</v>
      </c>
      <c r="H386" s="85" t="str">
        <f>IFERROR(__xludf.DUMMYFUNCTION("""COMPUTED_VALUE"""),"Amazon,Google,Apple")</f>
        <v>Amazon,Google,Apple</v>
      </c>
      <c r="I386" s="85">
        <f>IFERROR(__xludf.DUMMYFUNCTION("""COMPUTED_VALUE"""),27.57)</f>
        <v>27.57</v>
      </c>
      <c r="J386" s="85" t="str">
        <f>IFERROR(__xludf.DUMMYFUNCTION("""COMPUTED_VALUE"""),"算法")</f>
        <v>算法</v>
      </c>
      <c r="L386" s="6">
        <f>COUNTIF('Coder-1'!B:B,A386)</f>
        <v>0</v>
      </c>
      <c r="M386" s="6">
        <f>COUNTIF('Coder-2'!B:B,A386)</f>
        <v>0</v>
      </c>
      <c r="N386" s="6">
        <f>COUNTIF('Coder-3'!B:B,A386)</f>
        <v>0</v>
      </c>
      <c r="O386" s="6">
        <f>COUNTIF('Coder-4'!B:B,A386)</f>
        <v>0</v>
      </c>
    </row>
    <row r="387">
      <c r="A387" s="47">
        <v>135.0</v>
      </c>
      <c r="B387" s="86" t="str">
        <f>IFERROR(__xludf.DUMMYFUNCTION("IF(ISBLANK(A387),,FILTER('Leetcode List'!B:C,'Leetcode List'!A:A = A387))"),"Candy")</f>
        <v>Candy</v>
      </c>
      <c r="C387" s="85" t="str">
        <f>IFERROR(__xludf.DUMMYFUNCTION("""COMPUTED_VALUE"""),"Hard")</f>
        <v>Hard</v>
      </c>
      <c r="D387" s="47" t="s">
        <v>61</v>
      </c>
      <c r="E387" s="90" t="str">
        <f>IFERROR(__xludf.DUMMYFUNCTION("IF(ISBLANK(A387),,FILTER('Leetcode List'!E:J,'Leetcode List'!A:A = A387))"),"Flipkart,Apple,Goldman Sachs,Salesforce,Uber,Amazon,Microsoft,Google")</f>
        <v>Flipkart,Apple,Goldman Sachs,Salesforce,Uber,Amazon,Microsoft,Google</v>
      </c>
      <c r="F387" s="85" t="str">
        <f>IFERROR(__xludf.DUMMYFUNCTION("""COMPUTED_VALUE"""),"Amazon")</f>
        <v>Amazon</v>
      </c>
      <c r="G387" s="85" t="str">
        <f>IFERROR(__xludf.DUMMYFUNCTION("""COMPUTED_VALUE"""),"Apple,Goldman Sachs,Amazon")</f>
        <v>Apple,Goldman Sachs,Amazon</v>
      </c>
      <c r="H387" s="85" t="str">
        <f>IFERROR(__xludf.DUMMYFUNCTION("""COMPUTED_VALUE"""),"Microsoft,Flipkart,Google,Salesforce,Apple,Goldman Sachs,Amazon")</f>
        <v>Microsoft,Flipkart,Google,Salesforce,Apple,Goldman Sachs,Amazon</v>
      </c>
      <c r="I387" s="85">
        <f>IFERROR(__xludf.DUMMYFUNCTION("""COMPUTED_VALUE"""),33.19)</f>
        <v>33.19</v>
      </c>
      <c r="J387" s="85" t="str">
        <f>IFERROR(__xludf.DUMMYFUNCTION("""COMPUTED_VALUE"""),"算法")</f>
        <v>算法</v>
      </c>
      <c r="L387" s="6">
        <f>COUNTIF('Coder-1'!B:B,A387)</f>
        <v>0</v>
      </c>
      <c r="M387" s="6">
        <f>COUNTIF('Coder-2'!B:B,A387)</f>
        <v>0</v>
      </c>
      <c r="N387" s="6">
        <f>COUNTIF('Coder-3'!B:B,A387)</f>
        <v>0</v>
      </c>
      <c r="O387" s="6">
        <f>COUNTIF('Coder-4'!B:B,A387)</f>
        <v>0</v>
      </c>
    </row>
    <row r="388">
      <c r="A388" s="47">
        <v>649.0</v>
      </c>
      <c r="B388" s="86" t="str">
        <f>IFERROR(__xludf.DUMMYFUNCTION("IF(ISBLANK(A388),,FILTER('Leetcode List'!B:C,'Leetcode List'!A:A = A388))"),"Dota2 Senate")</f>
        <v>Dota2 Senate</v>
      </c>
      <c r="C388" s="85" t="str">
        <f>IFERROR(__xludf.DUMMYFUNCTION("""COMPUTED_VALUE"""),"Medium")</f>
        <v>Medium</v>
      </c>
      <c r="D388" s="47" t="s">
        <v>61</v>
      </c>
      <c r="E388" s="90" t="str">
        <f>IFERROR(__xludf.DUMMYFUNCTION("IF(ISBLANK(A388),,FILTER('Leetcode List'!E:J,'Leetcode List'!A:A = A388))"),"Valve")</f>
        <v>Valve</v>
      </c>
      <c r="F388" s="85"/>
      <c r="G388" s="85"/>
      <c r="H388" s="85" t="str">
        <f>IFERROR(__xludf.DUMMYFUNCTION("""COMPUTED_VALUE"""),"Valve")</f>
        <v>Valve</v>
      </c>
      <c r="I388" s="85">
        <f>IFERROR(__xludf.DUMMYFUNCTION("""COMPUTED_VALUE"""),39.42)</f>
        <v>39.42</v>
      </c>
      <c r="J388" s="85" t="str">
        <f>IFERROR(__xludf.DUMMYFUNCTION("""COMPUTED_VALUE"""),"算法")</f>
        <v>算法</v>
      </c>
      <c r="L388" s="6">
        <f>COUNTIF('Coder-1'!B:B,A388)</f>
        <v>0</v>
      </c>
      <c r="M388" s="6">
        <f>COUNTIF('Coder-2'!B:B,A388)</f>
        <v>0</v>
      </c>
      <c r="N388" s="6">
        <f>COUNTIF('Coder-3'!B:B,A388)</f>
        <v>0</v>
      </c>
      <c r="O388" s="6">
        <f>COUNTIF('Coder-4'!B:B,A388)</f>
        <v>0</v>
      </c>
    </row>
    <row r="389">
      <c r="A389" s="47">
        <v>330.0</v>
      </c>
      <c r="B389" s="86" t="str">
        <f>IFERROR(__xludf.DUMMYFUNCTION("IF(ISBLANK(A389),,FILTER('Leetcode List'!B:C,'Leetcode List'!A:A = A389))"),"Patching Array")</f>
        <v>Patching Array</v>
      </c>
      <c r="C389" s="85" t="str">
        <f>IFERROR(__xludf.DUMMYFUNCTION("""COMPUTED_VALUE"""),"Hard")</f>
        <v>Hard</v>
      </c>
      <c r="D389" s="47" t="s">
        <v>61</v>
      </c>
      <c r="E389" s="90" t="str">
        <f>IFERROR(__xludf.DUMMYFUNCTION("IF(ISBLANK(A389),,FILTER('Leetcode List'!E:J,'Leetcode List'!A:A = A389))"),"Google")</f>
        <v>Google</v>
      </c>
      <c r="F389" s="85"/>
      <c r="G389" s="85"/>
      <c r="H389" s="85" t="str">
        <f>IFERROR(__xludf.DUMMYFUNCTION("""COMPUTED_VALUE"""),"Google")</f>
        <v>Google</v>
      </c>
      <c r="I389" s="85">
        <f>IFERROR(__xludf.DUMMYFUNCTION("""COMPUTED_VALUE"""),35.0)</f>
        <v>35</v>
      </c>
      <c r="J389" s="85" t="str">
        <f>IFERROR(__xludf.DUMMYFUNCTION("""COMPUTED_VALUE"""),"算法")</f>
        <v>算法</v>
      </c>
      <c r="L389" s="6">
        <f>COUNTIF('Coder-1'!B:B,A389)</f>
        <v>0</v>
      </c>
      <c r="M389" s="6">
        <f>COUNTIF('Coder-2'!B:B,A389)</f>
        <v>0</v>
      </c>
      <c r="N389" s="6">
        <f>COUNTIF('Coder-3'!B:B,A389)</f>
        <v>0</v>
      </c>
      <c r="O389" s="6">
        <f>COUNTIF('Coder-4'!B:B,A389)</f>
        <v>0</v>
      </c>
    </row>
    <row r="390">
      <c r="A390" s="47">
        <v>683.0</v>
      </c>
      <c r="B390" s="86" t="str">
        <f>IFERROR(__xludf.DUMMYFUNCTION("IF(ISBLANK(A390),,FILTER('Leetcode List'!B:C,'Leetcode List'!A:A = A390))"),"K Empty Slots")</f>
        <v>K Empty Slots</v>
      </c>
      <c r="C390" s="85" t="str">
        <f>IFERROR(__xludf.DUMMYFUNCTION("""COMPUTED_VALUE"""),"Hard")</f>
        <v>Hard</v>
      </c>
      <c r="D390" s="47" t="s">
        <v>61</v>
      </c>
      <c r="E390" s="90" t="str">
        <f>IFERROR(__xludf.DUMMYFUNCTION("IF(ISBLANK(A390),,FILTER('Leetcode List'!E:J,'Leetcode List'!A:A = A390))"),"Amazon,Google")</f>
        <v>Amazon,Google</v>
      </c>
      <c r="F390" s="85"/>
      <c r="G390" s="85"/>
      <c r="H390" s="85" t="str">
        <f>IFERROR(__xludf.DUMMYFUNCTION("""COMPUTED_VALUE"""),"Google")</f>
        <v>Google</v>
      </c>
      <c r="I390" s="85">
        <f>IFERROR(__xludf.DUMMYFUNCTION("""COMPUTED_VALUE"""),36.07)</f>
        <v>36.07</v>
      </c>
      <c r="J390" s="85" t="str">
        <f>IFERROR(__xludf.DUMMYFUNCTION("""COMPUTED_VALUE"""),"算法")</f>
        <v>算法</v>
      </c>
      <c r="L390" s="6">
        <f>COUNTIF('Coder-1'!B:B,A390)</f>
        <v>0</v>
      </c>
      <c r="M390" s="6">
        <f>COUNTIF('Coder-2'!B:B,A390)</f>
        <v>0</v>
      </c>
      <c r="N390" s="6">
        <f>COUNTIF('Coder-3'!B:B,A390)</f>
        <v>0</v>
      </c>
      <c r="O390" s="6">
        <f>COUNTIF('Coder-4'!B:B,A390)</f>
        <v>0</v>
      </c>
    </row>
    <row r="391">
      <c r="A391" s="47">
        <v>517.0</v>
      </c>
      <c r="B391" s="86" t="str">
        <f>IFERROR(__xludf.DUMMYFUNCTION("IF(ISBLANK(A391),,FILTER('Leetcode List'!B:C,'Leetcode List'!A:A = A391))"),"Super Washing Machines")</f>
        <v>Super Washing Machines</v>
      </c>
      <c r="C391" s="85" t="str">
        <f>IFERROR(__xludf.DUMMYFUNCTION("""COMPUTED_VALUE"""),"Hard")</f>
        <v>Hard</v>
      </c>
      <c r="D391" s="47" t="s">
        <v>61</v>
      </c>
      <c r="E391" s="90" t="str">
        <f>IFERROR(__xludf.DUMMYFUNCTION("IF(ISBLANK(A391),,FILTER('Leetcode List'!E:J,'Leetcode List'!A:A = A391))"),"Amazon")</f>
        <v>Amazon</v>
      </c>
      <c r="F391" s="85"/>
      <c r="G391" s="85"/>
      <c r="H391" s="85" t="str">
        <f>IFERROR(__xludf.DUMMYFUNCTION("""COMPUTED_VALUE"""),"Amazon")</f>
        <v>Amazon</v>
      </c>
      <c r="I391" s="85">
        <f>IFERROR(__xludf.DUMMYFUNCTION("""COMPUTED_VALUE"""),38.64)</f>
        <v>38.64</v>
      </c>
      <c r="J391" s="85" t="str">
        <f>IFERROR(__xludf.DUMMYFUNCTION("""COMPUTED_VALUE"""),"算法")</f>
        <v>算法</v>
      </c>
      <c r="L391" s="6">
        <f>COUNTIF('Coder-1'!B:B,A391)</f>
        <v>0</v>
      </c>
      <c r="M391" s="6">
        <f>COUNTIF('Coder-2'!B:B,A391)</f>
        <v>0</v>
      </c>
      <c r="N391" s="6">
        <f>COUNTIF('Coder-3'!B:B,A391)</f>
        <v>0</v>
      </c>
      <c r="O391" s="6">
        <f>COUNTIF('Coder-4'!B:B,A391)</f>
        <v>0</v>
      </c>
    </row>
    <row r="392">
      <c r="A392" s="47">
        <v>881.0</v>
      </c>
      <c r="B392" s="86" t="str">
        <f>IFERROR(__xludf.DUMMYFUNCTION("IF(ISBLANK(A392),,FILTER('Leetcode List'!B:C,'Leetcode List'!A:A = A392))"),"Boats to Save People")</f>
        <v>Boats to Save People</v>
      </c>
      <c r="C392" s="85" t="str">
        <f>IFERROR(__xludf.DUMMYFUNCTION("""COMPUTED_VALUE"""),"Medium")</f>
        <v>Medium</v>
      </c>
      <c r="D392" s="47" t="s">
        <v>61</v>
      </c>
      <c r="E392" s="90" t="str">
        <f>IFERROR(__xludf.DUMMYFUNCTION("IF(ISBLANK(A392),,FILTER('Leetcode List'!E:J,'Leetcode List'!A:A = A392))"),"Roblox,Paypal,FactSet,Amazon,Google")</f>
        <v>Roblox,Paypal,FactSet,Amazon,Google</v>
      </c>
      <c r="F392" s="85" t="str">
        <f>IFERROR(__xludf.DUMMYFUNCTION("""COMPUTED_VALUE"""),"Roblox,Paypal")</f>
        <v>Roblox,Paypal</v>
      </c>
      <c r="G392" s="85" t="str">
        <f>IFERROR(__xludf.DUMMYFUNCTION("""COMPUTED_VALUE"""),"Amazon,Roblox,Paypal")</f>
        <v>Amazon,Roblox,Paypal</v>
      </c>
      <c r="H392" s="85" t="str">
        <f>IFERROR(__xludf.DUMMYFUNCTION("""COMPUTED_VALUE"""),"FactSet,Amazon,Roblox,Paypal")</f>
        <v>FactSet,Amazon,Roblox,Paypal</v>
      </c>
      <c r="I392" s="85">
        <f>IFERROR(__xludf.DUMMYFUNCTION("""COMPUTED_VALUE"""),48.98)</f>
        <v>48.98</v>
      </c>
      <c r="J392" s="85" t="str">
        <f>IFERROR(__xludf.DUMMYFUNCTION("""COMPUTED_VALUE"""),"算法")</f>
        <v>算法</v>
      </c>
      <c r="L392" s="6">
        <f>COUNTIF('Coder-1'!B:B,A392)</f>
        <v>0</v>
      </c>
      <c r="M392" s="6">
        <f>COUNTIF('Coder-2'!B:B,A392)</f>
        <v>0</v>
      </c>
      <c r="N392" s="6">
        <f>COUNTIF('Coder-3'!B:B,A392)</f>
        <v>0</v>
      </c>
      <c r="O392" s="6">
        <f>COUNTIF('Coder-4'!B:B,A392)</f>
        <v>0</v>
      </c>
    </row>
    <row r="393">
      <c r="A393" s="47">
        <v>910.0</v>
      </c>
      <c r="B393" s="86" t="str">
        <f>IFERROR(__xludf.DUMMYFUNCTION("IF(ISBLANK(A393),,FILTER('Leetcode List'!B:C,'Leetcode List'!A:A = A393))"),"Smallest Range II")</f>
        <v>Smallest Range II</v>
      </c>
      <c r="C393" s="85" t="str">
        <f>IFERROR(__xludf.DUMMYFUNCTION("""COMPUTED_VALUE"""),"Medium")</f>
        <v>Medium</v>
      </c>
      <c r="D393" s="47" t="s">
        <v>61</v>
      </c>
      <c r="E393" s="90" t="str">
        <f>IFERROR(__xludf.DUMMYFUNCTION("IF(ISBLANK(A393),,FILTER('Leetcode List'!E:J,'Leetcode List'!A:A = A393))"),"Adobe")</f>
        <v>Adobe</v>
      </c>
      <c r="F393" s="85"/>
      <c r="G393" s="85"/>
      <c r="H393" s="85" t="str">
        <f>IFERROR(__xludf.DUMMYFUNCTION("""COMPUTED_VALUE"""),"Adobe")</f>
        <v>Adobe</v>
      </c>
      <c r="I393" s="85">
        <f>IFERROR(__xludf.DUMMYFUNCTION("""COMPUTED_VALUE"""),31.23)</f>
        <v>31.23</v>
      </c>
      <c r="J393" s="85" t="str">
        <f>IFERROR(__xludf.DUMMYFUNCTION("""COMPUTED_VALUE"""),"算法")</f>
        <v>算法</v>
      </c>
      <c r="L393" s="6">
        <f>COUNTIF('Coder-1'!B:B,A393)</f>
        <v>0</v>
      </c>
      <c r="M393" s="6">
        <f>COUNTIF('Coder-2'!B:B,A393)</f>
        <v>0</v>
      </c>
      <c r="N393" s="6">
        <f>COUNTIF('Coder-3'!B:B,A393)</f>
        <v>0</v>
      </c>
      <c r="O393" s="6">
        <f>COUNTIF('Coder-4'!B:B,A393)</f>
        <v>0</v>
      </c>
    </row>
    <row r="394">
      <c r="A394" s="47">
        <v>936.0</v>
      </c>
      <c r="B394" s="86" t="str">
        <f>IFERROR(__xludf.DUMMYFUNCTION("IF(ISBLANK(A394),,FILTER('Leetcode List'!B:C,'Leetcode List'!A:A = A394))"),"Stamping The Sequence")</f>
        <v>Stamping The Sequence</v>
      </c>
      <c r="C394" s="85" t="str">
        <f>IFERROR(__xludf.DUMMYFUNCTION("""COMPUTED_VALUE"""),"Hard")</f>
        <v>Hard</v>
      </c>
      <c r="D394" s="47" t="s">
        <v>61</v>
      </c>
      <c r="E394" s="90" t="str">
        <f>IFERROR(__xludf.DUMMYFUNCTION("IF(ISBLANK(A394),,FILTER('Leetcode List'!E:J,'Leetcode List'!A:A = A394))"),"Uber,Facebook,Google")</f>
        <v>Uber,Facebook,Google</v>
      </c>
      <c r="F394" s="85"/>
      <c r="G394" s="85" t="str">
        <f>IFERROR(__xludf.DUMMYFUNCTION("""COMPUTED_VALUE"""),"Facebook")</f>
        <v>Facebook</v>
      </c>
      <c r="H394" s="85" t="str">
        <f>IFERROR(__xludf.DUMMYFUNCTION("""COMPUTED_VALUE"""),"Uber,Facebook")</f>
        <v>Uber,Facebook</v>
      </c>
      <c r="I394" s="85">
        <f>IFERROR(__xludf.DUMMYFUNCTION("""COMPUTED_VALUE"""),47.54)</f>
        <v>47.54</v>
      </c>
      <c r="J394" s="85" t="str">
        <f>IFERROR(__xludf.DUMMYFUNCTION("""COMPUTED_VALUE"""),"算法")</f>
        <v>算法</v>
      </c>
      <c r="L394" s="6">
        <f>COUNTIF('Coder-1'!B:B,A394)</f>
        <v>0</v>
      </c>
      <c r="M394" s="6">
        <f>COUNTIF('Coder-2'!B:B,A394)</f>
        <v>0</v>
      </c>
      <c r="N394" s="6">
        <f>COUNTIF('Coder-3'!B:B,A394)</f>
        <v>0</v>
      </c>
      <c r="O394" s="6">
        <f>COUNTIF('Coder-4'!B:B,A394)</f>
        <v>0</v>
      </c>
    </row>
    <row r="395">
      <c r="A395" s="47">
        <v>948.0</v>
      </c>
      <c r="B395" s="86" t="str">
        <f>IFERROR(__xludf.DUMMYFUNCTION("IF(ISBLANK(A395),,FILTER('Leetcode List'!B:C,'Leetcode List'!A:A = A395))"),"Bag of Tokens")</f>
        <v>Bag of Tokens</v>
      </c>
      <c r="C395" s="85" t="str">
        <f>IFERROR(__xludf.DUMMYFUNCTION("""COMPUTED_VALUE"""),"Medium")</f>
        <v>Medium</v>
      </c>
      <c r="D395" s="47" t="s">
        <v>61</v>
      </c>
      <c r="E395" s="90" t="str">
        <f>IFERROR(__xludf.DUMMYFUNCTION("IF(ISBLANK(A395),,FILTER('Leetcode List'!E:J,'Leetcode List'!A:A = A395))"),"Google")</f>
        <v>Google</v>
      </c>
      <c r="F395" s="85"/>
      <c r="G395" s="85"/>
      <c r="H395" s="85" t="str">
        <f>IFERROR(__xludf.DUMMYFUNCTION("""COMPUTED_VALUE"""),"Google")</f>
        <v>Google</v>
      </c>
      <c r="I395" s="85">
        <f>IFERROR(__xludf.DUMMYFUNCTION("""COMPUTED_VALUE"""),46.13)</f>
        <v>46.13</v>
      </c>
      <c r="J395" s="85" t="str">
        <f>IFERROR(__xludf.DUMMYFUNCTION("""COMPUTED_VALUE"""),"算法")</f>
        <v>算法</v>
      </c>
      <c r="L395" s="6">
        <f>COUNTIF('Coder-1'!B:B,A395)</f>
        <v>0</v>
      </c>
      <c r="M395" s="6">
        <f>COUNTIF('Coder-2'!B:B,A395)</f>
        <v>0</v>
      </c>
      <c r="N395" s="6">
        <f>COUNTIF('Coder-3'!B:B,A395)</f>
        <v>0</v>
      </c>
      <c r="O395" s="6">
        <f>COUNTIF('Coder-4'!B:B,A395)</f>
        <v>0</v>
      </c>
    </row>
    <row r="396">
      <c r="A396" s="47">
        <v>968.0</v>
      </c>
      <c r="B396" s="86" t="str">
        <f>IFERROR(__xludf.DUMMYFUNCTION("IF(ISBLANK(A396),,FILTER('Leetcode List'!B:C,'Leetcode List'!A:A = A396))"),"Binary Tree Cameras")</f>
        <v>Binary Tree Cameras</v>
      </c>
      <c r="C396" s="85" t="str">
        <f>IFERROR(__xludf.DUMMYFUNCTION("""COMPUTED_VALUE"""),"Hard")</f>
        <v>Hard</v>
      </c>
      <c r="D396" s="47" t="s">
        <v>61</v>
      </c>
      <c r="E396" s="90" t="str">
        <f>IFERROR(__xludf.DUMMYFUNCTION("IF(ISBLANK(A396),,FILTER('Leetcode List'!E:J,'Leetcode List'!A:A = A396))"),"Flipkart,FactSet,Bloomberg,Amazon,Microsoft,EBay,Uber,Facebook,Google")</f>
        <v>Flipkart,FactSet,Bloomberg,Amazon,Microsoft,EBay,Uber,Facebook,Google</v>
      </c>
      <c r="F396" s="85" t="str">
        <f>IFERROR(__xludf.DUMMYFUNCTION("""COMPUTED_VALUE"""),"Google,Flipkart,Microsoft")</f>
        <v>Google,Flipkart,Microsoft</v>
      </c>
      <c r="G396" s="85" t="str">
        <f>IFERROR(__xludf.DUMMYFUNCTION("""COMPUTED_VALUE"""),"eBay,FactSet,Google,Flipkart,Microsoft")</f>
        <v>eBay,FactSet,Google,Flipkart,Microsoft</v>
      </c>
      <c r="H396" s="85" t="str">
        <f>IFERROR(__xludf.DUMMYFUNCTION("""COMPUTED_VALUE"""),"Uber,Bloomberg,Amazon,Facebook,eBay,FactSet,Google,Flipkart,Microsoft")</f>
        <v>Uber,Bloomberg,Amazon,Facebook,eBay,FactSet,Google,Flipkart,Microsoft</v>
      </c>
      <c r="I396" s="85">
        <f>IFERROR(__xludf.DUMMYFUNCTION("""COMPUTED_VALUE"""),38.83)</f>
        <v>38.83</v>
      </c>
      <c r="J396" s="85" t="str">
        <f>IFERROR(__xludf.DUMMYFUNCTION("""COMPUTED_VALUE"""),"算法")</f>
        <v>算法</v>
      </c>
      <c r="L396" s="6">
        <f>COUNTIF('Coder-1'!B:B,A396)</f>
        <v>0</v>
      </c>
      <c r="M396" s="6">
        <f>COUNTIF('Coder-2'!B:B,A396)</f>
        <v>0</v>
      </c>
      <c r="N396" s="6">
        <f>COUNTIF('Coder-3'!B:B,A396)</f>
        <v>0</v>
      </c>
      <c r="O396" s="6">
        <f>COUNTIF('Coder-4'!B:B,A396)</f>
        <v>0</v>
      </c>
    </row>
    <row r="397">
      <c r="A397" s="47">
        <v>955.0</v>
      </c>
      <c r="B397" s="86" t="str">
        <f>IFERROR(__xludf.DUMMYFUNCTION("IF(ISBLANK(A397),,FILTER('Leetcode List'!B:C,'Leetcode List'!A:A = A397))"),"Delete Columns to Make Sorted II")</f>
        <v>Delete Columns to Make Sorted II</v>
      </c>
      <c r="C397" s="85" t="str">
        <f>IFERROR(__xludf.DUMMYFUNCTION("""COMPUTED_VALUE"""),"Medium")</f>
        <v>Medium</v>
      </c>
      <c r="D397" s="47" t="s">
        <v>61</v>
      </c>
      <c r="E397" s="90" t="str">
        <f>IFERROR(__xludf.DUMMYFUNCTION("IF(ISBLANK(A397),,FILTER('Leetcode List'!E:J,'Leetcode List'!A:A = A397))"),"Google")</f>
        <v>Google</v>
      </c>
      <c r="F397" s="85"/>
      <c r="G397" s="85"/>
      <c r="H397" s="85" t="str">
        <f>IFERROR(__xludf.DUMMYFUNCTION("""COMPUTED_VALUE"""),"Google")</f>
        <v>Google</v>
      </c>
      <c r="I397" s="85">
        <f>IFERROR(__xludf.DUMMYFUNCTION("""COMPUTED_VALUE"""),33.88)</f>
        <v>33.88</v>
      </c>
      <c r="J397" s="85" t="str">
        <f>IFERROR(__xludf.DUMMYFUNCTION("""COMPUTED_VALUE"""),"算法")</f>
        <v>算法</v>
      </c>
      <c r="L397" s="6">
        <f>COUNTIF('Coder-1'!B:B,A397)</f>
        <v>0</v>
      </c>
      <c r="M397" s="6">
        <f>COUNTIF('Coder-2'!B:B,A397)</f>
        <v>0</v>
      </c>
      <c r="N397" s="6">
        <f>COUNTIF('Coder-3'!B:B,A397)</f>
        <v>0</v>
      </c>
      <c r="O397" s="6">
        <f>COUNTIF('Coder-4'!B:B,A397)</f>
        <v>0</v>
      </c>
    </row>
    <row r="398">
      <c r="A398" s="47">
        <v>1040.0</v>
      </c>
      <c r="B398" s="86" t="str">
        <f>IFERROR(__xludf.DUMMYFUNCTION("IF(ISBLANK(A398),,FILTER('Leetcode List'!B:C,'Leetcode List'!A:A = A398))"),"Moving Stones Until Consecutive II")</f>
        <v>Moving Stones Until Consecutive II</v>
      </c>
      <c r="C398" s="85" t="str">
        <f>IFERROR(__xludf.DUMMYFUNCTION("""COMPUTED_VALUE"""),"Medium")</f>
        <v>Medium</v>
      </c>
      <c r="D398" s="47" t="s">
        <v>61</v>
      </c>
      <c r="E398" s="90" t="str">
        <f>IFERROR(__xludf.DUMMYFUNCTION("IF(ISBLANK(A398),,FILTER('Leetcode List'!E:J,'Leetcode List'!A:A = A398))"),"Facebook")</f>
        <v>Facebook</v>
      </c>
      <c r="F398" s="85"/>
      <c r="G398" s="85"/>
      <c r="H398" s="85" t="str">
        <f>IFERROR(__xludf.DUMMYFUNCTION("""COMPUTED_VALUE"""),"Facebook")</f>
        <v>Facebook</v>
      </c>
      <c r="I398" s="85">
        <f>IFERROR(__xludf.DUMMYFUNCTION("""COMPUTED_VALUE"""),54.06)</f>
        <v>54.06</v>
      </c>
      <c r="J398" s="85" t="str">
        <f>IFERROR(__xludf.DUMMYFUNCTION("""COMPUTED_VALUE"""),"算法")</f>
        <v>算法</v>
      </c>
    </row>
    <row r="399">
      <c r="A399" s="47">
        <v>1055.0</v>
      </c>
      <c r="B399" s="86" t="str">
        <f>IFERROR(__xludf.DUMMYFUNCTION("IF(ISBLANK(A399),,FILTER('Leetcode List'!B:C,'Leetcode List'!A:A = A399))"),"Shortest Way to Form String")</f>
        <v>Shortest Way to Form String</v>
      </c>
      <c r="C399" s="85" t="str">
        <f>IFERROR(__xludf.DUMMYFUNCTION("""COMPUTED_VALUE"""),"Medium")</f>
        <v>Medium</v>
      </c>
      <c r="D399" s="47" t="s">
        <v>61</v>
      </c>
      <c r="E399" s="90" t="str">
        <f>IFERROR(__xludf.DUMMYFUNCTION("IF(ISBLANK(A399),,FILTER('Leetcode List'!E:J,'Leetcode List'!A:A = A399))"),"Facebook,Google")</f>
        <v>Facebook,Google</v>
      </c>
      <c r="F399" s="85"/>
      <c r="G399" s="85" t="str">
        <f>IFERROR(__xludf.DUMMYFUNCTION("""COMPUTED_VALUE"""),"Facebook")</f>
        <v>Facebook</v>
      </c>
      <c r="H399" s="85" t="str">
        <f>IFERROR(__xludf.DUMMYFUNCTION("""COMPUTED_VALUE"""),"Google,Facebook")</f>
        <v>Google,Facebook</v>
      </c>
      <c r="I399" s="85">
        <f>IFERROR(__xludf.DUMMYFUNCTION("""COMPUTED_VALUE"""),57.22)</f>
        <v>57.22</v>
      </c>
      <c r="J399" s="85" t="str">
        <f>IFERROR(__xludf.DUMMYFUNCTION("""COMPUTED_VALUE"""),"算法")</f>
        <v>算法</v>
      </c>
    </row>
    <row r="400">
      <c r="A400" s="47">
        <v>1121.0</v>
      </c>
      <c r="B400" s="86" t="str">
        <f>IFERROR(__xludf.DUMMYFUNCTION("IF(ISBLANK(A400),,FILTER('Leetcode List'!B:C,'Leetcode List'!A:A = A400))"),"Divide Array Into Increasing Sequences")</f>
        <v>Divide Array Into Increasing Sequences</v>
      </c>
      <c r="C400" s="85" t="str">
        <f>IFERROR(__xludf.DUMMYFUNCTION("""COMPUTED_VALUE"""),"Hard")</f>
        <v>Hard</v>
      </c>
      <c r="D400" s="47" t="s">
        <v>61</v>
      </c>
      <c r="E400" s="90" t="str">
        <f>IFERROR(__xludf.DUMMYFUNCTION("IF(ISBLANK(A400),,FILTER('Leetcode List'!E:J,'Leetcode List'!A:A = A400))"),"Google")</f>
        <v>Google</v>
      </c>
      <c r="F400" s="85"/>
      <c r="G400" s="85"/>
      <c r="H400" s="85" t="str">
        <f>IFERROR(__xludf.DUMMYFUNCTION("""COMPUTED_VALUE"""),"Google")</f>
        <v>Google</v>
      </c>
      <c r="I400" s="85">
        <f>IFERROR(__xludf.DUMMYFUNCTION("""COMPUTED_VALUE"""),58.22)</f>
        <v>58.22</v>
      </c>
      <c r="J400" s="85" t="str">
        <f>IFERROR(__xludf.DUMMYFUNCTION("""COMPUTED_VALUE"""),"算法")</f>
        <v>算法</v>
      </c>
    </row>
    <row r="401">
      <c r="A401" s="47">
        <v>1191.0</v>
      </c>
      <c r="B401" s="86" t="str">
        <f>IFERROR(__xludf.DUMMYFUNCTION("IF(ISBLANK(A401),,FILTER('Leetcode List'!B:C,'Leetcode List'!A:A = A401))"),"K-Concatenation Maximum Sum")</f>
        <v>K-Concatenation Maximum Sum</v>
      </c>
      <c r="C401" s="85" t="str">
        <f>IFERROR(__xludf.DUMMYFUNCTION("""COMPUTED_VALUE"""),"Medium")</f>
        <v>Medium</v>
      </c>
      <c r="D401" s="47" t="s">
        <v>61</v>
      </c>
      <c r="E401" s="90" t="str">
        <f>IFERROR(__xludf.DUMMYFUNCTION("IF(ISBLANK(A401),,FILTER('Leetcode List'!E:J,'Leetcode List'!A:A = A401))"),"American Express")</f>
        <v>American Express</v>
      </c>
      <c r="F401" s="85"/>
      <c r="G401" s="85"/>
      <c r="H401" s="85" t="str">
        <f>IFERROR(__xludf.DUMMYFUNCTION("""COMPUTED_VALUE"""),"American Express")</f>
        <v>American Express</v>
      </c>
      <c r="I401" s="85">
        <f>IFERROR(__xludf.DUMMYFUNCTION("""COMPUTED_VALUE"""),25.13)</f>
        <v>25.13</v>
      </c>
      <c r="J401" s="85" t="str">
        <f>IFERROR(__xludf.DUMMYFUNCTION("""COMPUTED_VALUE"""),"算法")</f>
        <v>算法</v>
      </c>
    </row>
    <row r="402">
      <c r="A402" s="47">
        <v>1253.0</v>
      </c>
      <c r="B402" s="86" t="str">
        <f>IFERROR(__xludf.DUMMYFUNCTION("IF(ISBLANK(A402),,FILTER('Leetcode List'!B:C,'Leetcode List'!A:A = A402))"),"Reconstruct a 2-Row Binary Matrix")</f>
        <v>Reconstruct a 2-Row Binary Matrix</v>
      </c>
      <c r="C402" s="85" t="str">
        <f>IFERROR(__xludf.DUMMYFUNCTION("""COMPUTED_VALUE"""),"Medium")</f>
        <v>Medium</v>
      </c>
      <c r="D402" s="47" t="s">
        <v>61</v>
      </c>
      <c r="E402" s="90" t="str">
        <f>IFERROR(__xludf.DUMMYFUNCTION("IF(ISBLANK(A402),,FILTER('Leetcode List'!E:J,'Leetcode List'!A:A = A402))"),"Grab")</f>
        <v>Grab</v>
      </c>
      <c r="F402" s="85"/>
      <c r="G402" s="85"/>
      <c r="H402" s="85" t="str">
        <f>IFERROR(__xludf.DUMMYFUNCTION("""COMPUTED_VALUE"""),"Grab")</f>
        <v>Grab</v>
      </c>
      <c r="I402" s="85">
        <f>IFERROR(__xludf.DUMMYFUNCTION("""COMPUTED_VALUE"""),41.7)</f>
        <v>41.7</v>
      </c>
      <c r="J402" s="85" t="str">
        <f>IFERROR(__xludf.DUMMYFUNCTION("""COMPUTED_VALUE"""),"算法")</f>
        <v>算法</v>
      </c>
    </row>
    <row r="403">
      <c r="A403" s="47">
        <v>1354.0</v>
      </c>
      <c r="B403" s="86" t="str">
        <f>IFERROR(__xludf.DUMMYFUNCTION("IF(ISBLANK(A403),,FILTER('Leetcode List'!B:C,'Leetcode List'!A:A = A403))"),"Construct Target Array With Multiple Sums")</f>
        <v>Construct Target Array With Multiple Sums</v>
      </c>
      <c r="C403" s="85" t="str">
        <f>IFERROR(__xludf.DUMMYFUNCTION("""COMPUTED_VALUE"""),"Hard")</f>
        <v>Hard</v>
      </c>
      <c r="D403" s="47" t="s">
        <v>61</v>
      </c>
      <c r="E403" s="90" t="str">
        <f>IFERROR(__xludf.DUMMYFUNCTION("IF(ISBLANK(A403),,FILTER('Leetcode List'!E:J,'Leetcode List'!A:A = A403))"),"Quora")</f>
        <v>Quora</v>
      </c>
      <c r="F403" s="85" t="str">
        <f>IFERROR(__xludf.DUMMYFUNCTION("""COMPUTED_VALUE"""),"Quora")</f>
        <v>Quora</v>
      </c>
      <c r="G403" s="85" t="str">
        <f>IFERROR(__xludf.DUMMYFUNCTION("""COMPUTED_VALUE"""),"Quora")</f>
        <v>Quora</v>
      </c>
      <c r="H403" s="85" t="str">
        <f>IFERROR(__xludf.DUMMYFUNCTION("""COMPUTED_VALUE"""),"Quora")</f>
        <v>Quora</v>
      </c>
      <c r="I403" s="85">
        <f>IFERROR(__xludf.DUMMYFUNCTION("""COMPUTED_VALUE"""),31.3)</f>
        <v>31.3</v>
      </c>
      <c r="J403" s="85" t="str">
        <f>IFERROR(__xludf.DUMMYFUNCTION("""COMPUTED_VALUE"""),"算法")</f>
        <v>算法</v>
      </c>
    </row>
    <row r="404">
      <c r="A404" s="47">
        <v>1414.0</v>
      </c>
      <c r="B404" s="86" t="str">
        <f>IFERROR(__xludf.DUMMYFUNCTION("IF(ISBLANK(A404),,FILTER('Leetcode List'!B:C,'Leetcode List'!A:A = A404))"),"Find the Minimum Number of Fibonacci Numbers Whose Sum Is K")</f>
        <v>Find the Minimum Number of Fibonacci Numbers Whose Sum Is K</v>
      </c>
      <c r="C404" s="85" t="str">
        <f>IFERROR(__xludf.DUMMYFUNCTION("""COMPUTED_VALUE"""),"Medium")</f>
        <v>Medium</v>
      </c>
      <c r="D404" s="47" t="s">
        <v>61</v>
      </c>
      <c r="E404" s="90" t="str">
        <f>IFERROR(__xludf.DUMMYFUNCTION("IF(ISBLANK(A404),,FILTER('Leetcode List'!E:J,'Leetcode List'!A:A = A404))"),"Google")</f>
        <v>Google</v>
      </c>
      <c r="F404" s="85"/>
      <c r="G404" s="85"/>
      <c r="H404" s="85" t="str">
        <f>IFERROR(__xludf.DUMMYFUNCTION("""COMPUTED_VALUE"""),"Google")</f>
        <v>Google</v>
      </c>
      <c r="I404" s="85">
        <f>IFERROR(__xludf.DUMMYFUNCTION("""COMPUTED_VALUE"""),63.21)</f>
        <v>63.21</v>
      </c>
      <c r="J404" s="85" t="str">
        <f>IFERROR(__xludf.DUMMYFUNCTION("""COMPUTED_VALUE"""),"算法")</f>
        <v>算法</v>
      </c>
    </row>
    <row r="405">
      <c r="A405" s="47">
        <v>1488.0</v>
      </c>
      <c r="B405" s="86" t="str">
        <f>IFERROR(__xludf.DUMMYFUNCTION("IF(ISBLANK(A405),,FILTER('Leetcode List'!B:C,'Leetcode List'!A:A = A405))"),"Avoid Flood in The City")</f>
        <v>Avoid Flood in The City</v>
      </c>
      <c r="C405" s="85" t="str">
        <f>IFERROR(__xludf.DUMMYFUNCTION("""COMPUTED_VALUE"""),"Medium")</f>
        <v>Medium</v>
      </c>
      <c r="D405" s="47" t="s">
        <v>61</v>
      </c>
      <c r="E405" s="90" t="str">
        <f>IFERROR(__xludf.DUMMYFUNCTION("IF(ISBLANK(A405),,FILTER('Leetcode List'!E:J,'Leetcode List'!A:A = A405))"),"Google")</f>
        <v>Google</v>
      </c>
      <c r="F405" s="85"/>
      <c r="G405" s="85"/>
      <c r="H405" s="85" t="str">
        <f>IFERROR(__xludf.DUMMYFUNCTION("""COMPUTED_VALUE"""),"Google")</f>
        <v>Google</v>
      </c>
      <c r="I405" s="85">
        <f>IFERROR(__xludf.DUMMYFUNCTION("""COMPUTED_VALUE"""),24.48)</f>
        <v>24.48</v>
      </c>
      <c r="J405" s="85" t="str">
        <f>IFERROR(__xludf.DUMMYFUNCTION("""COMPUTED_VALUE"""),"算法")</f>
        <v>算法</v>
      </c>
    </row>
    <row r="406">
      <c r="A406" s="47">
        <v>1505.0</v>
      </c>
      <c r="B406" s="86" t="str">
        <f>IFERROR(__xludf.DUMMYFUNCTION("IF(ISBLANK(A406),,FILTER('Leetcode List'!B:C,'Leetcode List'!A:A = A406))"),"Minimum Possible Integer After at Most K Adjacent Swaps On Digits")</f>
        <v>Minimum Possible Integer After at Most K Adjacent Swaps On Digits</v>
      </c>
      <c r="C406" s="85" t="str">
        <f>IFERROR(__xludf.DUMMYFUNCTION("""COMPUTED_VALUE"""),"Hard")</f>
        <v>Hard</v>
      </c>
      <c r="D406" s="47" t="s">
        <v>61</v>
      </c>
      <c r="E406" s="90" t="str">
        <f>IFERROR(__xludf.DUMMYFUNCTION("IF(ISBLANK(A406),,FILTER('Leetcode List'!E:J,'Leetcode List'!A:A = A406))"),"Amazon")</f>
        <v>Amazon</v>
      </c>
      <c r="F406" s="85"/>
      <c r="G406" s="85" t="str">
        <f>IFERROR(__xludf.DUMMYFUNCTION("""COMPUTED_VALUE"""),"Amazon")</f>
        <v>Amazon</v>
      </c>
      <c r="H406" s="85" t="str">
        <f>IFERROR(__xludf.DUMMYFUNCTION("""COMPUTED_VALUE"""),"Amazon")</f>
        <v>Amazon</v>
      </c>
      <c r="I406" s="85">
        <f>IFERROR(__xludf.DUMMYFUNCTION("""COMPUTED_VALUE"""),36.62)</f>
        <v>36.62</v>
      </c>
      <c r="J406" s="85" t="str">
        <f>IFERROR(__xludf.DUMMYFUNCTION("""COMPUTED_VALUE"""),"算法")</f>
        <v>算法</v>
      </c>
    </row>
    <row r="407">
      <c r="A407" s="47">
        <v>1526.0</v>
      </c>
      <c r="B407" s="86" t="str">
        <f>IFERROR(__xludf.DUMMYFUNCTION("IF(ISBLANK(A407),,FILTER('Leetcode List'!B:C,'Leetcode List'!A:A = A407))"),"Minimum Number of Increments on Subarrays to Form a Target Array")</f>
        <v>Minimum Number of Increments on Subarrays to Form a Target Array</v>
      </c>
      <c r="C407" s="85" t="str">
        <f>IFERROR(__xludf.DUMMYFUNCTION("""COMPUTED_VALUE"""),"Hard")</f>
        <v>Hard</v>
      </c>
      <c r="D407" s="47" t="s">
        <v>61</v>
      </c>
      <c r="E407" s="90" t="str">
        <f>IFERROR(__xludf.DUMMYFUNCTION("IF(ISBLANK(A407),,FILTER('Leetcode List'!E:J,'Leetcode List'!A:A = A407))"),"Google")</f>
        <v>Google</v>
      </c>
      <c r="F407" s="85"/>
      <c r="G407" s="85"/>
      <c r="H407" s="85" t="str">
        <f>IFERROR(__xludf.DUMMYFUNCTION("""COMPUTED_VALUE"""),"Google")</f>
        <v>Google</v>
      </c>
      <c r="I407" s="85">
        <f>IFERROR(__xludf.DUMMYFUNCTION("""COMPUTED_VALUE"""),60.01)</f>
        <v>60.01</v>
      </c>
      <c r="J407" s="85" t="str">
        <f>IFERROR(__xludf.DUMMYFUNCTION("""COMPUTED_VALUE"""),"算法")</f>
        <v>算法</v>
      </c>
    </row>
    <row r="408">
      <c r="A408" s="47">
        <v>1535.0</v>
      </c>
      <c r="B408" s="86" t="str">
        <f>IFERROR(__xludf.DUMMYFUNCTION("IF(ISBLANK(A408),,FILTER('Leetcode List'!B:C,'Leetcode List'!A:A = A408))"),"Find the Winner of an Array Game")</f>
        <v>Find the Winner of an Array Game</v>
      </c>
      <c r="C408" s="85" t="str">
        <f>IFERROR(__xludf.DUMMYFUNCTION("""COMPUTED_VALUE"""),"Medium")</f>
        <v>Medium</v>
      </c>
      <c r="D408" s="47" t="s">
        <v>61</v>
      </c>
      <c r="E408" s="90" t="str">
        <f>IFERROR(__xludf.DUMMYFUNCTION("IF(ISBLANK(A408),,FILTER('Leetcode List'!E:J,'Leetcode List'!A:A = A408))"),"Directi")</f>
        <v>Directi</v>
      </c>
      <c r="F408" s="85"/>
      <c r="G408" s="85"/>
      <c r="H408" s="85" t="str">
        <f>IFERROR(__xludf.DUMMYFUNCTION("""COMPUTED_VALUE"""),"Directi")</f>
        <v>Directi</v>
      </c>
      <c r="I408" s="85">
        <f>IFERROR(__xludf.DUMMYFUNCTION("""COMPUTED_VALUE"""),47.6)</f>
        <v>47.6</v>
      </c>
      <c r="J408" s="85" t="str">
        <f>IFERROR(__xludf.DUMMYFUNCTION("""COMPUTED_VALUE"""),"算法")</f>
        <v>算法</v>
      </c>
    </row>
    <row r="409">
      <c r="A409" s="47">
        <v>1536.0</v>
      </c>
      <c r="B409" s="86" t="str">
        <f>IFERROR(__xludf.DUMMYFUNCTION("IF(ISBLANK(A409),,FILTER('Leetcode List'!B:C,'Leetcode List'!A:A = A409))"),"Minimum Swaps to Arrange a Binary Grid")</f>
        <v>Minimum Swaps to Arrange a Binary Grid</v>
      </c>
      <c r="C409" s="85" t="str">
        <f>IFERROR(__xludf.DUMMYFUNCTION("""COMPUTED_VALUE"""),"Medium")</f>
        <v>Medium</v>
      </c>
      <c r="D409" s="47" t="s">
        <v>61</v>
      </c>
      <c r="E409" s="90" t="str">
        <f>IFERROR(__xludf.DUMMYFUNCTION("IF(ISBLANK(A409),,FILTER('Leetcode List'!E:J,'Leetcode List'!A:A = A409))"),"Ajira")</f>
        <v>Ajira</v>
      </c>
      <c r="F409" s="85"/>
      <c r="G409" s="85"/>
      <c r="H409" s="85" t="str">
        <f>IFERROR(__xludf.DUMMYFUNCTION("""COMPUTED_VALUE"""),"Ajira")</f>
        <v>Ajira</v>
      </c>
      <c r="I409" s="85">
        <f>IFERROR(__xludf.DUMMYFUNCTION("""COMPUTED_VALUE"""),43.53)</f>
        <v>43.53</v>
      </c>
      <c r="J409" s="85" t="str">
        <f>IFERROR(__xludf.DUMMYFUNCTION("""COMPUTED_VALUE"""),"算法")</f>
        <v>算法</v>
      </c>
    </row>
    <row r="410">
      <c r="A410" s="47">
        <v>1540.0</v>
      </c>
      <c r="B410" s="86" t="str">
        <f>IFERROR(__xludf.DUMMYFUNCTION("IF(ISBLANK(A410),,FILTER('Leetcode List'!B:C,'Leetcode List'!A:A = A410))"),"Can Convert String in K Moves")</f>
        <v>Can Convert String in K Moves</v>
      </c>
      <c r="C410" s="85" t="str">
        <f>IFERROR(__xludf.DUMMYFUNCTION("""COMPUTED_VALUE"""),"Medium")</f>
        <v>Medium</v>
      </c>
      <c r="D410" s="47" t="s">
        <v>61</v>
      </c>
      <c r="E410" s="90" t="str">
        <f>IFERROR(__xludf.DUMMYFUNCTION("IF(ISBLANK(A410),,FILTER('Leetcode List'!E:J,'Leetcode List'!A:A = A410))"),"Infosys")</f>
        <v>Infosys</v>
      </c>
      <c r="F410" s="85"/>
      <c r="G410" s="85"/>
      <c r="H410" s="85" t="str">
        <f>IFERROR(__xludf.DUMMYFUNCTION("""COMPUTED_VALUE"""),"Infosys")</f>
        <v>Infosys</v>
      </c>
      <c r="I410" s="85">
        <f>IFERROR(__xludf.DUMMYFUNCTION("""COMPUTED_VALUE"""),30.99)</f>
        <v>30.99</v>
      </c>
      <c r="J410" s="85" t="str">
        <f>IFERROR(__xludf.DUMMYFUNCTION("""COMPUTED_VALUE"""),"算法")</f>
        <v>算法</v>
      </c>
    </row>
    <row r="411">
      <c r="A411" s="47">
        <v>1578.0</v>
      </c>
      <c r="B411" s="86" t="str">
        <f>IFERROR(__xludf.DUMMYFUNCTION("IF(ISBLANK(A411),,FILTER('Leetcode List'!B:C,'Leetcode List'!A:A = A411))"),"Minimum Deletion Cost to Avoid Repeating Letters")</f>
        <v>Minimum Deletion Cost to Avoid Repeating Letters</v>
      </c>
      <c r="C411" s="85" t="str">
        <f>IFERROR(__xludf.DUMMYFUNCTION("""COMPUTED_VALUE"""),"Medium")</f>
        <v>Medium</v>
      </c>
      <c r="D411" s="47" t="s">
        <v>61</v>
      </c>
      <c r="E411" s="90" t="str">
        <f>IFERROR(__xludf.DUMMYFUNCTION("IF(ISBLANK(A411),,FILTER('Leetcode List'!E:J,'Leetcode List'!A:A = A411))"),"Tesla,Microsoft")</f>
        <v>Tesla,Microsoft</v>
      </c>
      <c r="F411" s="85" t="str">
        <f>IFERROR(__xludf.DUMMYFUNCTION("""COMPUTED_VALUE"""),"Microsoft,Tesla")</f>
        <v>Microsoft,Tesla</v>
      </c>
      <c r="G411" s="85" t="str">
        <f>IFERROR(__xludf.DUMMYFUNCTION("""COMPUTED_VALUE"""),"Microsoft,Tesla")</f>
        <v>Microsoft,Tesla</v>
      </c>
      <c r="H411" s="85" t="str">
        <f>IFERROR(__xludf.DUMMYFUNCTION("""COMPUTED_VALUE"""),"Microsoft,Tesla")</f>
        <v>Microsoft,Tesla</v>
      </c>
      <c r="I411" s="85">
        <f>IFERROR(__xludf.DUMMYFUNCTION("""COMPUTED_VALUE"""),60.46)</f>
        <v>60.46</v>
      </c>
      <c r="J411" s="85" t="str">
        <f>IFERROR(__xludf.DUMMYFUNCTION("""COMPUTED_VALUE"""),"算法")</f>
        <v>算法</v>
      </c>
    </row>
    <row r="412">
      <c r="A412" s="47">
        <v>1585.0</v>
      </c>
      <c r="B412" s="86" t="str">
        <f>IFERROR(__xludf.DUMMYFUNCTION("IF(ISBLANK(A412),,FILTER('Leetcode List'!B:C,'Leetcode List'!A:A = A412))"),"Check If String Is Transformable With Substring Sort Operations")</f>
        <v>Check If String Is Transformable With Substring Sort Operations</v>
      </c>
      <c r="C412" s="85" t="str">
        <f>IFERROR(__xludf.DUMMYFUNCTION("""COMPUTED_VALUE"""),"Hard")</f>
        <v>Hard</v>
      </c>
      <c r="D412" s="47" t="s">
        <v>61</v>
      </c>
      <c r="E412" s="90" t="str">
        <f>IFERROR(__xludf.DUMMYFUNCTION("IF(ISBLANK(A412),,FILTER('Leetcode List'!E:J,'Leetcode List'!A:A = A412))"),"Google")</f>
        <v>Google</v>
      </c>
      <c r="F412" s="85"/>
      <c r="G412" s="85"/>
      <c r="H412" s="85" t="str">
        <f>IFERROR(__xludf.DUMMYFUNCTION("""COMPUTED_VALUE"""),"Google")</f>
        <v>Google</v>
      </c>
      <c r="I412" s="85">
        <f>IFERROR(__xludf.DUMMYFUNCTION("""COMPUTED_VALUE"""),48.45)</f>
        <v>48.45</v>
      </c>
      <c r="J412" s="85" t="str">
        <f>IFERROR(__xludf.DUMMYFUNCTION("""COMPUTED_VALUE"""),"算法")</f>
        <v>算法</v>
      </c>
    </row>
    <row r="413">
      <c r="A413" s="47">
        <v>1657.0</v>
      </c>
      <c r="B413" s="86" t="str">
        <f>IFERROR(__xludf.DUMMYFUNCTION("IF(ISBLANK(A413),,FILTER('Leetcode List'!B:C,'Leetcode List'!A:A = A413))"),"Determine if Two Strings Are Close")</f>
        <v>Determine if Two Strings Are Close</v>
      </c>
      <c r="C413" s="85" t="str">
        <f>IFERROR(__xludf.DUMMYFUNCTION("""COMPUTED_VALUE"""),"Medium")</f>
        <v>Medium</v>
      </c>
      <c r="D413" s="47" t="s">
        <v>61</v>
      </c>
      <c r="E413" s="90" t="str">
        <f>IFERROR(__xludf.DUMMYFUNCTION("IF(ISBLANK(A413),,FILTER('Leetcode List'!E:J,'Leetcode List'!A:A = A413))"),"Postmates")</f>
        <v>Postmates</v>
      </c>
      <c r="F413" s="85"/>
      <c r="G413" s="85"/>
      <c r="H413" s="85" t="str">
        <f>IFERROR(__xludf.DUMMYFUNCTION("""COMPUTED_VALUE"""),"Postmates")</f>
        <v>Postmates</v>
      </c>
      <c r="I413" s="85">
        <f>IFERROR(__xludf.DUMMYFUNCTION("""COMPUTED_VALUE"""),55.33)</f>
        <v>55.33</v>
      </c>
      <c r="J413" s="85" t="str">
        <f>IFERROR(__xludf.DUMMYFUNCTION("""COMPUTED_VALUE"""),"算法")</f>
        <v>算法</v>
      </c>
    </row>
    <row r="414">
      <c r="A414" s="47">
        <v>1702.0</v>
      </c>
      <c r="B414" s="86" t="str">
        <f>IFERROR(__xludf.DUMMYFUNCTION("IF(ISBLANK(A414),,FILTER('Leetcode List'!B:C,'Leetcode List'!A:A = A414))"),"Maximum Binary String After Change")</f>
        <v>Maximum Binary String After Change</v>
      </c>
      <c r="C414" s="85" t="str">
        <f>IFERROR(__xludf.DUMMYFUNCTION("""COMPUTED_VALUE"""),"Medium")</f>
        <v>Medium</v>
      </c>
      <c r="D414" s="47" t="s">
        <v>61</v>
      </c>
      <c r="E414" s="90" t="str">
        <f>IFERROR(__xludf.DUMMYFUNCTION("IF(ISBLANK(A414),,FILTER('Leetcode List'!E:J,'Leetcode List'!A:A = A414))"),"Huwaei,Huawei")</f>
        <v>Huwaei,Huawei</v>
      </c>
      <c r="F414" s="85"/>
      <c r="G414" s="85"/>
      <c r="H414" s="85" t="str">
        <f>IFERROR(__xludf.DUMMYFUNCTION("""COMPUTED_VALUE"""),"Huwaei,Huawei")</f>
        <v>Huwaei,Huawei</v>
      </c>
      <c r="I414" s="85">
        <f>IFERROR(__xludf.DUMMYFUNCTION("""COMPUTED_VALUE"""),59.87)</f>
        <v>59.87</v>
      </c>
      <c r="J414" s="85" t="str">
        <f>IFERROR(__xludf.DUMMYFUNCTION("""COMPUTED_VALUE"""),"算法")</f>
        <v>算法</v>
      </c>
    </row>
    <row r="415">
      <c r="A415" s="47">
        <v>1717.0</v>
      </c>
      <c r="B415" s="86" t="str">
        <f>IFERROR(__xludf.DUMMYFUNCTION("IF(ISBLANK(A415),,FILTER('Leetcode List'!B:C,'Leetcode List'!A:A = A415))"),"Maximum Score From Removing Substrings")</f>
        <v>Maximum Score From Removing Substrings</v>
      </c>
      <c r="C415" s="85" t="str">
        <f>IFERROR(__xludf.DUMMYFUNCTION("""COMPUTED_VALUE"""),"Medium")</f>
        <v>Medium</v>
      </c>
      <c r="D415" s="47" t="s">
        <v>61</v>
      </c>
      <c r="E415" s="90" t="str">
        <f>IFERROR(__xludf.DUMMYFUNCTION("IF(ISBLANK(A415),,FILTER('Leetcode List'!E:J,'Leetcode List'!A:A = A415))"),"Google")</f>
        <v>Google</v>
      </c>
      <c r="F415" s="85"/>
      <c r="G415" s="85"/>
      <c r="H415" s="85" t="str">
        <f>IFERROR(__xludf.DUMMYFUNCTION("""COMPUTED_VALUE"""),"Google")</f>
        <v>Google</v>
      </c>
      <c r="I415" s="85">
        <f>IFERROR(__xludf.DUMMYFUNCTION("""COMPUTED_VALUE"""),40.46)</f>
        <v>40.46</v>
      </c>
      <c r="J415" s="85" t="str">
        <f>IFERROR(__xludf.DUMMYFUNCTION("""COMPUTED_VALUE"""),"算法")</f>
        <v>算法</v>
      </c>
    </row>
    <row r="416">
      <c r="A416" s="47">
        <v>1727.0</v>
      </c>
      <c r="B416" s="86" t="str">
        <f>IFERROR(__xludf.DUMMYFUNCTION("IF(ISBLANK(A416),,FILTER('Leetcode List'!B:C,'Leetcode List'!A:A = A416))"),"Largest Submatrix With Rearrangements")</f>
        <v>Largest Submatrix With Rearrangements</v>
      </c>
      <c r="C416" s="85" t="str">
        <f>IFERROR(__xludf.DUMMYFUNCTION("""COMPUTED_VALUE"""),"Medium")</f>
        <v>Medium</v>
      </c>
      <c r="D416" s="47" t="s">
        <v>61</v>
      </c>
      <c r="E416" s="90" t="str">
        <f>IFERROR(__xludf.DUMMYFUNCTION("IF(ISBLANK(A416),,FILTER('Leetcode List'!E:J,'Leetcode List'!A:A = A416))"),"Directi,Google")</f>
        <v>Directi,Google</v>
      </c>
      <c r="F416" s="85"/>
      <c r="G416" s="85"/>
      <c r="H416" s="85" t="str">
        <f>IFERROR(__xludf.DUMMYFUNCTION("""COMPUTED_VALUE"""),"Google,Directi")</f>
        <v>Google,Directi</v>
      </c>
      <c r="I416" s="85">
        <f>IFERROR(__xludf.DUMMYFUNCTION("""COMPUTED_VALUE"""),58.49)</f>
        <v>58.49</v>
      </c>
      <c r="J416" s="85" t="str">
        <f>IFERROR(__xludf.DUMMYFUNCTION("""COMPUTED_VALUE"""),"算法")</f>
        <v>算法</v>
      </c>
    </row>
    <row r="417">
      <c r="A417" s="47">
        <v>1744.0</v>
      </c>
      <c r="B417" s="86" t="str">
        <f>IFERROR(__xludf.DUMMYFUNCTION("IF(ISBLANK(A417),,FILTER('Leetcode List'!B:C,'Leetcode List'!A:A = A417))"),"Can You Eat Your Favorite Candy on Your Favorite Day?")</f>
        <v>Can You Eat Your Favorite Candy on Your Favorite Day?</v>
      </c>
      <c r="C417" s="85" t="str">
        <f>IFERROR(__xludf.DUMMYFUNCTION("""COMPUTED_VALUE"""),"Medium")</f>
        <v>Medium</v>
      </c>
      <c r="D417" s="47" t="s">
        <v>61</v>
      </c>
      <c r="E417" s="90" t="str">
        <f>IFERROR(__xludf.DUMMYFUNCTION("IF(ISBLANK(A417),,FILTER('Leetcode List'!E:J,'Leetcode List'!A:A = A417))"),"Fleetx")</f>
        <v>Fleetx</v>
      </c>
      <c r="F417" s="85"/>
      <c r="G417" s="85"/>
      <c r="H417" s="85" t="str">
        <f>IFERROR(__xludf.DUMMYFUNCTION("""COMPUTED_VALUE"""),"Fleetx")</f>
        <v>Fleetx</v>
      </c>
      <c r="I417" s="85">
        <f>IFERROR(__xludf.DUMMYFUNCTION("""COMPUTED_VALUE"""),30.46)</f>
        <v>30.46</v>
      </c>
      <c r="J417" s="85" t="str">
        <f>IFERROR(__xludf.DUMMYFUNCTION("""COMPUTED_VALUE"""),"算法")</f>
        <v>算法</v>
      </c>
    </row>
    <row r="418">
      <c r="A418" s="47">
        <v>1788.0</v>
      </c>
      <c r="B418" s="86" t="str">
        <f>IFERROR(__xludf.DUMMYFUNCTION("IF(ISBLANK(A418),,FILTER('Leetcode List'!B:C,'Leetcode List'!A:A = A418))"),"Maximize the Beauty of the Garden")</f>
        <v>Maximize the Beauty of the Garden</v>
      </c>
      <c r="C418" s="85" t="str">
        <f>IFERROR(__xludf.DUMMYFUNCTION("""COMPUTED_VALUE"""),"Hard")</f>
        <v>Hard</v>
      </c>
      <c r="D418" s="47" t="s">
        <v>61</v>
      </c>
      <c r="E418" s="90" t="str">
        <f>IFERROR(__xludf.DUMMYFUNCTION("IF(ISBLANK(A418),,FILTER('Leetcode List'!E:J,'Leetcode List'!A:A = A418))"),"Amazon")</f>
        <v>Amazon</v>
      </c>
      <c r="F418" s="85"/>
      <c r="G418" s="85"/>
      <c r="H418" s="85" t="str">
        <f>IFERROR(__xludf.DUMMYFUNCTION("""COMPUTED_VALUE"""),"Amazon")</f>
        <v>Amazon</v>
      </c>
      <c r="I418" s="85">
        <f>IFERROR(__xludf.DUMMYFUNCTION("""COMPUTED_VALUE"""),70.12)</f>
        <v>70.12</v>
      </c>
      <c r="J418" s="85" t="str">
        <f>IFERROR(__xludf.DUMMYFUNCTION("""COMPUTED_VALUE"""),"算法")</f>
        <v>算法</v>
      </c>
    </row>
    <row r="419">
      <c r="A419" s="47">
        <v>300.0</v>
      </c>
      <c r="B419" s="86" t="str">
        <f>IFERROR(__xludf.DUMMYFUNCTION("IF(ISBLANK(A419),,FILTER('Leetcode List'!B:C,'Leetcode List'!A:A = A419))"),"Longest Increasing Subsequence")</f>
        <v>Longest Increasing Subsequence</v>
      </c>
      <c r="C419" s="85" t="str">
        <f>IFERROR(__xludf.DUMMYFUNCTION("""COMPUTED_VALUE"""),"Medium")</f>
        <v>Medium</v>
      </c>
      <c r="D419" s="47" t="s">
        <v>61</v>
      </c>
      <c r="E419" s="90" t="str">
        <f>IFERROR(__xludf.DUMMYFUNCTION("IF(ISBLANK(A419),,FILTER('Leetcode List'!E:J,'Leetcode List'!A:A = A419))"),"Codenation,Coupang,ByteDance,Citrix,Nagarro,IBM,Yahoo,Bloomberg,Atlassian,Salesforce,VMware,Oracle,EBay,Apple,Uber,Adobe,Facebook,Amazon,Microsoft,Google")</f>
        <v>Codenation,Coupang,ByteDance,Citrix,Nagarro,IBM,Yahoo,Bloomberg,Atlassian,Salesforce,VMware,Oracle,EBay,Apple,Uber,Adobe,Facebook,Amazon,Microsoft,Google</v>
      </c>
      <c r="F419" s="85" t="str">
        <f>IFERROR(__xludf.DUMMYFUNCTION("""COMPUTED_VALUE"""),"Apple,Amazon,Facebook,Google,Citrix,ByteDance,Microsoft,Bloomberg,Nagarro")</f>
        <v>Apple,Amazon,Facebook,Google,Citrix,ByteDance,Microsoft,Bloomberg,Nagarro</v>
      </c>
      <c r="G419" s="85" t="str">
        <f>IFERROR(__xludf.DUMMYFUNCTION("""COMPUTED_VALUE"""),"Adobe,Atlassian,Uber,eBay,Codenation,Apple,Amazon,Facebook,Google,Citrix,ByteDance,Microsoft,Bloomberg,Nagarro")</f>
        <v>Adobe,Atlassian,Uber,eBay,Codenation,Apple,Amazon,Facebook,Google,Citrix,ByteDance,Microsoft,Bloomberg,Nagarro</v>
      </c>
      <c r="H419" s="85" t="str">
        <f>IFERROR(__xludf.DUMMYFUNCTION("""COMPUTED_VALUE"""),"Oracle,Yahoo,IBM,Coupang,Adobe,Atlassian,Uber,eBay,Codenation,Apple,Amazon,Facebook,Google,Citrix,ByteDance,Microsoft,Bloomberg,Nagarro")</f>
        <v>Oracle,Yahoo,IBM,Coupang,Adobe,Atlassian,Uber,eBay,Codenation,Apple,Amazon,Facebook,Google,Citrix,ByteDance,Microsoft,Bloomberg,Nagarro</v>
      </c>
      <c r="I419" s="85">
        <f>IFERROR(__xludf.DUMMYFUNCTION("""COMPUTED_VALUE"""),44.25)</f>
        <v>44.25</v>
      </c>
      <c r="J419" s="85" t="str">
        <f>IFERROR(__xludf.DUMMYFUNCTION("""COMPUTED_VALUE"""),"算法")</f>
        <v>算法</v>
      </c>
      <c r="K419" s="2" t="s">
        <v>5001</v>
      </c>
    </row>
    <row r="420">
      <c r="A420" s="47">
        <v>354.0</v>
      </c>
      <c r="B420" s="86" t="str">
        <f>IFERROR(__xludf.DUMMYFUNCTION("IF(ISBLANK(A420),,FILTER('Leetcode List'!B:C,'Leetcode List'!A:A = A420))"),"Russian Doll Envelopes")</f>
        <v>Russian Doll Envelopes</v>
      </c>
      <c r="C420" s="85" t="str">
        <f>IFERROR(__xludf.DUMMYFUNCTION("""COMPUTED_VALUE"""),"Hard")</f>
        <v>Hard</v>
      </c>
      <c r="D420" s="47" t="s">
        <v>61</v>
      </c>
      <c r="E420" s="90" t="str">
        <f>IFERROR(__xludf.DUMMYFUNCTION("IF(ISBLANK(A420),,FILTER('Leetcode List'!E:J,'Leetcode List'!A:A = A420))"),"ByteDance,Uber,Amazon,Microsoft,Google")</f>
        <v>ByteDance,Uber,Amazon,Microsoft,Google</v>
      </c>
      <c r="F420" s="85" t="str">
        <f>IFERROR(__xludf.DUMMYFUNCTION("""COMPUTED_VALUE"""),"Google,Amazon,Uber,ByteDance,Microsoft")</f>
        <v>Google,Amazon,Uber,ByteDance,Microsoft</v>
      </c>
      <c r="G420" s="85" t="str">
        <f>IFERROR(__xludf.DUMMYFUNCTION("""COMPUTED_VALUE"""),"Google,Amazon,Uber,ByteDance,Microsoft")</f>
        <v>Google,Amazon,Uber,ByteDance,Microsoft</v>
      </c>
      <c r="H420" s="85" t="str">
        <f>IFERROR(__xludf.DUMMYFUNCTION("""COMPUTED_VALUE"""),"Google,Amazon,Uber,ByteDance,Microsoft")</f>
        <v>Google,Amazon,Uber,ByteDance,Microsoft</v>
      </c>
      <c r="I420" s="85">
        <f>IFERROR(__xludf.DUMMYFUNCTION("""COMPUTED_VALUE"""),36.44)</f>
        <v>36.44</v>
      </c>
      <c r="J420" s="85" t="str">
        <f>IFERROR(__xludf.DUMMYFUNCTION("""COMPUTED_VALUE"""),"算法")</f>
        <v>算法</v>
      </c>
      <c r="K420" s="2" t="s">
        <v>5001</v>
      </c>
    </row>
    <row r="421">
      <c r="A421" s="47">
        <v>1713.0</v>
      </c>
      <c r="B421" s="86" t="str">
        <f>IFERROR(__xludf.DUMMYFUNCTION("IF(ISBLANK(A421),,FILTER('Leetcode List'!B:C,'Leetcode List'!A:A = A421))"),"Minimum Operations to Make a Subsequence")</f>
        <v>Minimum Operations to Make a Subsequence</v>
      </c>
      <c r="C421" s="85" t="str">
        <f>IFERROR(__xludf.DUMMYFUNCTION("""COMPUTED_VALUE"""),"Hard")</f>
        <v>Hard</v>
      </c>
      <c r="D421" s="47" t="s">
        <v>61</v>
      </c>
      <c r="E421" s="90" t="str">
        <f>IFERROR(__xludf.DUMMYFUNCTION("IF(ISBLANK(A421),,FILTER('Leetcode List'!E:J,'Leetcode List'!A:A = A421))"),"Google")</f>
        <v>Google</v>
      </c>
      <c r="F421" s="85"/>
      <c r="G421" s="85"/>
      <c r="H421" s="85" t="str">
        <f>IFERROR(__xludf.DUMMYFUNCTION("""COMPUTED_VALUE"""),"Google")</f>
        <v>Google</v>
      </c>
      <c r="I421" s="85">
        <f>IFERROR(__xludf.DUMMYFUNCTION("""COMPUTED_VALUE"""),45.48)</f>
        <v>45.48</v>
      </c>
      <c r="J421" s="85" t="str">
        <f>IFERROR(__xludf.DUMMYFUNCTION("""COMPUTED_VALUE"""),"算法")</f>
        <v>算法</v>
      </c>
      <c r="K421" s="2" t="s">
        <v>5001</v>
      </c>
    </row>
    <row r="422">
      <c r="A422" s="47">
        <v>42.0</v>
      </c>
      <c r="B422" s="86" t="str">
        <f>IFERROR(__xludf.DUMMYFUNCTION("IF(ISBLANK(A422),,FILTER('Leetcode List'!B:C,'Leetcode List'!A:A = A422))"),"Trapping Rain Water")</f>
        <v>Trapping Rain Water</v>
      </c>
      <c r="C422" s="85" t="str">
        <f>IFERROR(__xludf.DUMMYFUNCTION("""COMPUTED_VALUE"""),"Hard")</f>
        <v>Hard</v>
      </c>
      <c r="D422" s="47" t="s">
        <v>61</v>
      </c>
      <c r="E422" s="90" t="str">
        <f>IFERROR(__xludf.DUMMYFUNCTION("IF(ISBLANK(A422),,FILTER('Leetcode List'!E:J,'Leetcode List'!A:A = A422))"),"Twitch,Robinhood,Accolite,Audible,VMware,Paypal,ServiceNow,Expedia,Cisco,Electronic Arts,Dataminr,Qualtrics,Databricks,Palantir Technologies,Zenefits,Atlassian,Flipkart,Grab,ByteDance,Tableau,Salesforce,Visa,Citadel,Affirm,Walmart Labs,Snapchat,Twitter,Wi"&amp;"sh,Nvidia,Oracle,Lyft,Yandex,Huawei,EBay,Apple,Airbnb,Uber,Yahoo,Bloomberg,Adobe,Facebook,Amazon,Microsoft,Goldman Sachs,Google")</f>
        <v>Twitch,Robinhood,Accolite,Audible,VMware,Paypal,ServiceNow,Expedia,Cisco,Electronic Arts,Dataminr,Qualtrics,Databricks,Palantir Technologies,Zenefits,Atlassian,Flipkart,Grab,ByteDance,Tableau,Salesforce,Visa,Citadel,Affirm,Walmart Labs,Snapchat,Twitter,Wish,Nvidia,Oracle,Lyft,Yandex,Huawei,EBay,Apple,Airbnb,Uber,Yahoo,Bloomberg,Adobe,Facebook,Amazon,Microsoft,Goldman Sachs,Google</v>
      </c>
      <c r="F422" s="85" t="str">
        <f>IFERROR(__xludf.DUMMYFUNCTION("""COMPUTED_VALUE"""),"Goldman Sachs,Facebook,Amazon,Microsoft,Bloomberg,Apple,Databricks,Google,Oracle,Adobe,Flipkart,Qualtrics,Yahoo")</f>
        <v>Goldman Sachs,Facebook,Amazon,Microsoft,Bloomberg,Apple,Databricks,Google,Oracle,Adobe,Flipkart,Qualtrics,Yahoo</v>
      </c>
      <c r="G422" s="85" t="str">
        <f>IFERROR(__xludf.DUMMYFUNCTION("""COMPUTED_VALUE"""),"ByteDance,Walmart Labs,Citadel,ServiceNow,Uber,Grab,Cisco,Expedia,Twitch,Accolite,Goldman Sachs,Facebook,Amazon,Microsoft,Bloomberg,Apple,Databricks,Google,Oracle,Adobe,Flipkart,Qualtrics,Yahoo")</f>
        <v>ByteDance,Walmart Labs,Citadel,ServiceNow,Uber,Grab,Cisco,Expedia,Twitch,Accolite,Goldman Sachs,Facebook,Amazon,Microsoft,Bloomberg,Apple,Databricks,Google,Oracle,Adobe,Flipkart,Qualtrics,Yahoo</v>
      </c>
      <c r="H422" s="85" t="str">
        <f>IFERROR(__xludf.DUMMYFUNCTION("""COMPUTED_VALUE"""),"Visa,Wish,Snapchat,Airbnb,Lyft,Yandex,VMware,Twitter,eBay,Palantir Technologies,Affirm,Huawei,Salesforce,Paypal,Electronic Arts,Tableau,Audible,Robinhood,Zenefits,ByteDance,Walmart Labs,Citadel,ServiceNow,Uber,Grab,Cisco,Expedia,Twitch,Accolite,Goldman Sa"&amp;"chs,Facebook,Amazon,Microsoft,Bloomberg,Apple,Databricks,Google,Oracle,Adobe,Flipkart,Qualtrics,Yahoo")</f>
        <v>Visa,Wish,Snapchat,Airbnb,Lyft,Yandex,VMware,Twitter,eBay,Palantir Technologies,Affirm,Huawei,Salesforce,Paypal,Electronic Arts,Tableau,Audible,Robinhood,Zenefits,ByteDance,Walmart Labs,Citadel,ServiceNow,Uber,Grab,Cisco,Expedia,Twitch,Accolite,Goldman Sachs,Facebook,Amazon,Microsoft,Bloomberg,Apple,Databricks,Google,Oracle,Adobe,Flipkart,Qualtrics,Yahoo</v>
      </c>
      <c r="I422" s="85">
        <f>IFERROR(__xludf.DUMMYFUNCTION("""COMPUTED_VALUE"""),51.4)</f>
        <v>51.4</v>
      </c>
      <c r="J422" s="85" t="str">
        <f>IFERROR(__xludf.DUMMYFUNCTION("""COMPUTED_VALUE"""),"算法")</f>
        <v>算法</v>
      </c>
      <c r="K422" s="2" t="s">
        <v>5002</v>
      </c>
    </row>
    <row r="423">
      <c r="A423" s="47">
        <v>334.0</v>
      </c>
      <c r="B423" s="86" t="str">
        <f>IFERROR(__xludf.DUMMYFUNCTION("IF(ISBLANK(A423),,FILTER('Leetcode List'!B:C,'Leetcode List'!A:A = A423))"),"Increasing Triplet Subsequence")</f>
        <v>Increasing Triplet Subsequence</v>
      </c>
      <c r="C423" s="85" t="str">
        <f>IFERROR(__xludf.DUMMYFUNCTION("""COMPUTED_VALUE"""),"Medium")</f>
        <v>Medium</v>
      </c>
      <c r="D423" s="47" t="s">
        <v>61</v>
      </c>
      <c r="E423" s="90" t="str">
        <f>IFERROR(__xludf.DUMMYFUNCTION("IF(ISBLANK(A423),,FILTER('Leetcode List'!E:J,'Leetcode List'!A:A = A423))"),"Oracle,Uber,Yahoo,Bloomberg,Facebook,Amazon,Google")</f>
        <v>Oracle,Uber,Yahoo,Bloomberg,Facebook,Amazon,Google</v>
      </c>
      <c r="F423" s="85" t="str">
        <f>IFERROR(__xludf.DUMMYFUNCTION("""COMPUTED_VALUE"""),"Google")</f>
        <v>Google</v>
      </c>
      <c r="G423" s="85" t="str">
        <f>IFERROR(__xludf.DUMMYFUNCTION("""COMPUTED_VALUE"""),"Facebook,Amazon,Google")</f>
        <v>Facebook,Amazon,Google</v>
      </c>
      <c r="H423" s="85" t="str">
        <f>IFERROR(__xludf.DUMMYFUNCTION("""COMPUTED_VALUE"""),"Oracle,Yahoo,Bloomberg,Uber,Facebook,Amazon,Google")</f>
        <v>Oracle,Yahoo,Bloomberg,Uber,Facebook,Amazon,Google</v>
      </c>
      <c r="I423" s="85">
        <f>IFERROR(__xludf.DUMMYFUNCTION("""COMPUTED_VALUE"""),40.81)</f>
        <v>40.81</v>
      </c>
      <c r="J423" s="85" t="str">
        <f>IFERROR(__xludf.DUMMYFUNCTION("""COMPUTED_VALUE"""),"算法")</f>
        <v>算法</v>
      </c>
      <c r="K423" s="2" t="s">
        <v>5002</v>
      </c>
    </row>
    <row r="424">
      <c r="A424" s="47">
        <v>1525.0</v>
      </c>
      <c r="B424" s="86" t="str">
        <f>IFERROR(__xludf.DUMMYFUNCTION("IF(ISBLANK(A424),,FILTER('Leetcode List'!B:C,'Leetcode List'!A:A = A424))"),"Number of Good Ways to Split a String")</f>
        <v>Number of Good Ways to Split a String</v>
      </c>
      <c r="C424" s="85" t="str">
        <f>IFERROR(__xludf.DUMMYFUNCTION("""COMPUTED_VALUE"""),"Medium")</f>
        <v>Medium</v>
      </c>
      <c r="D424" s="47" t="s">
        <v>61</v>
      </c>
      <c r="E424" s="90" t="str">
        <f>IFERROR(__xludf.DUMMYFUNCTION("IF(ISBLANK(A424),,FILTER('Leetcode List'!E:J,'Leetcode List'!A:A = A424))"),"Google")</f>
        <v>Google</v>
      </c>
      <c r="F424" s="85" t="str">
        <f>IFERROR(__xludf.DUMMYFUNCTION("""COMPUTED_VALUE"""),"Google")</f>
        <v>Google</v>
      </c>
      <c r="G424" s="85" t="str">
        <f>IFERROR(__xludf.DUMMYFUNCTION("""COMPUTED_VALUE"""),"Google")</f>
        <v>Google</v>
      </c>
      <c r="H424" s="85" t="str">
        <f>IFERROR(__xludf.DUMMYFUNCTION("""COMPUTED_VALUE"""),"Google")</f>
        <v>Google</v>
      </c>
      <c r="I424" s="85">
        <f>IFERROR(__xludf.DUMMYFUNCTION("""COMPUTED_VALUE"""),66.63)</f>
        <v>66.63</v>
      </c>
      <c r="J424" s="85" t="str">
        <f>IFERROR(__xludf.DUMMYFUNCTION("""COMPUTED_VALUE"""),"算法")</f>
        <v>算法</v>
      </c>
      <c r="K424" s="2" t="s">
        <v>5002</v>
      </c>
    </row>
    <row r="425">
      <c r="A425" s="47">
        <v>1638.0</v>
      </c>
      <c r="B425" s="86" t="str">
        <f>IFERROR(__xludf.DUMMYFUNCTION("IF(ISBLANK(A425),,FILTER('Leetcode List'!B:C,'Leetcode List'!A:A = A425))"),"Count Substrings That Differ by One Character")</f>
        <v>Count Substrings That Differ by One Character</v>
      </c>
      <c r="C425" s="85" t="str">
        <f>IFERROR(__xludf.DUMMYFUNCTION("""COMPUTED_VALUE"""),"Medium")</f>
        <v>Medium</v>
      </c>
      <c r="D425" s="47" t="s">
        <v>61</v>
      </c>
      <c r="E425" s="90" t="str">
        <f>IFERROR(__xludf.DUMMYFUNCTION("IF(ISBLANK(A425),,FILTER('Leetcode List'!E:J,'Leetcode List'!A:A = A425))"),"Microsoft")</f>
        <v>Microsoft</v>
      </c>
      <c r="F425" s="85"/>
      <c r="G425" s="85"/>
      <c r="H425" s="85" t="str">
        <f>IFERROR(__xludf.DUMMYFUNCTION("""COMPUTED_VALUE"""),"Microsoft")</f>
        <v>Microsoft</v>
      </c>
      <c r="I425" s="85">
        <f>IFERROR(__xludf.DUMMYFUNCTION("""COMPUTED_VALUE"""),69.65)</f>
        <v>69.65</v>
      </c>
      <c r="J425" s="85" t="str">
        <f>IFERROR(__xludf.DUMMYFUNCTION("""COMPUTED_VALUE"""),"算法")</f>
        <v>算法</v>
      </c>
      <c r="K425" s="2" t="s">
        <v>5002</v>
      </c>
    </row>
    <row r="426">
      <c r="A426" s="47">
        <v>1653.0</v>
      </c>
      <c r="B426" s="86" t="str">
        <f>IFERROR(__xludf.DUMMYFUNCTION("IF(ISBLANK(A426),,FILTER('Leetcode List'!B:C,'Leetcode List'!A:A = A426))"),"Minimum Deletions to Make String Balanced")</f>
        <v>Minimum Deletions to Make String Balanced</v>
      </c>
      <c r="C426" s="85" t="str">
        <f>IFERROR(__xludf.DUMMYFUNCTION("""COMPUTED_VALUE"""),"Medium")</f>
        <v>Medium</v>
      </c>
      <c r="D426" s="47" t="s">
        <v>61</v>
      </c>
      <c r="E426" s="90" t="str">
        <f>IFERROR(__xludf.DUMMYFUNCTION("IF(ISBLANK(A426),,FILTER('Leetcode List'!E:J,'Leetcode List'!A:A = A426))"),"Microsoft")</f>
        <v>Microsoft</v>
      </c>
      <c r="F426" s="85"/>
      <c r="G426" s="85"/>
      <c r="H426" s="85" t="str">
        <f>IFERROR(__xludf.DUMMYFUNCTION("""COMPUTED_VALUE"""),"Microsoft")</f>
        <v>Microsoft</v>
      </c>
      <c r="I426" s="85">
        <f>IFERROR(__xludf.DUMMYFUNCTION("""COMPUTED_VALUE"""),51.34)</f>
        <v>51.34</v>
      </c>
      <c r="J426" s="85" t="str">
        <f>IFERROR(__xludf.DUMMYFUNCTION("""COMPUTED_VALUE"""),"算法")</f>
        <v>算法</v>
      </c>
      <c r="K426" s="2" t="s">
        <v>5002</v>
      </c>
    </row>
    <row r="427">
      <c r="A427" s="47">
        <v>1664.0</v>
      </c>
      <c r="B427" s="86" t="str">
        <f>IFERROR(__xludf.DUMMYFUNCTION("IF(ISBLANK(A427),,FILTER('Leetcode List'!B:C,'Leetcode List'!A:A = A427))"),"Ways to Make a Fair Array")</f>
        <v>Ways to Make a Fair Array</v>
      </c>
      <c r="C427" s="85" t="str">
        <f>IFERROR(__xludf.DUMMYFUNCTION("""COMPUTED_VALUE"""),"Medium")</f>
        <v>Medium</v>
      </c>
      <c r="D427" s="47" t="s">
        <v>61</v>
      </c>
      <c r="E427" s="90" t="str">
        <f>IFERROR(__xludf.DUMMYFUNCTION("IF(ISBLANK(A427),,FILTER('Leetcode List'!E:J,'Leetcode List'!A:A = A427))"),"Dunzo,Microsoft")</f>
        <v>Dunzo,Microsoft</v>
      </c>
      <c r="F427" s="85" t="str">
        <f>IFERROR(__xludf.DUMMYFUNCTION("""COMPUTED_VALUE"""),"Microsoft")</f>
        <v>Microsoft</v>
      </c>
      <c r="G427" s="85" t="str">
        <f>IFERROR(__xludf.DUMMYFUNCTION("""COMPUTED_VALUE"""),"Microsoft")</f>
        <v>Microsoft</v>
      </c>
      <c r="H427" s="85" t="str">
        <f>IFERROR(__xludf.DUMMYFUNCTION("""COMPUTED_VALUE"""),"Dunzo,Microsoft")</f>
        <v>Dunzo,Microsoft</v>
      </c>
      <c r="I427" s="85">
        <f>IFERROR(__xludf.DUMMYFUNCTION("""COMPUTED_VALUE"""),62.07)</f>
        <v>62.07</v>
      </c>
      <c r="J427" s="85" t="str">
        <f>IFERROR(__xludf.DUMMYFUNCTION("""COMPUTED_VALUE"""),"算法")</f>
        <v>算法</v>
      </c>
      <c r="K427" s="2" t="s">
        <v>5002</v>
      </c>
    </row>
    <row r="428">
      <c r="A428" s="47">
        <v>1671.0</v>
      </c>
      <c r="B428" s="86" t="str">
        <f>IFERROR(__xludf.DUMMYFUNCTION("IF(ISBLANK(A428),,FILTER('Leetcode List'!B:C,'Leetcode List'!A:A = A428))"),"Minimum Number of Removals to Make Mountain Array")</f>
        <v>Minimum Number of Removals to Make Mountain Array</v>
      </c>
      <c r="C428" s="85" t="str">
        <f>IFERROR(__xludf.DUMMYFUNCTION("""COMPUTED_VALUE"""),"Hard")</f>
        <v>Hard</v>
      </c>
      <c r="D428" s="47" t="s">
        <v>61</v>
      </c>
      <c r="E428" s="90" t="str">
        <f>IFERROR(__xludf.DUMMYFUNCTION("IF(ISBLANK(A428),,FILTER('Leetcode List'!E:J,'Leetcode List'!A:A = A428))"),"Microsoft")</f>
        <v>Microsoft</v>
      </c>
      <c r="F428" s="85"/>
      <c r="G428" s="85"/>
      <c r="H428" s="85" t="str">
        <f>IFERROR(__xludf.DUMMYFUNCTION("""COMPUTED_VALUE"""),"Microsoft")</f>
        <v>Microsoft</v>
      </c>
      <c r="I428" s="85">
        <f>IFERROR(__xludf.DUMMYFUNCTION("""COMPUTED_VALUE"""),45.65)</f>
        <v>45.65</v>
      </c>
      <c r="J428" s="85" t="str">
        <f>IFERROR(__xludf.DUMMYFUNCTION("""COMPUTED_VALUE"""),"算法")</f>
        <v>算法</v>
      </c>
      <c r="K428" s="2" t="s">
        <v>5002</v>
      </c>
    </row>
    <row r="429">
      <c r="A429" s="47">
        <v>1769.0</v>
      </c>
      <c r="B429" s="86" t="str">
        <f>IFERROR(__xludf.DUMMYFUNCTION("IF(ISBLANK(A429),,FILTER('Leetcode List'!B:C,'Leetcode List'!A:A = A429))"),"Minimum Number of Operations to Move All Balls to Each Box")</f>
        <v>Minimum Number of Operations to Move All Balls to Each Box</v>
      </c>
      <c r="C429" s="85" t="str">
        <f>IFERROR(__xludf.DUMMYFUNCTION("""COMPUTED_VALUE"""),"Medium")</f>
        <v>Medium</v>
      </c>
      <c r="D429" s="47" t="s">
        <v>61</v>
      </c>
      <c r="E429" s="90" t="str">
        <f>IFERROR(__xludf.DUMMYFUNCTION("IF(ISBLANK(A429),,FILTER('Leetcode List'!E:J,'Leetcode List'!A:A = A429))"),"Google")</f>
        <v>Google</v>
      </c>
      <c r="F429" s="85"/>
      <c r="G429" s="85"/>
      <c r="H429" s="85" t="str">
        <f>IFERROR(__xludf.DUMMYFUNCTION("""COMPUTED_VALUE"""),"Google")</f>
        <v>Google</v>
      </c>
      <c r="I429" s="85">
        <f>IFERROR(__xludf.DUMMYFUNCTION("""COMPUTED_VALUE"""),87.49)</f>
        <v>87.49</v>
      </c>
      <c r="J429" s="85" t="str">
        <f>IFERROR(__xludf.DUMMYFUNCTION("""COMPUTED_VALUE"""),"算法")</f>
        <v>算法</v>
      </c>
      <c r="K429" s="2" t="s">
        <v>5002</v>
      </c>
    </row>
    <row r="430">
      <c r="A430" s="47">
        <v>164.0</v>
      </c>
      <c r="B430" s="86" t="str">
        <f>IFERROR(__xludf.DUMMYFUNCTION("IF(ISBLANK(A430),,FILTER('Leetcode List'!B:C,'Leetcode List'!A:A = A430))"),"Maximum Gap")</f>
        <v>Maximum Gap</v>
      </c>
      <c r="C430" s="85" t="str">
        <f>IFERROR(__xludf.DUMMYFUNCTION("""COMPUTED_VALUE"""),"Hard")</f>
        <v>Hard</v>
      </c>
      <c r="D430" s="47" t="s">
        <v>61</v>
      </c>
      <c r="E430" s="90" t="str">
        <f>IFERROR(__xludf.DUMMYFUNCTION("IF(ISBLANK(A430),,FILTER('Leetcode List'!E:J,'Leetcode List'!A:A = A430))"),"Amazon")</f>
        <v>Amazon</v>
      </c>
      <c r="F430" s="85"/>
      <c r="G430" s="85"/>
      <c r="H430" s="85" t="str">
        <f>IFERROR(__xludf.DUMMYFUNCTION("""COMPUTED_VALUE"""),"Amazon")</f>
        <v>Amazon</v>
      </c>
      <c r="I430" s="85">
        <f>IFERROR(__xludf.DUMMYFUNCTION("""COMPUTED_VALUE"""),36.98)</f>
        <v>36.98</v>
      </c>
      <c r="J430" s="85" t="str">
        <f>IFERROR(__xludf.DUMMYFUNCTION("""COMPUTED_VALUE"""),"算法")</f>
        <v>算法</v>
      </c>
      <c r="K430" s="2" t="s">
        <v>368</v>
      </c>
    </row>
    <row r="431">
      <c r="A431" s="47">
        <v>179.0</v>
      </c>
      <c r="B431" s="86" t="str">
        <f>IFERROR(__xludf.DUMMYFUNCTION("IF(ISBLANK(A431),,FILTER('Leetcode List'!B:C,'Leetcode List'!A:A = A431))"),"Largest Number")</f>
        <v>Largest Number</v>
      </c>
      <c r="C431" s="85" t="str">
        <f>IFERROR(__xludf.DUMMYFUNCTION("""COMPUTED_VALUE"""),"Medium")</f>
        <v>Medium</v>
      </c>
      <c r="D431" s="47" t="s">
        <v>61</v>
      </c>
      <c r="E431" s="90" t="str">
        <f>IFERROR(__xludf.DUMMYFUNCTION("IF(ISBLANK(A431),,FILTER('Leetcode List'!E:J,'Leetcode List'!A:A = A431))"),"ByteDance,VMware,Nvidia,Adobe,Google,Salesforce,Walmart Labs,Works Applications,Oracle,Apple,Facebook,Amazon,Microsoft")</f>
        <v>ByteDance,VMware,Nvidia,Adobe,Google,Salesforce,Walmart Labs,Works Applications,Oracle,Apple,Facebook,Amazon,Microsoft</v>
      </c>
      <c r="F431" s="85" t="str">
        <f>IFERROR(__xludf.DUMMYFUNCTION("""COMPUTED_VALUE"""),"Amazon,Microsoft,VMware")</f>
        <v>Amazon,Microsoft,VMware</v>
      </c>
      <c r="G431" s="85" t="str">
        <f>IFERROR(__xludf.DUMMYFUNCTION("""COMPUTED_VALUE"""),"Apple,ByteDance,Facebook,Adobe,Google,Oracle,Amazon,Microsoft,VMware")</f>
        <v>Apple,ByteDance,Facebook,Adobe,Google,Oracle,Amazon,Microsoft,VMware</v>
      </c>
      <c r="H431" s="85" t="str">
        <f>IFERROR(__xludf.DUMMYFUNCTION("""COMPUTED_VALUE"""),"Nvidia,Works Applications,Apple,ByteDance,Facebook,Adobe,Google,Oracle,Amazon,Microsoft,VMware")</f>
        <v>Nvidia,Works Applications,Apple,ByteDance,Facebook,Adobe,Google,Oracle,Amazon,Microsoft,VMware</v>
      </c>
      <c r="I431" s="85">
        <f>IFERROR(__xludf.DUMMYFUNCTION("""COMPUTED_VALUE"""),30.75)</f>
        <v>30.75</v>
      </c>
      <c r="J431" s="85" t="str">
        <f>IFERROR(__xludf.DUMMYFUNCTION("""COMPUTED_VALUE"""),"算法")</f>
        <v>算法</v>
      </c>
      <c r="K431" s="2" t="s">
        <v>368</v>
      </c>
    </row>
    <row r="432">
      <c r="A432" s="47">
        <v>581.0</v>
      </c>
      <c r="B432" s="86" t="str">
        <f>IFERROR(__xludf.DUMMYFUNCTION("IF(ISBLANK(A432),,FILTER('Leetcode List'!B:C,'Leetcode List'!A:A = A432))"),"Shortest Unsorted Continuous Subarray")</f>
        <v>Shortest Unsorted Continuous Subarray</v>
      </c>
      <c r="C432" s="85" t="str">
        <f>IFERROR(__xludf.DUMMYFUNCTION("""COMPUTED_VALUE"""),"Medium")</f>
        <v>Medium</v>
      </c>
      <c r="D432" s="47" t="s">
        <v>61</v>
      </c>
      <c r="E432" s="90" t="str">
        <f>IFERROR(__xludf.DUMMYFUNCTION("IF(ISBLANK(A432),,FILTER('Leetcode List'!E:J,'Leetcode List'!A:A = A432))"),"Microsoft,LiveRamp,Redfin,Uber,Bloomberg,Amazon,Google")</f>
        <v>Microsoft,LiveRamp,Redfin,Uber,Bloomberg,Amazon,Google</v>
      </c>
      <c r="F432" s="85" t="str">
        <f>IFERROR(__xludf.DUMMYFUNCTION("""COMPUTED_VALUE"""),"Amazon,Microsoft")</f>
        <v>Amazon,Microsoft</v>
      </c>
      <c r="G432" s="85" t="str">
        <f>IFERROR(__xludf.DUMMYFUNCTION("""COMPUTED_VALUE"""),"Amazon,Microsoft")</f>
        <v>Amazon,Microsoft</v>
      </c>
      <c r="H432" s="85" t="str">
        <f>IFERROR(__xludf.DUMMYFUNCTION("""COMPUTED_VALUE"""),"Google,Uber,LiveRamp,Amazon,Microsoft")</f>
        <v>Google,Uber,LiveRamp,Amazon,Microsoft</v>
      </c>
      <c r="I432" s="85">
        <f>IFERROR(__xludf.DUMMYFUNCTION("""COMPUTED_VALUE"""),32.85)</f>
        <v>32.85</v>
      </c>
      <c r="J432" s="85" t="str">
        <f>IFERROR(__xludf.DUMMYFUNCTION("""COMPUTED_VALUE"""),"算法")</f>
        <v>算法</v>
      </c>
      <c r="K432" s="2" t="s">
        <v>368</v>
      </c>
    </row>
    <row r="433">
      <c r="A433" s="47">
        <v>275.0</v>
      </c>
      <c r="B433" s="86" t="str">
        <f>IFERROR(__xludf.DUMMYFUNCTION("IF(ISBLANK(A433),,FILTER('Leetcode List'!B:C,'Leetcode List'!A:A = A433))"),"H-Index II")</f>
        <v>H-Index II</v>
      </c>
      <c r="C433" s="85" t="str">
        <f>IFERROR(__xludf.DUMMYFUNCTION("""COMPUTED_VALUE"""),"Medium")</f>
        <v>Medium</v>
      </c>
      <c r="D433" s="47" t="s">
        <v>61</v>
      </c>
      <c r="E433" s="90" t="str">
        <f>IFERROR(__xludf.DUMMYFUNCTION("IF(ISBLANK(A433),,FILTER('Leetcode List'!E:J,'Leetcode List'!A:A = A433))"),"Goldman Sachs,Facebook")</f>
        <v>Goldman Sachs,Facebook</v>
      </c>
      <c r="F433" s="85" t="str">
        <f>IFERROR(__xludf.DUMMYFUNCTION("""COMPUTED_VALUE"""),"Goldman Sachs")</f>
        <v>Goldman Sachs</v>
      </c>
      <c r="G433" s="85" t="str">
        <f>IFERROR(__xludf.DUMMYFUNCTION("""COMPUTED_VALUE"""),"Goldman Sachs")</f>
        <v>Goldman Sachs</v>
      </c>
      <c r="H433" s="85" t="str">
        <f>IFERROR(__xludf.DUMMYFUNCTION("""COMPUTED_VALUE"""),"Facebook,Goldman Sachs")</f>
        <v>Facebook,Goldman Sachs</v>
      </c>
      <c r="I433" s="85">
        <f>IFERROR(__xludf.DUMMYFUNCTION("""COMPUTED_VALUE"""),36.32)</f>
        <v>36.32</v>
      </c>
      <c r="J433" s="85" t="str">
        <f>IFERROR(__xludf.DUMMYFUNCTION("""COMPUTED_VALUE"""),"算法")</f>
        <v>算法</v>
      </c>
      <c r="K433" s="2" t="s">
        <v>368</v>
      </c>
    </row>
    <row r="434">
      <c r="A434" s="47">
        <v>406.0</v>
      </c>
      <c r="B434" s="86" t="str">
        <f>IFERROR(__xludf.DUMMYFUNCTION("IF(ISBLANK(A434),,FILTER('Leetcode List'!B:C,'Leetcode List'!A:A = A434))"),"Queue Reconstruction by Height")</f>
        <v>Queue Reconstruction by Height</v>
      </c>
      <c r="C434" s="85" t="str">
        <f>IFERROR(__xludf.DUMMYFUNCTION("""COMPUTED_VALUE"""),"Medium")</f>
        <v>Medium</v>
      </c>
      <c r="D434" s="47" t="s">
        <v>61</v>
      </c>
      <c r="E434" s="90" t="str">
        <f>IFERROR(__xludf.DUMMYFUNCTION("IF(ISBLANK(A434),,FILTER('Leetcode List'!E:J,'Leetcode List'!A:A = A434))"),"ByteDance,Apple,Bloomberg,Facebook,Amazon,Microsoft,Google")</f>
        <v>ByteDance,Apple,Bloomberg,Facebook,Amazon,Microsoft,Google</v>
      </c>
      <c r="F434" s="85" t="str">
        <f>IFERROR(__xludf.DUMMYFUNCTION("""COMPUTED_VALUE"""),"Google,Amazon,Apple,Facebook")</f>
        <v>Google,Amazon,Apple,Facebook</v>
      </c>
      <c r="G434" s="85" t="str">
        <f>IFERROR(__xludf.DUMMYFUNCTION("""COMPUTED_VALUE"""),"ByteDance,Google,Amazon,Apple,Facebook")</f>
        <v>ByteDance,Google,Amazon,Apple,Facebook</v>
      </c>
      <c r="H434" s="85" t="str">
        <f>IFERROR(__xludf.DUMMYFUNCTION("""COMPUTED_VALUE"""),"Microsoft,ByteDance,Google,Amazon,Apple,Facebook")</f>
        <v>Microsoft,ByteDance,Google,Amazon,Apple,Facebook</v>
      </c>
      <c r="I434" s="85">
        <f>IFERROR(__xludf.DUMMYFUNCTION("""COMPUTED_VALUE"""),68.5)</f>
        <v>68.5</v>
      </c>
      <c r="J434" s="85" t="str">
        <f>IFERROR(__xludf.DUMMYFUNCTION("""COMPUTED_VALUE"""),"算法")</f>
        <v>算法</v>
      </c>
      <c r="K434" s="2" t="s">
        <v>368</v>
      </c>
    </row>
    <row r="435">
      <c r="A435" s="47">
        <v>731.0</v>
      </c>
      <c r="B435" s="86" t="str">
        <f>IFERROR(__xludf.DUMMYFUNCTION("IF(ISBLANK(A435),,FILTER('Leetcode List'!B:C,'Leetcode List'!A:A = A435))"),"My Calendar II")</f>
        <v>My Calendar II</v>
      </c>
      <c r="C435" s="85" t="str">
        <f>IFERROR(__xludf.DUMMYFUNCTION("""COMPUTED_VALUE"""),"Medium")</f>
        <v>Medium</v>
      </c>
      <c r="D435" s="47" t="s">
        <v>61</v>
      </c>
      <c r="E435" s="90" t="str">
        <f>IFERROR(__xludf.DUMMYFUNCTION("IF(ISBLANK(A435),,FILTER('Leetcode List'!E:J,'Leetcode List'!A:A = A435))"),"Bloomberg,Amazon,Google")</f>
        <v>Bloomberg,Amazon,Google</v>
      </c>
      <c r="F435" s="85" t="str">
        <f>IFERROR(__xludf.DUMMYFUNCTION("""COMPUTED_VALUE"""),"Bloomberg")</f>
        <v>Bloomberg</v>
      </c>
      <c r="G435" s="85" t="str">
        <f>IFERROR(__xludf.DUMMYFUNCTION("""COMPUTED_VALUE"""),"Google,Bloomberg")</f>
        <v>Google,Bloomberg</v>
      </c>
      <c r="H435" s="85" t="str">
        <f>IFERROR(__xludf.DUMMYFUNCTION("""COMPUTED_VALUE"""),"Amazon,Google,Bloomberg")</f>
        <v>Amazon,Google,Bloomberg</v>
      </c>
      <c r="I435" s="85">
        <f>IFERROR(__xludf.DUMMYFUNCTION("""COMPUTED_VALUE"""),50.77)</f>
        <v>50.77</v>
      </c>
      <c r="J435" s="85" t="str">
        <f>IFERROR(__xludf.DUMMYFUNCTION("""COMPUTED_VALUE"""),"算法")</f>
        <v>算法</v>
      </c>
      <c r="K435" s="2" t="s">
        <v>368</v>
      </c>
    </row>
    <row r="436">
      <c r="A436" s="47">
        <v>826.0</v>
      </c>
      <c r="B436" s="86" t="str">
        <f>IFERROR(__xludf.DUMMYFUNCTION("IF(ISBLANK(A436),,FILTER('Leetcode List'!B:C,'Leetcode List'!A:A = A436))"),"Most Profit Assigning Work")</f>
        <v>Most Profit Assigning Work</v>
      </c>
      <c r="C436" s="85" t="str">
        <f>IFERROR(__xludf.DUMMYFUNCTION("""COMPUTED_VALUE"""),"Medium")</f>
        <v>Medium</v>
      </c>
      <c r="D436" s="47" t="s">
        <v>61</v>
      </c>
      <c r="E436" s="90" t="str">
        <f>IFERROR(__xludf.DUMMYFUNCTION("IF(ISBLANK(A436),,FILTER('Leetcode List'!E:J,'Leetcode List'!A:A = A436))"),"Nutanix,NetEase,Uber,Amazon")</f>
        <v>Nutanix,NetEase,Uber,Amazon</v>
      </c>
      <c r="F436" s="85" t="str">
        <f>IFERROR(__xludf.DUMMYFUNCTION("""COMPUTED_VALUE"""),"Amazon")</f>
        <v>Amazon</v>
      </c>
      <c r="G436" s="85" t="str">
        <f>IFERROR(__xludf.DUMMYFUNCTION("""COMPUTED_VALUE"""),"Amazon")</f>
        <v>Amazon</v>
      </c>
      <c r="H436" s="85" t="str">
        <f>IFERROR(__xludf.DUMMYFUNCTION("""COMPUTED_VALUE"""),"Uber,NetEase,Amazon")</f>
        <v>Uber,NetEase,Amazon</v>
      </c>
      <c r="I436" s="85">
        <f>IFERROR(__xludf.DUMMYFUNCTION("""COMPUTED_VALUE"""),39.21)</f>
        <v>39.21</v>
      </c>
      <c r="J436" s="85" t="str">
        <f>IFERROR(__xludf.DUMMYFUNCTION("""COMPUTED_VALUE"""),"算法")</f>
        <v>算法</v>
      </c>
      <c r="K436" s="2" t="s">
        <v>368</v>
      </c>
    </row>
    <row r="437">
      <c r="A437" s="47">
        <v>1268.0</v>
      </c>
      <c r="B437" s="86" t="str">
        <f>IFERROR(__xludf.DUMMYFUNCTION("IF(ISBLANK(A437),,FILTER('Leetcode List'!B:C,'Leetcode List'!A:A = A437))"),"Search Suggestions System")</f>
        <v>Search Suggestions System</v>
      </c>
      <c r="C437" s="85" t="str">
        <f>IFERROR(__xludf.DUMMYFUNCTION("""COMPUTED_VALUE"""),"Medium")</f>
        <v>Medium</v>
      </c>
      <c r="D437" s="47" t="s">
        <v>61</v>
      </c>
      <c r="E437" s="90" t="str">
        <f>IFERROR(__xludf.DUMMYFUNCTION("IF(ISBLANK(A437),,FILTER('Leetcode List'!E:J,'Leetcode List'!A:A = A437))"),"Google,Amazon")</f>
        <v>Google,Amazon</v>
      </c>
      <c r="F437" s="85" t="str">
        <f>IFERROR(__xludf.DUMMYFUNCTION("""COMPUTED_VALUE"""),"Amazon")</f>
        <v>Amazon</v>
      </c>
      <c r="G437" s="85" t="str">
        <f>IFERROR(__xludf.DUMMYFUNCTION("""COMPUTED_VALUE"""),"Amazon")</f>
        <v>Amazon</v>
      </c>
      <c r="H437" s="85" t="str">
        <f>IFERROR(__xludf.DUMMYFUNCTION("""COMPUTED_VALUE"""),"Google,Amazon")</f>
        <v>Google,Amazon</v>
      </c>
      <c r="I437" s="85">
        <f>IFERROR(__xludf.DUMMYFUNCTION("""COMPUTED_VALUE"""),64.68)</f>
        <v>64.68</v>
      </c>
      <c r="J437" s="85" t="str">
        <f>IFERROR(__xludf.DUMMYFUNCTION("""COMPUTED_VALUE"""),"算法")</f>
        <v>算法</v>
      </c>
      <c r="K437" s="2" t="s">
        <v>368</v>
      </c>
    </row>
    <row r="438">
      <c r="A438" s="47">
        <v>1402.0</v>
      </c>
      <c r="B438" s="86" t="str">
        <f>IFERROR(__xludf.DUMMYFUNCTION("IF(ISBLANK(A438),,FILTER('Leetcode List'!B:C,'Leetcode List'!A:A = A438))"),"Reducing Dishes")</f>
        <v>Reducing Dishes</v>
      </c>
      <c r="C438" s="85" t="str">
        <f>IFERROR(__xludf.DUMMYFUNCTION("""COMPUTED_VALUE"""),"Hard")</f>
        <v>Hard</v>
      </c>
      <c r="D438" s="47" t="s">
        <v>61</v>
      </c>
      <c r="E438" s="90" t="str">
        <f>IFERROR(__xludf.DUMMYFUNCTION("IF(ISBLANK(A438),,FILTER('Leetcode List'!E:J,'Leetcode List'!A:A = A438))"),"OT")</f>
        <v>OT</v>
      </c>
      <c r="F438" s="85"/>
      <c r="G438" s="85"/>
      <c r="H438" s="85" t="str">
        <f>IFERROR(__xludf.DUMMYFUNCTION("""COMPUTED_VALUE"""),"OT")</f>
        <v>OT</v>
      </c>
      <c r="I438" s="85">
        <f>IFERROR(__xludf.DUMMYFUNCTION("""COMPUTED_VALUE"""),72.14)</f>
        <v>72.14</v>
      </c>
      <c r="J438" s="85" t="str">
        <f>IFERROR(__xludf.DUMMYFUNCTION("""COMPUTED_VALUE"""),"算法")</f>
        <v>算法</v>
      </c>
      <c r="K438" s="2" t="s">
        <v>368</v>
      </c>
    </row>
    <row r="439">
      <c r="A439" s="47">
        <v>1520.0</v>
      </c>
      <c r="B439" s="86" t="str">
        <f>IFERROR(__xludf.DUMMYFUNCTION("IF(ISBLANK(A439),,FILTER('Leetcode List'!B:C,'Leetcode List'!A:A = A439))"),"Maximum Number of Non-Overlapping Substrings")</f>
        <v>Maximum Number of Non-Overlapping Substrings</v>
      </c>
      <c r="C439" s="85" t="str">
        <f>IFERROR(__xludf.DUMMYFUNCTION("""COMPUTED_VALUE"""),"Hard")</f>
        <v>Hard</v>
      </c>
      <c r="D439" s="47" t="s">
        <v>61</v>
      </c>
      <c r="E439" s="90" t="str">
        <f>IFERROR(__xludf.DUMMYFUNCTION("IF(ISBLANK(A439),,FILTER('Leetcode List'!E:J,'Leetcode List'!A:A = A439))"),"Amazon")</f>
        <v>Amazon</v>
      </c>
      <c r="F439" s="85"/>
      <c r="G439" s="85" t="str">
        <f>IFERROR(__xludf.DUMMYFUNCTION("""COMPUTED_VALUE"""),"Amazon")</f>
        <v>Amazon</v>
      </c>
      <c r="H439" s="85" t="str">
        <f>IFERROR(__xludf.DUMMYFUNCTION("""COMPUTED_VALUE"""),"Amazon")</f>
        <v>Amazon</v>
      </c>
      <c r="I439" s="85">
        <f>IFERROR(__xludf.DUMMYFUNCTION("""COMPUTED_VALUE"""),36.29)</f>
        <v>36.29</v>
      </c>
      <c r="J439" s="85" t="str">
        <f>IFERROR(__xludf.DUMMYFUNCTION("""COMPUTED_VALUE"""),"算法")</f>
        <v>算法</v>
      </c>
      <c r="K439" s="2" t="s">
        <v>368</v>
      </c>
    </row>
    <row r="440">
      <c r="A440" s="47">
        <v>1564.0</v>
      </c>
      <c r="B440" s="86" t="str">
        <f>IFERROR(__xludf.DUMMYFUNCTION("IF(ISBLANK(A440),,FILTER('Leetcode List'!B:C,'Leetcode List'!A:A = A440))"),"Put Boxes Into the Warehouse I")</f>
        <v>Put Boxes Into the Warehouse I</v>
      </c>
      <c r="C440" s="85" t="str">
        <f>IFERROR(__xludf.DUMMYFUNCTION("""COMPUTED_VALUE"""),"Medium")</f>
        <v>Medium</v>
      </c>
      <c r="D440" s="47" t="s">
        <v>61</v>
      </c>
      <c r="E440" s="90" t="str">
        <f>IFERROR(__xludf.DUMMYFUNCTION("IF(ISBLANK(A440),,FILTER('Leetcode List'!E:J,'Leetcode List'!A:A = A440))"),"Google")</f>
        <v>Google</v>
      </c>
      <c r="F440" s="85"/>
      <c r="G440" s="85"/>
      <c r="H440" s="85" t="str">
        <f>IFERROR(__xludf.DUMMYFUNCTION("""COMPUTED_VALUE"""),"Google")</f>
        <v>Google</v>
      </c>
      <c r="I440" s="85">
        <f>IFERROR(__xludf.DUMMYFUNCTION("""COMPUTED_VALUE"""),66.07)</f>
        <v>66.07</v>
      </c>
      <c r="J440" s="85" t="str">
        <f>IFERROR(__xludf.DUMMYFUNCTION("""COMPUTED_VALUE"""),"算法")</f>
        <v>算法</v>
      </c>
      <c r="K440" s="2" t="s">
        <v>368</v>
      </c>
    </row>
    <row r="441">
      <c r="A441" s="47">
        <v>1665.0</v>
      </c>
      <c r="B441" s="86" t="str">
        <f>IFERROR(__xludf.DUMMYFUNCTION("IF(ISBLANK(A441),,FILTER('Leetcode List'!B:C,'Leetcode List'!A:A = A441))"),"Minimum Initial Energy to Finish Tasks")</f>
        <v>Minimum Initial Energy to Finish Tasks</v>
      </c>
      <c r="C441" s="85" t="str">
        <f>IFERROR(__xludf.DUMMYFUNCTION("""COMPUTED_VALUE"""),"Hard")</f>
        <v>Hard</v>
      </c>
      <c r="D441" s="47" t="s">
        <v>61</v>
      </c>
      <c r="E441" s="90" t="str">
        <f>IFERROR(__xludf.DUMMYFUNCTION("IF(ISBLANK(A441),,FILTER('Leetcode List'!E:J,'Leetcode List'!A:A = A441))"),"Akuna Capital")</f>
        <v>Akuna Capital</v>
      </c>
      <c r="F441" s="85"/>
      <c r="G441" s="85"/>
      <c r="H441" s="85" t="str">
        <f>IFERROR(__xludf.DUMMYFUNCTION("""COMPUTED_VALUE"""),"Akuna Capital")</f>
        <v>Akuna Capital</v>
      </c>
      <c r="I441" s="85">
        <f>IFERROR(__xludf.DUMMYFUNCTION("""COMPUTED_VALUE"""),65.48)</f>
        <v>65.48</v>
      </c>
      <c r="J441" s="85" t="str">
        <f>IFERROR(__xludf.DUMMYFUNCTION("""COMPUTED_VALUE"""),"算法")</f>
        <v>算法</v>
      </c>
      <c r="K441" s="2" t="s">
        <v>368</v>
      </c>
    </row>
    <row r="442">
      <c r="A442" s="47">
        <v>1686.0</v>
      </c>
      <c r="B442" s="86" t="str">
        <f>IFERROR(__xludf.DUMMYFUNCTION("IF(ISBLANK(A442),,FILTER('Leetcode List'!B:C,'Leetcode List'!A:A = A442))"),"Stone Game VI")</f>
        <v>Stone Game VI</v>
      </c>
      <c r="C442" s="85" t="str">
        <f>IFERROR(__xludf.DUMMYFUNCTION("""COMPUTED_VALUE"""),"Medium")</f>
        <v>Medium</v>
      </c>
      <c r="D442" s="47" t="s">
        <v>61</v>
      </c>
      <c r="E442" s="90" t="str">
        <f>IFERROR(__xludf.DUMMYFUNCTION("IF(ISBLANK(A442),,FILTER('Leetcode List'!E:J,'Leetcode List'!A:A = A442))"),"APT Portfolio")</f>
        <v>APT Portfolio</v>
      </c>
      <c r="F442" s="85"/>
      <c r="G442" s="85"/>
      <c r="H442" s="85" t="str">
        <f>IFERROR(__xludf.DUMMYFUNCTION("""COMPUTED_VALUE"""),"APT Portfolio")</f>
        <v>APT Portfolio</v>
      </c>
      <c r="I442" s="85">
        <f>IFERROR(__xludf.DUMMYFUNCTION("""COMPUTED_VALUE"""),49.66)</f>
        <v>49.66</v>
      </c>
      <c r="J442" s="85" t="str">
        <f>IFERROR(__xludf.DUMMYFUNCTION("""COMPUTED_VALUE"""),"算法")</f>
        <v>算法</v>
      </c>
      <c r="K442" s="2" t="s">
        <v>368</v>
      </c>
    </row>
    <row r="443">
      <c r="A443" s="47">
        <v>41.0</v>
      </c>
      <c r="B443" s="86" t="str">
        <f>IFERROR(__xludf.DUMMYFUNCTION("IF(ISBLANK(A443),,FILTER('Leetcode List'!B:C,'Leetcode List'!A:A = A443))"),"First Missing Positive")</f>
        <v>First Missing Positive</v>
      </c>
      <c r="C443" s="85" t="str">
        <f>IFERROR(__xludf.DUMMYFUNCTION("""COMPUTED_VALUE"""),"Hard")</f>
        <v>Hard</v>
      </c>
      <c r="D443" s="47" t="s">
        <v>61</v>
      </c>
      <c r="E443" s="90" t="str">
        <f>IFERROR(__xludf.DUMMYFUNCTION("IF(ISBLANK(A443),,FILTER('Leetcode List'!E:J,'Leetcode List'!A:A = A443))"),"Booking.com,Tesla,JPMorgan,Tencent,Goldman Sachs,Databricks,Pocket Gems,Wayfair,Twitch,Grab,ByteDance,Salesforce,Walmart Labs,Wish,Oracle,EBay,Apple,Airbnb,Uber,SAP,Morgan Stanley,Bloomberg,Adobe,Facebook,Amazon,Microsoft,Google")</f>
        <v>Booking.com,Tesla,JPMorgan,Tencent,Goldman Sachs,Databricks,Pocket Gems,Wayfair,Twitch,Grab,ByteDance,Salesforce,Walmart Labs,Wish,Oracle,EBay,Apple,Airbnb,Uber,SAP,Morgan Stanley,Bloomberg,Adobe,Facebook,Amazon,Microsoft,Google</v>
      </c>
      <c r="F443" s="85" t="str">
        <f>IFERROR(__xludf.DUMMYFUNCTION("""COMPUTED_VALUE"""),"Microsoft,Amazon,Google,Bloomberg,Facebook,Oracle,Adobe,Uber,Databricks,Walmart Labs,Tesla,Salesforce,Wish,Tencent,JPMorgan")</f>
        <v>Microsoft,Amazon,Google,Bloomberg,Facebook,Oracle,Adobe,Uber,Databricks,Walmart Labs,Tesla,Salesforce,Wish,Tencent,JPMorgan</v>
      </c>
      <c r="G443" s="85" t="str">
        <f>IFERROR(__xludf.DUMMYFUNCTION("""COMPUTED_VALUE"""),"Apple,ByteDance,eBay,Goldman Sachs,Microsoft,Amazon,Google,Bloomberg,Facebook,Oracle,Adobe,Uber,Databricks,Walmart Labs,Tesla,Salesforce,Wish,Tencent,JPMorgan")</f>
        <v>Apple,ByteDance,eBay,Goldman Sachs,Microsoft,Amazon,Google,Bloomberg,Facebook,Oracle,Adobe,Uber,Databricks,Walmart Labs,Tesla,Salesforce,Wish,Tencent,JPMorgan</v>
      </c>
      <c r="H443" s="85" t="str">
        <f>IFERROR(__xludf.DUMMYFUNCTION("""COMPUTED_VALUE"""),"Twitch,Booking.com,Morgan Stanley,Apple,ByteDance,eBay,Goldman Sachs,Microsoft,Amazon,Google,Bloomberg,Facebook,Oracle,Adobe,Uber,Databricks,Walmart Labs,Tesla,Salesforce,Wish,Tencent,JPMorgan")</f>
        <v>Twitch,Booking.com,Morgan Stanley,Apple,ByteDance,eBay,Goldman Sachs,Microsoft,Amazon,Google,Bloomberg,Facebook,Oracle,Adobe,Uber,Databricks,Walmart Labs,Tesla,Salesforce,Wish,Tencent,JPMorgan</v>
      </c>
      <c r="I443" s="85">
        <f>IFERROR(__xludf.DUMMYFUNCTION("""COMPUTED_VALUE"""),33.83)</f>
        <v>33.83</v>
      </c>
      <c r="J443" s="85" t="str">
        <f>IFERROR(__xludf.DUMMYFUNCTION("""COMPUTED_VALUE"""),"算法")</f>
        <v>算法</v>
      </c>
      <c r="K443" s="2" t="s">
        <v>5003</v>
      </c>
    </row>
    <row r="444">
      <c r="A444" s="47">
        <v>268.0</v>
      </c>
      <c r="B444" s="86" t="str">
        <f>IFERROR(__xludf.DUMMYFUNCTION("IF(ISBLANK(A444),,FILTER('Leetcode List'!B:C,'Leetcode List'!A:A = A444))"),"Missing Number")</f>
        <v>Missing Number</v>
      </c>
      <c r="C444" s="85" t="str">
        <f>IFERROR(__xludf.DUMMYFUNCTION("""COMPUTED_VALUE"""),"Easy")</f>
        <v>Easy</v>
      </c>
      <c r="D444" s="47" t="s">
        <v>61</v>
      </c>
      <c r="E444" s="90" t="str">
        <f>IFERROR(__xludf.DUMMYFUNCTION("IF(ISBLANK(A444),,FILTER('Leetcode List'!E:J,'Leetcode List'!A:A = A444))"),"Capital One,JPMorgan,Paypal,Nvidia,Cisco,Yandex,EBay,Goldman Sachs,Arista Networks,VMware,Zillow,ServiceNow,Oracle,IBM,Apple,Bloomberg,Adobe,Facebook,Amazon,Microsoft,Google")</f>
        <v>Capital One,JPMorgan,Paypal,Nvidia,Cisco,Yandex,EBay,Goldman Sachs,Arista Networks,VMware,Zillow,ServiceNow,Oracle,IBM,Apple,Bloomberg,Adobe,Facebook,Amazon,Microsoft,Google</v>
      </c>
      <c r="F444" s="85" t="str">
        <f>IFERROR(__xludf.DUMMYFUNCTION("""COMPUTED_VALUE"""),"Capital One,Facebook,Amazon,Apple,Oracle,Microsoft,Goldman Sachs,Cisco,Arista Networks")</f>
        <v>Capital One,Facebook,Amazon,Apple,Oracle,Microsoft,Goldman Sachs,Cisco,Arista Networks</v>
      </c>
      <c r="G444" s="85" t="str">
        <f>IFERROR(__xludf.DUMMYFUNCTION("""COMPUTED_VALUE"""),"Adobe,Capital One,Facebook,Amazon,Apple,Oracle,Microsoft,Goldman Sachs,Cisco,Arista Networks")</f>
        <v>Adobe,Capital One,Facebook,Amazon,Apple,Oracle,Microsoft,Goldman Sachs,Cisco,Arista Networks</v>
      </c>
      <c r="H444" s="85" t="str">
        <f>IFERROR(__xludf.DUMMYFUNCTION("""COMPUTED_VALUE"""),"Google,Bloomberg,JPMorgan,Paypal,IBM,Yandex,ServiceNow,Nvidia,eBay,Adobe,Capital One,Facebook,Amazon,Apple,Oracle,Microsoft,Goldman Sachs,Cisco,Arista Networks")</f>
        <v>Google,Bloomberg,JPMorgan,Paypal,IBM,Yandex,ServiceNow,Nvidia,eBay,Adobe,Capital One,Facebook,Amazon,Apple,Oracle,Microsoft,Goldman Sachs,Cisco,Arista Networks</v>
      </c>
      <c r="I444" s="85">
        <f>IFERROR(__xludf.DUMMYFUNCTION("""COMPUTED_VALUE"""),55.03)</f>
        <v>55.03</v>
      </c>
      <c r="J444" s="85" t="str">
        <f>IFERROR(__xludf.DUMMYFUNCTION("""COMPUTED_VALUE"""),"算法")</f>
        <v>算法</v>
      </c>
      <c r="K444" s="2" t="s">
        <v>5003</v>
      </c>
    </row>
    <row r="445">
      <c r="A445" s="47">
        <v>287.0</v>
      </c>
      <c r="B445" s="86" t="str">
        <f>IFERROR(__xludf.DUMMYFUNCTION("IF(ISBLANK(A445),,FILTER('Leetcode List'!B:C,'Leetcode List'!A:A = A445))"),"Find the Duplicate Number")</f>
        <v>Find the Duplicate Number</v>
      </c>
      <c r="C445" s="85" t="str">
        <f>IFERROR(__xludf.DUMMYFUNCTION("""COMPUTED_VALUE"""),"Medium")</f>
        <v>Medium</v>
      </c>
      <c r="D445" s="47" t="s">
        <v>61</v>
      </c>
      <c r="E445" s="90" t="str">
        <f>IFERROR(__xludf.DUMMYFUNCTION("IF(ISBLANK(A445),,FILTER('Leetcode List'!E:J,'Leetcode List'!A:A = A445))"),"Zynga,Nutanix,Wish,Citadel,Paypal,Yahoo,Goldman Sachs,Salesforce,VMware,Oracle,Intuit,EBay,Apple,Tencent,Morgan Stanley,Bloomberg,Adobe,Facebook,Amazon,Microsoft,Google")</f>
        <v>Zynga,Nutanix,Wish,Citadel,Paypal,Yahoo,Goldman Sachs,Salesforce,VMware,Oracle,Intuit,EBay,Apple,Tencent,Morgan Stanley,Bloomberg,Adobe,Facebook,Amazon,Microsoft,Google</v>
      </c>
      <c r="F445" s="85" t="str">
        <f>IFERROR(__xludf.DUMMYFUNCTION("""COMPUTED_VALUE"""),"Microsoft,Amazon,Apple,Google,Bloomberg,Paypal,Goldman Sachs")</f>
        <v>Microsoft,Amazon,Apple,Google,Bloomberg,Paypal,Goldman Sachs</v>
      </c>
      <c r="G445" s="85" t="str">
        <f>IFERROR(__xludf.DUMMYFUNCTION("""COMPUTED_VALUE"""),"Adobe,eBay,Zynga,Microsoft,Amazon,Apple,Google,Bloomberg,Paypal,Goldman Sachs")</f>
        <v>Adobe,eBay,Zynga,Microsoft,Amazon,Apple,Google,Bloomberg,Paypal,Goldman Sachs</v>
      </c>
      <c r="H445" s="85" t="str">
        <f>IFERROR(__xludf.DUMMYFUNCTION("""COMPUTED_VALUE"""),"Facebook,Yahoo,Salesforce,VMware,Citadel,Intuit,Wish,Nutanix,Adobe,eBay,Zynga,Microsoft,Amazon,Apple,Google,Bloomberg,Paypal,Goldman Sachs")</f>
        <v>Facebook,Yahoo,Salesforce,VMware,Citadel,Intuit,Wish,Nutanix,Adobe,eBay,Zynga,Microsoft,Amazon,Apple,Google,Bloomberg,Paypal,Goldman Sachs</v>
      </c>
      <c r="I445" s="85">
        <f>IFERROR(__xludf.DUMMYFUNCTION("""COMPUTED_VALUE"""),57.72)</f>
        <v>57.72</v>
      </c>
      <c r="J445" s="85" t="str">
        <f>IFERROR(__xludf.DUMMYFUNCTION("""COMPUTED_VALUE"""),"算法")</f>
        <v>算法</v>
      </c>
      <c r="K445" s="2" t="s">
        <v>5003</v>
      </c>
    </row>
    <row r="446">
      <c r="A446" s="47">
        <v>442.0</v>
      </c>
      <c r="B446" s="86" t="str">
        <f>IFERROR(__xludf.DUMMYFUNCTION("IF(ISBLANK(A446),,FILTER('Leetcode List'!B:C,'Leetcode List'!A:A = A446))"),"Find All Duplicates in an Array")</f>
        <v>Find All Duplicates in an Array</v>
      </c>
      <c r="C446" s="85" t="str">
        <f>IFERROR(__xludf.DUMMYFUNCTION("""COMPUTED_VALUE"""),"Medium")</f>
        <v>Medium</v>
      </c>
      <c r="D446" s="47" t="s">
        <v>61</v>
      </c>
      <c r="E446" s="90" t="str">
        <f>IFERROR(__xludf.DUMMYFUNCTION("IF(ISBLANK(A446),,FILTER('Leetcode List'!E:J,'Leetcode List'!A:A = A446))"),"Pocket Gems,Lyft,Apple,Bloomberg,Facebook,Amazon,Microsoft,Google")</f>
        <v>Pocket Gems,Lyft,Apple,Bloomberg,Facebook,Amazon,Microsoft,Google</v>
      </c>
      <c r="F446" s="85" t="str">
        <f>IFERROR(__xludf.DUMMYFUNCTION("""COMPUTED_VALUE"""),"Amazon,Microsoft,Facebook")</f>
        <v>Amazon,Microsoft,Facebook</v>
      </c>
      <c r="G446" s="85" t="str">
        <f>IFERROR(__xludf.DUMMYFUNCTION("""COMPUTED_VALUE"""),"Bloomberg,Apple,Amazon,Microsoft,Facebook")</f>
        <v>Bloomberg,Apple,Amazon,Microsoft,Facebook</v>
      </c>
      <c r="H446" s="85" t="str">
        <f>IFERROR(__xludf.DUMMYFUNCTION("""COMPUTED_VALUE"""),"Google,Lyft,Pocket Gems,Bloomberg,Apple,Amazon,Microsoft,Facebook")</f>
        <v>Google,Lyft,Pocket Gems,Bloomberg,Apple,Amazon,Microsoft,Facebook</v>
      </c>
      <c r="I446" s="85">
        <f>IFERROR(__xludf.DUMMYFUNCTION("""COMPUTED_VALUE"""),69.01)</f>
        <v>69.01</v>
      </c>
      <c r="J446" s="85" t="str">
        <f>IFERROR(__xludf.DUMMYFUNCTION("""COMPUTED_VALUE"""),"算法")</f>
        <v>算法</v>
      </c>
      <c r="K446" s="2" t="s">
        <v>5003</v>
      </c>
    </row>
    <row r="447">
      <c r="A447" s="47">
        <v>448.0</v>
      </c>
      <c r="B447" s="86" t="str">
        <f>IFERROR(__xludf.DUMMYFUNCTION("IF(ISBLANK(A447),,FILTER('Leetcode List'!B:C,'Leetcode List'!A:A = A447))"),"Find All Numbers Disappeared in an Array")</f>
        <v>Find All Numbers Disappeared in an Array</v>
      </c>
      <c r="C447" s="85" t="str">
        <f>IFERROR(__xludf.DUMMYFUNCTION("""COMPUTED_VALUE"""),"Easy")</f>
        <v>Easy</v>
      </c>
      <c r="D447" s="47" t="s">
        <v>61</v>
      </c>
      <c r="E447" s="90" t="str">
        <f>IFERROR(__xludf.DUMMYFUNCTION("IF(ISBLANK(A447),,FILTER('Leetcode List'!E:J,'Leetcode List'!A:A = A447))"),"Yahoo,Bloomberg,Amazon,Apple,Adobe,Facebook,Microsoft,Google")</f>
        <v>Yahoo,Bloomberg,Amazon,Apple,Adobe,Facebook,Microsoft,Google</v>
      </c>
      <c r="F447" s="85" t="str">
        <f>IFERROR(__xludf.DUMMYFUNCTION("""COMPUTED_VALUE"""),"Amazon,Bloomberg")</f>
        <v>Amazon,Bloomberg</v>
      </c>
      <c r="G447" s="85" t="str">
        <f>IFERROR(__xludf.DUMMYFUNCTION("""COMPUTED_VALUE"""),"Microsoft,Yahoo,Amazon,Bloomberg")</f>
        <v>Microsoft,Yahoo,Amazon,Bloomberg</v>
      </c>
      <c r="H447" s="85" t="str">
        <f>IFERROR(__xludf.DUMMYFUNCTION("""COMPUTED_VALUE"""),"Apple,Google,Adobe,Microsoft,Yahoo,Amazon,Bloomberg")</f>
        <v>Apple,Google,Adobe,Microsoft,Yahoo,Amazon,Bloomberg</v>
      </c>
      <c r="I447" s="85">
        <f>IFERROR(__xludf.DUMMYFUNCTION("""COMPUTED_VALUE"""),56.09)</f>
        <v>56.09</v>
      </c>
      <c r="J447" s="85" t="str">
        <f>IFERROR(__xludf.DUMMYFUNCTION("""COMPUTED_VALUE"""),"算法")</f>
        <v>算法</v>
      </c>
      <c r="K447" s="2" t="s">
        <v>5003</v>
      </c>
    </row>
    <row r="448">
      <c r="A448" s="47">
        <v>645.0</v>
      </c>
      <c r="B448" s="86" t="str">
        <f>IFERROR(__xludf.DUMMYFUNCTION("IF(ISBLANK(A448),,FILTER('Leetcode List'!B:C,'Leetcode List'!A:A = A448))"),"Set Mismatch")</f>
        <v>Set Mismatch</v>
      </c>
      <c r="C448" s="85" t="str">
        <f>IFERROR(__xludf.DUMMYFUNCTION("""COMPUTED_VALUE"""),"Easy")</f>
        <v>Easy</v>
      </c>
      <c r="D448" s="47" t="s">
        <v>61</v>
      </c>
      <c r="E448" s="90" t="str">
        <f>IFERROR(__xludf.DUMMYFUNCTION("IF(ISBLANK(A448),,FILTER('Leetcode List'!E:J,'Leetcode List'!A:A = A448))"),"Apple,Amazon")</f>
        <v>Apple,Amazon</v>
      </c>
      <c r="F448" s="85"/>
      <c r="G448" s="85"/>
      <c r="H448" s="85" t="str">
        <f>IFERROR(__xludf.DUMMYFUNCTION("""COMPUTED_VALUE"""),"Apple,Amazon")</f>
        <v>Apple,Amazon</v>
      </c>
      <c r="I448" s="85">
        <f>IFERROR(__xludf.DUMMYFUNCTION("""COMPUTED_VALUE"""),41.64)</f>
        <v>41.64</v>
      </c>
      <c r="J448" s="85" t="str">
        <f>IFERROR(__xludf.DUMMYFUNCTION("""COMPUTED_VALUE"""),"算法")</f>
        <v>算法</v>
      </c>
      <c r="K448" s="2" t="s">
        <v>5003</v>
      </c>
    </row>
    <row r="449">
      <c r="A449" s="47">
        <v>921.0</v>
      </c>
      <c r="B449" s="86" t="str">
        <f>IFERROR(__xludf.DUMMYFUNCTION("IF(ISBLANK(A449),,FILTER('Leetcode List'!B:C,'Leetcode List'!A:A = A449))"),"Minimum Add to Make Parentheses Valid")</f>
        <v>Minimum Add to Make Parentheses Valid</v>
      </c>
      <c r="C449" s="85" t="str">
        <f>IFERROR(__xludf.DUMMYFUNCTION("""COMPUTED_VALUE"""),"Medium")</f>
        <v>Medium</v>
      </c>
      <c r="D449" s="47" t="s">
        <v>61</v>
      </c>
      <c r="E449" s="90" t="str">
        <f>IFERROR(__xludf.DUMMYFUNCTION("IF(ISBLANK(A449),,FILTER('Leetcode List'!E:J,'Leetcode List'!A:A = A449))"),"Visa,ServiceNow,Facebook,Amazon")</f>
        <v>Visa,ServiceNow,Facebook,Amazon</v>
      </c>
      <c r="F449" s="85" t="str">
        <f>IFERROR(__xludf.DUMMYFUNCTION("""COMPUTED_VALUE"""),"Facebook,Visa")</f>
        <v>Facebook,Visa</v>
      </c>
      <c r="G449" s="85" t="str">
        <f>IFERROR(__xludf.DUMMYFUNCTION("""COMPUTED_VALUE"""),"Facebook,Visa")</f>
        <v>Facebook,Visa</v>
      </c>
      <c r="H449" s="85" t="str">
        <f>IFERROR(__xludf.DUMMYFUNCTION("""COMPUTED_VALUE"""),"ServiceNow,Amazon,Facebook,Visa")</f>
        <v>ServiceNow,Amazon,Facebook,Visa</v>
      </c>
      <c r="I449" s="85">
        <f>IFERROR(__xludf.DUMMYFUNCTION("""COMPUTED_VALUE"""),74.88)</f>
        <v>74.88</v>
      </c>
      <c r="J449" s="85" t="str">
        <f>IFERROR(__xludf.DUMMYFUNCTION("""COMPUTED_VALUE"""),"算法")</f>
        <v>算法</v>
      </c>
      <c r="K449" s="2" t="s">
        <v>5004</v>
      </c>
    </row>
    <row r="450">
      <c r="A450" s="47">
        <v>1249.0</v>
      </c>
      <c r="B450" s="86" t="str">
        <f>IFERROR(__xludf.DUMMYFUNCTION("IF(ISBLANK(A450),,FILTER('Leetcode List'!B:C,'Leetcode List'!A:A = A450))"),"Minimum Remove to Make Valid Parentheses")</f>
        <v>Minimum Remove to Make Valid Parentheses</v>
      </c>
      <c r="C450" s="85" t="str">
        <f>IFERROR(__xludf.DUMMYFUNCTION("""COMPUTED_VALUE"""),"Medium")</f>
        <v>Medium</v>
      </c>
      <c r="D450" s="47" t="s">
        <v>61</v>
      </c>
      <c r="E450" s="90" t="str">
        <f>IFERROR(__xludf.DUMMYFUNCTION("IF(ISBLANK(A450),,FILTER('Leetcode List'!E:J,'Leetcode List'!A:A = A450))"),"ByteDance,Uber,LinkedIn,Goldman Sachs,Bloomberg,Facebook,Amazon,Microsoft")</f>
        <v>ByteDance,Uber,LinkedIn,Goldman Sachs,Bloomberg,Facebook,Amazon,Microsoft</v>
      </c>
      <c r="F450" s="85" t="str">
        <f>IFERROR(__xludf.DUMMYFUNCTION("""COMPUTED_VALUE"""),"Facebook,ByteDance,Bloomberg,Amazon,Goldman Sachs,LinkedIn")</f>
        <v>Facebook,ByteDance,Bloomberg,Amazon,Goldman Sachs,LinkedIn</v>
      </c>
      <c r="G450" s="85" t="str">
        <f>IFERROR(__xludf.DUMMYFUNCTION("""COMPUTED_VALUE"""),"Microsoft,Facebook,ByteDance,Bloomberg,Amazon,Goldman Sachs,LinkedIn")</f>
        <v>Microsoft,Facebook,ByteDance,Bloomberg,Amazon,Goldman Sachs,LinkedIn</v>
      </c>
      <c r="H450" s="85" t="str">
        <f>IFERROR(__xludf.DUMMYFUNCTION("""COMPUTED_VALUE"""),"Uber,Microsoft,Facebook,ByteDance,Bloomberg,Amazon,Goldman Sachs,LinkedIn")</f>
        <v>Uber,Microsoft,Facebook,ByteDance,Bloomberg,Amazon,Goldman Sachs,LinkedIn</v>
      </c>
      <c r="I450" s="85">
        <f>IFERROR(__xludf.DUMMYFUNCTION("""COMPUTED_VALUE"""),64.19)</f>
        <v>64.19</v>
      </c>
      <c r="J450" s="85" t="str">
        <f>IFERROR(__xludf.DUMMYFUNCTION("""COMPUTED_VALUE"""),"算法")</f>
        <v>算法</v>
      </c>
      <c r="K450" s="2" t="s">
        <v>5004</v>
      </c>
    </row>
    <row r="451">
      <c r="A451" s="47">
        <v>1541.0</v>
      </c>
      <c r="B451" s="86" t="str">
        <f>IFERROR(__xludf.DUMMYFUNCTION("IF(ISBLANK(A451),,FILTER('Leetcode List'!B:C,'Leetcode List'!A:A = A451))"),"Minimum Insertions to Balance a Parentheses String")</f>
        <v>Minimum Insertions to Balance a Parentheses String</v>
      </c>
      <c r="C451" s="85" t="str">
        <f>IFERROR(__xludf.DUMMYFUNCTION("""COMPUTED_VALUE"""),"Medium")</f>
        <v>Medium</v>
      </c>
      <c r="D451" s="47" t="s">
        <v>61</v>
      </c>
      <c r="E451" s="90" t="str">
        <f>IFERROR(__xludf.DUMMYFUNCTION("IF(ISBLANK(A451),,FILTER('Leetcode List'!E:J,'Leetcode List'!A:A = A451))"),"CasaOne,Facebook")</f>
        <v>CasaOne,Facebook</v>
      </c>
      <c r="F451" s="85"/>
      <c r="G451" s="85" t="str">
        <f>IFERROR(__xludf.DUMMYFUNCTION("""COMPUTED_VALUE"""),"Facebook")</f>
        <v>Facebook</v>
      </c>
      <c r="H451" s="85" t="str">
        <f>IFERROR(__xludf.DUMMYFUNCTION("""COMPUTED_VALUE"""),"CasaOne,Facebook")</f>
        <v>CasaOne,Facebook</v>
      </c>
      <c r="I451" s="85">
        <f>IFERROR(__xludf.DUMMYFUNCTION("""COMPUTED_VALUE"""),42.9)</f>
        <v>42.9</v>
      </c>
      <c r="J451" s="85" t="str">
        <f>IFERROR(__xludf.DUMMYFUNCTION("""COMPUTED_VALUE"""),"算法")</f>
        <v>算法</v>
      </c>
      <c r="K451" s="2" t="s">
        <v>5004</v>
      </c>
    </row>
    <row r="452">
      <c r="A452" s="47">
        <v>678.0</v>
      </c>
      <c r="B452" s="86" t="str">
        <f>IFERROR(__xludf.DUMMYFUNCTION("IF(ISBLANK(A452),,FILTER('Leetcode List'!B:C,'Leetcode List'!A:A = A452))"),"Valid Parenthesis String")</f>
        <v>Valid Parenthesis String</v>
      </c>
      <c r="C452" s="85" t="str">
        <f>IFERROR(__xludf.DUMMYFUNCTION("""COMPUTED_VALUE"""),"Medium")</f>
        <v>Medium</v>
      </c>
      <c r="D452" s="47" t="s">
        <v>61</v>
      </c>
      <c r="E452" s="90" t="str">
        <f>IFERROR(__xludf.DUMMYFUNCTION("IF(ISBLANK(A452),,FILTER('Leetcode List'!E:J,'Leetcode List'!A:A = A452))"),"ByteDance,Salesforce,Oracle,Uber,Adobe,Bloomberg,Facebook,Amazon,Alibaba,Google")</f>
        <v>ByteDance,Salesforce,Oracle,Uber,Adobe,Bloomberg,Facebook,Amazon,Alibaba,Google</v>
      </c>
      <c r="F452" s="85" t="str">
        <f>IFERROR(__xludf.DUMMYFUNCTION("""COMPUTED_VALUE"""),"Facebook,Salesforce,Amazon,Uber,Oracle")</f>
        <v>Facebook,Salesforce,Amazon,Uber,Oracle</v>
      </c>
      <c r="G452" s="85" t="str">
        <f>IFERROR(__xludf.DUMMYFUNCTION("""COMPUTED_VALUE"""),"Google,ByteDance,Facebook,Salesforce,Amazon,Uber,Oracle")</f>
        <v>Google,ByteDance,Facebook,Salesforce,Amazon,Uber,Oracle</v>
      </c>
      <c r="H452" s="85" t="str">
        <f>IFERROR(__xludf.DUMMYFUNCTION("""COMPUTED_VALUE"""),"Adobe,Alibaba,Google,ByteDance,Facebook,Salesforce,Amazon,Uber,Oracle")</f>
        <v>Adobe,Alibaba,Google,ByteDance,Facebook,Salesforce,Amazon,Uber,Oracle</v>
      </c>
      <c r="I452" s="85">
        <f>IFERROR(__xludf.DUMMYFUNCTION("""COMPUTED_VALUE"""),31.71)</f>
        <v>31.71</v>
      </c>
      <c r="J452" s="85" t="str">
        <f>IFERROR(__xludf.DUMMYFUNCTION("""COMPUTED_VALUE"""),"算法")</f>
        <v>算法</v>
      </c>
      <c r="K452" s="2" t="s">
        <v>5004</v>
      </c>
    </row>
    <row r="453">
      <c r="A453" s="47">
        <v>435.0</v>
      </c>
      <c r="B453" s="86" t="str">
        <f>IFERROR(__xludf.DUMMYFUNCTION("IF(ISBLANK(A453),,FILTER('Leetcode List'!B:C,'Leetcode List'!A:A = A453))"),"Non-overlapping Intervals")</f>
        <v>Non-overlapping Intervals</v>
      </c>
      <c r="C453" s="85" t="str">
        <f>IFERROR(__xludf.DUMMYFUNCTION("""COMPUTED_VALUE"""),"Medium")</f>
        <v>Medium</v>
      </c>
      <c r="D453" s="47" t="s">
        <v>61</v>
      </c>
      <c r="E453" s="90" t="str">
        <f>IFERROR(__xludf.DUMMYFUNCTION("IF(ISBLANK(A453),,FILTER('Leetcode List'!E:J,'Leetcode List'!A:A = A453))"),"ByteDance,Google,Apple,Bloomberg,Facebook,Amazon,Microsoft")</f>
        <v>ByteDance,Google,Apple,Bloomberg,Facebook,Amazon,Microsoft</v>
      </c>
      <c r="F453" s="85" t="str">
        <f>IFERROR(__xludf.DUMMYFUNCTION("""COMPUTED_VALUE"""),"Facebook,ByteDance,Amazon")</f>
        <v>Facebook,ByteDance,Amazon</v>
      </c>
      <c r="G453" s="85" t="str">
        <f>IFERROR(__xludf.DUMMYFUNCTION("""COMPUTED_VALUE"""),"Google,Apple,Facebook,ByteDance,Amazon")</f>
        <v>Google,Apple,Facebook,ByteDance,Amazon</v>
      </c>
      <c r="H453" s="85" t="str">
        <f>IFERROR(__xludf.DUMMYFUNCTION("""COMPUTED_VALUE"""),"Microsoft,Google,Apple,Facebook,ByteDance,Amazon")</f>
        <v>Microsoft,Google,Apple,Facebook,ByteDance,Amazon</v>
      </c>
      <c r="I453" s="85">
        <f>IFERROR(__xludf.DUMMYFUNCTION("""COMPUTED_VALUE"""),43.88)</f>
        <v>43.88</v>
      </c>
      <c r="J453" s="85" t="str">
        <f>IFERROR(__xludf.DUMMYFUNCTION("""COMPUTED_VALUE"""),"算法")</f>
        <v>算法</v>
      </c>
      <c r="K453" s="2" t="s">
        <v>5005</v>
      </c>
    </row>
    <row r="454">
      <c r="A454" s="47">
        <v>452.0</v>
      </c>
      <c r="B454" s="86" t="str">
        <f>IFERROR(__xludf.DUMMYFUNCTION("IF(ISBLANK(A454),,FILTER('Leetcode List'!B:C,'Leetcode List'!A:A = A454))"),"Minimum Number of Arrows to Burst Balloons")</f>
        <v>Minimum Number of Arrows to Burst Balloons</v>
      </c>
      <c r="C454" s="85" t="str">
        <f>IFERROR(__xludf.DUMMYFUNCTION("""COMPUTED_VALUE"""),"Medium")</f>
        <v>Medium</v>
      </c>
      <c r="D454" s="47" t="s">
        <v>61</v>
      </c>
      <c r="E454" s="90" t="str">
        <f>IFERROR(__xludf.DUMMYFUNCTION("IF(ISBLANK(A454),,FILTER('Leetcode List'!E:J,'Leetcode List'!A:A = A454))"),"Uber,Bloomberg,Adobe,Google,Quora,Facebook,Amazon,Microsoft")</f>
        <v>Uber,Bloomberg,Adobe,Google,Quora,Facebook,Amazon,Microsoft</v>
      </c>
      <c r="F454" s="85" t="str">
        <f>IFERROR(__xludf.DUMMYFUNCTION("""COMPUTED_VALUE"""),"Facebook,Google")</f>
        <v>Facebook,Google</v>
      </c>
      <c r="G454" s="85" t="str">
        <f>IFERROR(__xludf.DUMMYFUNCTION("""COMPUTED_VALUE"""),"Amazon,Uber,Facebook,Google")</f>
        <v>Amazon,Uber,Facebook,Google</v>
      </c>
      <c r="H454" s="85" t="str">
        <f>IFERROR(__xludf.DUMMYFUNCTION("""COMPUTED_VALUE"""),"Quora,Bloomberg,Adobe,Microsoft,Amazon,Uber,Facebook,Google")</f>
        <v>Quora,Bloomberg,Adobe,Microsoft,Amazon,Uber,Facebook,Google</v>
      </c>
      <c r="I454" s="85">
        <f>IFERROR(__xludf.DUMMYFUNCTION("""COMPUTED_VALUE"""),49.76)</f>
        <v>49.76</v>
      </c>
      <c r="J454" s="85" t="str">
        <f>IFERROR(__xludf.DUMMYFUNCTION("""COMPUTED_VALUE"""),"算法")</f>
        <v>算法</v>
      </c>
      <c r="K454" s="2" t="s">
        <v>5005</v>
      </c>
    </row>
    <row r="455">
      <c r="A455" s="47">
        <v>757.0</v>
      </c>
      <c r="B455" s="86" t="str">
        <f>IFERROR(__xludf.DUMMYFUNCTION("IF(ISBLANK(A455),,FILTER('Leetcode List'!B:C,'Leetcode List'!A:A = A455))"),"Set Intersection Size At Least Two")</f>
        <v>Set Intersection Size At Least Two</v>
      </c>
      <c r="C455" s="85" t="str">
        <f>IFERROR(__xludf.DUMMYFUNCTION("""COMPUTED_VALUE"""),"Hard")</f>
        <v>Hard</v>
      </c>
      <c r="D455" s="47" t="s">
        <v>61</v>
      </c>
      <c r="E455" s="90" t="str">
        <f>IFERROR(__xludf.DUMMYFUNCTION("IF(ISBLANK(A455),,FILTER('Leetcode List'!E:J,'Leetcode List'!A:A = A455))"),"Drawbridge,Uber")</f>
        <v>Drawbridge,Uber</v>
      </c>
      <c r="F455" s="85" t="str">
        <f>IFERROR(__xludf.DUMMYFUNCTION("""COMPUTED_VALUE"""),"Uber")</f>
        <v>Uber</v>
      </c>
      <c r="G455" s="85" t="str">
        <f>IFERROR(__xludf.DUMMYFUNCTION("""COMPUTED_VALUE"""),"Uber")</f>
        <v>Uber</v>
      </c>
      <c r="H455" s="85" t="str">
        <f>IFERROR(__xludf.DUMMYFUNCTION("""COMPUTED_VALUE"""),"Drawbridge,Uber")</f>
        <v>Drawbridge,Uber</v>
      </c>
      <c r="I455" s="85">
        <f>IFERROR(__xludf.DUMMYFUNCTION("""COMPUTED_VALUE"""),42.55)</f>
        <v>42.55</v>
      </c>
      <c r="J455" s="85" t="str">
        <f>IFERROR(__xludf.DUMMYFUNCTION("""COMPUTED_VALUE"""),"算法")</f>
        <v>算法</v>
      </c>
      <c r="K455" s="2" t="s">
        <v>5005</v>
      </c>
    </row>
    <row r="456">
      <c r="A456" s="47">
        <v>1024.0</v>
      </c>
      <c r="B456" s="86" t="str">
        <f>IFERROR(__xludf.DUMMYFUNCTION("IF(ISBLANK(A456),,FILTER('Leetcode List'!B:C,'Leetcode List'!A:A = A456))"),"Video Stitching")</f>
        <v>Video Stitching</v>
      </c>
      <c r="C456" s="85" t="str">
        <f>IFERROR(__xludf.DUMMYFUNCTION("""COMPUTED_VALUE"""),"Medium")</f>
        <v>Medium</v>
      </c>
      <c r="D456" s="47" t="s">
        <v>61</v>
      </c>
      <c r="E456" s="90" t="str">
        <f>IFERROR(__xludf.DUMMYFUNCTION("IF(ISBLANK(A456),,FILTER('Leetcode List'!E:J,'Leetcode List'!A:A = A456))"),"Amazon,Google")</f>
        <v>Amazon,Google</v>
      </c>
      <c r="F456" s="85" t="str">
        <f>IFERROR(__xludf.DUMMYFUNCTION("""COMPUTED_VALUE"""),"Amazon")</f>
        <v>Amazon</v>
      </c>
      <c r="G456" s="85" t="str">
        <f>IFERROR(__xludf.DUMMYFUNCTION("""COMPUTED_VALUE"""),"Amazon")</f>
        <v>Amazon</v>
      </c>
      <c r="H456" s="85" t="str">
        <f>IFERROR(__xludf.DUMMYFUNCTION("""COMPUTED_VALUE"""),"Google,Amazon")</f>
        <v>Google,Amazon</v>
      </c>
      <c r="I456" s="85">
        <f>IFERROR(__xludf.DUMMYFUNCTION("""COMPUTED_VALUE"""),49.0)</f>
        <v>49</v>
      </c>
      <c r="J456" s="85" t="str">
        <f>IFERROR(__xludf.DUMMYFUNCTION("""COMPUTED_VALUE"""),"算法")</f>
        <v>算法</v>
      </c>
      <c r="K456" s="2" t="s">
        <v>5005</v>
      </c>
    </row>
    <row r="457">
      <c r="A457" s="47">
        <v>1272.0</v>
      </c>
      <c r="B457" s="86" t="str">
        <f>IFERROR(__xludf.DUMMYFUNCTION("IF(ISBLANK(A457),,FILTER('Leetcode List'!B:C,'Leetcode List'!A:A = A457))"),"Remove Interval")</f>
        <v>Remove Interval</v>
      </c>
      <c r="C457" s="85" t="str">
        <f>IFERROR(__xludf.DUMMYFUNCTION("""COMPUTED_VALUE"""),"Medium")</f>
        <v>Medium</v>
      </c>
      <c r="D457" s="47" t="s">
        <v>61</v>
      </c>
      <c r="E457" s="90" t="str">
        <f>IFERROR(__xludf.DUMMYFUNCTION("IF(ISBLANK(A457),,FILTER('Leetcode List'!E:J,'Leetcode List'!A:A = A457))"),"Google")</f>
        <v>Google</v>
      </c>
      <c r="F457" s="85"/>
      <c r="G457" s="85"/>
      <c r="H457" s="85" t="str">
        <f>IFERROR(__xludf.DUMMYFUNCTION("""COMPUTED_VALUE"""),"Google")</f>
        <v>Google</v>
      </c>
      <c r="I457" s="85">
        <f>IFERROR(__xludf.DUMMYFUNCTION("""COMPUTED_VALUE"""),58.3)</f>
        <v>58.3</v>
      </c>
      <c r="J457" s="85" t="str">
        <f>IFERROR(__xludf.DUMMYFUNCTION("""COMPUTED_VALUE"""),"算法")</f>
        <v>算法</v>
      </c>
      <c r="K457" s="2" t="s">
        <v>5005</v>
      </c>
    </row>
    <row r="458">
      <c r="A458" s="47">
        <v>1288.0</v>
      </c>
      <c r="B458" s="86" t="str">
        <f>IFERROR(__xludf.DUMMYFUNCTION("IF(ISBLANK(A458),,FILTER('Leetcode List'!B:C,'Leetcode List'!A:A = A458))"),"Remove Covered Intervals")</f>
        <v>Remove Covered Intervals</v>
      </c>
      <c r="C458" s="85" t="str">
        <f>IFERROR(__xludf.DUMMYFUNCTION("""COMPUTED_VALUE"""),"Medium")</f>
        <v>Medium</v>
      </c>
      <c r="D458" s="47" t="s">
        <v>61</v>
      </c>
      <c r="E458" s="90" t="str">
        <f>IFERROR(__xludf.DUMMYFUNCTION("IF(ISBLANK(A458),,FILTER('Leetcode List'!E:J,'Leetcode List'!A:A = A458))"),"Amazon")</f>
        <v>Amazon</v>
      </c>
      <c r="F458" s="85"/>
      <c r="G458" s="85"/>
      <c r="H458" s="85" t="str">
        <f>IFERROR(__xludf.DUMMYFUNCTION("""COMPUTED_VALUE"""),"Amazon")</f>
        <v>Amazon</v>
      </c>
      <c r="I458" s="85">
        <f>IFERROR(__xludf.DUMMYFUNCTION("""COMPUTED_VALUE"""),57.35)</f>
        <v>57.35</v>
      </c>
      <c r="J458" s="85" t="str">
        <f>IFERROR(__xludf.DUMMYFUNCTION("""COMPUTED_VALUE"""),"算法")</f>
        <v>算法</v>
      </c>
      <c r="K458" s="2" t="s">
        <v>5005</v>
      </c>
    </row>
    <row r="459">
      <c r="A459" s="47">
        <v>1326.0</v>
      </c>
      <c r="B459" s="86" t="str">
        <f>IFERROR(__xludf.DUMMYFUNCTION("IF(ISBLANK(A459),,FILTER('Leetcode List'!B:C,'Leetcode List'!A:A = A459))"),"Minimum Number of Taps to Open to Water a Garden")</f>
        <v>Minimum Number of Taps to Open to Water a Garden</v>
      </c>
      <c r="C459" s="85" t="str">
        <f>IFERROR(__xludf.DUMMYFUNCTION("""COMPUTED_VALUE"""),"Hard")</f>
        <v>Hard</v>
      </c>
      <c r="D459" s="47" t="s">
        <v>61</v>
      </c>
      <c r="E459" s="90" t="str">
        <f>IFERROR(__xludf.DUMMYFUNCTION("IF(ISBLANK(A459),,FILTER('Leetcode List'!E:J,'Leetcode List'!A:A = A459))"),"DE Shaw,Atlassian,Docusign,Apple,Morgan Stanley,Adobe,Amazon,Akuna Capital,Twitter,Google")</f>
        <v>DE Shaw,Atlassian,Docusign,Apple,Morgan Stanley,Adobe,Amazon,Akuna Capital,Twitter,Google</v>
      </c>
      <c r="F459" s="85" t="str">
        <f>IFERROR(__xludf.DUMMYFUNCTION("""COMPUTED_VALUE"""),"Apple,Twitter,Adobe,Docusign,Morgan Stanley")</f>
        <v>Apple,Twitter,Adobe,Docusign,Morgan Stanley</v>
      </c>
      <c r="G459" s="85" t="str">
        <f>IFERROR(__xludf.DUMMYFUNCTION("""COMPUTED_VALUE"""),"Google,Atlassian,DE Shaw,Amazon,Apple,Twitter,Adobe,Docusign,Morgan Stanley")</f>
        <v>Google,Atlassian,DE Shaw,Amazon,Apple,Twitter,Adobe,Docusign,Morgan Stanley</v>
      </c>
      <c r="H459" s="85" t="str">
        <f>IFERROR(__xludf.DUMMYFUNCTION("""COMPUTED_VALUE"""),"Akuna Capital,Google,Atlassian,DE Shaw,Amazon,Apple,Twitter,Adobe,Docusign,Morgan Stanley")</f>
        <v>Akuna Capital,Google,Atlassian,DE Shaw,Amazon,Apple,Twitter,Adobe,Docusign,Morgan Stanley</v>
      </c>
      <c r="I459" s="85">
        <f>IFERROR(__xludf.DUMMYFUNCTION("""COMPUTED_VALUE"""),47.58)</f>
        <v>47.58</v>
      </c>
      <c r="J459" s="85" t="str">
        <f>IFERROR(__xludf.DUMMYFUNCTION("""COMPUTED_VALUE"""),"算法")</f>
        <v>算法</v>
      </c>
      <c r="K459" s="2" t="s">
        <v>5005</v>
      </c>
    </row>
    <row r="460">
      <c r="A460" s="47">
        <v>1235.0</v>
      </c>
      <c r="B460" s="86" t="str">
        <f>IFERROR(__xludf.DUMMYFUNCTION("IF(ISBLANK(A460),,FILTER('Leetcode List'!B:C,'Leetcode List'!A:A = A460))"),"Maximum Profit in Job Scheduling")</f>
        <v>Maximum Profit in Job Scheduling</v>
      </c>
      <c r="C460" s="85" t="str">
        <f>IFERROR(__xludf.DUMMYFUNCTION("""COMPUTED_VALUE"""),"Hard")</f>
        <v>Hard</v>
      </c>
      <c r="D460" s="47" t="s">
        <v>61</v>
      </c>
      <c r="E460" s="90" t="str">
        <f>IFERROR(__xludf.DUMMYFUNCTION("IF(ISBLANK(A460),,FILTER('Leetcode List'!E:J,'Leetcode List'!A:A = A460))"),"Dunzo,Arista Networks,DoorDash,Atlassian,ByteDance,Cisco,Bloomberg,Amazon,LinkedIn,Microsoft,Goldman Sachs,Pony.ai,Airbnb,Google")</f>
        <v>Dunzo,Arista Networks,DoorDash,Atlassian,ByteDance,Cisco,Bloomberg,Amazon,LinkedIn,Microsoft,Goldman Sachs,Pony.ai,Airbnb,Google</v>
      </c>
      <c r="F460" s="85" t="str">
        <f>IFERROR(__xludf.DUMMYFUNCTION("""COMPUTED_VALUE"""),"LinkedIn,Amazon,DoorDash,ByteDance,Cisco,Arista Networks,Bloomberg,Dunzo")</f>
        <v>LinkedIn,Amazon,DoorDash,ByteDance,Cisco,Arista Networks,Bloomberg,Dunzo</v>
      </c>
      <c r="G460" s="85" t="str">
        <f>IFERROR(__xludf.DUMMYFUNCTION("""COMPUTED_VALUE"""),"Google,Goldman Sachs,Atlassian,LinkedIn,Amazon,DoorDash,ByteDance,Cisco,Arista Networks,Bloomberg,Dunzo")</f>
        <v>Google,Goldman Sachs,Atlassian,LinkedIn,Amazon,DoorDash,ByteDance,Cisco,Arista Networks,Bloomberg,Dunzo</v>
      </c>
      <c r="H460" s="85" t="str">
        <f>IFERROR(__xludf.DUMMYFUNCTION("""COMPUTED_VALUE"""),"Airbnb,Microsoft,Pony.ai,Google,Goldman Sachs,Atlassian,LinkedIn,Amazon,DoorDash,ByteDance,Cisco,Arista Networks,Bloomberg,Dunzo")</f>
        <v>Airbnb,Microsoft,Pony.ai,Google,Goldman Sachs,Atlassian,LinkedIn,Amazon,DoorDash,ByteDance,Cisco,Arista Networks,Bloomberg,Dunzo</v>
      </c>
      <c r="I460" s="85">
        <f>IFERROR(__xludf.DUMMYFUNCTION("""COMPUTED_VALUE"""),47.46)</f>
        <v>47.46</v>
      </c>
      <c r="J460" s="85" t="str">
        <f>IFERROR(__xludf.DUMMYFUNCTION("""COMPUTED_VALUE"""),"算法")</f>
        <v>算法</v>
      </c>
      <c r="K460" s="2" t="s">
        <v>5005</v>
      </c>
    </row>
    <row r="461">
      <c r="A461" s="47">
        <v>1751.0</v>
      </c>
      <c r="B461" s="86" t="str">
        <f>IFERROR(__xludf.DUMMYFUNCTION("IF(ISBLANK(A461),,FILTER('Leetcode List'!B:C,'Leetcode List'!A:A = A461))"),"Maximum Number of Events That Can Be Attended II")</f>
        <v>Maximum Number of Events That Can Be Attended II</v>
      </c>
      <c r="C461" s="85" t="str">
        <f>IFERROR(__xludf.DUMMYFUNCTION("""COMPUTED_VALUE"""),"Hard")</f>
        <v>Hard</v>
      </c>
      <c r="D461" s="47" t="s">
        <v>61</v>
      </c>
      <c r="E461" s="90" t="str">
        <f>IFERROR(__xludf.DUMMYFUNCTION("IF(ISBLANK(A461),,FILTER('Leetcode List'!E:J,'Leetcode List'!A:A = A461))"),"General electric")</f>
        <v>General electric</v>
      </c>
      <c r="F461" s="85"/>
      <c r="G461" s="85"/>
      <c r="H461" s="85" t="str">
        <f>IFERROR(__xludf.DUMMYFUNCTION("""COMPUTED_VALUE"""),"general electric")</f>
        <v>general electric</v>
      </c>
      <c r="I461" s="85">
        <f>IFERROR(__xludf.DUMMYFUNCTION("""COMPUTED_VALUE"""),47.77)</f>
        <v>47.77</v>
      </c>
      <c r="J461" s="85" t="str">
        <f>IFERROR(__xludf.DUMMYFUNCTION("""COMPUTED_VALUE"""),"算法")</f>
        <v>算法</v>
      </c>
      <c r="K461" s="2" t="s">
        <v>5005</v>
      </c>
    </row>
    <row r="462">
      <c r="A462" s="47">
        <v>61.0</v>
      </c>
      <c r="B462" s="86" t="str">
        <f>IFERROR(__xludf.DUMMYFUNCTION("IF(ISBLANK(A462),,FILTER('Leetcode List'!B:C,'Leetcode List'!A:A = A462))"),"Rotate List")</f>
        <v>Rotate List</v>
      </c>
      <c r="C462" s="85" t="str">
        <f>IFERROR(__xludf.DUMMYFUNCTION("""COMPUTED_VALUE"""),"Medium")</f>
        <v>Medium</v>
      </c>
      <c r="D462" s="47" t="s">
        <v>206</v>
      </c>
      <c r="E462" s="90" t="str">
        <f>IFERROR(__xludf.DUMMYFUNCTION("IF(ISBLANK(A462),,FILTER('Leetcode List'!E:J,'Leetcode List'!A:A = A462))"),"Apple,Yahoo,Samsung,Facebook,Hulu,Bloomberg,Adobe,Amazon,LinkedIn,Microsoft")</f>
        <v>Apple,Yahoo,Samsung,Facebook,Hulu,Bloomberg,Adobe,Amazon,LinkedIn,Microsoft</v>
      </c>
      <c r="F462" s="85" t="str">
        <f>IFERROR(__xludf.DUMMYFUNCTION("""COMPUTED_VALUE"""),"Amazon,Bloomberg,Microsoft")</f>
        <v>Amazon,Bloomberg,Microsoft</v>
      </c>
      <c r="G462" s="85" t="str">
        <f>IFERROR(__xludf.DUMMYFUNCTION("""COMPUTED_VALUE"""),"Adobe,Apple,Amazon,Bloomberg,Microsoft")</f>
        <v>Adobe,Apple,Amazon,Bloomberg,Microsoft</v>
      </c>
      <c r="H462" s="85" t="str">
        <f>IFERROR(__xludf.DUMMYFUNCTION("""COMPUTED_VALUE"""),"LinkedIn,Facebook,Yahoo,Samsung,Adobe,Apple,Amazon,Bloomberg,Microsoft")</f>
        <v>LinkedIn,Facebook,Yahoo,Samsung,Adobe,Apple,Amazon,Bloomberg,Microsoft</v>
      </c>
      <c r="I462" s="85">
        <f>IFERROR(__xludf.DUMMYFUNCTION("""COMPUTED_VALUE"""),31.84)</f>
        <v>31.84</v>
      </c>
      <c r="J462" s="85" t="str">
        <f>IFERROR(__xludf.DUMMYFUNCTION("""COMPUTED_VALUE"""),"算法")</f>
        <v>算法</v>
      </c>
    </row>
    <row r="463">
      <c r="A463" s="47">
        <v>86.0</v>
      </c>
      <c r="B463" s="86" t="str">
        <f>IFERROR(__xludf.DUMMYFUNCTION("IF(ISBLANK(A463),,FILTER('Leetcode List'!B:C,'Leetcode List'!A:A = A463))"),"Partition List")</f>
        <v>Partition List</v>
      </c>
      <c r="C463" s="85" t="str">
        <f>IFERROR(__xludf.DUMMYFUNCTION("""COMPUTED_VALUE"""),"Medium")</f>
        <v>Medium</v>
      </c>
      <c r="D463" s="47" t="s">
        <v>206</v>
      </c>
      <c r="E463" s="90" t="str">
        <f>IFERROR(__xludf.DUMMYFUNCTION("IF(ISBLANK(A463),,FILTER('Leetcode List'!E:J,'Leetcode List'!A:A = A463))"),"Bloomberg,Facebook,Apple,Amazon,Microsoft")</f>
        <v>Bloomberg,Facebook,Apple,Amazon,Microsoft</v>
      </c>
      <c r="F463" s="85" t="str">
        <f>IFERROR(__xludf.DUMMYFUNCTION("""COMPUTED_VALUE"""),"Amazon,Microsoft,Apple,Bloomberg,Facebook")</f>
        <v>Amazon,Microsoft,Apple,Bloomberg,Facebook</v>
      </c>
      <c r="G463" s="85" t="str">
        <f>IFERROR(__xludf.DUMMYFUNCTION("""COMPUTED_VALUE"""),"Amazon,Microsoft,Apple,Bloomberg,Facebook")</f>
        <v>Amazon,Microsoft,Apple,Bloomberg,Facebook</v>
      </c>
      <c r="H463" s="85" t="str">
        <f>IFERROR(__xludf.DUMMYFUNCTION("""COMPUTED_VALUE"""),"Amazon,Microsoft,Apple,Bloomberg,Facebook")</f>
        <v>Amazon,Microsoft,Apple,Bloomberg,Facebook</v>
      </c>
      <c r="I463" s="85">
        <f>IFERROR(__xludf.DUMMYFUNCTION("""COMPUTED_VALUE"""),43.58)</f>
        <v>43.58</v>
      </c>
      <c r="J463" s="85" t="str">
        <f>IFERROR(__xludf.DUMMYFUNCTION("""COMPUTED_VALUE"""),"算法")</f>
        <v>算法</v>
      </c>
    </row>
    <row r="464">
      <c r="A464" s="47">
        <v>142.0</v>
      </c>
      <c r="B464" s="86" t="str">
        <f>IFERROR(__xludf.DUMMYFUNCTION("IF(ISBLANK(A464),,FILTER('Leetcode List'!B:C,'Leetcode List'!A:A = A464))"),"Linked List Cycle II")</f>
        <v>Linked List Cycle II</v>
      </c>
      <c r="C464" s="85" t="str">
        <f>IFERROR(__xludf.DUMMYFUNCTION("""COMPUTED_VALUE"""),"Medium")</f>
        <v>Medium</v>
      </c>
      <c r="D464" s="47" t="s">
        <v>206</v>
      </c>
      <c r="E464" s="90" t="str">
        <f>IFERROR(__xludf.DUMMYFUNCTION("IF(ISBLANK(A464),,FILTER('Leetcode List'!E:J,'Leetcode List'!A:A = A464))"),"Oracle,Goldman Sachs,EBay,Apple,Adobe,Amazon,LinkedIn,Microsoft,Google")</f>
        <v>Oracle,Goldman Sachs,EBay,Apple,Adobe,Amazon,LinkedIn,Microsoft,Google</v>
      </c>
      <c r="F464" s="85" t="str">
        <f>IFERROR(__xludf.DUMMYFUNCTION("""COMPUTED_VALUE"""),"Microsoft,Amazon,Apple")</f>
        <v>Microsoft,Amazon,Apple</v>
      </c>
      <c r="G464" s="85" t="str">
        <f>IFERROR(__xludf.DUMMYFUNCTION("""COMPUTED_VALUE"""),"Microsoft,Amazon,Apple")</f>
        <v>Microsoft,Amazon,Apple</v>
      </c>
      <c r="H464" s="85" t="str">
        <f>IFERROR(__xludf.DUMMYFUNCTION("""COMPUTED_VALUE"""),"Adobe,Goldman Sachs,eBay,Oracle,Microsoft,Amazon,Apple")</f>
        <v>Adobe,Goldman Sachs,eBay,Oracle,Microsoft,Amazon,Apple</v>
      </c>
      <c r="I464" s="85">
        <f>IFERROR(__xludf.DUMMYFUNCTION("""COMPUTED_VALUE"""),39.84)</f>
        <v>39.84</v>
      </c>
      <c r="J464" s="85" t="str">
        <f>IFERROR(__xludf.DUMMYFUNCTION("""COMPUTED_VALUE"""),"算法")</f>
        <v>算法</v>
      </c>
    </row>
    <row r="465">
      <c r="A465" s="47">
        <v>109.0</v>
      </c>
      <c r="B465" s="86" t="str">
        <f>IFERROR(__xludf.DUMMYFUNCTION("IF(ISBLANK(A465),,FILTER('Leetcode List'!B:C,'Leetcode List'!A:A = A465))"),"Convert Sorted List to Binary Search Tree")</f>
        <v>Convert Sorted List to Binary Search Tree</v>
      </c>
      <c r="C465" s="85" t="str">
        <f>IFERROR(__xludf.DUMMYFUNCTION("""COMPUTED_VALUE"""),"Medium")</f>
        <v>Medium</v>
      </c>
      <c r="D465" s="47" t="s">
        <v>206</v>
      </c>
      <c r="E465" s="90" t="str">
        <f>IFERROR(__xludf.DUMMYFUNCTION("IF(ISBLANK(A465),,FILTER('Leetcode List'!E:J,'Leetcode List'!A:A = A465))"),"Zenefits,VMware,Oracle,Lyft,Bloomberg,Facebook,Amazon,Microsoft,Google")</f>
        <v>Zenefits,VMware,Oracle,Lyft,Bloomberg,Facebook,Amazon,Microsoft,Google</v>
      </c>
      <c r="F465" s="85" t="str">
        <f>IFERROR(__xludf.DUMMYFUNCTION("""COMPUTED_VALUE"""),"Facebook,Amazon,Oracle,Microsoft")</f>
        <v>Facebook,Amazon,Oracle,Microsoft</v>
      </c>
      <c r="G465" s="85" t="str">
        <f>IFERROR(__xludf.DUMMYFUNCTION("""COMPUTED_VALUE"""),"Google,Lyft,Facebook,Amazon,Oracle,Microsoft")</f>
        <v>Google,Lyft,Facebook,Amazon,Oracle,Microsoft</v>
      </c>
      <c r="H465" s="85" t="str">
        <f>IFERROR(__xludf.DUMMYFUNCTION("""COMPUTED_VALUE"""),"Bloomberg,Zenefits,Google,Lyft,Facebook,Amazon,Oracle,Microsoft")</f>
        <v>Bloomberg,Zenefits,Google,Lyft,Facebook,Amazon,Oracle,Microsoft</v>
      </c>
      <c r="I465" s="85">
        <f>IFERROR(__xludf.DUMMYFUNCTION("""COMPUTED_VALUE"""),50.42)</f>
        <v>50.42</v>
      </c>
      <c r="J465" s="85" t="str">
        <f>IFERROR(__xludf.DUMMYFUNCTION("""COMPUTED_VALUE"""),"算法")</f>
        <v>算法</v>
      </c>
    </row>
    <row r="466">
      <c r="A466" s="47">
        <v>92.0</v>
      </c>
      <c r="B466" s="86" t="str">
        <f>IFERROR(__xludf.DUMMYFUNCTION("IF(ISBLANK(A466),,FILTER('Leetcode List'!B:C,'Leetcode List'!A:A = A466))"),"Reverse Linked List II")</f>
        <v>Reverse Linked List II</v>
      </c>
      <c r="C466" s="85" t="str">
        <f>IFERROR(__xludf.DUMMYFUNCTION("""COMPUTED_VALUE"""),"Medium")</f>
        <v>Medium</v>
      </c>
      <c r="D466" s="47" t="s">
        <v>206</v>
      </c>
      <c r="E466" s="90" t="str">
        <f>IFERROR(__xludf.DUMMYFUNCTION("IF(ISBLANK(A466),,FILTER('Leetcode List'!E:J,'Leetcode List'!A:A = A466))"),"ByteDance,Docusign,Atlassian,Oracle,Apple,Bloomberg,Adobe,Facebook,Amazon,Microsoft,Google")</f>
        <v>ByteDance,Docusign,Atlassian,Oracle,Apple,Bloomberg,Adobe,Facebook,Amazon,Microsoft,Google</v>
      </c>
      <c r="F466" s="85" t="str">
        <f>IFERROR(__xludf.DUMMYFUNCTION("""COMPUTED_VALUE"""),"Amazon,Facebook,Microsoft,Oracle,Bloomberg,Google,ByteDance")</f>
        <v>Amazon,Facebook,Microsoft,Oracle,Bloomberg,Google,ByteDance</v>
      </c>
      <c r="G466" s="85" t="str">
        <f>IFERROR(__xludf.DUMMYFUNCTION("""COMPUTED_VALUE"""),"Apple,Adobe,Docusign,Amazon,Facebook,Microsoft,Oracle,Bloomberg,Google,ByteDance")</f>
        <v>Apple,Adobe,Docusign,Amazon,Facebook,Microsoft,Oracle,Bloomberg,Google,ByteDance</v>
      </c>
      <c r="H466" s="85" t="str">
        <f>IFERROR(__xludf.DUMMYFUNCTION("""COMPUTED_VALUE"""),"Apple,Adobe,Docusign,Amazon,Facebook,Microsoft,Oracle,Bloomberg,Google,ByteDance")</f>
        <v>Apple,Adobe,Docusign,Amazon,Facebook,Microsoft,Oracle,Bloomberg,Google,ByteDance</v>
      </c>
      <c r="I466" s="85">
        <f>IFERROR(__xludf.DUMMYFUNCTION("""COMPUTED_VALUE"""),40.71)</f>
        <v>40.71</v>
      </c>
      <c r="J466" s="85" t="str">
        <f>IFERROR(__xludf.DUMMYFUNCTION("""COMPUTED_VALUE"""),"算法")</f>
        <v>算法</v>
      </c>
    </row>
    <row r="467">
      <c r="A467" s="47">
        <v>143.0</v>
      </c>
      <c r="B467" s="86" t="str">
        <f>IFERROR(__xludf.DUMMYFUNCTION("IF(ISBLANK(A467),,FILTER('Leetcode List'!B:C,'Leetcode List'!A:A = A467))"),"Reorder List")</f>
        <v>Reorder List</v>
      </c>
      <c r="C467" s="85" t="str">
        <f>IFERROR(__xludf.DUMMYFUNCTION("""COMPUTED_VALUE"""),"Medium")</f>
        <v>Medium</v>
      </c>
      <c r="D467" s="47" t="s">
        <v>206</v>
      </c>
      <c r="E467" s="90" t="str">
        <f>IFERROR(__xludf.DUMMYFUNCTION("IF(ISBLANK(A467),,FILTER('Leetcode List'!E:J,'Leetcode List'!A:A = A467))"),"Snapchat,Walmart Labs,Apple,Bloomberg,Splunk,ByteDance,Cisco,EBay,Tencent,Adobe,Facebook,Amazon,Microsoft,Google")</f>
        <v>Snapchat,Walmart Labs,Apple,Bloomberg,Splunk,ByteDance,Cisco,EBay,Tencent,Adobe,Facebook,Amazon,Microsoft,Google</v>
      </c>
      <c r="F467" s="85" t="str">
        <f>IFERROR(__xludf.DUMMYFUNCTION("""COMPUTED_VALUE"""),"Amazon,Facebook,Splunk")</f>
        <v>Amazon,Facebook,Splunk</v>
      </c>
      <c r="G467" s="85" t="str">
        <f>IFERROR(__xludf.DUMMYFUNCTION("""COMPUTED_VALUE"""),"Apple,eBay,ByteDance,Microsoft,Bloomberg,Snapchat,Amazon,Facebook,Splunk")</f>
        <v>Apple,eBay,ByteDance,Microsoft,Bloomberg,Snapchat,Amazon,Facebook,Splunk</v>
      </c>
      <c r="H467" s="85" t="str">
        <f>IFERROR(__xludf.DUMMYFUNCTION("""COMPUTED_VALUE"""),"Adobe,Tencent,Walmart Labs,Apple,eBay,ByteDance,Microsoft,Bloomberg,Snapchat,Amazon,Facebook,Splunk")</f>
        <v>Adobe,Tencent,Walmart Labs,Apple,eBay,ByteDance,Microsoft,Bloomberg,Snapchat,Amazon,Facebook,Splunk</v>
      </c>
      <c r="I467" s="85">
        <f>IFERROR(__xludf.DUMMYFUNCTION("""COMPUTED_VALUE"""),40.83)</f>
        <v>40.83</v>
      </c>
      <c r="J467" s="85" t="str">
        <f>IFERROR(__xludf.DUMMYFUNCTION("""COMPUTED_VALUE"""),"算法")</f>
        <v>算法</v>
      </c>
    </row>
    <row r="468">
      <c r="A468" s="47">
        <v>369.0</v>
      </c>
      <c r="B468" s="86" t="str">
        <f>IFERROR(__xludf.DUMMYFUNCTION("IF(ISBLANK(A468),,FILTER('Leetcode List'!B:C,'Leetcode List'!A:A = A468))"),"Plus One Linked List")</f>
        <v>Plus One Linked List</v>
      </c>
      <c r="C468" s="85" t="str">
        <f>IFERROR(__xludf.DUMMYFUNCTION("""COMPUTED_VALUE"""),"Medium")</f>
        <v>Medium</v>
      </c>
      <c r="D468" s="47" t="s">
        <v>206</v>
      </c>
      <c r="E468" s="90" t="str">
        <f>IFERROR(__xludf.DUMMYFUNCTION("IF(ISBLANK(A468),,FILTER('Leetcode List'!E:J,'Leetcode List'!A:A = A468))"),"Apple,Amazon,Google")</f>
        <v>Apple,Amazon,Google</v>
      </c>
      <c r="F468" s="85"/>
      <c r="G468" s="85"/>
      <c r="H468" s="85" t="str">
        <f>IFERROR(__xludf.DUMMYFUNCTION("""COMPUTED_VALUE"""),"Google,Amazon")</f>
        <v>Google,Amazon</v>
      </c>
      <c r="I468" s="85">
        <f>IFERROR(__xludf.DUMMYFUNCTION("""COMPUTED_VALUE"""),59.58)</f>
        <v>59.58</v>
      </c>
      <c r="J468" s="85" t="str">
        <f>IFERROR(__xludf.DUMMYFUNCTION("""COMPUTED_VALUE"""),"算法")</f>
        <v>算法</v>
      </c>
    </row>
    <row r="469">
      <c r="A469" s="47">
        <v>430.0</v>
      </c>
      <c r="B469" s="86" t="str">
        <f>IFERROR(__xludf.DUMMYFUNCTION("IF(ISBLANK(A469),,FILTER('Leetcode List'!B:C,'Leetcode List'!A:A = A469))"),"Flatten a Multilevel Doubly Linked List")</f>
        <v>Flatten a Multilevel Doubly Linked List</v>
      </c>
      <c r="C469" s="85" t="str">
        <f>IFERROR(__xludf.DUMMYFUNCTION("""COMPUTED_VALUE"""),"Medium")</f>
        <v>Medium</v>
      </c>
      <c r="D469" s="47" t="s">
        <v>206</v>
      </c>
      <c r="E469" s="90" t="str">
        <f>IFERROR(__xludf.DUMMYFUNCTION("IF(ISBLANK(A469),,FILTER('Leetcode List'!E:J,'Leetcode List'!A:A = A469))"),"Oracle,Apple,Uber,Bloomberg,Facebook,Amazon,Microsoft,Google")</f>
        <v>Oracle,Apple,Uber,Bloomberg,Facebook,Amazon,Microsoft,Google</v>
      </c>
      <c r="F469" s="85" t="str">
        <f>IFERROR(__xludf.DUMMYFUNCTION("""COMPUTED_VALUE"""),"Bloomberg,Facebook")</f>
        <v>Bloomberg,Facebook</v>
      </c>
      <c r="G469" s="85" t="str">
        <f>IFERROR(__xludf.DUMMYFUNCTION("""COMPUTED_VALUE"""),"Amazon,Google,Microsoft,Oracle,Bloomberg,Facebook")</f>
        <v>Amazon,Google,Microsoft,Oracle,Bloomberg,Facebook</v>
      </c>
      <c r="H469" s="85" t="str">
        <f>IFERROR(__xludf.DUMMYFUNCTION("""COMPUTED_VALUE"""),"Uber,Apple,Amazon,Google,Microsoft,Oracle,Bloomberg,Facebook")</f>
        <v>Uber,Apple,Amazon,Google,Microsoft,Oracle,Bloomberg,Facebook</v>
      </c>
      <c r="I469" s="85">
        <f>IFERROR(__xludf.DUMMYFUNCTION("""COMPUTED_VALUE"""),56.9)</f>
        <v>56.9</v>
      </c>
      <c r="J469" s="85" t="str">
        <f>IFERROR(__xludf.DUMMYFUNCTION("""COMPUTED_VALUE"""),"算法")</f>
        <v>算法</v>
      </c>
    </row>
    <row r="470">
      <c r="A470" s="47">
        <v>457.0</v>
      </c>
      <c r="B470" s="86" t="str">
        <f>IFERROR(__xludf.DUMMYFUNCTION("IF(ISBLANK(A470),,FILTER('Leetcode List'!B:C,'Leetcode List'!A:A = A470))"),"Circular Array Loop")</f>
        <v>Circular Array Loop</v>
      </c>
      <c r="C470" s="85" t="str">
        <f>IFERROR(__xludf.DUMMYFUNCTION("""COMPUTED_VALUE"""),"Medium")</f>
        <v>Medium</v>
      </c>
      <c r="D470" s="47" t="s">
        <v>206</v>
      </c>
      <c r="E470" s="90" t="str">
        <f>IFERROR(__xludf.DUMMYFUNCTION("IF(ISBLANK(A470),,FILTER('Leetcode List'!E:J,'Leetcode List'!A:A = A470))"),"Apple,Goldman Sachs,Nutanix,Microsoft,Google")</f>
        <v>Apple,Goldman Sachs,Nutanix,Microsoft,Google</v>
      </c>
      <c r="F470" s="85"/>
      <c r="G470" s="85" t="str">
        <f>IFERROR(__xludf.DUMMYFUNCTION("""COMPUTED_VALUE"""),"Apple")</f>
        <v>Apple</v>
      </c>
      <c r="H470" s="85" t="str">
        <f>IFERROR(__xludf.DUMMYFUNCTION("""COMPUTED_VALUE"""),"Microsoft,Goldman Sachs,Apple")</f>
        <v>Microsoft,Goldman Sachs,Apple</v>
      </c>
      <c r="I470" s="85">
        <f>IFERROR(__xludf.DUMMYFUNCTION("""COMPUTED_VALUE"""),30.25)</f>
        <v>30.25</v>
      </c>
      <c r="J470" s="85" t="str">
        <f>IFERROR(__xludf.DUMMYFUNCTION("""COMPUTED_VALUE"""),"算法")</f>
        <v>算法</v>
      </c>
    </row>
    <row r="471">
      <c r="A471" s="47">
        <v>708.0</v>
      </c>
      <c r="B471" s="86" t="str">
        <f>IFERROR(__xludf.DUMMYFUNCTION("IF(ISBLANK(A471),,FILTER('Leetcode List'!B:C,'Leetcode List'!A:A = A471))"),"Insert into a Sorted Circular Linked List")</f>
        <v>Insert into a Sorted Circular Linked List</v>
      </c>
      <c r="C471" s="85" t="str">
        <f>IFERROR(__xludf.DUMMYFUNCTION("""COMPUTED_VALUE"""),"Medium")</f>
        <v>Medium</v>
      </c>
      <c r="D471" s="47" t="s">
        <v>206</v>
      </c>
      <c r="E471" s="90" t="str">
        <f>IFERROR(__xludf.DUMMYFUNCTION("IF(ISBLANK(A471),,FILTER('Leetcode List'!E:J,'Leetcode List'!A:A = A471))"),"Splunk,Quip (Salesforce),Bloomberg,Facebook,Amazon,Microsoft,Google")</f>
        <v>Splunk,Quip (Salesforce),Bloomberg,Facebook,Amazon,Microsoft,Google</v>
      </c>
      <c r="F471" s="85" t="str">
        <f>IFERROR(__xludf.DUMMYFUNCTION("""COMPUTED_VALUE"""),"Facebook,Amazon,Microsoft")</f>
        <v>Facebook,Amazon,Microsoft</v>
      </c>
      <c r="G471" s="85" t="str">
        <f>IFERROR(__xludf.DUMMYFUNCTION("""COMPUTED_VALUE"""),"Quip (Salesforce),Facebook,Amazon,Microsoft")</f>
        <v>Quip (Salesforce),Facebook,Amazon,Microsoft</v>
      </c>
      <c r="H471" s="85" t="str">
        <f>IFERROR(__xludf.DUMMYFUNCTION("""COMPUTED_VALUE"""),"Google,Splunk,Bloomberg,Quip (Salesforce),Facebook,Amazon,Microsoft")</f>
        <v>Google,Splunk,Bloomberg,Quip (Salesforce),Facebook,Amazon,Microsoft</v>
      </c>
      <c r="I471" s="85">
        <f>IFERROR(__xludf.DUMMYFUNCTION("""COMPUTED_VALUE"""),32.58)</f>
        <v>32.58</v>
      </c>
      <c r="J471" s="85" t="str">
        <f>IFERROR(__xludf.DUMMYFUNCTION("""COMPUTED_VALUE"""),"算法")</f>
        <v>算法</v>
      </c>
    </row>
    <row r="472">
      <c r="A472" s="47">
        <v>1474.0</v>
      </c>
      <c r="B472" s="86" t="str">
        <f>IFERROR(__xludf.DUMMYFUNCTION("IF(ISBLANK(A472),,FILTER('Leetcode List'!B:C,'Leetcode List'!A:A = A472))"),"Delete N Nodes After M Nodes of a Linked List")</f>
        <v>Delete N Nodes After M Nodes of a Linked List</v>
      </c>
      <c r="C472" s="85" t="str">
        <f>IFERROR(__xludf.DUMMYFUNCTION("""COMPUTED_VALUE"""),"Easy")</f>
        <v>Easy</v>
      </c>
      <c r="D472" s="47" t="s">
        <v>206</v>
      </c>
      <c r="E472" s="90" t="str">
        <f>IFERROR(__xludf.DUMMYFUNCTION("IF(ISBLANK(A472),,FILTER('Leetcode List'!E:J,'Leetcode List'!A:A = A472))"),"Microsoft")</f>
        <v>Microsoft</v>
      </c>
      <c r="F472" s="85"/>
      <c r="G472" s="85"/>
      <c r="H472" s="85" t="str">
        <f>IFERROR(__xludf.DUMMYFUNCTION("""COMPUTED_VALUE"""),"Microsoft")</f>
        <v>Microsoft</v>
      </c>
      <c r="I472" s="85">
        <f>IFERROR(__xludf.DUMMYFUNCTION("""COMPUTED_VALUE"""),74.14)</f>
        <v>74.14</v>
      </c>
      <c r="J472" s="85" t="str">
        <f>IFERROR(__xludf.DUMMYFUNCTION("""COMPUTED_VALUE"""),"算法")</f>
        <v>算法</v>
      </c>
    </row>
    <row r="473">
      <c r="A473" s="47">
        <v>1670.0</v>
      </c>
      <c r="B473" s="86" t="str">
        <f>IFERROR(__xludf.DUMMYFUNCTION("IF(ISBLANK(A473),,FILTER('Leetcode List'!B:C,'Leetcode List'!A:A = A473))"),"Design Front Middle Back Queue")</f>
        <v>Design Front Middle Back Queue</v>
      </c>
      <c r="C473" s="85" t="str">
        <f>IFERROR(__xludf.DUMMYFUNCTION("""COMPUTED_VALUE"""),"Medium")</f>
        <v>Medium</v>
      </c>
      <c r="D473" s="47" t="s">
        <v>206</v>
      </c>
      <c r="E473" s="90" t="str">
        <f>IFERROR(__xludf.DUMMYFUNCTION("IF(ISBLANK(A473),,FILTER('Leetcode List'!E:J,'Leetcode List'!A:A = A473))"),"Amazon")</f>
        <v>Amazon</v>
      </c>
      <c r="F473" s="85" t="str">
        <f>IFERROR(__xludf.DUMMYFUNCTION("""COMPUTED_VALUE"""),"Amazon")</f>
        <v>Amazon</v>
      </c>
      <c r="G473" s="85" t="str">
        <f>IFERROR(__xludf.DUMMYFUNCTION("""COMPUTED_VALUE"""),"Amazon")</f>
        <v>Amazon</v>
      </c>
      <c r="H473" s="85" t="str">
        <f>IFERROR(__xludf.DUMMYFUNCTION("""COMPUTED_VALUE"""),"Amazon")</f>
        <v>Amazon</v>
      </c>
      <c r="I473" s="85">
        <f>IFERROR(__xludf.DUMMYFUNCTION("""COMPUTED_VALUE"""),54.23)</f>
        <v>54.23</v>
      </c>
      <c r="J473" s="85" t="str">
        <f>IFERROR(__xludf.DUMMYFUNCTION("""COMPUTED_VALUE"""),"算法")</f>
        <v>算法</v>
      </c>
    </row>
    <row r="474">
      <c r="A474" s="47">
        <v>1756.0</v>
      </c>
      <c r="B474" s="86" t="str">
        <f>IFERROR(__xludf.DUMMYFUNCTION("IF(ISBLANK(A474),,FILTER('Leetcode List'!B:C,'Leetcode List'!A:A = A474))"),"Design Most Recently Used Queue")</f>
        <v>Design Most Recently Used Queue</v>
      </c>
      <c r="C474" s="85" t="str">
        <f>IFERROR(__xludf.DUMMYFUNCTION("""COMPUTED_VALUE"""),"Medium")</f>
        <v>Medium</v>
      </c>
      <c r="D474" s="47" t="s">
        <v>206</v>
      </c>
      <c r="E474" s="90" t="str">
        <f>IFERROR(__xludf.DUMMYFUNCTION("IF(ISBLANK(A474),,FILTER('Leetcode List'!E:J,'Leetcode List'!A:A = A474))"),"Google")</f>
        <v>Google</v>
      </c>
      <c r="F474" s="85"/>
      <c r="G474" s="85"/>
      <c r="H474" s="85" t="str">
        <f>IFERROR(__xludf.DUMMYFUNCTION("""COMPUTED_VALUE"""),"Google")</f>
        <v>Google</v>
      </c>
      <c r="I474" s="85">
        <f>IFERROR(__xludf.DUMMYFUNCTION("""COMPUTED_VALUE"""),77.91)</f>
        <v>77.91</v>
      </c>
      <c r="J474" s="85" t="str">
        <f>IFERROR(__xludf.DUMMYFUNCTION("""COMPUTED_VALUE"""),"算法")</f>
        <v>算法</v>
      </c>
    </row>
    <row r="475">
      <c r="A475" s="47">
        <v>264.0</v>
      </c>
      <c r="B475" s="86" t="str">
        <f>IFERROR(__xludf.DUMMYFUNCTION("IF(ISBLANK(A475),,FILTER('Leetcode List'!B:C,'Leetcode List'!A:A = A475))"),"Ugly Number II")</f>
        <v>Ugly Number II</v>
      </c>
      <c r="C475" s="85" t="str">
        <f>IFERROR(__xludf.DUMMYFUNCTION("""COMPUTED_VALUE"""),"Medium")</f>
        <v>Medium</v>
      </c>
      <c r="D475" s="47" t="s">
        <v>76</v>
      </c>
      <c r="E475" s="90" t="str">
        <f>IFERROR(__xludf.DUMMYFUNCTION("IF(ISBLANK(A475),,FILTER('Leetcode List'!E:J,'Leetcode List'!A:A = A475))"),"Adobe,Oracle,Uber,Amazon,Google")</f>
        <v>Adobe,Oracle,Uber,Amazon,Google</v>
      </c>
      <c r="F475" s="85" t="str">
        <f>IFERROR(__xludf.DUMMYFUNCTION("""COMPUTED_VALUE"""),"Adobe")</f>
        <v>Adobe</v>
      </c>
      <c r="G475" s="85" t="str">
        <f>IFERROR(__xludf.DUMMYFUNCTION("""COMPUTED_VALUE"""),"Amazon,Adobe")</f>
        <v>Amazon,Adobe</v>
      </c>
      <c r="H475" s="85" t="str">
        <f>IFERROR(__xludf.DUMMYFUNCTION("""COMPUTED_VALUE"""),"Oracle,Amazon,Adobe")</f>
        <v>Oracle,Amazon,Adobe</v>
      </c>
      <c r="I475" s="85">
        <f>IFERROR(__xludf.DUMMYFUNCTION("""COMPUTED_VALUE"""),42.94)</f>
        <v>42.94</v>
      </c>
      <c r="J475" s="85" t="str">
        <f>IFERROR(__xludf.DUMMYFUNCTION("""COMPUTED_VALUE"""),"算法")</f>
        <v>算法</v>
      </c>
    </row>
    <row r="476">
      <c r="A476" s="47">
        <v>265.0</v>
      </c>
      <c r="B476" s="86" t="str">
        <f>IFERROR(__xludf.DUMMYFUNCTION("IF(ISBLANK(A476),,FILTER('Leetcode List'!B:C,'Leetcode List'!A:A = A476))"),"Paint House II")</f>
        <v>Paint House II</v>
      </c>
      <c r="C476" s="85" t="str">
        <f>IFERROR(__xludf.DUMMYFUNCTION("""COMPUTED_VALUE"""),"Hard")</f>
        <v>Hard</v>
      </c>
      <c r="D476" s="47" t="s">
        <v>76</v>
      </c>
      <c r="E476" s="90" t="str">
        <f>IFERROR(__xludf.DUMMYFUNCTION("IF(ISBLANK(A476),,FILTER('Leetcode List'!E:J,'Leetcode List'!A:A = A476))"),"Walmart Labs,Uber,Facebook,LinkedIn,Google")</f>
        <v>Walmart Labs,Uber,Facebook,LinkedIn,Google</v>
      </c>
      <c r="F476" s="85" t="str">
        <f>IFERROR(__xludf.DUMMYFUNCTION("""COMPUTED_VALUE"""),"Walmart Labs")</f>
        <v>Walmart Labs</v>
      </c>
      <c r="G476" s="85" t="str">
        <f>IFERROR(__xludf.DUMMYFUNCTION("""COMPUTED_VALUE"""),"Walmart Labs")</f>
        <v>Walmart Labs</v>
      </c>
      <c r="H476" s="85" t="str">
        <f>IFERROR(__xludf.DUMMYFUNCTION("""COMPUTED_VALUE"""),"LinkedIn,Facebook,Walmart Labs")</f>
        <v>LinkedIn,Facebook,Walmart Labs</v>
      </c>
      <c r="I476" s="85">
        <f>IFERROR(__xludf.DUMMYFUNCTION("""COMPUTED_VALUE"""),45.74)</f>
        <v>45.74</v>
      </c>
      <c r="J476" s="85" t="str">
        <f>IFERROR(__xludf.DUMMYFUNCTION("""COMPUTED_VALUE"""),"算法")</f>
        <v>算法</v>
      </c>
    </row>
    <row r="477">
      <c r="A477" s="47">
        <v>139.0</v>
      </c>
      <c r="B477" s="86" t="str">
        <f>IFERROR(__xludf.DUMMYFUNCTION("IF(ISBLANK(A477),,FILTER('Leetcode List'!B:C,'Leetcode List'!A:A = A477))"),"Word Break")</f>
        <v>Word Break</v>
      </c>
      <c r="C477" s="85" t="str">
        <f>IFERROR(__xludf.DUMMYFUNCTION("""COMPUTED_VALUE"""),"Medium")</f>
        <v>Medium</v>
      </c>
      <c r="D477" s="47" t="s">
        <v>76</v>
      </c>
      <c r="E477" s="90" t="str">
        <f>IFERROR(__xludf.DUMMYFUNCTION("IF(ISBLANK(A477),,FILTER('Leetcode List'!E:J,'Leetcode List'!A:A = A477))"),"Pinterest,Reddit,Twitter,HBO,TripAdvisor,Hulu,Square,Qualtrics,Pocket Gems,Coupang,Audible,ByteDance,Twilio,Salesforce,VMware,Walmart Labs,GoDaddy,Snapchat,Zillow,Yelp,Oracle,EBay,Apple,Uber,Yahoo,Bloomberg,Adobe,Facebook,Amazon,Microsoft,Google")</f>
        <v>Pinterest,Reddit,Twitter,HBO,TripAdvisor,Hulu,Square,Qualtrics,Pocket Gems,Coupang,Audible,ByteDance,Twilio,Salesforce,VMware,Walmart Labs,GoDaddy,Snapchat,Zillow,Yelp,Oracle,EBay,Apple,Uber,Yahoo,Bloomberg,Adobe,Facebook,Amazon,Microsoft,Google</v>
      </c>
      <c r="F477" s="85" t="str">
        <f>IFERROR(__xludf.DUMMYFUNCTION("""COMPUTED_VALUE"""),"Facebook,Amazon,Bloomberg,Microsoft,ByteDance,Apple,eBay,Qualtrics,Oracle,Google,Adobe")</f>
        <v>Facebook,Amazon,Bloomberg,Microsoft,ByteDance,Apple,eBay,Qualtrics,Oracle,Google,Adobe</v>
      </c>
      <c r="G477" s="85" t="str">
        <f>IFERROR(__xludf.DUMMYFUNCTION("""COMPUTED_VALUE"""),"Twitter,Uber,Yahoo,VMware,GoDaddy,Facebook,Amazon,Bloomberg,Microsoft,ByteDance,Apple,eBay,Qualtrics,Oracle,Google,Adobe")</f>
        <v>Twitter,Uber,Yahoo,VMware,GoDaddy,Facebook,Amazon,Bloomberg,Microsoft,ByteDance,Apple,eBay,Qualtrics,Oracle,Google,Adobe</v>
      </c>
      <c r="H477" s="85" t="str">
        <f>IFERROR(__xludf.DUMMYFUNCTION("""COMPUTED_VALUE"""),"Snapchat,Zillow,Audible,Pinterest,Hulu,Square,Salesforce,Walmart Labs,TripAdvisor,Reddit,Pocket Gems,Coupang,Twitter,Uber,Yahoo,VMware,GoDaddy,Facebook,Amazon,Bloomberg,Microsoft,ByteDance,Apple,eBay,Qualtrics,Oracle,Google,Adobe")</f>
        <v>Snapchat,Zillow,Audible,Pinterest,Hulu,Square,Salesforce,Walmart Labs,TripAdvisor,Reddit,Pocket Gems,Coupang,Twitter,Uber,Yahoo,VMware,GoDaddy,Facebook,Amazon,Bloomberg,Microsoft,ByteDance,Apple,eBay,Qualtrics,Oracle,Google,Adobe</v>
      </c>
      <c r="I477" s="85">
        <f>IFERROR(__xludf.DUMMYFUNCTION("""COMPUTED_VALUE"""),41.8)</f>
        <v>41.8</v>
      </c>
      <c r="J477" s="85" t="str">
        <f>IFERROR(__xludf.DUMMYFUNCTION("""COMPUTED_VALUE"""),"算法")</f>
        <v>算法</v>
      </c>
    </row>
    <row r="478">
      <c r="A478" s="47">
        <v>91.0</v>
      </c>
      <c r="B478" s="86" t="str">
        <f>IFERROR(__xludf.DUMMYFUNCTION("IF(ISBLANK(A478),,FILTER('Leetcode List'!B:C,'Leetcode List'!A:A = A478))"),"Decode Ways")</f>
        <v>Decode Ways</v>
      </c>
      <c r="C478" s="85" t="str">
        <f>IFERROR(__xludf.DUMMYFUNCTION("""COMPUTED_VALUE"""),"Medium")</f>
        <v>Medium</v>
      </c>
      <c r="D478" s="47" t="s">
        <v>76</v>
      </c>
      <c r="E478" s="90" t="str">
        <f>IFERROR(__xludf.DUMMYFUNCTION("IF(ISBLANK(A478),,FILTER('Leetcode List'!E:J,'Leetcode List'!A:A = A478))"),"PayTM,ByteDance,Walmart Labs,JPMorgan,Paypal,Oracle,Morgan Stanley,Square,Pinterest,Databricks,Barclays,Snapchat,Twitter,Expedia,Lyft,Cisco,Huawei,Baidu,Apple,Uber,Bloomberg,Adobe,Facebook,Amazon,Microsoft,Goldman Sachs,Google")</f>
        <v>PayTM,ByteDance,Walmart Labs,JPMorgan,Paypal,Oracle,Morgan Stanley,Square,Pinterest,Databricks,Barclays,Snapchat,Twitter,Expedia,Lyft,Cisco,Huawei,Baidu,Apple,Uber,Bloomberg,Adobe,Facebook,Amazon,Microsoft,Goldman Sachs,Google</v>
      </c>
      <c r="F478" s="85" t="str">
        <f>IFERROR(__xludf.DUMMYFUNCTION("""COMPUTED_VALUE"""),"JPMorgan,Cisco,Facebook,Amazon,Google,Goldman Sachs,ByteDance,Microsoft,Adobe,Lyft,Oracle")</f>
        <v>JPMorgan,Cisco,Facebook,Amazon,Google,Goldman Sachs,ByteDance,Microsoft,Adobe,Lyft,Oracle</v>
      </c>
      <c r="G478" s="85" t="str">
        <f>IFERROR(__xludf.DUMMYFUNCTION("""COMPUTED_VALUE"""),"Bloomberg,Morgan Stanley,Square,Apple,Databricks,PayTM,JPMorgan,Cisco,Facebook,Amazon,Google,Goldman Sachs,ByteDance,Microsoft,Adobe,Lyft,Oracle")</f>
        <v>Bloomberg,Morgan Stanley,Square,Apple,Databricks,PayTM,JPMorgan,Cisco,Facebook,Amazon,Google,Goldman Sachs,ByteDance,Microsoft,Adobe,Lyft,Oracle</v>
      </c>
      <c r="H478" s="85" t="str">
        <f>IFERROR(__xludf.DUMMYFUNCTION("""COMPUTED_VALUE"""),"Uber,Snapchat,Expedia,Huawei,Walmart Labs,Baidu,Paypal,Bloomberg,Morgan Stanley,Square,Apple,Databricks,PayTM,JPMorgan,Cisco,Facebook,Amazon,Google,Goldman Sachs,ByteDance,Microsoft,Adobe,Lyft,Oracle")</f>
        <v>Uber,Snapchat,Expedia,Huawei,Walmart Labs,Baidu,Paypal,Bloomberg,Morgan Stanley,Square,Apple,Databricks,PayTM,JPMorgan,Cisco,Facebook,Amazon,Google,Goldman Sachs,ByteDance,Microsoft,Adobe,Lyft,Oracle</v>
      </c>
      <c r="I478" s="85">
        <f>IFERROR(__xludf.DUMMYFUNCTION("""COMPUTED_VALUE"""),26.73)</f>
        <v>26.73</v>
      </c>
      <c r="J478" s="85" t="str">
        <f>IFERROR(__xludf.DUMMYFUNCTION("""COMPUTED_VALUE"""),"算法")</f>
        <v>算法</v>
      </c>
    </row>
    <row r="479">
      <c r="A479" s="47">
        <v>639.0</v>
      </c>
      <c r="B479" s="86" t="str">
        <f>IFERROR(__xludf.DUMMYFUNCTION("IF(ISBLANK(A479),,FILTER('Leetcode List'!B:C,'Leetcode List'!A:A = A479))"),"Decode Ways II")</f>
        <v>Decode Ways II</v>
      </c>
      <c r="C479" s="85" t="str">
        <f>IFERROR(__xludf.DUMMYFUNCTION("""COMPUTED_VALUE"""),"Hard")</f>
        <v>Hard</v>
      </c>
      <c r="D479" s="47" t="s">
        <v>76</v>
      </c>
      <c r="E479" s="90" t="str">
        <f>IFERROR(__xludf.DUMMYFUNCTION("IF(ISBLANK(A479),,FILTER('Leetcode List'!E:J,'Leetcode List'!A:A = A479))"),"Facebook,Google")</f>
        <v>Facebook,Google</v>
      </c>
      <c r="F479" s="85"/>
      <c r="G479" s="85" t="str">
        <f>IFERROR(__xludf.DUMMYFUNCTION("""COMPUTED_VALUE"""),"Google")</f>
        <v>Google</v>
      </c>
      <c r="H479" s="85" t="str">
        <f>IFERROR(__xludf.DUMMYFUNCTION("""COMPUTED_VALUE"""),"Facebook,Google")</f>
        <v>Facebook,Google</v>
      </c>
      <c r="I479" s="85">
        <f>IFERROR(__xludf.DUMMYFUNCTION("""COMPUTED_VALUE"""),27.63)</f>
        <v>27.63</v>
      </c>
      <c r="J479" s="85" t="str">
        <f>IFERROR(__xludf.DUMMYFUNCTION("""COMPUTED_VALUE"""),"算法")</f>
        <v>算法</v>
      </c>
    </row>
    <row r="480">
      <c r="A480" s="47">
        <v>629.0</v>
      </c>
      <c r="B480" s="86" t="str">
        <f>IFERROR(__xludf.DUMMYFUNCTION("IF(ISBLANK(A480),,FILTER('Leetcode List'!B:C,'Leetcode List'!A:A = A480))"),"K Inverse Pairs Array")</f>
        <v>K Inverse Pairs Array</v>
      </c>
      <c r="C480" s="85" t="str">
        <f>IFERROR(__xludf.DUMMYFUNCTION("""COMPUTED_VALUE"""),"Hard")</f>
        <v>Hard</v>
      </c>
      <c r="D480" s="47" t="s">
        <v>76</v>
      </c>
      <c r="E480" s="90" t="str">
        <f>IFERROR(__xludf.DUMMYFUNCTION("IF(ISBLANK(A480),,FILTER('Leetcode List'!E:J,'Leetcode List'!A:A = A480))"),"Works Applications")</f>
        <v>Works Applications</v>
      </c>
      <c r="F480" s="85"/>
      <c r="G480" s="85"/>
      <c r="H480" s="85" t="str">
        <f>IFERROR(__xludf.DUMMYFUNCTION("""COMPUTED_VALUE"""),"Works Applications")</f>
        <v>Works Applications</v>
      </c>
      <c r="I480" s="85">
        <f>IFERROR(__xludf.DUMMYFUNCTION("""COMPUTED_VALUE"""),31.71)</f>
        <v>31.71</v>
      </c>
      <c r="J480" s="85" t="str">
        <f>IFERROR(__xludf.DUMMYFUNCTION("""COMPUTED_VALUE"""),"算法")</f>
        <v>算法</v>
      </c>
    </row>
    <row r="481">
      <c r="A481" s="47">
        <v>634.0</v>
      </c>
      <c r="B481" s="86" t="str">
        <f>IFERROR(__xludf.DUMMYFUNCTION("IF(ISBLANK(A481),,FILTER('Leetcode List'!B:C,'Leetcode List'!A:A = A481))"),"Find the Derangement of An Array")</f>
        <v>Find the Derangement of An Array</v>
      </c>
      <c r="C481" s="85" t="str">
        <f>IFERROR(__xludf.DUMMYFUNCTION("""COMPUTED_VALUE"""),"Medium")</f>
        <v>Medium</v>
      </c>
      <c r="D481" s="47" t="s">
        <v>76</v>
      </c>
      <c r="E481" s="90" t="str">
        <f>IFERROR(__xludf.DUMMYFUNCTION("IF(ISBLANK(A481),,FILTER('Leetcode List'!E:J,'Leetcode List'!A:A = A481))"),"IXL,Amazon")</f>
        <v>IXL,Amazon</v>
      </c>
      <c r="F481" s="85"/>
      <c r="G481" s="85"/>
      <c r="H481" s="85" t="str">
        <f>IFERROR(__xludf.DUMMYFUNCTION("""COMPUTED_VALUE"""),"Amazon,IXL")</f>
        <v>Amazon,IXL</v>
      </c>
      <c r="I481" s="85">
        <f>IFERROR(__xludf.DUMMYFUNCTION("""COMPUTED_VALUE"""),40.59)</f>
        <v>40.59</v>
      </c>
      <c r="J481" s="85" t="str">
        <f>IFERROR(__xludf.DUMMYFUNCTION("""COMPUTED_VALUE"""),"算法")</f>
        <v>算法</v>
      </c>
    </row>
    <row r="482">
      <c r="A482" s="47">
        <v>823.0</v>
      </c>
      <c r="B482" s="86" t="str">
        <f>IFERROR(__xludf.DUMMYFUNCTION("IF(ISBLANK(A482),,FILTER('Leetcode List'!B:C,'Leetcode List'!A:A = A482))"),"Binary Trees With Factors")</f>
        <v>Binary Trees With Factors</v>
      </c>
      <c r="C482" s="85" t="str">
        <f>IFERROR(__xludf.DUMMYFUNCTION("""COMPUTED_VALUE"""),"Medium")</f>
        <v>Medium</v>
      </c>
      <c r="D482" s="47" t="s">
        <v>76</v>
      </c>
      <c r="E482" s="90" t="str">
        <f>IFERROR(__xludf.DUMMYFUNCTION("IF(ISBLANK(A482),,FILTER('Leetcode List'!E:J,'Leetcode List'!A:A = A482))"),"")</f>
        <v/>
      </c>
      <c r="F482" s="85"/>
      <c r="G482" s="85"/>
      <c r="H482" s="85"/>
      <c r="I482" s="85">
        <f>IFERROR(__xludf.DUMMYFUNCTION("""COMPUTED_VALUE"""),43.77)</f>
        <v>43.77</v>
      </c>
      <c r="J482" s="85" t="str">
        <f>IFERROR(__xludf.DUMMYFUNCTION("""COMPUTED_VALUE"""),"算法")</f>
        <v>算法</v>
      </c>
    </row>
    <row r="483">
      <c r="A483" s="47">
        <v>221.0</v>
      </c>
      <c r="B483" s="86" t="str">
        <f>IFERROR(__xludf.DUMMYFUNCTION("IF(ISBLANK(A483),,FILTER('Leetcode List'!B:C,'Leetcode List'!A:A = A483))"),"Maximal Square")</f>
        <v>Maximal Square</v>
      </c>
      <c r="C483" s="85" t="str">
        <f>IFERROR(__xludf.DUMMYFUNCTION("""COMPUTED_VALUE"""),"Medium")</f>
        <v>Medium</v>
      </c>
      <c r="D483" s="47" t="s">
        <v>76</v>
      </c>
      <c r="E483" s="90" t="str">
        <f>IFERROR(__xludf.DUMMYFUNCTION("IF(ISBLANK(A483),,FILTER('Leetcode List'!E:J,'Leetcode List'!A:A = A483))"),"AppDynamics,Booking.com,Twilio,ByteDance,FactSet,Walmart Labs,Paypal,Twitter,IBM,Yahoo,Goldman Sachs,Two Sigma,VMware,Citadel,Oracle,Huawei,Apple,Airbnb,Uber,Bloomberg,Adobe,Facebook,Amazon,Microsoft,Google")</f>
        <v>AppDynamics,Booking.com,Twilio,ByteDance,FactSet,Walmart Labs,Paypal,Twitter,IBM,Yahoo,Goldman Sachs,Two Sigma,VMware,Citadel,Oracle,Huawei,Apple,Airbnb,Uber,Bloomberg,Adobe,Facebook,Amazon,Microsoft,Google</v>
      </c>
      <c r="F483" s="85" t="str">
        <f>IFERROR(__xludf.DUMMYFUNCTION("""COMPUTED_VALUE"""),"Amazon,IBM,Google,Twitter,ByteDance,Apple")</f>
        <v>Amazon,IBM,Google,Twitter,ByteDance,Apple</v>
      </c>
      <c r="G483" s="85" t="str">
        <f>IFERROR(__xludf.DUMMYFUNCTION("""COMPUTED_VALUE"""),"Adobe,Citadel,Paypal,Facebook,Microsoft,Bloomberg,AppDynamics,Booking.com,Goldman Sachs,Amazon,IBM,Google,Twitter,ByteDance,Apple")</f>
        <v>Adobe,Citadel,Paypal,Facebook,Microsoft,Bloomberg,AppDynamics,Booking.com,Goldman Sachs,Amazon,IBM,Google,Twitter,ByteDance,Apple</v>
      </c>
      <c r="H483" s="85" t="str">
        <f>IFERROR(__xludf.DUMMYFUNCTION("""COMPUTED_VALUE"""),"Uber,VMware,Huawei,Oracle,Yahoo,Twilio,Walmart Labs,FactSet,Airbnb,Adobe,Citadel,Paypal,Facebook,Microsoft,Bloomberg,AppDynamics,Booking.com,Goldman Sachs,Amazon,IBM,Google,Twitter,ByteDance,Apple")</f>
        <v>Uber,VMware,Huawei,Oracle,Yahoo,Twilio,Walmart Labs,FactSet,Airbnb,Adobe,Citadel,Paypal,Facebook,Microsoft,Bloomberg,AppDynamics,Booking.com,Goldman Sachs,Amazon,IBM,Google,Twitter,ByteDance,Apple</v>
      </c>
      <c r="I483" s="85">
        <f>IFERROR(__xludf.DUMMYFUNCTION("""COMPUTED_VALUE"""),39.4)</f>
        <v>39.4</v>
      </c>
      <c r="J483" s="85" t="str">
        <f>IFERROR(__xludf.DUMMYFUNCTION("""COMPUTED_VALUE"""),"算法")</f>
        <v>算法</v>
      </c>
    </row>
    <row r="484">
      <c r="A484" s="47">
        <v>1277.0</v>
      </c>
      <c r="B484" s="86" t="str">
        <f>IFERROR(__xludf.DUMMYFUNCTION("IF(ISBLANK(A484),,FILTER('Leetcode List'!B:C,'Leetcode List'!A:A = A484))"),"Count Square Submatrices with All Ones")</f>
        <v>Count Square Submatrices with All Ones</v>
      </c>
      <c r="C484" s="85" t="str">
        <f>IFERROR(__xludf.DUMMYFUNCTION("""COMPUTED_VALUE"""),"Medium")</f>
        <v>Medium</v>
      </c>
      <c r="D484" s="47" t="s">
        <v>76</v>
      </c>
      <c r="E484" s="90" t="str">
        <f>IFERROR(__xludf.DUMMYFUNCTION("IF(ISBLANK(A484),,FILTER('Leetcode List'!E:J,'Leetcode List'!A:A = A484))"),"Amazon,Google")</f>
        <v>Amazon,Google</v>
      </c>
      <c r="F484" s="85" t="str">
        <f>IFERROR(__xludf.DUMMYFUNCTION("""COMPUTED_VALUE"""),"Google,Amazon")</f>
        <v>Google,Amazon</v>
      </c>
      <c r="G484" s="85" t="str">
        <f>IFERROR(__xludf.DUMMYFUNCTION("""COMPUTED_VALUE"""),"Google,Amazon")</f>
        <v>Google,Amazon</v>
      </c>
      <c r="H484" s="85" t="str">
        <f>IFERROR(__xludf.DUMMYFUNCTION("""COMPUTED_VALUE"""),"Google,Amazon")</f>
        <v>Google,Amazon</v>
      </c>
      <c r="I484" s="85">
        <f>IFERROR(__xludf.DUMMYFUNCTION("""COMPUTED_VALUE"""),72.79)</f>
        <v>72.79</v>
      </c>
      <c r="J484" s="85" t="str">
        <f>IFERROR(__xludf.DUMMYFUNCTION("""COMPUTED_VALUE"""),"算法")</f>
        <v>算法</v>
      </c>
    </row>
    <row r="485">
      <c r="A485" s="47">
        <v>600.0</v>
      </c>
      <c r="B485" s="86" t="str">
        <f>IFERROR(__xludf.DUMMYFUNCTION("IF(ISBLANK(A485),,FILTER('Leetcode List'!B:C,'Leetcode List'!A:A = A485))"),"Non-negative Integers without Consecutive Ones")</f>
        <v>Non-negative Integers without Consecutive Ones</v>
      </c>
      <c r="C485" s="85" t="str">
        <f>IFERROR(__xludf.DUMMYFUNCTION("""COMPUTED_VALUE"""),"Hard")</f>
        <v>Hard</v>
      </c>
      <c r="D485" s="47" t="s">
        <v>76</v>
      </c>
      <c r="E485" s="90" t="str">
        <f>IFERROR(__xludf.DUMMYFUNCTION("IF(ISBLANK(A485),,FILTER('Leetcode List'!E:J,'Leetcode List'!A:A = A485))"),"Pocket Gems")</f>
        <v>Pocket Gems</v>
      </c>
      <c r="F485" s="85"/>
      <c r="G485" s="85"/>
      <c r="H485" s="85" t="str">
        <f>IFERROR(__xludf.DUMMYFUNCTION("""COMPUTED_VALUE"""),"Pocket Gems")</f>
        <v>Pocket Gems</v>
      </c>
      <c r="I485" s="85">
        <f>IFERROR(__xludf.DUMMYFUNCTION("""COMPUTED_VALUE"""),34.68)</f>
        <v>34.68</v>
      </c>
      <c r="J485" s="85" t="str">
        <f>IFERROR(__xludf.DUMMYFUNCTION("""COMPUTED_VALUE"""),"算法")</f>
        <v>算法</v>
      </c>
    </row>
    <row r="486">
      <c r="A486" s="47">
        <v>656.0</v>
      </c>
      <c r="B486" s="86" t="str">
        <f>IFERROR(__xludf.DUMMYFUNCTION("IF(ISBLANK(A486),,FILTER('Leetcode List'!B:C,'Leetcode List'!A:A = A486))"),"Coin Path")</f>
        <v>Coin Path</v>
      </c>
      <c r="C486" s="85" t="str">
        <f>IFERROR(__xludf.DUMMYFUNCTION("""COMPUTED_VALUE"""),"Hard")</f>
        <v>Hard</v>
      </c>
      <c r="D486" s="47" t="s">
        <v>76</v>
      </c>
      <c r="E486" s="90" t="str">
        <f>IFERROR(__xludf.DUMMYFUNCTION("IF(ISBLANK(A486),,FILTER('Leetcode List'!E:J,'Leetcode List'!A:A = A486))"),"Google")</f>
        <v>Google</v>
      </c>
      <c r="F486" s="85"/>
      <c r="G486" s="85"/>
      <c r="H486" s="85" t="str">
        <f>IFERROR(__xludf.DUMMYFUNCTION("""COMPUTED_VALUE"""),"Google")</f>
        <v>Google</v>
      </c>
      <c r="I486" s="85">
        <f>IFERROR(__xludf.DUMMYFUNCTION("""COMPUTED_VALUE"""),29.68)</f>
        <v>29.68</v>
      </c>
      <c r="J486" s="85" t="str">
        <f>IFERROR(__xludf.DUMMYFUNCTION("""COMPUTED_VALUE"""),"算法")</f>
        <v>算法</v>
      </c>
    </row>
    <row r="487">
      <c r="A487" s="47">
        <v>53.0</v>
      </c>
      <c r="B487" s="86" t="str">
        <f>IFERROR(__xludf.DUMMYFUNCTION("IF(ISBLANK(A487),,FILTER('Leetcode List'!B:C,'Leetcode List'!A:A = A487))"),"Maximum Subarray")</f>
        <v>Maximum Subarray</v>
      </c>
      <c r="C487" s="85" t="str">
        <f>IFERROR(__xludf.DUMMYFUNCTION("""COMPUTED_VALUE"""),"Easy")</f>
        <v>Easy</v>
      </c>
      <c r="D487" s="47" t="s">
        <v>76</v>
      </c>
      <c r="E487" s="90" t="str">
        <f>IFERROR(__xludf.DUMMYFUNCTION("IF(ISBLANK(A487),,FILTER('Leetcode List'!E:J,'Leetcode List'!A:A = A487))"),"Square,Grab,Tcs,Poshmark,PayTM,Infosys,Splunk,Qualcomm,VMware,Asana,Tesla,Palantir Technologies,Wayfair,Two Sigma,Atlassian,ByteDance,Capital One,Salesforce,Intel,Visa,Citadel,Walmart Labs,JPMorgan,Zillow,Paypal,Expedia,Nvidia,Oracle,IBM,Cisco,EBay,Apple,"&amp;"Uber,Yahoo,SAP,Morgan Stanley,Bloomberg,Adobe,Facebook,Amazon,LinkedIn,Microsoft,Alibaba,Goldman Sachs,Google")</f>
        <v>Square,Grab,Tcs,Poshmark,PayTM,Infosys,Splunk,Qualcomm,VMware,Asana,Tesla,Palantir Technologies,Wayfair,Two Sigma,Atlassian,ByteDance,Capital One,Salesforce,Intel,Visa,Citadel,Walmart Labs,JPMorgan,Zillow,Paypal,Expedia,Nvidia,Oracle,IBM,Cisco,EBay,Apple,Uber,Yahoo,SAP,Morgan Stanley,Bloomberg,Adobe,Facebook,Amazon,LinkedIn,Microsoft,Alibaba,Goldman Sachs,Google</v>
      </c>
      <c r="F487" s="85" t="str">
        <f>IFERROR(__xludf.DUMMYFUNCTION("""COMPUTED_VALUE"""),"Microsoft,Amazon,Apple,LinkedIn,ByteDance,Google,Bloomberg,Adobe,Oracle,JPMorgan,Cisco,Splunk,Facebook,Uber,Goldman Sachs,Paypal,PayTM")</f>
        <v>Microsoft,Amazon,Apple,LinkedIn,ByteDance,Google,Bloomberg,Adobe,Oracle,JPMorgan,Cisco,Splunk,Facebook,Uber,Goldman Sachs,Paypal,PayTM</v>
      </c>
      <c r="G487" s="85" t="str">
        <f>IFERROR(__xludf.DUMMYFUNCTION("""COMPUTED_VALUE"""),"VMware,Morgan Stanley,IBM,Grab,tcs,Microsoft,Amazon,Apple,LinkedIn,ByteDance,Google,Bloomberg,Adobe,Oracle,JPMorgan,Cisco,Splunk,Facebook,Uber,Goldman Sachs,Paypal,PayTM")</f>
        <v>VMware,Morgan Stanley,IBM,Grab,tcs,Microsoft,Amazon,Apple,LinkedIn,ByteDance,Google,Bloomberg,Adobe,Oracle,JPMorgan,Cisco,Splunk,Facebook,Uber,Goldman Sachs,Paypal,PayTM</v>
      </c>
      <c r="H487" s="85" t="str">
        <f>IFERROR(__xludf.DUMMYFUNCTION("""COMPUTED_VALUE"""),"eBay,Zillow,Expedia,Yahoo,Citadel,Capital One,Asana,Atlassian,Walmart Labs,Infosys,Alibaba,Intel,Salesforce,Square,Tesla,Qualcomm,Poshmark,VMware,Morgan Stanley,IBM,Grab,tcs,Microsoft,Amazon,Apple,LinkedIn,ByteDance,Google,Bloomberg,Adobe,Oracle,JPMorgan,"&amp;"Cisco,Splunk,Facebook,Uber,Goldman Sachs,Paypal,PayTM")</f>
        <v>eBay,Zillow,Expedia,Yahoo,Citadel,Capital One,Asana,Atlassian,Walmart Labs,Infosys,Alibaba,Intel,Salesforce,Square,Tesla,Qualcomm,Poshmark,VMware,Morgan Stanley,IBM,Grab,tcs,Microsoft,Amazon,Apple,LinkedIn,ByteDance,Google,Bloomberg,Adobe,Oracle,JPMorgan,Cisco,Splunk,Facebook,Uber,Goldman Sachs,Paypal,PayTM</v>
      </c>
      <c r="I487" s="85">
        <f>IFERROR(__xludf.DUMMYFUNCTION("""COMPUTED_VALUE"""),47.81)</f>
        <v>47.81</v>
      </c>
      <c r="J487" s="85" t="str">
        <f>IFERROR(__xludf.DUMMYFUNCTION("""COMPUTED_VALUE"""),"算法")</f>
        <v>算法</v>
      </c>
    </row>
    <row r="488">
      <c r="A488" s="47">
        <v>152.0</v>
      </c>
      <c r="B488" s="86" t="str">
        <f>IFERROR(__xludf.DUMMYFUNCTION("IF(ISBLANK(A488),,FILTER('Leetcode List'!B:C,'Leetcode List'!A:A = A488))"),"Maximum Product Subarray")</f>
        <v>Maximum Product Subarray</v>
      </c>
      <c r="C488" s="85" t="str">
        <f>IFERROR(__xludf.DUMMYFUNCTION("""COMPUTED_VALUE"""),"Medium")</f>
        <v>Medium</v>
      </c>
      <c r="D488" s="47" t="s">
        <v>76</v>
      </c>
      <c r="E488" s="90" t="str">
        <f>IFERROR(__xludf.DUMMYFUNCTION("IF(ISBLANK(A488),,FILTER('Leetcode List'!E:J,'Leetcode List'!A:A = A488))"),"Apple,Akuna Capital,ByteDance,Oracle,Uber,Bloomberg,Adobe,Facebook,Amazon,LinkedIn,Microsoft,Alibaba,Google")</f>
        <v>Apple,Akuna Capital,ByteDance,Oracle,Uber,Bloomberg,Adobe,Facebook,Amazon,LinkedIn,Microsoft,Alibaba,Google</v>
      </c>
      <c r="F488" s="85" t="str">
        <f>IFERROR(__xludf.DUMMYFUNCTION("""COMPUTED_VALUE"""),"LinkedIn,Amazon,Google,Apple,Facebook,Bloomberg,Akuna Capital")</f>
        <v>LinkedIn,Amazon,Google,Apple,Facebook,Bloomberg,Akuna Capital</v>
      </c>
      <c r="G488" s="85" t="str">
        <f>IFERROR(__xludf.DUMMYFUNCTION("""COMPUTED_VALUE"""),"Microsoft,Adobe,ByteDance,Uber,LinkedIn,Amazon,Google,Apple,Facebook,Bloomberg,Akuna Capital")</f>
        <v>Microsoft,Adobe,ByteDance,Uber,LinkedIn,Amazon,Google,Apple,Facebook,Bloomberg,Akuna Capital</v>
      </c>
      <c r="H488" s="85" t="str">
        <f>IFERROR(__xludf.DUMMYFUNCTION("""COMPUTED_VALUE"""),"Alibaba,Oracle,Microsoft,Adobe,ByteDance,Uber,LinkedIn,Amazon,Google,Apple,Facebook,Bloomberg,Akuna Capital")</f>
        <v>Alibaba,Oracle,Microsoft,Adobe,ByteDance,Uber,LinkedIn,Amazon,Google,Apple,Facebook,Bloomberg,Akuna Capital</v>
      </c>
      <c r="I488" s="85">
        <f>IFERROR(__xludf.DUMMYFUNCTION("""COMPUTED_VALUE"""),32.82)</f>
        <v>32.82</v>
      </c>
      <c r="J488" s="85" t="str">
        <f>IFERROR(__xludf.DUMMYFUNCTION("""COMPUTED_VALUE"""),"算法")</f>
        <v>算法</v>
      </c>
    </row>
    <row r="489">
      <c r="A489" s="47">
        <v>818.0</v>
      </c>
      <c r="B489" s="86" t="str">
        <f>IFERROR(__xludf.DUMMYFUNCTION("IF(ISBLANK(A489),,FILTER('Leetcode List'!B:C,'Leetcode List'!A:A = A489))"),"Race Car")</f>
        <v>Race Car</v>
      </c>
      <c r="C489" s="85" t="str">
        <f>IFERROR(__xludf.DUMMYFUNCTION("""COMPUTED_VALUE"""),"Hard")</f>
        <v>Hard</v>
      </c>
      <c r="D489" s="47" t="s">
        <v>76</v>
      </c>
      <c r="E489" s="90" t="str">
        <f>IFERROR(__xludf.DUMMYFUNCTION("IF(ISBLANK(A489),,FILTER('Leetcode List'!E:J,'Leetcode List'!A:A = A489))"),"Amazon,Google")</f>
        <v>Amazon,Google</v>
      </c>
      <c r="F489" s="85" t="str">
        <f>IFERROR(__xludf.DUMMYFUNCTION("""COMPUTED_VALUE"""),"Google")</f>
        <v>Google</v>
      </c>
      <c r="G489" s="85" t="str">
        <f>IFERROR(__xludf.DUMMYFUNCTION("""COMPUTED_VALUE"""),"Google")</f>
        <v>Google</v>
      </c>
      <c r="H489" s="85" t="str">
        <f>IFERROR(__xludf.DUMMYFUNCTION("""COMPUTED_VALUE"""),"Amazon,Google")</f>
        <v>Amazon,Google</v>
      </c>
      <c r="I489" s="85">
        <f>IFERROR(__xludf.DUMMYFUNCTION("""COMPUTED_VALUE"""),40.13)</f>
        <v>40.13</v>
      </c>
      <c r="J489" s="85" t="str">
        <f>IFERROR(__xludf.DUMMYFUNCTION("""COMPUTED_VALUE"""),"算法")</f>
        <v>算法</v>
      </c>
    </row>
    <row r="490">
      <c r="A490" s="47">
        <v>377.0</v>
      </c>
      <c r="B490" s="86" t="str">
        <f>IFERROR(__xludf.DUMMYFUNCTION("IF(ISBLANK(A490),,FILTER('Leetcode List'!B:C,'Leetcode List'!A:A = A490))"),"Combination Sum IV")</f>
        <v>Combination Sum IV</v>
      </c>
      <c r="C490" s="85" t="str">
        <f>IFERROR(__xludf.DUMMYFUNCTION("""COMPUTED_VALUE"""),"Medium")</f>
        <v>Medium</v>
      </c>
      <c r="D490" s="47" t="s">
        <v>76</v>
      </c>
      <c r="E490" s="90" t="str">
        <f>IFERROR(__xludf.DUMMYFUNCTION("IF(ISBLANK(A490),,FILTER('Leetcode List'!E:J,'Leetcode List'!A:A = A490))"),"Apple,Bloomberg,Visa,Snapchat,Facebook,Amazon,Google")</f>
        <v>Apple,Bloomberg,Visa,Snapchat,Facebook,Amazon,Google</v>
      </c>
      <c r="F490" s="85" t="str">
        <f>IFERROR(__xludf.DUMMYFUNCTION("""COMPUTED_VALUE"""),"Bloomberg,Apple")</f>
        <v>Bloomberg,Apple</v>
      </c>
      <c r="G490" s="85" t="str">
        <f>IFERROR(__xludf.DUMMYFUNCTION("""COMPUTED_VALUE"""),"Bloomberg,Apple")</f>
        <v>Bloomberg,Apple</v>
      </c>
      <c r="H490" s="85" t="str">
        <f>IFERROR(__xludf.DUMMYFUNCTION("""COMPUTED_VALUE"""),"Amazon,Google,Facebook,Snapchat,Bloomberg,Apple")</f>
        <v>Amazon,Google,Facebook,Snapchat,Bloomberg,Apple</v>
      </c>
      <c r="I490" s="85">
        <f>IFERROR(__xludf.DUMMYFUNCTION("""COMPUTED_VALUE"""),46.13)</f>
        <v>46.13</v>
      </c>
      <c r="J490" s="85" t="str">
        <f>IFERROR(__xludf.DUMMYFUNCTION("""COMPUTED_VALUE"""),"算法")</f>
        <v>算法</v>
      </c>
    </row>
    <row r="491">
      <c r="A491" s="47">
        <v>837.0</v>
      </c>
      <c r="B491" s="86" t="str">
        <f>IFERROR(__xludf.DUMMYFUNCTION("IF(ISBLANK(A491),,FILTER('Leetcode List'!B:C,'Leetcode List'!A:A = A491))"),"New 21 Game")</f>
        <v>New 21 Game</v>
      </c>
      <c r="C491" s="85" t="str">
        <f>IFERROR(__xludf.DUMMYFUNCTION("""COMPUTED_VALUE"""),"Medium")</f>
        <v>Medium</v>
      </c>
      <c r="D491" s="47" t="s">
        <v>76</v>
      </c>
      <c r="E491" s="90" t="str">
        <f>IFERROR(__xludf.DUMMYFUNCTION("IF(ISBLANK(A491),,FILTER('Leetcode List'!E:J,'Leetcode List'!A:A = A491))"),"Apple,Uber,Google")</f>
        <v>Apple,Uber,Google</v>
      </c>
      <c r="F491" s="85" t="str">
        <f>IFERROR(__xludf.DUMMYFUNCTION("""COMPUTED_VALUE"""),"Google")</f>
        <v>Google</v>
      </c>
      <c r="G491" s="85" t="str">
        <f>IFERROR(__xludf.DUMMYFUNCTION("""COMPUTED_VALUE"""),"Apple,Google")</f>
        <v>Apple,Google</v>
      </c>
      <c r="H491" s="85" t="str">
        <f>IFERROR(__xludf.DUMMYFUNCTION("""COMPUTED_VALUE"""),"Uber,Apple,Google")</f>
        <v>Uber,Apple,Google</v>
      </c>
      <c r="I491" s="85">
        <f>IFERROR(__xludf.DUMMYFUNCTION("""COMPUTED_VALUE"""),35.45)</f>
        <v>35.45</v>
      </c>
      <c r="J491" s="85" t="str">
        <f>IFERROR(__xludf.DUMMYFUNCTION("""COMPUTED_VALUE"""),"算法")</f>
        <v>算法</v>
      </c>
    </row>
    <row r="492">
      <c r="A492" s="47">
        <v>887.0</v>
      </c>
      <c r="B492" s="86" t="str">
        <f>IFERROR(__xludf.DUMMYFUNCTION("IF(ISBLANK(A492),,FILTER('Leetcode List'!B:C,'Leetcode List'!A:A = A492))"),"Super Egg Drop")</f>
        <v>Super Egg Drop</v>
      </c>
      <c r="C492" s="85" t="str">
        <f>IFERROR(__xludf.DUMMYFUNCTION("""COMPUTED_VALUE"""),"Hard")</f>
        <v>Hard</v>
      </c>
      <c r="D492" s="47" t="s">
        <v>76</v>
      </c>
      <c r="E492" s="90" t="str">
        <f>IFERROR(__xludf.DUMMYFUNCTION("IF(ISBLANK(A492),,FILTER('Leetcode List'!E:J,'Leetcode List'!A:A = A492))"),"Facebook,Amazon,Microsoft,Goldman Sachs,Google")</f>
        <v>Facebook,Amazon,Microsoft,Goldman Sachs,Google</v>
      </c>
      <c r="F492" s="85" t="str">
        <f>IFERROR(__xludf.DUMMYFUNCTION("""COMPUTED_VALUE"""),"Amazon")</f>
        <v>Amazon</v>
      </c>
      <c r="G492" s="85" t="str">
        <f>IFERROR(__xludf.DUMMYFUNCTION("""COMPUTED_VALUE"""),"Facebook,Amazon")</f>
        <v>Facebook,Amazon</v>
      </c>
      <c r="H492" s="85" t="str">
        <f>IFERROR(__xludf.DUMMYFUNCTION("""COMPUTED_VALUE"""),"Google,Goldman Sachs,Facebook,Amazon")</f>
        <v>Google,Goldman Sachs,Facebook,Amazon</v>
      </c>
      <c r="I492" s="85">
        <f>IFERROR(__xludf.DUMMYFUNCTION("""COMPUTED_VALUE"""),27.03)</f>
        <v>27.03</v>
      </c>
      <c r="J492" s="85" t="str">
        <f>IFERROR(__xludf.DUMMYFUNCTION("""COMPUTED_VALUE"""),"算法")</f>
        <v>算法</v>
      </c>
    </row>
    <row r="493">
      <c r="A493" s="47">
        <v>920.0</v>
      </c>
      <c r="B493" s="86" t="str">
        <f>IFERROR(__xludf.DUMMYFUNCTION("IF(ISBLANK(A493),,FILTER('Leetcode List'!B:C,'Leetcode List'!A:A = A493))"),"Number of Music Playlists")</f>
        <v>Number of Music Playlists</v>
      </c>
      <c r="C493" s="85" t="str">
        <f>IFERROR(__xludf.DUMMYFUNCTION("""COMPUTED_VALUE"""),"Hard")</f>
        <v>Hard</v>
      </c>
      <c r="D493" s="47" t="s">
        <v>76</v>
      </c>
      <c r="E493" s="90" t="str">
        <f>IFERROR(__xludf.DUMMYFUNCTION("IF(ISBLANK(A493),,FILTER('Leetcode List'!E:J,'Leetcode List'!A:A = A493))"),"Salesforce,Facebook,Coursera,Twitter,Google")</f>
        <v>Salesforce,Facebook,Coursera,Twitter,Google</v>
      </c>
      <c r="F493" s="85" t="str">
        <f>IFERROR(__xludf.DUMMYFUNCTION("""COMPUTED_VALUE"""),"Salesforce,Facebook")</f>
        <v>Salesforce,Facebook</v>
      </c>
      <c r="G493" s="85" t="str">
        <f>IFERROR(__xludf.DUMMYFUNCTION("""COMPUTED_VALUE"""),"Salesforce,Facebook")</f>
        <v>Salesforce,Facebook</v>
      </c>
      <c r="H493" s="85" t="str">
        <f>IFERROR(__xludf.DUMMYFUNCTION("""COMPUTED_VALUE"""),"Twitter,Coursera,Salesforce,Facebook")</f>
        <v>Twitter,Coursera,Salesforce,Facebook</v>
      </c>
      <c r="I493" s="85">
        <f>IFERROR(__xludf.DUMMYFUNCTION("""COMPUTED_VALUE"""),47.8)</f>
        <v>47.8</v>
      </c>
      <c r="J493" s="85" t="str">
        <f>IFERROR(__xludf.DUMMYFUNCTION("""COMPUTED_VALUE"""),"算法")</f>
        <v>算法</v>
      </c>
    </row>
    <row r="494">
      <c r="A494" s="47">
        <v>940.0</v>
      </c>
      <c r="B494" s="86" t="str">
        <f>IFERROR(__xludf.DUMMYFUNCTION("IF(ISBLANK(A494),,FILTER('Leetcode List'!B:C,'Leetcode List'!A:A = A494))"),"Distinct Subsequences II")</f>
        <v>Distinct Subsequences II</v>
      </c>
      <c r="C494" s="85" t="str">
        <f>IFERROR(__xludf.DUMMYFUNCTION("""COMPUTED_VALUE"""),"Hard")</f>
        <v>Hard</v>
      </c>
      <c r="D494" s="47" t="s">
        <v>76</v>
      </c>
      <c r="E494" s="90" t="str">
        <f>IFERROR(__xludf.DUMMYFUNCTION("IF(ISBLANK(A494),,FILTER('Leetcode List'!E:J,'Leetcode List'!A:A = A494))"),"Google")</f>
        <v>Google</v>
      </c>
      <c r="F494" s="85"/>
      <c r="G494" s="85"/>
      <c r="H494" s="85"/>
      <c r="I494" s="85">
        <f>IFERROR(__xludf.DUMMYFUNCTION("""COMPUTED_VALUE"""),41.55)</f>
        <v>41.55</v>
      </c>
      <c r="J494" s="85" t="str">
        <f>IFERROR(__xludf.DUMMYFUNCTION("""COMPUTED_VALUE"""),"算法")</f>
        <v>算法</v>
      </c>
    </row>
    <row r="495">
      <c r="A495" s="47">
        <v>446.0</v>
      </c>
      <c r="B495" s="86" t="str">
        <f>IFERROR(__xludf.DUMMYFUNCTION("IF(ISBLANK(A495),,FILTER('Leetcode List'!B:C,'Leetcode List'!A:A = A495))"),"Arithmetic Slices II - Subsequence")</f>
        <v>Arithmetic Slices II - Subsequence</v>
      </c>
      <c r="C495" s="85" t="str">
        <f>IFERROR(__xludf.DUMMYFUNCTION("""COMPUTED_VALUE"""),"Hard")</f>
        <v>Hard</v>
      </c>
      <c r="D495" s="47" t="s">
        <v>76</v>
      </c>
      <c r="E495" s="90" t="str">
        <f>IFERROR(__xludf.DUMMYFUNCTION("IF(ISBLANK(A495),,FILTER('Leetcode List'!E:J,'Leetcode List'!A:A = A495))"),"Adobe,Google,Baidu,Facebook,Alibaba")</f>
        <v>Adobe,Google,Baidu,Facebook,Alibaba</v>
      </c>
      <c r="F495" s="85"/>
      <c r="G495" s="85" t="str">
        <f>IFERROR(__xludf.DUMMYFUNCTION("""COMPUTED_VALUE"""),"Google")</f>
        <v>Google</v>
      </c>
      <c r="H495" s="85" t="str">
        <f>IFERROR(__xludf.DUMMYFUNCTION("""COMPUTED_VALUE"""),"Adobe,Baidu,Google")</f>
        <v>Adobe,Baidu,Google</v>
      </c>
      <c r="I495" s="85">
        <f>IFERROR(__xludf.DUMMYFUNCTION("""COMPUTED_VALUE"""),33.53)</f>
        <v>33.53</v>
      </c>
      <c r="J495" s="85" t="str">
        <f>IFERROR(__xludf.DUMMYFUNCTION("""COMPUTED_VALUE"""),"算法")</f>
        <v>算法</v>
      </c>
    </row>
    <row r="496">
      <c r="A496" s="47">
        <v>1027.0</v>
      </c>
      <c r="B496" s="86" t="str">
        <f>IFERROR(__xludf.DUMMYFUNCTION("IF(ISBLANK(A496),,FILTER('Leetcode List'!B:C,'Leetcode List'!A:A = A496))"),"Longest Arithmetic Subsequence")</f>
        <v>Longest Arithmetic Subsequence</v>
      </c>
      <c r="C496" s="85" t="str">
        <f>IFERROR(__xludf.DUMMYFUNCTION("""COMPUTED_VALUE"""),"Medium")</f>
        <v>Medium</v>
      </c>
      <c r="D496" s="47" t="s">
        <v>76</v>
      </c>
      <c r="E496" s="90" t="str">
        <f>IFERROR(__xludf.DUMMYFUNCTION("IF(ISBLANK(A496),,FILTER('Leetcode List'!E:J,'Leetcode List'!A:A = A496))"),"C3 IoT,EBay,Uber,Snapdeal,Quora,Facebook,Amazon,Microsoft,Google")</f>
        <v>C3 IoT,EBay,Uber,Snapdeal,Quora,Facebook,Amazon,Microsoft,Google</v>
      </c>
      <c r="F496" s="85" t="str">
        <f>IFERROR(__xludf.DUMMYFUNCTION("""COMPUTED_VALUE"""),"Google,eBay,C3 IoT,Facebook,Uber")</f>
        <v>Google,eBay,C3 IoT,Facebook,Uber</v>
      </c>
      <c r="G496" s="85" t="str">
        <f>IFERROR(__xludf.DUMMYFUNCTION("""COMPUTED_VALUE"""),"Google,eBay,C3 IoT,Facebook,Uber")</f>
        <v>Google,eBay,C3 IoT,Facebook,Uber</v>
      </c>
      <c r="H496" s="85" t="str">
        <f>IFERROR(__xludf.DUMMYFUNCTION("""COMPUTED_VALUE"""),"Quora,Microsoft,Amazon,Snapdeal,Google,eBay,C3 IoT,Facebook,Uber")</f>
        <v>Quora,Microsoft,Amazon,Snapdeal,Google,eBay,C3 IoT,Facebook,Uber</v>
      </c>
      <c r="I496" s="85">
        <f>IFERROR(__xludf.DUMMYFUNCTION("""COMPUTED_VALUE"""),49.76)</f>
        <v>49.76</v>
      </c>
      <c r="J496" s="85" t="str">
        <f>IFERROR(__xludf.DUMMYFUNCTION("""COMPUTED_VALUE"""),"算法")</f>
        <v>算法</v>
      </c>
    </row>
    <row r="497">
      <c r="A497" s="47">
        <v>1269.0</v>
      </c>
      <c r="B497" s="86" t="str">
        <f>IFERROR(__xludf.DUMMYFUNCTION("IF(ISBLANK(A497),,FILTER('Leetcode List'!B:C,'Leetcode List'!A:A = A497))"),"Number of Ways to Stay in the Same Place After Some Steps")</f>
        <v>Number of Ways to Stay in the Same Place After Some Steps</v>
      </c>
      <c r="C497" s="85" t="str">
        <f>IFERROR(__xludf.DUMMYFUNCTION("""COMPUTED_VALUE"""),"Hard")</f>
        <v>Hard</v>
      </c>
      <c r="D497" s="47" t="s">
        <v>76</v>
      </c>
      <c r="E497" s="90" t="str">
        <f>IFERROR(__xludf.DUMMYFUNCTION("IF(ISBLANK(A497),,FILTER('Leetcode List'!E:J,'Leetcode List'!A:A = A497))"),"Facebook,Google")</f>
        <v>Facebook,Google</v>
      </c>
      <c r="F497" s="85"/>
      <c r="G497" s="85" t="str">
        <f>IFERROR(__xludf.DUMMYFUNCTION("""COMPUTED_VALUE"""),"Facebook")</f>
        <v>Facebook</v>
      </c>
      <c r="H497" s="85" t="str">
        <f>IFERROR(__xludf.DUMMYFUNCTION("""COMPUTED_VALUE"""),"Google,Facebook")</f>
        <v>Google,Facebook</v>
      </c>
      <c r="I497" s="85">
        <f>IFERROR(__xludf.DUMMYFUNCTION("""COMPUTED_VALUE"""),43.22)</f>
        <v>43.22</v>
      </c>
      <c r="J497" s="85" t="str">
        <f>IFERROR(__xludf.DUMMYFUNCTION("""COMPUTED_VALUE"""),"算法")</f>
        <v>算法</v>
      </c>
    </row>
    <row r="498">
      <c r="A498" s="47">
        <v>1316.0</v>
      </c>
      <c r="B498" s="86" t="str">
        <f>IFERROR(__xludf.DUMMYFUNCTION("IF(ISBLANK(A498),,FILTER('Leetcode List'!B:C,'Leetcode List'!A:A = A498))"),"Distinct Echo Substrings")</f>
        <v>Distinct Echo Substrings</v>
      </c>
      <c r="C498" s="85" t="str">
        <f>IFERROR(__xludf.DUMMYFUNCTION("""COMPUTED_VALUE"""),"Hard")</f>
        <v>Hard</v>
      </c>
      <c r="D498" s="47" t="s">
        <v>76</v>
      </c>
      <c r="E498" s="90" t="str">
        <f>IFERROR(__xludf.DUMMYFUNCTION("IF(ISBLANK(A498),,FILTER('Leetcode List'!E:J,'Leetcode List'!A:A = A498))"),"Google")</f>
        <v>Google</v>
      </c>
      <c r="F498" s="85"/>
      <c r="G498" s="85"/>
      <c r="H498" s="85" t="str">
        <f>IFERROR(__xludf.DUMMYFUNCTION("""COMPUTED_VALUE"""),"Google")</f>
        <v>Google</v>
      </c>
      <c r="I498" s="85">
        <f>IFERROR(__xludf.DUMMYFUNCTION("""COMPUTED_VALUE"""),49.72)</f>
        <v>49.72</v>
      </c>
      <c r="J498" s="85" t="str">
        <f>IFERROR(__xludf.DUMMYFUNCTION("""COMPUTED_VALUE"""),"算法")</f>
        <v>算法</v>
      </c>
    </row>
    <row r="499">
      <c r="A499" s="47">
        <v>1420.0</v>
      </c>
      <c r="B499" s="86" t="str">
        <f>IFERROR(__xludf.DUMMYFUNCTION("IF(ISBLANK(A499),,FILTER('Leetcode List'!B:C,'Leetcode List'!A:A = A499))"),"Build Array Where You Can Find The Maximum Exactly K Comparisons")</f>
        <v>Build Array Where You Can Find The Maximum Exactly K Comparisons</v>
      </c>
      <c r="C499" s="85" t="str">
        <f>IFERROR(__xludf.DUMMYFUNCTION("""COMPUTED_VALUE"""),"Hard")</f>
        <v>Hard</v>
      </c>
      <c r="D499" s="47" t="s">
        <v>76</v>
      </c>
      <c r="E499" s="90" t="str">
        <f>IFERROR(__xludf.DUMMYFUNCTION("IF(ISBLANK(A499),,FILTER('Leetcode List'!E:J,'Leetcode List'!A:A = A499))"),"Dunzo")</f>
        <v>Dunzo</v>
      </c>
      <c r="F499" s="85"/>
      <c r="G499" s="85"/>
      <c r="H499" s="85" t="str">
        <f>IFERROR(__xludf.DUMMYFUNCTION("""COMPUTED_VALUE"""),"Dunzo")</f>
        <v>Dunzo</v>
      </c>
      <c r="I499" s="85">
        <f>IFERROR(__xludf.DUMMYFUNCTION("""COMPUTED_VALUE"""),64.17)</f>
        <v>64.17</v>
      </c>
      <c r="J499" s="85" t="str">
        <f>IFERROR(__xludf.DUMMYFUNCTION("""COMPUTED_VALUE"""),"算法")</f>
        <v>算法</v>
      </c>
    </row>
    <row r="500">
      <c r="A500" s="47">
        <v>1444.0</v>
      </c>
      <c r="B500" s="86" t="str">
        <f>IFERROR(__xludf.DUMMYFUNCTION("IF(ISBLANK(A500),,FILTER('Leetcode List'!B:C,'Leetcode List'!A:A = A500))"),"Number of Ways of Cutting a Pizza")</f>
        <v>Number of Ways of Cutting a Pizza</v>
      </c>
      <c r="C500" s="85" t="str">
        <f>IFERROR(__xludf.DUMMYFUNCTION("""COMPUTED_VALUE"""),"Hard")</f>
        <v>Hard</v>
      </c>
      <c r="D500" s="47" t="s">
        <v>76</v>
      </c>
      <c r="E500" s="90" t="str">
        <f>IFERROR(__xludf.DUMMYFUNCTION("IF(ISBLANK(A500),,FILTER('Leetcode List'!E:J,'Leetcode List'!A:A = A500))"),"Google")</f>
        <v>Google</v>
      </c>
      <c r="F500" s="85"/>
      <c r="G500" s="85" t="str">
        <f>IFERROR(__xludf.DUMMYFUNCTION("""COMPUTED_VALUE"""),"Google")</f>
        <v>Google</v>
      </c>
      <c r="H500" s="85" t="str">
        <f>IFERROR(__xludf.DUMMYFUNCTION("""COMPUTED_VALUE"""),"Google")</f>
        <v>Google</v>
      </c>
      <c r="I500" s="85">
        <f>IFERROR(__xludf.DUMMYFUNCTION("""COMPUTED_VALUE"""),53.88)</f>
        <v>53.88</v>
      </c>
      <c r="J500" s="85" t="str">
        <f>IFERROR(__xludf.DUMMYFUNCTION("""COMPUTED_VALUE"""),"算法")</f>
        <v>算法</v>
      </c>
    </row>
    <row r="501">
      <c r="A501" s="47">
        <v>1531.0</v>
      </c>
      <c r="B501" s="86" t="str">
        <f>IFERROR(__xludf.DUMMYFUNCTION("IF(ISBLANK(A501),,FILTER('Leetcode List'!B:C,'Leetcode List'!A:A = A501))"),"String Compression II")</f>
        <v>String Compression II</v>
      </c>
      <c r="C501" s="85" t="str">
        <f>IFERROR(__xludf.DUMMYFUNCTION("""COMPUTED_VALUE"""),"Hard")</f>
        <v>Hard</v>
      </c>
      <c r="D501" s="47" t="s">
        <v>76</v>
      </c>
      <c r="E501" s="90" t="str">
        <f>IFERROR(__xludf.DUMMYFUNCTION("IF(ISBLANK(A501),,FILTER('Leetcode List'!E:J,'Leetcode List'!A:A = A501))"),"Toptal")</f>
        <v>Toptal</v>
      </c>
      <c r="F501" s="85" t="str">
        <f>IFERROR(__xludf.DUMMYFUNCTION("""COMPUTED_VALUE"""),"Toptal")</f>
        <v>Toptal</v>
      </c>
      <c r="G501" s="85" t="str">
        <f>IFERROR(__xludf.DUMMYFUNCTION("""COMPUTED_VALUE"""),"Toptal")</f>
        <v>Toptal</v>
      </c>
      <c r="H501" s="85" t="str">
        <f>IFERROR(__xludf.DUMMYFUNCTION("""COMPUTED_VALUE"""),"Toptal")</f>
        <v>Toptal</v>
      </c>
      <c r="I501" s="85">
        <f>IFERROR(__xludf.DUMMYFUNCTION("""COMPUTED_VALUE"""),33.89)</f>
        <v>33.89</v>
      </c>
      <c r="J501" s="85" t="str">
        <f>IFERROR(__xludf.DUMMYFUNCTION("""COMPUTED_VALUE"""),"算法")</f>
        <v>算法</v>
      </c>
    </row>
    <row r="502">
      <c r="A502" s="47">
        <v>1575.0</v>
      </c>
      <c r="B502" s="86" t="str">
        <f>IFERROR(__xludf.DUMMYFUNCTION("IF(ISBLANK(A502),,FILTER('Leetcode List'!B:C,'Leetcode List'!A:A = A502))"),"Count All Possible Routes")</f>
        <v>Count All Possible Routes</v>
      </c>
      <c r="C502" s="85" t="str">
        <f>IFERROR(__xludf.DUMMYFUNCTION("""COMPUTED_VALUE"""),"Hard")</f>
        <v>Hard</v>
      </c>
      <c r="D502" s="47" t="s">
        <v>76</v>
      </c>
      <c r="E502" s="90" t="str">
        <f>IFERROR(__xludf.DUMMYFUNCTION("IF(ISBLANK(A502),,FILTER('Leetcode List'!E:J,'Leetcode List'!A:A = A502))"),"TSYS")</f>
        <v>TSYS</v>
      </c>
      <c r="F502" s="85"/>
      <c r="G502" s="85"/>
      <c r="H502" s="85" t="str">
        <f>IFERROR(__xludf.DUMMYFUNCTION("""COMPUTED_VALUE"""),"TSYS")</f>
        <v>TSYS</v>
      </c>
      <c r="I502" s="85">
        <f>IFERROR(__xludf.DUMMYFUNCTION("""COMPUTED_VALUE"""),57.24)</f>
        <v>57.24</v>
      </c>
      <c r="J502" s="85" t="str">
        <f>IFERROR(__xludf.DUMMYFUNCTION("""COMPUTED_VALUE"""),"算法")</f>
        <v>算法</v>
      </c>
    </row>
    <row r="503">
      <c r="A503" s="47">
        <v>1621.0</v>
      </c>
      <c r="B503" s="86" t="str">
        <f>IFERROR(__xludf.DUMMYFUNCTION("IF(ISBLANK(A503),,FILTER('Leetcode List'!B:C,'Leetcode List'!A:A = A503))"),"Number of Sets of K Non-Overlapping Line Segments")</f>
        <v>Number of Sets of K Non-Overlapping Line Segments</v>
      </c>
      <c r="C503" s="85" t="str">
        <f>IFERROR(__xludf.DUMMYFUNCTION("""COMPUTED_VALUE"""),"Medium")</f>
        <v>Medium</v>
      </c>
      <c r="D503" s="47" t="s">
        <v>76</v>
      </c>
      <c r="E503" s="90" t="str">
        <f>IFERROR(__xludf.DUMMYFUNCTION("IF(ISBLANK(A503),,FILTER('Leetcode List'!E:J,'Leetcode List'!A:A = A503))"),"Amazon")</f>
        <v>Amazon</v>
      </c>
      <c r="F503" s="85"/>
      <c r="G503" s="85"/>
      <c r="H503" s="85" t="str">
        <f>IFERROR(__xludf.DUMMYFUNCTION("""COMPUTED_VALUE"""),"Amazon")</f>
        <v>Amazon</v>
      </c>
      <c r="I503" s="85">
        <f>IFERROR(__xludf.DUMMYFUNCTION("""COMPUTED_VALUE"""),41.23)</f>
        <v>41.23</v>
      </c>
      <c r="J503" s="85" t="str">
        <f>IFERROR(__xludf.DUMMYFUNCTION("""COMPUTED_VALUE"""),"算法")</f>
        <v>算法</v>
      </c>
    </row>
    <row r="504">
      <c r="A504" s="47">
        <v>1639.0</v>
      </c>
      <c r="B504" s="86" t="str">
        <f>IFERROR(__xludf.DUMMYFUNCTION("IF(ISBLANK(A504),,FILTER('Leetcode List'!B:C,'Leetcode List'!A:A = A504))"),"Number of Ways to Form a Target String Given a Dictionary")</f>
        <v>Number of Ways to Form a Target String Given a Dictionary</v>
      </c>
      <c r="C504" s="85" t="str">
        <f>IFERROR(__xludf.DUMMYFUNCTION("""COMPUTED_VALUE"""),"Hard")</f>
        <v>Hard</v>
      </c>
      <c r="D504" s="47" t="s">
        <v>76</v>
      </c>
      <c r="E504" s="90" t="str">
        <f>IFERROR(__xludf.DUMMYFUNCTION("IF(ISBLANK(A504),,FILTER('Leetcode List'!E:J,'Leetcode List'!A:A = A504))"),"Dunzo")</f>
        <v>Dunzo</v>
      </c>
      <c r="F504" s="85"/>
      <c r="G504" s="85"/>
      <c r="H504" s="85" t="str">
        <f>IFERROR(__xludf.DUMMYFUNCTION("""COMPUTED_VALUE"""),"Dunzo")</f>
        <v>Dunzo</v>
      </c>
      <c r="I504" s="85">
        <f>IFERROR(__xludf.DUMMYFUNCTION("""COMPUTED_VALUE"""),39.95)</f>
        <v>39.95</v>
      </c>
      <c r="J504" s="85" t="str">
        <f>IFERROR(__xludf.DUMMYFUNCTION("""COMPUTED_VALUE"""),"算法")</f>
        <v>算法</v>
      </c>
    </row>
    <row r="505">
      <c r="A505" s="47">
        <v>1692.0</v>
      </c>
      <c r="B505" s="86" t="str">
        <f>IFERROR(__xludf.DUMMYFUNCTION("IF(ISBLANK(A505),,FILTER('Leetcode List'!B:C,'Leetcode List'!A:A = A505))"),"Count Ways to Distribute Candies")</f>
        <v>Count Ways to Distribute Candies</v>
      </c>
      <c r="C505" s="85" t="str">
        <f>IFERROR(__xludf.DUMMYFUNCTION("""COMPUTED_VALUE"""),"Hard")</f>
        <v>Hard</v>
      </c>
      <c r="D505" s="47" t="s">
        <v>76</v>
      </c>
      <c r="E505" s="90" t="str">
        <f>IFERROR(__xludf.DUMMYFUNCTION("IF(ISBLANK(A505),,FILTER('Leetcode List'!E:J,'Leetcode List'!A:A = A505))"),"Google")</f>
        <v>Google</v>
      </c>
      <c r="F505" s="85"/>
      <c r="G505" s="85"/>
      <c r="H505" s="85" t="str">
        <f>IFERROR(__xludf.DUMMYFUNCTION("""COMPUTED_VALUE"""),"Google")</f>
        <v>Google</v>
      </c>
      <c r="I505" s="85">
        <f>IFERROR(__xludf.DUMMYFUNCTION("""COMPUTED_VALUE"""),62.59)</f>
        <v>62.59</v>
      </c>
      <c r="J505" s="85" t="str">
        <f>IFERROR(__xludf.DUMMYFUNCTION("""COMPUTED_VALUE"""),"算法")</f>
        <v>算法</v>
      </c>
    </row>
    <row r="506">
      <c r="A506" s="47">
        <v>1787.0</v>
      </c>
      <c r="B506" s="86" t="str">
        <f>IFERROR(__xludf.DUMMYFUNCTION("IF(ISBLANK(A506),,FILTER('Leetcode List'!B:C,'Leetcode List'!A:A = A506))"),"Make the XOR of All Segments Equal to Zero")</f>
        <v>Make the XOR of All Segments Equal to Zero</v>
      </c>
      <c r="C506" s="85" t="str">
        <f>IFERROR(__xludf.DUMMYFUNCTION("""COMPUTED_VALUE"""),"Hard")</f>
        <v>Hard</v>
      </c>
      <c r="D506" s="47" t="s">
        <v>76</v>
      </c>
      <c r="E506" s="90" t="str">
        <f>IFERROR(__xludf.DUMMYFUNCTION("IF(ISBLANK(A506),,FILTER('Leetcode List'!E:J,'Leetcode List'!A:A = A506))"),"Codeagon,Media.net")</f>
        <v>Codeagon,Media.net</v>
      </c>
      <c r="F506" s="85"/>
      <c r="G506" s="85"/>
      <c r="H506" s="85" t="str">
        <f>IFERROR(__xludf.DUMMYFUNCTION("""COMPUTED_VALUE"""),"Media.net,codeagon")</f>
        <v>Media.net,codeagon</v>
      </c>
      <c r="I506" s="85">
        <f>IFERROR(__xludf.DUMMYFUNCTION("""COMPUTED_VALUE"""),35.73)</f>
        <v>35.73</v>
      </c>
      <c r="J506" s="85" t="str">
        <f>IFERROR(__xludf.DUMMYFUNCTION("""COMPUTED_VALUE"""),"算法")</f>
        <v>算法</v>
      </c>
    </row>
    <row r="507">
      <c r="A507" s="47">
        <v>198.0</v>
      </c>
      <c r="B507" s="86" t="str">
        <f>IFERROR(__xludf.DUMMYFUNCTION("IF(ISBLANK(A507),,FILTER('Leetcode List'!B:C,'Leetcode List'!A:A = A507))"),"House Robber")</f>
        <v>House Robber</v>
      </c>
      <c r="C507" s="85" t="str">
        <f>IFERROR(__xludf.DUMMYFUNCTION("""COMPUTED_VALUE"""),"Medium")</f>
        <v>Medium</v>
      </c>
      <c r="D507" s="47" t="s">
        <v>76</v>
      </c>
      <c r="E507" s="90" t="str">
        <f>IFERROR(__xludf.DUMMYFUNCTION("IF(ISBLANK(A507),,FILTER('Leetcode List'!E:J,'Leetcode List'!A:A = A507))"),"Qualtrics,Splunk,Twitter,Oracle,HBO,ByteDance,Quora,Walmart Labs,Expedia,Cisco,EBay,Apple,Airbnb,Uber,Bloomberg,Adobe,Amazon,LinkedIn,Microsoft,Goldman Sachs,Google")</f>
        <v>Qualtrics,Splunk,Twitter,Oracle,HBO,ByteDance,Quora,Walmart Labs,Expedia,Cisco,EBay,Apple,Airbnb,Uber,Bloomberg,Adobe,Amazon,LinkedIn,Microsoft,Goldman Sachs,Google</v>
      </c>
      <c r="F507" s="85" t="str">
        <f>IFERROR(__xludf.DUMMYFUNCTION("""COMPUTED_VALUE"""),"Oracle,Cisco,Microsoft,Bloomberg,Amazon,Expedia,ByteDance,Splunk")</f>
        <v>Oracle,Cisco,Microsoft,Bloomberg,Amazon,Expedia,ByteDance,Splunk</v>
      </c>
      <c r="G507" s="85" t="str">
        <f>IFERROR(__xludf.DUMMYFUNCTION("""COMPUTED_VALUE"""),"Google,Apple,Adobe,eBay,Twitter,Oracle,Cisco,Microsoft,Bloomberg,Amazon,Expedia,ByteDance,Splunk")</f>
        <v>Google,Apple,Adobe,eBay,Twitter,Oracle,Cisco,Microsoft,Bloomberg,Amazon,Expedia,ByteDance,Splunk</v>
      </c>
      <c r="H507" s="85" t="str">
        <f>IFERROR(__xludf.DUMMYFUNCTION("""COMPUTED_VALUE"""),"Uber,HBO,LinkedIn,Walmart Labs,Goldman Sachs,Qualtrics,Airbnb,Google,Apple,Adobe,eBay,Twitter,Oracle,Cisco,Microsoft,Bloomberg,Amazon,Expedia,ByteDance,Splunk")</f>
        <v>Uber,HBO,LinkedIn,Walmart Labs,Goldman Sachs,Qualtrics,Airbnb,Google,Apple,Adobe,eBay,Twitter,Oracle,Cisco,Microsoft,Bloomberg,Amazon,Expedia,ByteDance,Splunk</v>
      </c>
      <c r="I507" s="85">
        <f>IFERROR(__xludf.DUMMYFUNCTION("""COMPUTED_VALUE"""),42.97)</f>
        <v>42.97</v>
      </c>
      <c r="J507" s="85" t="str">
        <f>IFERROR(__xludf.DUMMYFUNCTION("""COMPUTED_VALUE"""),"算法")</f>
        <v>算法</v>
      </c>
      <c r="K507" s="2" t="s">
        <v>5006</v>
      </c>
    </row>
    <row r="508">
      <c r="A508" s="47">
        <v>213.0</v>
      </c>
      <c r="B508" s="86" t="str">
        <f>IFERROR(__xludf.DUMMYFUNCTION("IF(ISBLANK(A508),,FILTER('Leetcode List'!B:C,'Leetcode List'!A:A = A508))"),"House Robber II")</f>
        <v>House Robber II</v>
      </c>
      <c r="C508" s="85" t="str">
        <f>IFERROR(__xludf.DUMMYFUNCTION("""COMPUTED_VALUE"""),"Medium")</f>
        <v>Medium</v>
      </c>
      <c r="D508" s="47" t="s">
        <v>76</v>
      </c>
      <c r="E508" s="90" t="str">
        <f>IFERROR(__xludf.DUMMYFUNCTION("IF(ISBLANK(A508),,FILTER('Leetcode List'!E:J,'Leetcode List'!A:A = A508))"),"Walmart Labs,Apple,Adobe,Amazon,Salesforce,EBay,Microsoft,Google")</f>
        <v>Walmart Labs,Apple,Adobe,Amazon,Salesforce,EBay,Microsoft,Google</v>
      </c>
      <c r="F508" s="85"/>
      <c r="G508" s="85" t="str">
        <f>IFERROR(__xludf.DUMMYFUNCTION("""COMPUTED_VALUE"""),"Adobe,Amazon,eBay,Microsoft")</f>
        <v>Adobe,Amazon,eBay,Microsoft</v>
      </c>
      <c r="H508" s="85" t="str">
        <f>IFERROR(__xludf.DUMMYFUNCTION("""COMPUTED_VALUE"""),"Apple,Google,Walmart Labs,Adobe,Amazon,eBay,Microsoft")</f>
        <v>Apple,Google,Walmart Labs,Adobe,Amazon,eBay,Microsoft</v>
      </c>
      <c r="I508" s="85">
        <f>IFERROR(__xludf.DUMMYFUNCTION("""COMPUTED_VALUE"""),37.6)</f>
        <v>37.6</v>
      </c>
      <c r="J508" s="85" t="str">
        <f>IFERROR(__xludf.DUMMYFUNCTION("""COMPUTED_VALUE"""),"算法")</f>
        <v>算法</v>
      </c>
      <c r="K508" s="2" t="s">
        <v>5006</v>
      </c>
    </row>
    <row r="509">
      <c r="A509" s="47">
        <v>1388.0</v>
      </c>
      <c r="B509" s="86" t="str">
        <f>IFERROR(__xludf.DUMMYFUNCTION("IF(ISBLANK(A509),,FILTER('Leetcode List'!B:C,'Leetcode List'!A:A = A509))"),"Pizza With 3n Slices")</f>
        <v>Pizza With 3n Slices</v>
      </c>
      <c r="C509" s="85" t="str">
        <f>IFERROR(__xludf.DUMMYFUNCTION("""COMPUTED_VALUE"""),"Hard")</f>
        <v>Hard</v>
      </c>
      <c r="D509" s="47" t="s">
        <v>76</v>
      </c>
      <c r="E509" s="90" t="str">
        <f>IFERROR(__xludf.DUMMYFUNCTION("IF(ISBLANK(A509),,FILTER('Leetcode List'!E:J,'Leetcode List'!A:A = A509))"),"Google")</f>
        <v>Google</v>
      </c>
      <c r="F509" s="85"/>
      <c r="G509" s="85"/>
      <c r="H509" s="85" t="str">
        <f>IFERROR(__xludf.DUMMYFUNCTION("""COMPUTED_VALUE"""),"Google")</f>
        <v>Google</v>
      </c>
      <c r="I509" s="85">
        <f>IFERROR(__xludf.DUMMYFUNCTION("""COMPUTED_VALUE"""),45.94)</f>
        <v>45.94</v>
      </c>
      <c r="J509" s="85" t="str">
        <f>IFERROR(__xludf.DUMMYFUNCTION("""COMPUTED_VALUE"""),"算法")</f>
        <v>算法</v>
      </c>
      <c r="K509" s="2" t="s">
        <v>5006</v>
      </c>
    </row>
    <row r="510">
      <c r="A510" s="47">
        <v>276.0</v>
      </c>
      <c r="B510" s="86" t="str">
        <f>IFERROR(__xludf.DUMMYFUNCTION("IF(ISBLANK(A510),,FILTER('Leetcode List'!B:C,'Leetcode List'!A:A = A510))"),"Paint Fence")</f>
        <v>Paint Fence</v>
      </c>
      <c r="C510" s="85" t="str">
        <f>IFERROR(__xludf.DUMMYFUNCTION("""COMPUTED_VALUE"""),"Medium")</f>
        <v>Medium</v>
      </c>
      <c r="D510" s="47" t="s">
        <v>76</v>
      </c>
      <c r="E510" s="90" t="str">
        <f>IFERROR(__xludf.DUMMYFUNCTION("IF(ISBLANK(A510),,FILTER('Leetcode List'!E:J,'Leetcode List'!A:A = A510))"),"JPMorgan,Expedia,Google")</f>
        <v>JPMorgan,Expedia,Google</v>
      </c>
      <c r="F510" s="85"/>
      <c r="G510" s="85" t="str">
        <f>IFERROR(__xludf.DUMMYFUNCTION("""COMPUTED_VALUE"""),"Google,JPMorgan")</f>
        <v>Google,JPMorgan</v>
      </c>
      <c r="H510" s="85" t="str">
        <f>IFERROR(__xludf.DUMMYFUNCTION("""COMPUTED_VALUE"""),"Expedia,Google,JPMorgan")</f>
        <v>Expedia,Google,JPMorgan</v>
      </c>
      <c r="I510" s="85">
        <f>IFERROR(__xludf.DUMMYFUNCTION("""COMPUTED_VALUE"""),39.11)</f>
        <v>39.11</v>
      </c>
      <c r="J510" s="85" t="str">
        <f>IFERROR(__xludf.DUMMYFUNCTION("""COMPUTED_VALUE"""),"算法")</f>
        <v>算法</v>
      </c>
      <c r="K510" s="2" t="s">
        <v>5006</v>
      </c>
    </row>
    <row r="511">
      <c r="A511" s="47">
        <v>376.0</v>
      </c>
      <c r="B511" s="86" t="str">
        <f>IFERROR(__xludf.DUMMYFUNCTION("IF(ISBLANK(A511),,FILTER('Leetcode List'!B:C,'Leetcode List'!A:A = A511))"),"Wiggle Subsequence")</f>
        <v>Wiggle Subsequence</v>
      </c>
      <c r="C511" s="85" t="str">
        <f>IFERROR(__xludf.DUMMYFUNCTION("""COMPUTED_VALUE"""),"Medium")</f>
        <v>Medium</v>
      </c>
      <c r="D511" s="47" t="s">
        <v>76</v>
      </c>
      <c r="E511" s="90" t="str">
        <f>IFERROR(__xludf.DUMMYFUNCTION("IF(ISBLANK(A511),,FILTER('Leetcode List'!E:J,'Leetcode List'!A:A = A511))"),"Facebook,Microsoft,Uber,Amazon")</f>
        <v>Facebook,Microsoft,Uber,Amazon</v>
      </c>
      <c r="F511" s="85"/>
      <c r="G511" s="85" t="str">
        <f>IFERROR(__xludf.DUMMYFUNCTION("""COMPUTED_VALUE"""),"Microsoft")</f>
        <v>Microsoft</v>
      </c>
      <c r="H511" s="85" t="str">
        <f>IFERROR(__xludf.DUMMYFUNCTION("""COMPUTED_VALUE"""),"Amazon,Uber,Facebook,Microsoft")</f>
        <v>Amazon,Uber,Facebook,Microsoft</v>
      </c>
      <c r="I511" s="85">
        <f>IFERROR(__xludf.DUMMYFUNCTION("""COMPUTED_VALUE"""),42.11)</f>
        <v>42.11</v>
      </c>
      <c r="J511" s="85" t="str">
        <f>IFERROR(__xludf.DUMMYFUNCTION("""COMPUTED_VALUE"""),"算法")</f>
        <v>算法</v>
      </c>
      <c r="K511" s="2" t="s">
        <v>5006</v>
      </c>
    </row>
    <row r="512">
      <c r="A512" s="47">
        <v>487.0</v>
      </c>
      <c r="B512" s="86" t="str">
        <f>IFERROR(__xludf.DUMMYFUNCTION("IF(ISBLANK(A512),,FILTER('Leetcode List'!B:C,'Leetcode List'!A:A = A512))"),"Max Consecutive Ones II")</f>
        <v>Max Consecutive Ones II</v>
      </c>
      <c r="C512" s="85" t="str">
        <f>IFERROR(__xludf.DUMMYFUNCTION("""COMPUTED_VALUE"""),"Medium")</f>
        <v>Medium</v>
      </c>
      <c r="D512" s="47" t="s">
        <v>76</v>
      </c>
      <c r="E512" s="90" t="str">
        <f>IFERROR(__xludf.DUMMYFUNCTION("IF(ISBLANK(A512),,FILTER('Leetcode List'!E:J,'Leetcode List'!A:A = A512))"),"Zillow,Yandex,Google")</f>
        <v>Zillow,Yandex,Google</v>
      </c>
      <c r="F512" s="85" t="str">
        <f>IFERROR(__xludf.DUMMYFUNCTION("""COMPUTED_VALUE"""),"Yandex,Zillow")</f>
        <v>Yandex,Zillow</v>
      </c>
      <c r="G512" s="85" t="str">
        <f>IFERROR(__xludf.DUMMYFUNCTION("""COMPUTED_VALUE"""),"Yandex,Zillow")</f>
        <v>Yandex,Zillow</v>
      </c>
      <c r="H512" s="85" t="str">
        <f>IFERROR(__xludf.DUMMYFUNCTION("""COMPUTED_VALUE"""),"Google,Yandex,Zillow")</f>
        <v>Google,Yandex,Zillow</v>
      </c>
      <c r="I512" s="85">
        <f>IFERROR(__xludf.DUMMYFUNCTION("""COMPUTED_VALUE"""),47.97)</f>
        <v>47.97</v>
      </c>
      <c r="J512" s="85" t="str">
        <f>IFERROR(__xludf.DUMMYFUNCTION("""COMPUTED_VALUE"""),"算法")</f>
        <v>算法</v>
      </c>
      <c r="K512" s="2" t="s">
        <v>5006</v>
      </c>
    </row>
    <row r="513">
      <c r="A513" s="47">
        <v>123.0</v>
      </c>
      <c r="B513" s="86" t="str">
        <f>IFERROR(__xludf.DUMMYFUNCTION("IF(ISBLANK(A513),,FILTER('Leetcode List'!B:C,'Leetcode List'!A:A = A513))"),"Best Time to Buy and Sell Stock III")</f>
        <v>Best Time to Buy and Sell Stock III</v>
      </c>
      <c r="C513" s="85" t="str">
        <f>IFERROR(__xludf.DUMMYFUNCTION("""COMPUTED_VALUE"""),"Hard")</f>
        <v>Hard</v>
      </c>
      <c r="D513" s="47" t="s">
        <v>76</v>
      </c>
      <c r="E513" s="90" t="str">
        <f>IFERROR(__xludf.DUMMYFUNCTION("IF(ISBLANK(A513),,FILTER('Leetcode List'!E:J,'Leetcode List'!A:A = A513))"),"Adobe,Rubrik,Two Sigma,Atlassian,Flipkart,Citadel,Apple,Bloomberg,Facebook,Amazon,Microsoft,Google")</f>
        <v>Adobe,Rubrik,Two Sigma,Atlassian,Flipkart,Citadel,Apple,Bloomberg,Facebook,Amazon,Microsoft,Google</v>
      </c>
      <c r="F513" s="85" t="str">
        <f>IFERROR(__xludf.DUMMYFUNCTION("""COMPUTED_VALUE"""),"Amazon,Adobe")</f>
        <v>Amazon,Adobe</v>
      </c>
      <c r="G513" s="85" t="str">
        <f>IFERROR(__xludf.DUMMYFUNCTION("""COMPUTED_VALUE"""),"Microsoft,Apple,Amazon,Adobe")</f>
        <v>Microsoft,Apple,Amazon,Adobe</v>
      </c>
      <c r="H513" s="85" t="str">
        <f>IFERROR(__xludf.DUMMYFUNCTION("""COMPUTED_VALUE"""),"Two Sigma,Bloomberg,Facebook,Google,Rubrik,Atlassian,Microsoft,Apple,Amazon,Adobe")</f>
        <v>Two Sigma,Bloomberg,Facebook,Google,Rubrik,Atlassian,Microsoft,Apple,Amazon,Adobe</v>
      </c>
      <c r="I513" s="85">
        <f>IFERROR(__xludf.DUMMYFUNCTION("""COMPUTED_VALUE"""),40.05)</f>
        <v>40.05</v>
      </c>
      <c r="J513" s="85" t="str">
        <f>IFERROR(__xludf.DUMMYFUNCTION("""COMPUTED_VALUE"""),"算法")</f>
        <v>算法</v>
      </c>
      <c r="K513" s="2" t="s">
        <v>5006</v>
      </c>
    </row>
    <row r="514">
      <c r="A514" s="47">
        <v>188.0</v>
      </c>
      <c r="B514" s="86" t="str">
        <f>IFERROR(__xludf.DUMMYFUNCTION("IF(ISBLANK(A514),,FILTER('Leetcode List'!B:C,'Leetcode List'!A:A = A514))"),"Best Time to Buy and Sell Stock IV")</f>
        <v>Best Time to Buy and Sell Stock IV</v>
      </c>
      <c r="C514" s="85" t="str">
        <f>IFERROR(__xludf.DUMMYFUNCTION("""COMPUTED_VALUE"""),"Hard")</f>
        <v>Hard</v>
      </c>
      <c r="D514" s="47" t="s">
        <v>76</v>
      </c>
      <c r="E514" s="90" t="str">
        <f>IFERROR(__xludf.DUMMYFUNCTION("IF(ISBLANK(A514),,FILTER('Leetcode List'!E:J,'Leetcode List'!A:A = A514))"),"Citadel,Adobe,Goldman Sachs,JPMorgan,Apple,Bloomberg,Facebook,Amazon,Google")</f>
        <v>Citadel,Adobe,Goldman Sachs,JPMorgan,Apple,Bloomberg,Facebook,Amazon,Google</v>
      </c>
      <c r="F514" s="85" t="str">
        <f>IFERROR(__xludf.DUMMYFUNCTION("""COMPUTED_VALUE"""),"Amazon,Google")</f>
        <v>Amazon,Google</v>
      </c>
      <c r="G514" s="85" t="str">
        <f>IFERROR(__xludf.DUMMYFUNCTION("""COMPUTED_VALUE"""),"Bloomberg,Facebook,Citadel,Goldman Sachs,Amazon,Google")</f>
        <v>Bloomberg,Facebook,Citadel,Goldman Sachs,Amazon,Google</v>
      </c>
      <c r="H514" s="85" t="str">
        <f>IFERROR(__xludf.DUMMYFUNCTION("""COMPUTED_VALUE"""),"Apple,Adobe,Bloomberg,Facebook,Citadel,Goldman Sachs,Amazon,Google")</f>
        <v>Apple,Adobe,Bloomberg,Facebook,Citadel,Goldman Sachs,Amazon,Google</v>
      </c>
      <c r="I514" s="85">
        <f>IFERROR(__xludf.DUMMYFUNCTION("""COMPUTED_VALUE"""),29.87)</f>
        <v>29.87</v>
      </c>
      <c r="J514" s="85" t="str">
        <f>IFERROR(__xludf.DUMMYFUNCTION("""COMPUTED_VALUE"""),"算法")</f>
        <v>算法</v>
      </c>
      <c r="K514" s="2" t="s">
        <v>5006</v>
      </c>
    </row>
    <row r="515">
      <c r="A515" s="47">
        <v>309.0</v>
      </c>
      <c r="B515" s="86" t="str">
        <f>IFERROR(__xludf.DUMMYFUNCTION("IF(ISBLANK(A515),,FILTER('Leetcode List'!B:C,'Leetcode List'!A:A = A515))"),"Best Time to Buy and Sell Stock with Cooldown")</f>
        <v>Best Time to Buy and Sell Stock with Cooldown</v>
      </c>
      <c r="C515" s="85" t="str">
        <f>IFERROR(__xludf.DUMMYFUNCTION("""COMPUTED_VALUE"""),"Medium")</f>
        <v>Medium</v>
      </c>
      <c r="D515" s="47" t="s">
        <v>76</v>
      </c>
      <c r="E515" s="90" t="str">
        <f>IFERROR(__xludf.DUMMYFUNCTION("IF(ISBLANK(A515),,FILTER('Leetcode List'!E:J,'Leetcode List'!A:A = A515))"),"Yahoo,Adobe,Facebook,Goldman Sachs,Apple,Amazon,Google")</f>
        <v>Yahoo,Adobe,Facebook,Goldman Sachs,Apple,Amazon,Google</v>
      </c>
      <c r="F515" s="85" t="str">
        <f>IFERROR(__xludf.DUMMYFUNCTION("""COMPUTED_VALUE"""),"Amazon,Yahoo")</f>
        <v>Amazon,Yahoo</v>
      </c>
      <c r="G515" s="85" t="str">
        <f>IFERROR(__xludf.DUMMYFUNCTION("""COMPUTED_VALUE"""),"Facebook,Adobe,Goldman Sachs,Amazon,Yahoo")</f>
        <v>Facebook,Adobe,Goldman Sachs,Amazon,Yahoo</v>
      </c>
      <c r="H515" s="85" t="str">
        <f>IFERROR(__xludf.DUMMYFUNCTION("""COMPUTED_VALUE"""),"Google,Apple,Facebook,Adobe,Goldman Sachs,Amazon,Yahoo")</f>
        <v>Google,Apple,Facebook,Adobe,Goldman Sachs,Amazon,Yahoo</v>
      </c>
      <c r="I515" s="85">
        <f>IFERROR(__xludf.DUMMYFUNCTION("""COMPUTED_VALUE"""),48.24)</f>
        <v>48.24</v>
      </c>
      <c r="J515" s="85" t="str">
        <f>IFERROR(__xludf.DUMMYFUNCTION("""COMPUTED_VALUE"""),"算法")</f>
        <v>算法</v>
      </c>
      <c r="K515" s="2" t="s">
        <v>5006</v>
      </c>
    </row>
    <row r="516">
      <c r="A516" s="47">
        <v>714.0</v>
      </c>
      <c r="B516" s="86" t="str">
        <f>IFERROR(__xludf.DUMMYFUNCTION("IF(ISBLANK(A516),,FILTER('Leetcode List'!B:C,'Leetcode List'!A:A = A516))"),"Best Time to Buy and Sell Stock with Transaction Fee")</f>
        <v>Best Time to Buy and Sell Stock with Transaction Fee</v>
      </c>
      <c r="C516" s="85" t="str">
        <f>IFERROR(__xludf.DUMMYFUNCTION("""COMPUTED_VALUE"""),"Medium")</f>
        <v>Medium</v>
      </c>
      <c r="D516" s="47" t="s">
        <v>76</v>
      </c>
      <c r="E516" s="90" t="str">
        <f>IFERROR(__xludf.DUMMYFUNCTION("IF(ISBLANK(A516),,FILTER('Leetcode List'!E:J,'Leetcode List'!A:A = A516))"),"Bloomberg,Facebook,Amazon,Google")</f>
        <v>Bloomberg,Facebook,Amazon,Google</v>
      </c>
      <c r="F516" s="85" t="str">
        <f>IFERROR(__xludf.DUMMYFUNCTION("""COMPUTED_VALUE"""),"Amazon")</f>
        <v>Amazon</v>
      </c>
      <c r="G516" s="85" t="str">
        <f>IFERROR(__xludf.DUMMYFUNCTION("""COMPUTED_VALUE"""),"Bloomberg,Amazon")</f>
        <v>Bloomberg,Amazon</v>
      </c>
      <c r="H516" s="85" t="str">
        <f>IFERROR(__xludf.DUMMYFUNCTION("""COMPUTED_VALUE"""),"Google,Facebook,Bloomberg,Amazon")</f>
        <v>Google,Facebook,Bloomberg,Amazon</v>
      </c>
      <c r="I516" s="85">
        <f>IFERROR(__xludf.DUMMYFUNCTION("""COMPUTED_VALUE"""),57.97)</f>
        <v>57.97</v>
      </c>
      <c r="J516" s="85" t="str">
        <f>IFERROR(__xludf.DUMMYFUNCTION("""COMPUTED_VALUE"""),"算法")</f>
        <v>算法</v>
      </c>
      <c r="K516" s="2" t="s">
        <v>5006</v>
      </c>
    </row>
    <row r="517">
      <c r="A517" s="47">
        <v>514.0</v>
      </c>
      <c r="B517" s="86" t="str">
        <f>IFERROR(__xludf.DUMMYFUNCTION("IF(ISBLANK(A517),,FILTER('Leetcode List'!B:C,'Leetcode List'!A:A = A517))"),"Freedom Trail")</f>
        <v>Freedom Trail</v>
      </c>
      <c r="C517" s="85" t="str">
        <f>IFERROR(__xludf.DUMMYFUNCTION("""COMPUTED_VALUE"""),"Hard")</f>
        <v>Hard</v>
      </c>
      <c r="D517" s="47" t="s">
        <v>76</v>
      </c>
      <c r="E517" s="90" t="str">
        <f>IFERROR(__xludf.DUMMYFUNCTION("IF(ISBLANK(A517),,FILTER('Leetcode List'!E:J,'Leetcode List'!A:A = A517))"),"DE Shaw,Google")</f>
        <v>DE Shaw,Google</v>
      </c>
      <c r="F517" s="85"/>
      <c r="G517" s="85" t="str">
        <f>IFERROR(__xludf.DUMMYFUNCTION("""COMPUTED_VALUE"""),"DE Shaw")</f>
        <v>DE Shaw</v>
      </c>
      <c r="H517" s="85" t="str">
        <f>IFERROR(__xludf.DUMMYFUNCTION("""COMPUTED_VALUE"""),"Google,DE Shaw")</f>
        <v>Google,DE Shaw</v>
      </c>
      <c r="I517" s="85">
        <f>IFERROR(__xludf.DUMMYFUNCTION("""COMPUTED_VALUE"""),44.95)</f>
        <v>44.95</v>
      </c>
      <c r="J517" s="85" t="str">
        <f>IFERROR(__xludf.DUMMYFUNCTION("""COMPUTED_VALUE"""),"算法")</f>
        <v>算法</v>
      </c>
      <c r="K517" s="2" t="s">
        <v>5006</v>
      </c>
    </row>
    <row r="518">
      <c r="A518" s="47">
        <v>740.0</v>
      </c>
      <c r="B518" s="86" t="str">
        <f>IFERROR(__xludf.DUMMYFUNCTION("IF(ISBLANK(A518),,FILTER('Leetcode List'!B:C,'Leetcode List'!A:A = A518))"),"Delete and Earn")</f>
        <v>Delete and Earn</v>
      </c>
      <c r="C518" s="85" t="str">
        <f>IFERROR(__xludf.DUMMYFUNCTION("""COMPUTED_VALUE"""),"Medium")</f>
        <v>Medium</v>
      </c>
      <c r="D518" s="47" t="s">
        <v>76</v>
      </c>
      <c r="E518" s="90" t="str">
        <f>IFERROR(__xludf.DUMMYFUNCTION("IF(ISBLANK(A518),,FILTER('Leetcode List'!E:J,'Leetcode List'!A:A = A518))"),"Amazon,Goldman Sachs,Akuna Capital,Pocket Gems,Uber")</f>
        <v>Amazon,Goldman Sachs,Akuna Capital,Pocket Gems,Uber</v>
      </c>
      <c r="F518" s="85" t="str">
        <f>IFERROR(__xludf.DUMMYFUNCTION("""COMPUTED_VALUE"""),"Goldman Sachs")</f>
        <v>Goldman Sachs</v>
      </c>
      <c r="G518" s="85" t="str">
        <f>IFERROR(__xludf.DUMMYFUNCTION("""COMPUTED_VALUE"""),"Goldman Sachs")</f>
        <v>Goldman Sachs</v>
      </c>
      <c r="H518" s="85" t="str">
        <f>IFERROR(__xludf.DUMMYFUNCTION("""COMPUTED_VALUE"""),"Pocket Gems,Uber,Amazon,Akuna Capital,Goldman Sachs")</f>
        <v>Pocket Gems,Uber,Amazon,Akuna Capital,Goldman Sachs</v>
      </c>
      <c r="I518" s="85">
        <f>IFERROR(__xludf.DUMMYFUNCTION("""COMPUTED_VALUE"""),49.62)</f>
        <v>49.62</v>
      </c>
      <c r="J518" s="85" t="str">
        <f>IFERROR(__xludf.DUMMYFUNCTION("""COMPUTED_VALUE"""),"算法")</f>
        <v>算法</v>
      </c>
      <c r="K518" s="2" t="s">
        <v>5006</v>
      </c>
    </row>
    <row r="519">
      <c r="A519" s="47">
        <v>552.0</v>
      </c>
      <c r="B519" s="86" t="str">
        <f>IFERROR(__xludf.DUMMYFUNCTION("IF(ISBLANK(A519),,FILTER('Leetcode List'!B:C,'Leetcode List'!A:A = A519))"),"Student Attendance Record II")</f>
        <v>Student Attendance Record II</v>
      </c>
      <c r="C519" s="85" t="str">
        <f>IFERROR(__xludf.DUMMYFUNCTION("""COMPUTED_VALUE"""),"Hard")</f>
        <v>Hard</v>
      </c>
      <c r="D519" s="47" t="s">
        <v>76</v>
      </c>
      <c r="E519" s="90" t="str">
        <f>IFERROR(__xludf.DUMMYFUNCTION("IF(ISBLANK(A519),,FILTER('Leetcode List'!E:J,'Leetcode List'!A:A = A519))"),"Uber,Google")</f>
        <v>Uber,Google</v>
      </c>
      <c r="F519" s="85" t="str">
        <f>IFERROR(__xludf.DUMMYFUNCTION("""COMPUTED_VALUE"""),"Google")</f>
        <v>Google</v>
      </c>
      <c r="G519" s="85" t="str">
        <f>IFERROR(__xludf.DUMMYFUNCTION("""COMPUTED_VALUE"""),"Google")</f>
        <v>Google</v>
      </c>
      <c r="H519" s="85" t="str">
        <f>IFERROR(__xludf.DUMMYFUNCTION("""COMPUTED_VALUE"""),"Uber,Google")</f>
        <v>Uber,Google</v>
      </c>
      <c r="I519" s="85">
        <f>IFERROR(__xludf.DUMMYFUNCTION("""COMPUTED_VALUE"""),37.56)</f>
        <v>37.56</v>
      </c>
      <c r="J519" s="85" t="str">
        <f>IFERROR(__xludf.DUMMYFUNCTION("""COMPUTED_VALUE"""),"算法")</f>
        <v>算法</v>
      </c>
      <c r="K519" s="2" t="s">
        <v>5006</v>
      </c>
    </row>
    <row r="520">
      <c r="A520" s="47">
        <v>801.0</v>
      </c>
      <c r="B520" s="86" t="str">
        <f>IFERROR(__xludf.DUMMYFUNCTION("IF(ISBLANK(A520),,FILTER('Leetcode List'!B:C,'Leetcode List'!A:A = A520))"),"Minimum Swaps To Make Sequences Increasing")</f>
        <v>Minimum Swaps To Make Sequences Increasing</v>
      </c>
      <c r="C520" s="85" t="str">
        <f>IFERROR(__xludf.DUMMYFUNCTION("""COMPUTED_VALUE"""),"Medium")</f>
        <v>Medium</v>
      </c>
      <c r="D520" s="47" t="s">
        <v>76</v>
      </c>
      <c r="E520" s="90" t="str">
        <f>IFERROR(__xludf.DUMMYFUNCTION("IF(ISBLANK(A520),,FILTER('Leetcode List'!E:J,'Leetcode List'!A:A = A520))"),"Oracle,Facebook,Amazon,Google")</f>
        <v>Oracle,Facebook,Amazon,Google</v>
      </c>
      <c r="F520" s="85" t="str">
        <f>IFERROR(__xludf.DUMMYFUNCTION("""COMPUTED_VALUE"""),"Oracle")</f>
        <v>Oracle</v>
      </c>
      <c r="G520" s="85" t="str">
        <f>IFERROR(__xludf.DUMMYFUNCTION("""COMPUTED_VALUE"""),"Oracle")</f>
        <v>Oracle</v>
      </c>
      <c r="H520" s="85" t="str">
        <f>IFERROR(__xludf.DUMMYFUNCTION("""COMPUTED_VALUE"""),"Google,Amazon,Facebook,Oracle")</f>
        <v>Google,Amazon,Facebook,Oracle</v>
      </c>
      <c r="I520" s="85">
        <f>IFERROR(__xludf.DUMMYFUNCTION("""COMPUTED_VALUE"""),38.98)</f>
        <v>38.98</v>
      </c>
      <c r="J520" s="85" t="str">
        <f>IFERROR(__xludf.DUMMYFUNCTION("""COMPUTED_VALUE"""),"算法")</f>
        <v>算法</v>
      </c>
      <c r="K520" s="2" t="s">
        <v>5006</v>
      </c>
    </row>
    <row r="521">
      <c r="A521" s="47">
        <v>903.0</v>
      </c>
      <c r="B521" s="86" t="str">
        <f>IFERROR(__xludf.DUMMYFUNCTION("IF(ISBLANK(A521),,FILTER('Leetcode List'!B:C,'Leetcode List'!A:A = A521))"),"Valid Permutations for DI Sequence")</f>
        <v>Valid Permutations for DI Sequence</v>
      </c>
      <c r="C521" s="85" t="str">
        <f>IFERROR(__xludf.DUMMYFUNCTION("""COMPUTED_VALUE"""),"Hard")</f>
        <v>Hard</v>
      </c>
      <c r="D521" s="47" t="s">
        <v>76</v>
      </c>
      <c r="E521" s="90" t="str">
        <f>IFERROR(__xludf.DUMMYFUNCTION("IF(ISBLANK(A521),,FILTER('Leetcode List'!E:J,'Leetcode List'!A:A = A521))"),"")</f>
        <v/>
      </c>
      <c r="F521" s="85"/>
      <c r="G521" s="85"/>
      <c r="H521" s="85"/>
      <c r="I521" s="85">
        <f>IFERROR(__xludf.DUMMYFUNCTION("""COMPUTED_VALUE"""),54.18)</f>
        <v>54.18</v>
      </c>
      <c r="J521" s="85" t="str">
        <f>IFERROR(__xludf.DUMMYFUNCTION("""COMPUTED_VALUE"""),"算法")</f>
        <v>算法</v>
      </c>
      <c r="K521" s="2" t="s">
        <v>5006</v>
      </c>
    </row>
    <row r="522">
      <c r="A522" s="47">
        <v>1186.0</v>
      </c>
      <c r="B522" s="86" t="str">
        <f>IFERROR(__xludf.DUMMYFUNCTION("IF(ISBLANK(A522),,FILTER('Leetcode List'!B:C,'Leetcode List'!A:A = A522))"),"Maximum Subarray Sum with One Deletion")</f>
        <v>Maximum Subarray Sum with One Deletion</v>
      </c>
      <c r="C522" s="85" t="str">
        <f>IFERROR(__xludf.DUMMYFUNCTION("""COMPUTED_VALUE"""),"Medium")</f>
        <v>Medium</v>
      </c>
      <c r="D522" s="47" t="s">
        <v>76</v>
      </c>
      <c r="E522" s="90" t="str">
        <f>IFERROR(__xludf.DUMMYFUNCTION("IF(ISBLANK(A522),,FILTER('Leetcode List'!E:J,'Leetcode List'!A:A = A522))"),"Goldman Sachs,Two Sigma")</f>
        <v>Goldman Sachs,Two Sigma</v>
      </c>
      <c r="F522" s="85" t="str">
        <f>IFERROR(__xludf.DUMMYFUNCTION("""COMPUTED_VALUE"""),"Goldman Sachs")</f>
        <v>Goldman Sachs</v>
      </c>
      <c r="G522" s="85" t="str">
        <f>IFERROR(__xludf.DUMMYFUNCTION("""COMPUTED_VALUE"""),"Goldman Sachs")</f>
        <v>Goldman Sachs</v>
      </c>
      <c r="H522" s="85" t="str">
        <f>IFERROR(__xludf.DUMMYFUNCTION("""COMPUTED_VALUE"""),"Two Sigma,Goldman Sachs")</f>
        <v>Two Sigma,Goldman Sachs</v>
      </c>
      <c r="I522" s="85">
        <f>IFERROR(__xludf.DUMMYFUNCTION("""COMPUTED_VALUE"""),38.82)</f>
        <v>38.82</v>
      </c>
      <c r="J522" s="85" t="str">
        <f>IFERROR(__xludf.DUMMYFUNCTION("""COMPUTED_VALUE"""),"算法")</f>
        <v>算法</v>
      </c>
      <c r="K522" s="2" t="s">
        <v>5006</v>
      </c>
    </row>
    <row r="523">
      <c r="A523" s="47">
        <v>1187.0</v>
      </c>
      <c r="B523" s="86" t="str">
        <f>IFERROR(__xludf.DUMMYFUNCTION("IF(ISBLANK(A523),,FILTER('Leetcode List'!B:C,'Leetcode List'!A:A = A523))"),"Make Array Strictly Increasing")</f>
        <v>Make Array Strictly Increasing</v>
      </c>
      <c r="C523" s="85" t="str">
        <f>IFERROR(__xludf.DUMMYFUNCTION("""COMPUTED_VALUE"""),"Hard")</f>
        <v>Hard</v>
      </c>
      <c r="D523" s="47" t="s">
        <v>76</v>
      </c>
      <c r="E523" s="90" t="str">
        <f>IFERROR(__xludf.DUMMYFUNCTION("IF(ISBLANK(A523),,FILTER('Leetcode List'!E:J,'Leetcode List'!A:A = A523))"),"")</f>
        <v/>
      </c>
      <c r="F523" s="85"/>
      <c r="G523" s="85"/>
      <c r="H523" s="85"/>
      <c r="I523" s="85">
        <f>IFERROR(__xludf.DUMMYFUNCTION("""COMPUTED_VALUE"""),42.06)</f>
        <v>42.06</v>
      </c>
      <c r="J523" s="85" t="str">
        <f>IFERROR(__xludf.DUMMYFUNCTION("""COMPUTED_VALUE"""),"算法")</f>
        <v>算法</v>
      </c>
      <c r="K523" s="2" t="s">
        <v>5006</v>
      </c>
    </row>
    <row r="524">
      <c r="A524" s="47">
        <v>1223.0</v>
      </c>
      <c r="B524" s="86" t="str">
        <f>IFERROR(__xludf.DUMMYFUNCTION("IF(ISBLANK(A524),,FILTER('Leetcode List'!B:C,'Leetcode List'!A:A = A524))"),"Dice Roll Simulation")</f>
        <v>Dice Roll Simulation</v>
      </c>
      <c r="C524" s="85" t="str">
        <f>IFERROR(__xludf.DUMMYFUNCTION("""COMPUTED_VALUE"""),"Hard")</f>
        <v>Hard</v>
      </c>
      <c r="D524" s="47" t="s">
        <v>76</v>
      </c>
      <c r="E524" s="90" t="str">
        <f>IFERROR(__xludf.DUMMYFUNCTION("IF(ISBLANK(A524),,FILTER('Leetcode List'!E:J,'Leetcode List'!A:A = A524))"),"Codenation,Citrix,Adobe,Akuna Capital,Atlassian,Bloomberg,Google")</f>
        <v>Codenation,Citrix,Adobe,Akuna Capital,Atlassian,Bloomberg,Google</v>
      </c>
      <c r="F524" s="85" t="str">
        <f>IFERROR(__xludf.DUMMYFUNCTION("""COMPUTED_VALUE"""),"Codenation")</f>
        <v>Codenation</v>
      </c>
      <c r="G524" s="85" t="str">
        <f>IFERROR(__xludf.DUMMYFUNCTION("""COMPUTED_VALUE"""),"Google,Akuna Capital,Atlassian,Adobe,Citrix,Codenation")</f>
        <v>Google,Akuna Capital,Atlassian,Adobe,Citrix,Codenation</v>
      </c>
      <c r="H524" s="85" t="str">
        <f>IFERROR(__xludf.DUMMYFUNCTION("""COMPUTED_VALUE"""),"Bloomberg,Google,Akuna Capital,Atlassian,Adobe,Citrix,Codenation")</f>
        <v>Bloomberg,Google,Akuna Capital,Atlassian,Adobe,Citrix,Codenation</v>
      </c>
      <c r="I524" s="85">
        <f>IFERROR(__xludf.DUMMYFUNCTION("""COMPUTED_VALUE"""),46.67)</f>
        <v>46.67</v>
      </c>
      <c r="J524" s="85" t="str">
        <f>IFERROR(__xludf.DUMMYFUNCTION("""COMPUTED_VALUE"""),"算法")</f>
        <v>算法</v>
      </c>
      <c r="K524" s="2" t="s">
        <v>5006</v>
      </c>
    </row>
    <row r="525">
      <c r="A525" s="47">
        <v>1262.0</v>
      </c>
      <c r="B525" s="86" t="str">
        <f>IFERROR(__xludf.DUMMYFUNCTION("IF(ISBLANK(A525),,FILTER('Leetcode List'!B:C,'Leetcode List'!A:A = A525))"),"Greatest Sum Divisible by Three")</f>
        <v>Greatest Sum Divisible by Three</v>
      </c>
      <c r="C525" s="85" t="str">
        <f>IFERROR(__xludf.DUMMYFUNCTION("""COMPUTED_VALUE"""),"Medium")</f>
        <v>Medium</v>
      </c>
      <c r="D525" s="47" t="s">
        <v>76</v>
      </c>
      <c r="E525" s="90" t="str">
        <f>IFERROR(__xludf.DUMMYFUNCTION("IF(ISBLANK(A525),,FILTER('Leetcode List'!E:J,'Leetcode List'!A:A = A525))"),"Facebook,DE Shaw,ByteDance")</f>
        <v>Facebook,DE Shaw,ByteDance</v>
      </c>
      <c r="F525" s="85" t="str">
        <f>IFERROR(__xludf.DUMMYFUNCTION("""COMPUTED_VALUE"""),"Facebook")</f>
        <v>Facebook</v>
      </c>
      <c r="G525" s="85" t="str">
        <f>IFERROR(__xludf.DUMMYFUNCTION("""COMPUTED_VALUE"""),"Facebook")</f>
        <v>Facebook</v>
      </c>
      <c r="H525" s="85" t="str">
        <f>IFERROR(__xludf.DUMMYFUNCTION("""COMPUTED_VALUE"""),"ByteDance,DE Shaw,Facebook")</f>
        <v>ByteDance,DE Shaw,Facebook</v>
      </c>
      <c r="I525" s="85">
        <f>IFERROR(__xludf.DUMMYFUNCTION("""COMPUTED_VALUE"""),49.75)</f>
        <v>49.75</v>
      </c>
      <c r="J525" s="85" t="str">
        <f>IFERROR(__xludf.DUMMYFUNCTION("""COMPUTED_VALUE"""),"算法")</f>
        <v>算法</v>
      </c>
      <c r="K525" s="2" t="s">
        <v>5006</v>
      </c>
    </row>
    <row r="526">
      <c r="A526" s="47">
        <v>1363.0</v>
      </c>
      <c r="B526" s="86" t="str">
        <f>IFERROR(__xludf.DUMMYFUNCTION("IF(ISBLANK(A526),,FILTER('Leetcode List'!B:C,'Leetcode List'!A:A = A526))"),"Largest Multiple of Three")</f>
        <v>Largest Multiple of Three</v>
      </c>
      <c r="C526" s="85" t="str">
        <f>IFERROR(__xludf.DUMMYFUNCTION("""COMPUTED_VALUE"""),"Hard")</f>
        <v>Hard</v>
      </c>
      <c r="D526" s="47" t="s">
        <v>76</v>
      </c>
      <c r="E526" s="90" t="str">
        <f>IFERROR(__xludf.DUMMYFUNCTION("IF(ISBLANK(A526),,FILTER('Leetcode List'!E:J,'Leetcode List'!A:A = A526))"),"Amazon")</f>
        <v>Amazon</v>
      </c>
      <c r="F526" s="85"/>
      <c r="G526" s="85"/>
      <c r="H526" s="85" t="str">
        <f>IFERROR(__xludf.DUMMYFUNCTION("""COMPUTED_VALUE"""),"Amazon")</f>
        <v>Amazon</v>
      </c>
      <c r="I526" s="85">
        <f>IFERROR(__xludf.DUMMYFUNCTION("""COMPUTED_VALUE"""),34.09)</f>
        <v>34.09</v>
      </c>
      <c r="J526" s="85" t="str">
        <f>IFERROR(__xludf.DUMMYFUNCTION("""COMPUTED_VALUE"""),"算法")</f>
        <v>算法</v>
      </c>
      <c r="K526" s="2" t="s">
        <v>5006</v>
      </c>
    </row>
    <row r="527">
      <c r="A527" s="47">
        <v>1419.0</v>
      </c>
      <c r="B527" s="86" t="str">
        <f>IFERROR(__xludf.DUMMYFUNCTION("IF(ISBLANK(A527),,FILTER('Leetcode List'!B:C,'Leetcode List'!A:A = A527))"),"Minimum Number of Frogs Croaking")</f>
        <v>Minimum Number of Frogs Croaking</v>
      </c>
      <c r="C527" s="85" t="str">
        <f>IFERROR(__xludf.DUMMYFUNCTION("""COMPUTED_VALUE"""),"Medium")</f>
        <v>Medium</v>
      </c>
      <c r="D527" s="47" t="s">
        <v>76</v>
      </c>
      <c r="E527" s="91" t="str">
        <f>IFERROR(__xludf.DUMMYFUNCTION("IF(ISBLANK(A527),,FILTER('Leetcode List'!E:J,'Leetcode List'!A:A = A527))"),"C3.ai")</f>
        <v>C3.ai</v>
      </c>
      <c r="F527" s="85"/>
      <c r="G527" s="85"/>
      <c r="H527" s="92" t="str">
        <f>IFERROR(__xludf.DUMMYFUNCTION("""COMPUTED_VALUE"""),"C3.ai")</f>
        <v>C3.ai</v>
      </c>
      <c r="I527" s="85">
        <f>IFERROR(__xludf.DUMMYFUNCTION("""COMPUTED_VALUE"""),47.57)</f>
        <v>47.57</v>
      </c>
      <c r="J527" s="85" t="str">
        <f>IFERROR(__xludf.DUMMYFUNCTION("""COMPUTED_VALUE"""),"算法")</f>
        <v>算法</v>
      </c>
      <c r="K527" s="2" t="s">
        <v>5006</v>
      </c>
    </row>
    <row r="528">
      <c r="A528" s="47">
        <v>1548.0</v>
      </c>
      <c r="B528" s="86" t="str">
        <f>IFERROR(__xludf.DUMMYFUNCTION("IF(ISBLANK(A528),,FILTER('Leetcode List'!B:C,'Leetcode List'!A:A = A528))"),"The Most Similar Path in a Graph")</f>
        <v>The Most Similar Path in a Graph</v>
      </c>
      <c r="C528" s="85" t="str">
        <f>IFERROR(__xludf.DUMMYFUNCTION("""COMPUTED_VALUE"""),"Hard")</f>
        <v>Hard</v>
      </c>
      <c r="D528" s="47" t="s">
        <v>76</v>
      </c>
      <c r="E528" s="90" t="str">
        <f>IFERROR(__xludf.DUMMYFUNCTION("IF(ISBLANK(A528),,FILTER('Leetcode List'!E:J,'Leetcode List'!A:A = A528))"),"Google")</f>
        <v>Google</v>
      </c>
      <c r="F528" s="85" t="str">
        <f>IFERROR(__xludf.DUMMYFUNCTION("""COMPUTED_VALUE"""),"Google")</f>
        <v>Google</v>
      </c>
      <c r="G528" s="85" t="str">
        <f>IFERROR(__xludf.DUMMYFUNCTION("""COMPUTED_VALUE"""),"Google")</f>
        <v>Google</v>
      </c>
      <c r="H528" s="85" t="str">
        <f>IFERROR(__xludf.DUMMYFUNCTION("""COMPUTED_VALUE"""),"Google")</f>
        <v>Google</v>
      </c>
      <c r="I528" s="85">
        <f>IFERROR(__xludf.DUMMYFUNCTION("""COMPUTED_VALUE"""),54.36)</f>
        <v>54.36</v>
      </c>
      <c r="J528" s="85" t="str">
        <f>IFERROR(__xludf.DUMMYFUNCTION("""COMPUTED_VALUE"""),"算法")</f>
        <v>算法</v>
      </c>
      <c r="K528" s="2" t="s">
        <v>5006</v>
      </c>
    </row>
    <row r="529">
      <c r="A529" s="47">
        <v>1746.0</v>
      </c>
      <c r="B529" s="86" t="str">
        <f>IFERROR(__xludf.DUMMYFUNCTION("IF(ISBLANK(A529),,FILTER('Leetcode List'!B:C,'Leetcode List'!A:A = A529))"),"Maximum Subarray Sum After One Operation")</f>
        <v>Maximum Subarray Sum After One Operation</v>
      </c>
      <c r="C529" s="85" t="str">
        <f>IFERROR(__xludf.DUMMYFUNCTION("""COMPUTED_VALUE"""),"Medium")</f>
        <v>Medium</v>
      </c>
      <c r="D529" s="47" t="s">
        <v>76</v>
      </c>
      <c r="E529" s="90" t="str">
        <f>IFERROR(__xludf.DUMMYFUNCTION("IF(ISBLANK(A529),,FILTER('Leetcode List'!E:J,'Leetcode List'!A:A = A529))"),"Sprinklr")</f>
        <v>Sprinklr</v>
      </c>
      <c r="F529" s="85"/>
      <c r="G529" s="85"/>
      <c r="H529" s="85" t="str">
        <f>IFERROR(__xludf.DUMMYFUNCTION("""COMPUTED_VALUE"""),"Sprinklr")</f>
        <v>Sprinklr</v>
      </c>
      <c r="I529" s="85">
        <f>IFERROR(__xludf.DUMMYFUNCTION("""COMPUTED_VALUE"""),61.68)</f>
        <v>61.68</v>
      </c>
      <c r="J529" s="85" t="str">
        <f>IFERROR(__xludf.DUMMYFUNCTION("""COMPUTED_VALUE"""),"算法")</f>
        <v>算法</v>
      </c>
      <c r="K529" s="2" t="s">
        <v>5006</v>
      </c>
    </row>
    <row r="530">
      <c r="A530" s="47">
        <v>368.0</v>
      </c>
      <c r="B530" s="86" t="str">
        <f>IFERROR(__xludf.DUMMYFUNCTION("IF(ISBLANK(A530),,FILTER('Leetcode List'!B:C,'Leetcode List'!A:A = A530))"),"Largest Divisible Subset")</f>
        <v>Largest Divisible Subset</v>
      </c>
      <c r="C530" s="85" t="str">
        <f>IFERROR(__xludf.DUMMYFUNCTION("""COMPUTED_VALUE"""),"Medium")</f>
        <v>Medium</v>
      </c>
      <c r="D530" s="47" t="s">
        <v>76</v>
      </c>
      <c r="E530" s="90" t="str">
        <f>IFERROR(__xludf.DUMMYFUNCTION("IF(ISBLANK(A530),,FILTER('Leetcode List'!E:J,'Leetcode List'!A:A = A530))"),"Adobe,Amazon,Google")</f>
        <v>Adobe,Amazon,Google</v>
      </c>
      <c r="F530" s="85" t="str">
        <f>IFERROR(__xludf.DUMMYFUNCTION("""COMPUTED_VALUE"""),"Amazon")</f>
        <v>Amazon</v>
      </c>
      <c r="G530" s="85" t="str">
        <f>IFERROR(__xludf.DUMMYFUNCTION("""COMPUTED_VALUE"""),"Adobe,Amazon")</f>
        <v>Adobe,Amazon</v>
      </c>
      <c r="H530" s="85" t="str">
        <f>IFERROR(__xludf.DUMMYFUNCTION("""COMPUTED_VALUE"""),"Google,Adobe,Amazon")</f>
        <v>Google,Adobe,Amazon</v>
      </c>
      <c r="I530" s="85">
        <f>IFERROR(__xludf.DUMMYFUNCTION("""COMPUTED_VALUE"""),38.36)</f>
        <v>38.36</v>
      </c>
      <c r="J530" s="85" t="str">
        <f>IFERROR(__xludf.DUMMYFUNCTION("""COMPUTED_VALUE"""),"算法")</f>
        <v>算法</v>
      </c>
      <c r="K530" s="2" t="s">
        <v>5007</v>
      </c>
    </row>
    <row r="531">
      <c r="A531" s="47">
        <v>300.0</v>
      </c>
      <c r="B531" s="86" t="str">
        <f>IFERROR(__xludf.DUMMYFUNCTION("IF(ISBLANK(A531),,FILTER('Leetcode List'!B:C,'Leetcode List'!A:A = A531))"),"Longest Increasing Subsequence")</f>
        <v>Longest Increasing Subsequence</v>
      </c>
      <c r="C531" s="85" t="str">
        <f>IFERROR(__xludf.DUMMYFUNCTION("""COMPUTED_VALUE"""),"Medium")</f>
        <v>Medium</v>
      </c>
      <c r="D531" s="47" t="s">
        <v>76</v>
      </c>
      <c r="E531" s="90" t="str">
        <f>IFERROR(__xludf.DUMMYFUNCTION("IF(ISBLANK(A531),,FILTER('Leetcode List'!E:J,'Leetcode List'!A:A = A531))"),"Codenation,Coupang,ByteDance,Citrix,Nagarro,IBM,Yahoo,Bloomberg,Atlassian,Salesforce,VMware,Oracle,EBay,Apple,Uber,Adobe,Facebook,Amazon,Microsoft,Google")</f>
        <v>Codenation,Coupang,ByteDance,Citrix,Nagarro,IBM,Yahoo,Bloomberg,Atlassian,Salesforce,VMware,Oracle,EBay,Apple,Uber,Adobe,Facebook,Amazon,Microsoft,Google</v>
      </c>
      <c r="F531" s="85" t="str">
        <f>IFERROR(__xludf.DUMMYFUNCTION("""COMPUTED_VALUE"""),"Apple,Amazon,Facebook,Google,Citrix,ByteDance,Microsoft,Bloomberg,Nagarro")</f>
        <v>Apple,Amazon,Facebook,Google,Citrix,ByteDance,Microsoft,Bloomberg,Nagarro</v>
      </c>
      <c r="G531" s="85" t="str">
        <f>IFERROR(__xludf.DUMMYFUNCTION("""COMPUTED_VALUE"""),"Adobe,Atlassian,Uber,eBay,Codenation,Apple,Amazon,Facebook,Google,Citrix,ByteDance,Microsoft,Bloomberg,Nagarro")</f>
        <v>Adobe,Atlassian,Uber,eBay,Codenation,Apple,Amazon,Facebook,Google,Citrix,ByteDance,Microsoft,Bloomberg,Nagarro</v>
      </c>
      <c r="H531" s="85" t="str">
        <f>IFERROR(__xludf.DUMMYFUNCTION("""COMPUTED_VALUE"""),"Oracle,Yahoo,IBM,Coupang,Adobe,Atlassian,Uber,eBay,Codenation,Apple,Amazon,Facebook,Google,Citrix,ByteDance,Microsoft,Bloomberg,Nagarro")</f>
        <v>Oracle,Yahoo,IBM,Coupang,Adobe,Atlassian,Uber,eBay,Codenation,Apple,Amazon,Facebook,Google,Citrix,ByteDance,Microsoft,Bloomberg,Nagarro</v>
      </c>
      <c r="I531" s="85">
        <f>IFERROR(__xludf.DUMMYFUNCTION("""COMPUTED_VALUE"""),44.25)</f>
        <v>44.25</v>
      </c>
      <c r="J531" s="85" t="str">
        <f>IFERROR(__xludf.DUMMYFUNCTION("""COMPUTED_VALUE"""),"算法")</f>
        <v>算法</v>
      </c>
      <c r="K531" s="2" t="s">
        <v>5007</v>
      </c>
    </row>
    <row r="532">
      <c r="A532" s="47">
        <v>673.0</v>
      </c>
      <c r="B532" s="86" t="str">
        <f>IFERROR(__xludf.DUMMYFUNCTION("IF(ISBLANK(A532),,FILTER('Leetcode List'!B:C,'Leetcode List'!A:A = A532))"),"Number of Longest Increasing Subsequence")</f>
        <v>Number of Longest Increasing Subsequence</v>
      </c>
      <c r="C532" s="85" t="str">
        <f>IFERROR(__xludf.DUMMYFUNCTION("""COMPUTED_VALUE"""),"Medium")</f>
        <v>Medium</v>
      </c>
      <c r="D532" s="47" t="s">
        <v>76</v>
      </c>
      <c r="E532" s="90" t="str">
        <f>IFERROR(__xludf.DUMMYFUNCTION("IF(ISBLANK(A532),,FILTER('Leetcode List'!E:J,'Leetcode List'!A:A = A532))"),"Bloomberg,Facebook,Amazon")</f>
        <v>Bloomberg,Facebook,Amazon</v>
      </c>
      <c r="F532" s="85"/>
      <c r="G532" s="85"/>
      <c r="H532" s="85" t="str">
        <f>IFERROR(__xludf.DUMMYFUNCTION("""COMPUTED_VALUE"""),"Bloomberg,Amazon,Facebook")</f>
        <v>Bloomberg,Amazon,Facebook</v>
      </c>
      <c r="I532" s="85">
        <f>IFERROR(__xludf.DUMMYFUNCTION("""COMPUTED_VALUE"""),38.56)</f>
        <v>38.56</v>
      </c>
      <c r="J532" s="85" t="str">
        <f>IFERROR(__xludf.DUMMYFUNCTION("""COMPUTED_VALUE"""),"算法")</f>
        <v>算法</v>
      </c>
      <c r="K532" s="2" t="s">
        <v>5007</v>
      </c>
    </row>
    <row r="533">
      <c r="A533" s="47">
        <v>960.0</v>
      </c>
      <c r="B533" s="86" t="str">
        <f>IFERROR(__xludf.DUMMYFUNCTION("IF(ISBLANK(A533),,FILTER('Leetcode List'!B:C,'Leetcode List'!A:A = A533))"),"Delete Columns to Make Sorted III")</f>
        <v>Delete Columns to Make Sorted III</v>
      </c>
      <c r="C533" s="85" t="str">
        <f>IFERROR(__xludf.DUMMYFUNCTION("""COMPUTED_VALUE"""),"Hard")</f>
        <v>Hard</v>
      </c>
      <c r="D533" s="47" t="s">
        <v>76</v>
      </c>
      <c r="E533" s="90" t="str">
        <f>IFERROR(__xludf.DUMMYFUNCTION("IF(ISBLANK(A533),,FILTER('Leetcode List'!E:J,'Leetcode List'!A:A = A533))"),"Google")</f>
        <v>Google</v>
      </c>
      <c r="F533" s="85"/>
      <c r="G533" s="85"/>
      <c r="H533" s="85" t="str">
        <f>IFERROR(__xludf.DUMMYFUNCTION("""COMPUTED_VALUE"""),"Google")</f>
        <v>Google</v>
      </c>
      <c r="I533" s="85">
        <f>IFERROR(__xludf.DUMMYFUNCTION("""COMPUTED_VALUE"""),55.0)</f>
        <v>55</v>
      </c>
      <c r="J533" s="85" t="str">
        <f>IFERROR(__xludf.DUMMYFUNCTION("""COMPUTED_VALUE"""),"算法")</f>
        <v>算法</v>
      </c>
      <c r="K533" s="2" t="s">
        <v>5007</v>
      </c>
    </row>
    <row r="534">
      <c r="A534" s="47">
        <v>983.0</v>
      </c>
      <c r="B534" s="86" t="str">
        <f>IFERROR(__xludf.DUMMYFUNCTION("IF(ISBLANK(A534),,FILTER('Leetcode List'!B:C,'Leetcode List'!A:A = A534))"),"Minimum Cost For Tickets")</f>
        <v>Minimum Cost For Tickets</v>
      </c>
      <c r="C534" s="85" t="str">
        <f>IFERROR(__xludf.DUMMYFUNCTION("""COMPUTED_VALUE"""),"Medium")</f>
        <v>Medium</v>
      </c>
      <c r="D534" s="47" t="s">
        <v>76</v>
      </c>
      <c r="E534" s="90" t="str">
        <f>IFERROR(__xludf.DUMMYFUNCTION("IF(ISBLANK(A534),,FILTER('Leetcode List'!E:J,'Leetcode List'!A:A = A534))"),"Apple,Grab,Uber,Facebook,Amazon,Google")</f>
        <v>Apple,Grab,Uber,Facebook,Amazon,Google</v>
      </c>
      <c r="F534" s="85" t="str">
        <f>IFERROR(__xludf.DUMMYFUNCTION("""COMPUTED_VALUE"""),"Facebook,Apple")</f>
        <v>Facebook,Apple</v>
      </c>
      <c r="G534" s="85" t="str">
        <f>IFERROR(__xludf.DUMMYFUNCTION("""COMPUTED_VALUE"""),"Amazon,Google,Facebook,Apple")</f>
        <v>Amazon,Google,Facebook,Apple</v>
      </c>
      <c r="H534" s="85" t="str">
        <f>IFERROR(__xludf.DUMMYFUNCTION("""COMPUTED_VALUE"""),"Grab,Uber,Amazon,Google,Facebook,Apple")</f>
        <v>Grab,Uber,Amazon,Google,Facebook,Apple</v>
      </c>
      <c r="I534" s="85">
        <f>IFERROR(__xludf.DUMMYFUNCTION("""COMPUTED_VALUE"""),62.78)</f>
        <v>62.78</v>
      </c>
      <c r="J534" s="85" t="str">
        <f>IFERROR(__xludf.DUMMYFUNCTION("""COMPUTED_VALUE"""),"算法")</f>
        <v>算法</v>
      </c>
      <c r="K534" s="2" t="s">
        <v>5007</v>
      </c>
    </row>
    <row r="535">
      <c r="A535" s="47">
        <v>1043.0</v>
      </c>
      <c r="B535" s="86" t="str">
        <f>IFERROR(__xludf.DUMMYFUNCTION("IF(ISBLANK(A535),,FILTER('Leetcode List'!B:C,'Leetcode List'!A:A = A535))"),"Partition Array for Maximum Sum")</f>
        <v>Partition Array for Maximum Sum</v>
      </c>
      <c r="C535" s="85" t="str">
        <f>IFERROR(__xludf.DUMMYFUNCTION("""COMPUTED_VALUE"""),"Medium")</f>
        <v>Medium</v>
      </c>
      <c r="D535" s="47" t="s">
        <v>76</v>
      </c>
      <c r="E535" s="90" t="str">
        <f>IFERROR(__xludf.DUMMYFUNCTION("IF(ISBLANK(A535),,FILTER('Leetcode List'!E:J,'Leetcode List'!A:A = A535))"),"Amazon,Facebook")</f>
        <v>Amazon,Facebook</v>
      </c>
      <c r="F535" s="85" t="str">
        <f>IFERROR(__xludf.DUMMYFUNCTION("""COMPUTED_VALUE"""),"Amazon")</f>
        <v>Amazon</v>
      </c>
      <c r="G535" s="85" t="str">
        <f>IFERROR(__xludf.DUMMYFUNCTION("""COMPUTED_VALUE"""),"Amazon")</f>
        <v>Amazon</v>
      </c>
      <c r="H535" s="85" t="str">
        <f>IFERROR(__xludf.DUMMYFUNCTION("""COMPUTED_VALUE"""),"Facebook,Amazon")</f>
        <v>Facebook,Amazon</v>
      </c>
      <c r="I535" s="85">
        <f>IFERROR(__xludf.DUMMYFUNCTION("""COMPUTED_VALUE"""),67.22)</f>
        <v>67.22</v>
      </c>
      <c r="J535" s="85" t="str">
        <f>IFERROR(__xludf.DUMMYFUNCTION("""COMPUTED_VALUE"""),"算法")</f>
        <v>算法</v>
      </c>
      <c r="K535" s="2" t="s">
        <v>5007</v>
      </c>
    </row>
    <row r="536">
      <c r="A536" s="47">
        <v>1105.0</v>
      </c>
      <c r="B536" s="86" t="str">
        <f>IFERROR(__xludf.DUMMYFUNCTION("IF(ISBLANK(A536),,FILTER('Leetcode List'!B:C,'Leetcode List'!A:A = A536))"),"Filling Bookcase Shelves")</f>
        <v>Filling Bookcase Shelves</v>
      </c>
      <c r="C536" s="85" t="str">
        <f>IFERROR(__xludf.DUMMYFUNCTION("""COMPUTED_VALUE"""),"Medium")</f>
        <v>Medium</v>
      </c>
      <c r="D536" s="47" t="s">
        <v>76</v>
      </c>
      <c r="E536" s="90" t="str">
        <f>IFERROR(__xludf.DUMMYFUNCTION("IF(ISBLANK(A536),,FILTER('Leetcode List'!E:J,'Leetcode List'!A:A = A536))"),"Amazon,Bloomberg,Google")</f>
        <v>Amazon,Bloomberg,Google</v>
      </c>
      <c r="F536" s="85" t="str">
        <f>IFERROR(__xludf.DUMMYFUNCTION("""COMPUTED_VALUE"""),"Amazon")</f>
        <v>Amazon</v>
      </c>
      <c r="G536" s="85" t="str">
        <f>IFERROR(__xludf.DUMMYFUNCTION("""COMPUTED_VALUE"""),"Amazon")</f>
        <v>Amazon</v>
      </c>
      <c r="H536" s="85" t="str">
        <f>IFERROR(__xludf.DUMMYFUNCTION("""COMPUTED_VALUE"""),"Bloomberg,Google,Amazon")</f>
        <v>Bloomberg,Google,Amazon</v>
      </c>
      <c r="I536" s="85">
        <f>IFERROR(__xludf.DUMMYFUNCTION("""COMPUTED_VALUE"""),57.53)</f>
        <v>57.53</v>
      </c>
      <c r="J536" s="85" t="str">
        <f>IFERROR(__xludf.DUMMYFUNCTION("""COMPUTED_VALUE"""),"算法")</f>
        <v>算法</v>
      </c>
      <c r="K536" s="2" t="s">
        <v>5007</v>
      </c>
    </row>
    <row r="537">
      <c r="A537" s="47">
        <v>1416.0</v>
      </c>
      <c r="B537" s="86" t="str">
        <f>IFERROR(__xludf.DUMMYFUNCTION("IF(ISBLANK(A537),,FILTER('Leetcode List'!B:C,'Leetcode List'!A:A = A537))"),"Restore The Array")</f>
        <v>Restore The Array</v>
      </c>
      <c r="C537" s="85" t="str">
        <f>IFERROR(__xludf.DUMMYFUNCTION("""COMPUTED_VALUE"""),"Hard")</f>
        <v>Hard</v>
      </c>
      <c r="D537" s="47" t="s">
        <v>76</v>
      </c>
      <c r="E537" s="90" t="str">
        <f>IFERROR(__xludf.DUMMYFUNCTION("IF(ISBLANK(A537),,FILTER('Leetcode List'!E:J,'Leetcode List'!A:A = A537))"),"ByteDance,Amazon,Postman")</f>
        <v>ByteDance,Amazon,Postman</v>
      </c>
      <c r="F537" s="85" t="str">
        <f>IFERROR(__xludf.DUMMYFUNCTION("""COMPUTED_VALUE"""),"Amazon,ByteDance")</f>
        <v>Amazon,ByteDance</v>
      </c>
      <c r="G537" s="85" t="str">
        <f>IFERROR(__xludf.DUMMYFUNCTION("""COMPUTED_VALUE"""),"Amazon,ByteDance")</f>
        <v>Amazon,ByteDance</v>
      </c>
      <c r="H537" s="85" t="str">
        <f>IFERROR(__xludf.DUMMYFUNCTION("""COMPUTED_VALUE"""),"Postman,Amazon,ByteDance")</f>
        <v>Postman,Amazon,ByteDance</v>
      </c>
      <c r="I537" s="85">
        <f>IFERROR(__xludf.DUMMYFUNCTION("""COMPUTED_VALUE"""),36.66)</f>
        <v>36.66</v>
      </c>
      <c r="J537" s="85" t="str">
        <f>IFERROR(__xludf.DUMMYFUNCTION("""COMPUTED_VALUE"""),"算法")</f>
        <v>算法</v>
      </c>
      <c r="K537" s="2" t="s">
        <v>5007</v>
      </c>
    </row>
    <row r="538">
      <c r="A538" s="47">
        <v>1546.0</v>
      </c>
      <c r="B538" s="86" t="str">
        <f>IFERROR(__xludf.DUMMYFUNCTION("IF(ISBLANK(A538),,FILTER('Leetcode List'!B:C,'Leetcode List'!A:A = A538))"),"Maximum Number of Non-Overlapping Subarrays With Sum Equals Target")</f>
        <v>Maximum Number of Non-Overlapping Subarrays With Sum Equals Target</v>
      </c>
      <c r="C538" s="85" t="str">
        <f>IFERROR(__xludf.DUMMYFUNCTION("""COMPUTED_VALUE"""),"Medium")</f>
        <v>Medium</v>
      </c>
      <c r="D538" s="47" t="s">
        <v>76</v>
      </c>
      <c r="E538" s="90" t="str">
        <f>IFERROR(__xludf.DUMMYFUNCTION("IF(ISBLANK(A538),,FILTER('Leetcode List'!E:J,'Leetcode List'!A:A = A538))"),"Google")</f>
        <v>Google</v>
      </c>
      <c r="F538" s="85"/>
      <c r="G538" s="85"/>
      <c r="H538" s="85" t="str">
        <f>IFERROR(__xludf.DUMMYFUNCTION("""COMPUTED_VALUE"""),"Google")</f>
        <v>Google</v>
      </c>
      <c r="I538" s="85">
        <f>IFERROR(__xludf.DUMMYFUNCTION("""COMPUTED_VALUE"""),43.84)</f>
        <v>43.84</v>
      </c>
      <c r="J538" s="85" t="str">
        <f>IFERROR(__xludf.DUMMYFUNCTION("""COMPUTED_VALUE"""),"算法")</f>
        <v>算法</v>
      </c>
      <c r="K538" s="2" t="s">
        <v>5007</v>
      </c>
    </row>
    <row r="539">
      <c r="A539" s="47">
        <v>1626.0</v>
      </c>
      <c r="B539" s="86" t="str">
        <f>IFERROR(__xludf.DUMMYFUNCTION("IF(ISBLANK(A539),,FILTER('Leetcode List'!B:C,'Leetcode List'!A:A = A539))"),"Best Team With No Conflicts")</f>
        <v>Best Team With No Conflicts</v>
      </c>
      <c r="C539" s="85" t="str">
        <f>IFERROR(__xludf.DUMMYFUNCTION("""COMPUTED_VALUE"""),"Medium")</f>
        <v>Medium</v>
      </c>
      <c r="D539" s="47" t="s">
        <v>76</v>
      </c>
      <c r="E539" s="90" t="str">
        <f>IFERROR(__xludf.DUMMYFUNCTION("IF(ISBLANK(A539),,FILTER('Leetcode List'!E:J,'Leetcode List'!A:A = A539))"),"Uber,Morgan Stanley")</f>
        <v>Uber,Morgan Stanley</v>
      </c>
      <c r="F539" s="85" t="str">
        <f>IFERROR(__xludf.DUMMYFUNCTION("""COMPUTED_VALUE"""),"Uber")</f>
        <v>Uber</v>
      </c>
      <c r="G539" s="85" t="str">
        <f>IFERROR(__xludf.DUMMYFUNCTION("""COMPUTED_VALUE"""),"Uber")</f>
        <v>Uber</v>
      </c>
      <c r="H539" s="85" t="str">
        <f>IFERROR(__xludf.DUMMYFUNCTION("""COMPUTED_VALUE"""),"Morgan Stanley,Uber")</f>
        <v>Morgan Stanley,Uber</v>
      </c>
      <c r="I539" s="85">
        <f>IFERROR(__xludf.DUMMYFUNCTION("""COMPUTED_VALUE"""),38.24)</f>
        <v>38.24</v>
      </c>
      <c r="J539" s="85" t="str">
        <f>IFERROR(__xludf.DUMMYFUNCTION("""COMPUTED_VALUE"""),"算法")</f>
        <v>算法</v>
      </c>
      <c r="K539" s="2" t="s">
        <v>5007</v>
      </c>
    </row>
    <row r="540">
      <c r="A540" s="47">
        <v>1691.0</v>
      </c>
      <c r="B540" s="86" t="str">
        <f>IFERROR(__xludf.DUMMYFUNCTION("IF(ISBLANK(A540),,FILTER('Leetcode List'!B:C,'Leetcode List'!A:A = A540))"),"Maximum Height by Stacking Cuboids")</f>
        <v>Maximum Height by Stacking Cuboids</v>
      </c>
      <c r="C540" s="85" t="str">
        <f>IFERROR(__xludf.DUMMYFUNCTION("""COMPUTED_VALUE"""),"Hard")</f>
        <v>Hard</v>
      </c>
      <c r="D540" s="47" t="s">
        <v>76</v>
      </c>
      <c r="E540" s="90" t="str">
        <f>IFERROR(__xludf.DUMMYFUNCTION("IF(ISBLANK(A540),,FILTER('Leetcode List'!E:J,'Leetcode List'!A:A = A540))"),"Samsung")</f>
        <v>Samsung</v>
      </c>
      <c r="F540" s="85"/>
      <c r="G540" s="85"/>
      <c r="H540" s="85" t="str">
        <f>IFERROR(__xludf.DUMMYFUNCTION("""COMPUTED_VALUE"""),"Samsung")</f>
        <v>Samsung</v>
      </c>
      <c r="I540" s="85">
        <f>IFERROR(__xludf.DUMMYFUNCTION("""COMPUTED_VALUE"""),50.13)</f>
        <v>50.13</v>
      </c>
      <c r="J540" s="85" t="str">
        <f>IFERROR(__xludf.DUMMYFUNCTION("""COMPUTED_VALUE"""),"算法")</f>
        <v>算法</v>
      </c>
      <c r="K540" s="2" t="s">
        <v>5007</v>
      </c>
    </row>
    <row r="541">
      <c r="A541" s="47">
        <v>174.0</v>
      </c>
      <c r="B541" s="86" t="str">
        <f>IFERROR(__xludf.DUMMYFUNCTION("IF(ISBLANK(A541),,FILTER('Leetcode List'!B:C,'Leetcode List'!A:A = A541))"),"Dungeon Game")</f>
        <v>Dungeon Game</v>
      </c>
      <c r="C541" s="85" t="str">
        <f>IFERROR(__xludf.DUMMYFUNCTION("""COMPUTED_VALUE"""),"Hard")</f>
        <v>Hard</v>
      </c>
      <c r="D541" s="47" t="s">
        <v>76</v>
      </c>
      <c r="E541" s="90" t="str">
        <f>IFERROR(__xludf.DUMMYFUNCTION("IF(ISBLANK(A541),,FILTER('Leetcode List'!E:J,'Leetcode List'!A:A = A541))"),"DE Shaw,JPMorgan,Bloomberg,Amazon,Microsoft,Google")</f>
        <v>DE Shaw,JPMorgan,Bloomberg,Amazon,Microsoft,Google</v>
      </c>
      <c r="F541" s="85" t="str">
        <f>IFERROR(__xludf.DUMMYFUNCTION("""COMPUTED_VALUE"""),"JPMorgan")</f>
        <v>JPMorgan</v>
      </c>
      <c r="G541" s="85" t="str">
        <f>IFERROR(__xludf.DUMMYFUNCTION("""COMPUTED_VALUE"""),"Google,Bloomberg,JPMorgan")</f>
        <v>Google,Bloomberg,JPMorgan</v>
      </c>
      <c r="H541" s="85" t="str">
        <f>IFERROR(__xludf.DUMMYFUNCTION("""COMPUTED_VALUE"""),"DE Shaw,Microsoft,Google,Bloomberg,JPMorgan")</f>
        <v>DE Shaw,Microsoft,Google,Bloomberg,JPMorgan</v>
      </c>
      <c r="I541" s="85">
        <f>IFERROR(__xludf.DUMMYFUNCTION("""COMPUTED_VALUE"""),33.35)</f>
        <v>33.35</v>
      </c>
      <c r="J541" s="85" t="str">
        <f>IFERROR(__xludf.DUMMYFUNCTION("""COMPUTED_VALUE"""),"算法")</f>
        <v>算法</v>
      </c>
      <c r="K541" s="2" t="s">
        <v>5008</v>
      </c>
    </row>
    <row r="542">
      <c r="A542" s="47">
        <v>741.0</v>
      </c>
      <c r="B542" s="86" t="str">
        <f>IFERROR(__xludf.DUMMYFUNCTION("IF(ISBLANK(A542),,FILTER('Leetcode List'!B:C,'Leetcode List'!A:A = A542))"),"Cherry Pickup")</f>
        <v>Cherry Pickup</v>
      </c>
      <c r="C542" s="85" t="str">
        <f>IFERROR(__xludf.DUMMYFUNCTION("""COMPUTED_VALUE"""),"Hard")</f>
        <v>Hard</v>
      </c>
      <c r="D542" s="47" t="s">
        <v>76</v>
      </c>
      <c r="E542" s="90" t="str">
        <f>IFERROR(__xludf.DUMMYFUNCTION("IF(ISBLANK(A542),,FILTER('Leetcode List'!E:J,'Leetcode List'!A:A = A542))"),"Swiggy,Facebook,Akuna Capital,Citrix,Flipkart,Oracle,Mathworks,Apple,Uber,Adobe,Amazon,Google")</f>
        <v>Swiggy,Facebook,Akuna Capital,Citrix,Flipkart,Oracle,Mathworks,Apple,Uber,Adobe,Amazon,Google</v>
      </c>
      <c r="F542" s="85" t="str">
        <f>IFERROR(__xludf.DUMMYFUNCTION("""COMPUTED_VALUE"""),"Swiggy,Facebook,Mathworks")</f>
        <v>Swiggy,Facebook,Mathworks</v>
      </c>
      <c r="G542" s="85" t="str">
        <f>IFERROR(__xludf.DUMMYFUNCTION("""COMPUTED_VALUE"""),"Google,Swiggy,Facebook,Mathworks")</f>
        <v>Google,Swiggy,Facebook,Mathworks</v>
      </c>
      <c r="H542" s="85" t="str">
        <f>IFERROR(__xludf.DUMMYFUNCTION("""COMPUTED_VALUE"""),"Uber,Adobe,Flipkart,Citrix,Apple,Amazon,Oracle,Akuna Capital,Google,Swiggy,Facebook,Mathworks")</f>
        <v>Uber,Adobe,Flipkart,Citrix,Apple,Amazon,Oracle,Akuna Capital,Google,Swiggy,Facebook,Mathworks</v>
      </c>
      <c r="I542" s="85">
        <f>IFERROR(__xludf.DUMMYFUNCTION("""COMPUTED_VALUE"""),35.16)</f>
        <v>35.16</v>
      </c>
      <c r="J542" s="85" t="str">
        <f>IFERROR(__xludf.DUMMYFUNCTION("""COMPUTED_VALUE"""),"算法")</f>
        <v>算法</v>
      </c>
      <c r="K542" s="2" t="s">
        <v>5008</v>
      </c>
    </row>
    <row r="543">
      <c r="A543" s="47">
        <v>1463.0</v>
      </c>
      <c r="B543" s="86" t="str">
        <f>IFERROR(__xludf.DUMMYFUNCTION("IF(ISBLANK(A543),,FILTER('Leetcode List'!B:C,'Leetcode List'!A:A = A543))"),"Cherry Pickup II")</f>
        <v>Cherry Pickup II</v>
      </c>
      <c r="C543" s="85" t="str">
        <f>IFERROR(__xludf.DUMMYFUNCTION("""COMPUTED_VALUE"""),"Hard")</f>
        <v>Hard</v>
      </c>
      <c r="D543" s="47" t="s">
        <v>76</v>
      </c>
      <c r="E543" s="90" t="str">
        <f>IFERROR(__xludf.DUMMYFUNCTION("IF(ISBLANK(A543),,FILTER('Leetcode List'!E:J,'Leetcode List'!A:A = A543))"),"Google")</f>
        <v>Google</v>
      </c>
      <c r="F543" s="85"/>
      <c r="G543" s="85" t="str">
        <f>IFERROR(__xludf.DUMMYFUNCTION("""COMPUTED_VALUE"""),"Google")</f>
        <v>Google</v>
      </c>
      <c r="H543" s="85" t="str">
        <f>IFERROR(__xludf.DUMMYFUNCTION("""COMPUTED_VALUE"""),"Google")</f>
        <v>Google</v>
      </c>
      <c r="I543" s="85">
        <f>IFERROR(__xludf.DUMMYFUNCTION("""COMPUTED_VALUE"""),68.99)</f>
        <v>68.99</v>
      </c>
      <c r="J543" s="85" t="str">
        <f>IFERROR(__xludf.DUMMYFUNCTION("""COMPUTED_VALUE"""),"算法")</f>
        <v>算法</v>
      </c>
      <c r="K543" s="2" t="s">
        <v>5008</v>
      </c>
    </row>
    <row r="544">
      <c r="A544" s="47">
        <v>576.0</v>
      </c>
      <c r="B544" s="86" t="str">
        <f>IFERROR(__xludf.DUMMYFUNCTION("IF(ISBLANK(A544),,FILTER('Leetcode List'!B:C,'Leetcode List'!A:A = A544))"),"Out of Boundary Paths")</f>
        <v>Out of Boundary Paths</v>
      </c>
      <c r="C544" s="85" t="str">
        <f>IFERROR(__xludf.DUMMYFUNCTION("""COMPUTED_VALUE"""),"Medium")</f>
        <v>Medium</v>
      </c>
      <c r="D544" s="47" t="s">
        <v>76</v>
      </c>
      <c r="E544" s="90" t="str">
        <f>IFERROR(__xludf.DUMMYFUNCTION("IF(ISBLANK(A544),,FILTER('Leetcode List'!E:J,'Leetcode List'!A:A = A544))"),"Amazon,Baidu")</f>
        <v>Amazon,Baidu</v>
      </c>
      <c r="F544" s="85" t="str">
        <f>IFERROR(__xludf.DUMMYFUNCTION("""COMPUTED_VALUE"""),"Amazon")</f>
        <v>Amazon</v>
      </c>
      <c r="G544" s="85" t="str">
        <f>IFERROR(__xludf.DUMMYFUNCTION("""COMPUTED_VALUE"""),"Amazon")</f>
        <v>Amazon</v>
      </c>
      <c r="H544" s="85" t="str">
        <f>IFERROR(__xludf.DUMMYFUNCTION("""COMPUTED_VALUE"""),"Baidu,Amazon")</f>
        <v>Baidu,Amazon</v>
      </c>
      <c r="I544" s="85">
        <f>IFERROR(__xludf.DUMMYFUNCTION("""COMPUTED_VALUE"""),36.04)</f>
        <v>36.04</v>
      </c>
      <c r="J544" s="85" t="str">
        <f>IFERROR(__xludf.DUMMYFUNCTION("""COMPUTED_VALUE"""),"算法")</f>
        <v>算法</v>
      </c>
      <c r="K544" s="2" t="s">
        <v>5008</v>
      </c>
    </row>
    <row r="545">
      <c r="A545" s="47">
        <v>931.0</v>
      </c>
      <c r="B545" s="86" t="str">
        <f>IFERROR(__xludf.DUMMYFUNCTION("IF(ISBLANK(A545),,FILTER('Leetcode List'!B:C,'Leetcode List'!A:A = A545))"),"Minimum Falling Path Sum")</f>
        <v>Minimum Falling Path Sum</v>
      </c>
      <c r="C545" s="85" t="str">
        <f>IFERROR(__xludf.DUMMYFUNCTION("""COMPUTED_VALUE"""),"Medium")</f>
        <v>Medium</v>
      </c>
      <c r="D545" s="47" t="s">
        <v>76</v>
      </c>
      <c r="E545" s="90" t="str">
        <f>IFERROR(__xludf.DUMMYFUNCTION("IF(ISBLANK(A545),,FILTER('Leetcode List'!E:J,'Leetcode List'!A:A = A545))"),"Roblox,Apple,Amazon,Goldman Sachs,Google")</f>
        <v>Roblox,Apple,Amazon,Goldman Sachs,Google</v>
      </c>
      <c r="F545" s="85" t="str">
        <f>IFERROR(__xludf.DUMMYFUNCTION("""COMPUTED_VALUE"""),"Amazon")</f>
        <v>Amazon</v>
      </c>
      <c r="G545" s="85" t="str">
        <f>IFERROR(__xludf.DUMMYFUNCTION("""COMPUTED_VALUE"""),"Apple,Roblox,Amazon")</f>
        <v>Apple,Roblox,Amazon</v>
      </c>
      <c r="H545" s="85" t="str">
        <f>IFERROR(__xludf.DUMMYFUNCTION("""COMPUTED_VALUE"""),"Google,Goldman Sachs,Apple,Roblox,Amazon")</f>
        <v>Google,Goldman Sachs,Apple,Roblox,Amazon</v>
      </c>
      <c r="I545" s="85">
        <f>IFERROR(__xludf.DUMMYFUNCTION("""COMPUTED_VALUE"""),63.58)</f>
        <v>63.58</v>
      </c>
      <c r="J545" s="85" t="str">
        <f>IFERROR(__xludf.DUMMYFUNCTION("""COMPUTED_VALUE"""),"算法")</f>
        <v>算法</v>
      </c>
      <c r="K545" s="2" t="s">
        <v>5008</v>
      </c>
    </row>
    <row r="546">
      <c r="A546" s="47">
        <v>1289.0</v>
      </c>
      <c r="B546" s="86" t="str">
        <f>IFERROR(__xludf.DUMMYFUNCTION("IF(ISBLANK(A546),,FILTER('Leetcode List'!B:C,'Leetcode List'!A:A = A546))"),"Minimum Falling Path Sum II")</f>
        <v>Minimum Falling Path Sum II</v>
      </c>
      <c r="C546" s="85" t="str">
        <f>IFERROR(__xludf.DUMMYFUNCTION("""COMPUTED_VALUE"""),"Hard")</f>
        <v>Hard</v>
      </c>
      <c r="D546" s="47" t="s">
        <v>76</v>
      </c>
      <c r="E546" s="90" t="str">
        <f>IFERROR(__xludf.DUMMYFUNCTION("IF(ISBLANK(A546),,FILTER('Leetcode List'!E:J,'Leetcode List'!A:A = A546))"),"Roblox,Google")</f>
        <v>Roblox,Google</v>
      </c>
      <c r="F546" s="85" t="str">
        <f>IFERROR(__xludf.DUMMYFUNCTION("""COMPUTED_VALUE"""),"Roblox")</f>
        <v>Roblox</v>
      </c>
      <c r="G546" s="85" t="str">
        <f>IFERROR(__xludf.DUMMYFUNCTION("""COMPUTED_VALUE"""),"Roblox")</f>
        <v>Roblox</v>
      </c>
      <c r="H546" s="85" t="str">
        <f>IFERROR(__xludf.DUMMYFUNCTION("""COMPUTED_VALUE"""),"Google,Roblox")</f>
        <v>Google,Roblox</v>
      </c>
      <c r="I546" s="85">
        <f>IFERROR(__xludf.DUMMYFUNCTION("""COMPUTED_VALUE"""),62.54)</f>
        <v>62.54</v>
      </c>
      <c r="J546" s="85" t="str">
        <f>IFERROR(__xludf.DUMMYFUNCTION("""COMPUTED_VALUE"""),"算法")</f>
        <v>算法</v>
      </c>
      <c r="K546" s="2" t="s">
        <v>5008</v>
      </c>
    </row>
    <row r="547">
      <c r="A547" s="47">
        <v>1301.0</v>
      </c>
      <c r="B547" s="86" t="str">
        <f>IFERROR(__xludf.DUMMYFUNCTION("IF(ISBLANK(A547),,FILTER('Leetcode List'!B:C,'Leetcode List'!A:A = A547))"),"Number of Paths with Max Score")</f>
        <v>Number of Paths with Max Score</v>
      </c>
      <c r="C547" s="85" t="str">
        <f>IFERROR(__xludf.DUMMYFUNCTION("""COMPUTED_VALUE"""),"Hard")</f>
        <v>Hard</v>
      </c>
      <c r="D547" s="47" t="s">
        <v>76</v>
      </c>
      <c r="E547" s="90" t="str">
        <f>IFERROR(__xludf.DUMMYFUNCTION("IF(ISBLANK(A547),,FILTER('Leetcode List'!E:J,'Leetcode List'!A:A = A547))"),"Samsung")</f>
        <v>Samsung</v>
      </c>
      <c r="F547" s="85"/>
      <c r="G547" s="85"/>
      <c r="H547" s="85" t="str">
        <f>IFERROR(__xludf.DUMMYFUNCTION("""COMPUTED_VALUE"""),"Samsung")</f>
        <v>Samsung</v>
      </c>
      <c r="I547" s="85">
        <f>IFERROR(__xludf.DUMMYFUNCTION("""COMPUTED_VALUE"""),38.27)</f>
        <v>38.27</v>
      </c>
      <c r="J547" s="85" t="str">
        <f>IFERROR(__xludf.DUMMYFUNCTION("""COMPUTED_VALUE"""),"算法")</f>
        <v>算法</v>
      </c>
      <c r="K547" s="2" t="s">
        <v>5008</v>
      </c>
    </row>
    <row r="548">
      <c r="A548" s="47">
        <v>1594.0</v>
      </c>
      <c r="B548" s="86" t="str">
        <f>IFERROR(__xludf.DUMMYFUNCTION("IF(ISBLANK(A548),,FILTER('Leetcode List'!B:C,'Leetcode List'!A:A = A548))"),"Maximum Non Negative Product in a Matrix")</f>
        <v>Maximum Non Negative Product in a Matrix</v>
      </c>
      <c r="C548" s="85" t="str">
        <f>IFERROR(__xludf.DUMMYFUNCTION("""COMPUTED_VALUE"""),"Medium")</f>
        <v>Medium</v>
      </c>
      <c r="D548" s="47" t="s">
        <v>76</v>
      </c>
      <c r="E548" s="90" t="str">
        <f>IFERROR(__xludf.DUMMYFUNCTION("IF(ISBLANK(A548),,FILTER('Leetcode List'!E:J,'Leetcode List'!A:A = A548))"),"Google")</f>
        <v>Google</v>
      </c>
      <c r="F548" s="85"/>
      <c r="G548" s="85"/>
      <c r="H548" s="85" t="str">
        <f>IFERROR(__xludf.DUMMYFUNCTION("""COMPUTED_VALUE"""),"Google")</f>
        <v>Google</v>
      </c>
      <c r="I548" s="85">
        <f>IFERROR(__xludf.DUMMYFUNCTION("""COMPUTED_VALUE"""),31.83)</f>
        <v>31.83</v>
      </c>
      <c r="J548" s="85" t="str">
        <f>IFERROR(__xludf.DUMMYFUNCTION("""COMPUTED_VALUE"""),"算法")</f>
        <v>算法</v>
      </c>
      <c r="K548" s="2" t="s">
        <v>5008</v>
      </c>
    </row>
    <row r="549">
      <c r="A549" s="47">
        <v>322.0</v>
      </c>
      <c r="B549" s="86" t="str">
        <f>IFERROR(__xludf.DUMMYFUNCTION("IF(ISBLANK(A549),,FILTER('Leetcode List'!B:C,'Leetcode List'!A:A = A549))"),"Coin Change")</f>
        <v>Coin Change</v>
      </c>
      <c r="C549" s="85" t="str">
        <f>IFERROR(__xludf.DUMMYFUNCTION("""COMPUTED_VALUE"""),"Medium")</f>
        <v>Medium</v>
      </c>
      <c r="D549" s="47" t="s">
        <v>76</v>
      </c>
      <c r="E549" s="90" t="str">
        <f>IFERROR(__xludf.DUMMYFUNCTION("IF(ISBLANK(A549),,FILTER('Leetcode List'!E:J,'Leetcode List'!A:A = A549))"),"Grab,SAP,Zappos,ByteDance,Capital One,Visa,VMware,Affirm,Walmart Labs,JPMorgan,Paypal,Oracle,Cisco,EBay,BlackRock,Apple,Airbnb,Uber,Yahoo,Bloomberg,Adobe,Facebook,Amazon,LinkedIn,Microsoft,Goldman Sachs,Google")</f>
        <v>Grab,SAP,Zappos,ByteDance,Capital One,Visa,VMware,Affirm,Walmart Labs,JPMorgan,Paypal,Oracle,Cisco,EBay,BlackRock,Apple,Airbnb,Uber,Yahoo,Bloomberg,Adobe,Facebook,Amazon,LinkedIn,Microsoft,Goldman Sachs,Google</v>
      </c>
      <c r="F549" s="85" t="str">
        <f>IFERROR(__xludf.DUMMYFUNCTION("""COMPUTED_VALUE"""),"Amazon,Goldman Sachs,Bloomberg,Walmart Labs,Airbnb,BlackRock,Uber,Oracle,Apple,Microsoft,Facebook")</f>
        <v>Amazon,Goldman Sachs,Bloomberg,Walmart Labs,Airbnb,BlackRock,Uber,Oracle,Apple,Microsoft,Facebook</v>
      </c>
      <c r="G549" s="85" t="str">
        <f>IFERROR(__xludf.DUMMYFUNCTION("""COMPUTED_VALUE"""),"ByteDance,Google,eBay,Capital One,Grab,VMware,Cisco,Paypal,Amazon,Goldman Sachs,Bloomberg,Walmart Labs,Airbnb,BlackRock,Uber,Oracle,Apple,Microsoft,Facebook")</f>
        <v>ByteDance,Google,eBay,Capital One,Grab,VMware,Cisco,Paypal,Amazon,Goldman Sachs,Bloomberg,Walmart Labs,Airbnb,BlackRock,Uber,Oracle,Apple,Microsoft,Facebook</v>
      </c>
      <c r="H549" s="85" t="str">
        <f>IFERROR(__xludf.DUMMYFUNCTION("""COMPUTED_VALUE"""),"Adobe,Yahoo,Zappos,Affirm,SAP,ByteDance,Google,eBay,Capital One,Grab,VMware,Cisco,Paypal,Amazon,Goldman Sachs,Bloomberg,Walmart Labs,Airbnb,BlackRock,Uber,Oracle,Apple,Microsoft,Facebook")</f>
        <v>Adobe,Yahoo,Zappos,Affirm,SAP,ByteDance,Google,eBay,Capital One,Grab,VMware,Cisco,Paypal,Amazon,Goldman Sachs,Bloomberg,Walmart Labs,Airbnb,BlackRock,Uber,Oracle,Apple,Microsoft,Facebook</v>
      </c>
      <c r="I549" s="85">
        <f>IFERROR(__xludf.DUMMYFUNCTION("""COMPUTED_VALUE"""),37.59)</f>
        <v>37.59</v>
      </c>
      <c r="J549" s="85" t="str">
        <f>IFERROR(__xludf.DUMMYFUNCTION("""COMPUTED_VALUE"""),"算法")</f>
        <v>算法</v>
      </c>
      <c r="K549" s="2" t="s">
        <v>5009</v>
      </c>
    </row>
    <row r="550">
      <c r="A550" s="47">
        <v>416.0</v>
      </c>
      <c r="B550" s="86" t="str">
        <f>IFERROR(__xludf.DUMMYFUNCTION("IF(ISBLANK(A550),,FILTER('Leetcode List'!B:C,'Leetcode List'!A:A = A550))"),"Partition Equal Subset Sum")</f>
        <v>Partition Equal Subset Sum</v>
      </c>
      <c r="C550" s="85" t="str">
        <f>IFERROR(__xludf.DUMMYFUNCTION("""COMPUTED_VALUE"""),"Medium")</f>
        <v>Medium</v>
      </c>
      <c r="D550" s="47" t="s">
        <v>76</v>
      </c>
      <c r="E550" s="90" t="str">
        <f>IFERROR(__xludf.DUMMYFUNCTION("IF(ISBLANK(A550),,FILTER('Leetcode List'!E:J,'Leetcode List'!A:A = A550))"),"ByteDance,Bloomberg,Goldman Sachs,VMware,Paypal,EBay,Apple,Uber,Yahoo,Facebook,Amazon,Microsoft,Google")</f>
        <v>ByteDance,Bloomberg,Goldman Sachs,VMware,Paypal,EBay,Apple,Uber,Yahoo,Facebook,Amazon,Microsoft,Google</v>
      </c>
      <c r="F550" s="85" t="str">
        <f>IFERROR(__xludf.DUMMYFUNCTION("""COMPUTED_VALUE"""),"Amazon,Facebook,Goldman Sachs")</f>
        <v>Amazon,Facebook,Goldman Sachs</v>
      </c>
      <c r="G550" s="85" t="str">
        <f>IFERROR(__xludf.DUMMYFUNCTION("""COMPUTED_VALUE"""),"Apple,Google,ByteDance,Amazon,Facebook,Goldman Sachs")</f>
        <v>Apple,Google,ByteDance,Amazon,Facebook,Goldman Sachs</v>
      </c>
      <c r="H550" s="85" t="str">
        <f>IFERROR(__xludf.DUMMYFUNCTION("""COMPUTED_VALUE"""),"Microsoft,Yahoo,VMware,Bloomberg,eBay,Apple,Google,ByteDance,Amazon,Facebook,Goldman Sachs")</f>
        <v>Microsoft,Yahoo,VMware,Bloomberg,eBay,Apple,Google,ByteDance,Amazon,Facebook,Goldman Sachs</v>
      </c>
      <c r="I550" s="85">
        <f>IFERROR(__xludf.DUMMYFUNCTION("""COMPUTED_VALUE"""),44.91)</f>
        <v>44.91</v>
      </c>
      <c r="J550" s="85" t="str">
        <f>IFERROR(__xludf.DUMMYFUNCTION("""COMPUTED_VALUE"""),"算法")</f>
        <v>算法</v>
      </c>
      <c r="K550" s="2" t="s">
        <v>5009</v>
      </c>
    </row>
    <row r="551">
      <c r="A551" s="47">
        <v>518.0</v>
      </c>
      <c r="B551" s="86" t="str">
        <f>IFERROR(__xludf.DUMMYFUNCTION("IF(ISBLANK(A551),,FILTER('Leetcode List'!B:C,'Leetcode List'!A:A = A551))"),"Coin Change 2")</f>
        <v>Coin Change 2</v>
      </c>
      <c r="C551" s="85" t="str">
        <f>IFERROR(__xludf.DUMMYFUNCTION("""COMPUTED_VALUE"""),"Medium")</f>
        <v>Medium</v>
      </c>
      <c r="D551" s="47" t="s">
        <v>76</v>
      </c>
      <c r="E551" s="90" t="str">
        <f>IFERROR(__xludf.DUMMYFUNCTION("IF(ISBLANK(A551),,FILTER('Leetcode List'!E:J,'Leetcode List'!A:A = A551))"),"Qualtrics,Alation,ByteDance,Cisco,Adobe,IXL,Walmart Labs,Oracle,Apple,Uber,Yahoo,Bloomberg,Facebook,Amazon,Microsoft,Google")</f>
        <v>Qualtrics,Alation,ByteDance,Cisco,Adobe,IXL,Walmart Labs,Oracle,Apple,Uber,Yahoo,Bloomberg,Facebook,Amazon,Microsoft,Google</v>
      </c>
      <c r="F551" s="85" t="str">
        <f>IFERROR(__xludf.DUMMYFUNCTION("""COMPUTED_VALUE"""),"Amazon,Microsoft,Bloomberg,Adobe,Apple,Uber,Qualtrics")</f>
        <v>Amazon,Microsoft,Bloomberg,Adobe,Apple,Uber,Qualtrics</v>
      </c>
      <c r="G551" s="85" t="str">
        <f>IFERROR(__xludf.DUMMYFUNCTION("""COMPUTED_VALUE"""),"Google,Amazon,Microsoft,Bloomberg,Adobe,Apple,Uber,Qualtrics")</f>
        <v>Google,Amazon,Microsoft,Bloomberg,Adobe,Apple,Uber,Qualtrics</v>
      </c>
      <c r="H551" s="85" t="str">
        <f>IFERROR(__xludf.DUMMYFUNCTION("""COMPUTED_VALUE"""),"Oracle,Cisco,Yahoo,Alation,Walmart Labs,ByteDance,Google,Amazon,Microsoft,Bloomberg,Adobe,Apple,Uber,Qualtrics")</f>
        <v>Oracle,Cisco,Yahoo,Alation,Walmart Labs,ByteDance,Google,Amazon,Microsoft,Bloomberg,Adobe,Apple,Uber,Qualtrics</v>
      </c>
      <c r="I551" s="85">
        <f>IFERROR(__xludf.DUMMYFUNCTION("""COMPUTED_VALUE"""),51.91)</f>
        <v>51.91</v>
      </c>
      <c r="J551" s="85" t="str">
        <f>IFERROR(__xludf.DUMMYFUNCTION("""COMPUTED_VALUE"""),"算法")</f>
        <v>算法</v>
      </c>
      <c r="K551" s="2" t="s">
        <v>5009</v>
      </c>
    </row>
    <row r="552">
      <c r="A552" s="47">
        <v>474.0</v>
      </c>
      <c r="B552" s="86" t="str">
        <f>IFERROR(__xludf.DUMMYFUNCTION("IF(ISBLANK(A552),,FILTER('Leetcode List'!B:C,'Leetcode List'!A:A = A552))"),"Ones and Zeroes")</f>
        <v>Ones and Zeroes</v>
      </c>
      <c r="C552" s="85" t="str">
        <f>IFERROR(__xludf.DUMMYFUNCTION("""COMPUTED_VALUE"""),"Medium")</f>
        <v>Medium</v>
      </c>
      <c r="D552" s="47" t="s">
        <v>76</v>
      </c>
      <c r="E552" s="90" t="str">
        <f>IFERROR(__xludf.DUMMYFUNCTION("IF(ISBLANK(A552),,FILTER('Leetcode List'!E:J,'Leetcode List'!A:A = A552))"),"Google")</f>
        <v>Google</v>
      </c>
      <c r="F552" s="85"/>
      <c r="G552" s="85"/>
      <c r="H552" s="85" t="str">
        <f>IFERROR(__xludf.DUMMYFUNCTION("""COMPUTED_VALUE"""),"Google")</f>
        <v>Google</v>
      </c>
      <c r="I552" s="85">
        <f>IFERROR(__xludf.DUMMYFUNCTION("""COMPUTED_VALUE"""),43.77)</f>
        <v>43.77</v>
      </c>
      <c r="J552" s="85" t="str">
        <f>IFERROR(__xludf.DUMMYFUNCTION("""COMPUTED_VALUE"""),"算法")</f>
        <v>算法</v>
      </c>
      <c r="K552" s="2" t="s">
        <v>5009</v>
      </c>
    </row>
    <row r="553">
      <c r="A553" s="47">
        <v>494.0</v>
      </c>
      <c r="B553" s="86" t="str">
        <f>IFERROR(__xludf.DUMMYFUNCTION("IF(ISBLANK(A553),,FILTER('Leetcode List'!B:C,'Leetcode List'!A:A = A553))"),"Target Sum")</f>
        <v>Target Sum</v>
      </c>
      <c r="C553" s="85" t="str">
        <f>IFERROR(__xludf.DUMMYFUNCTION("""COMPUTED_VALUE"""),"Medium")</f>
        <v>Medium</v>
      </c>
      <c r="D553" s="47" t="s">
        <v>76</v>
      </c>
      <c r="E553" s="90" t="str">
        <f>IFERROR(__xludf.DUMMYFUNCTION("IF(ISBLANK(A553),,FILTER('Leetcode List'!E:J,'Leetcode List'!A:A = A553))"),"Bloomberg,Adobe,Amazon,Facebook,Microsoft,Google")</f>
        <v>Bloomberg,Adobe,Amazon,Facebook,Microsoft,Google</v>
      </c>
      <c r="F553" s="85" t="str">
        <f>IFERROR(__xludf.DUMMYFUNCTION("""COMPUTED_VALUE"""),"Facebook,Amazon,Adobe")</f>
        <v>Facebook,Amazon,Adobe</v>
      </c>
      <c r="G553" s="85" t="str">
        <f>IFERROR(__xludf.DUMMYFUNCTION("""COMPUTED_VALUE"""),"Bloomberg,Facebook,Amazon,Adobe")</f>
        <v>Bloomberg,Facebook,Amazon,Adobe</v>
      </c>
      <c r="H553" s="85" t="str">
        <f>IFERROR(__xludf.DUMMYFUNCTION("""COMPUTED_VALUE"""),"Microsoft,Google,Bloomberg,Facebook,Amazon,Adobe")</f>
        <v>Microsoft,Google,Bloomberg,Facebook,Amazon,Adobe</v>
      </c>
      <c r="I553" s="85">
        <f>IFERROR(__xludf.DUMMYFUNCTION("""COMPUTED_VALUE"""),45.67)</f>
        <v>45.67</v>
      </c>
      <c r="J553" s="85" t="str">
        <f>IFERROR(__xludf.DUMMYFUNCTION("""COMPUTED_VALUE"""),"算法")</f>
        <v>算法</v>
      </c>
      <c r="K553" s="2" t="s">
        <v>5009</v>
      </c>
    </row>
    <row r="554">
      <c r="A554" s="47">
        <v>805.0</v>
      </c>
      <c r="B554" s="86" t="str">
        <f>IFERROR(__xludf.DUMMYFUNCTION("IF(ISBLANK(A554),,FILTER('Leetcode List'!B:C,'Leetcode List'!A:A = A554))"),"Split Array With Same Average")</f>
        <v>Split Array With Same Average</v>
      </c>
      <c r="C554" s="85" t="str">
        <f>IFERROR(__xludf.DUMMYFUNCTION("""COMPUTED_VALUE"""),"Hard")</f>
        <v>Hard</v>
      </c>
      <c r="D554" s="47" t="s">
        <v>76</v>
      </c>
      <c r="E554" s="90" t="str">
        <f>IFERROR(__xludf.DUMMYFUNCTION("IF(ISBLANK(A554),,FILTER('Leetcode List'!E:J,'Leetcode List'!A:A = A554))"),"Apple,Uber,Amazon,Microsoft,Google")</f>
        <v>Apple,Uber,Amazon,Microsoft,Google</v>
      </c>
      <c r="F554" s="85"/>
      <c r="G554" s="85" t="str">
        <f>IFERROR(__xludf.DUMMYFUNCTION("""COMPUTED_VALUE"""),"Apple")</f>
        <v>Apple</v>
      </c>
      <c r="H554" s="85" t="str">
        <f>IFERROR(__xludf.DUMMYFUNCTION("""COMPUTED_VALUE"""),"Microsoft,Google,Amazon,Uber,Apple")</f>
        <v>Microsoft,Google,Amazon,Uber,Apple</v>
      </c>
      <c r="I554" s="85">
        <f>IFERROR(__xludf.DUMMYFUNCTION("""COMPUTED_VALUE"""),26.93)</f>
        <v>26.93</v>
      </c>
      <c r="J554" s="85" t="str">
        <f>IFERROR(__xludf.DUMMYFUNCTION("""COMPUTED_VALUE"""),"算法")</f>
        <v>算法</v>
      </c>
      <c r="K554" s="2" t="s">
        <v>5009</v>
      </c>
    </row>
    <row r="555">
      <c r="A555" s="47">
        <v>879.0</v>
      </c>
      <c r="B555" s="86" t="str">
        <f>IFERROR(__xludf.DUMMYFUNCTION("IF(ISBLANK(A555),,FILTER('Leetcode List'!B:C,'Leetcode List'!A:A = A555))"),"Profitable Schemes")</f>
        <v>Profitable Schemes</v>
      </c>
      <c r="C555" s="85" t="str">
        <f>IFERROR(__xludf.DUMMYFUNCTION("""COMPUTED_VALUE"""),"Hard")</f>
        <v>Hard</v>
      </c>
      <c r="D555" s="47" t="s">
        <v>76</v>
      </c>
      <c r="E555" s="90" t="str">
        <f>IFERROR(__xludf.DUMMYFUNCTION("IF(ISBLANK(A555),,FILTER('Leetcode List'!E:J,'Leetcode List'!A:A = A555))"),"LinkedIn,Google")</f>
        <v>LinkedIn,Google</v>
      </c>
      <c r="F555" s="85"/>
      <c r="G555" s="85"/>
      <c r="H555" s="85" t="str">
        <f>IFERROR(__xludf.DUMMYFUNCTION("""COMPUTED_VALUE"""),"Google")</f>
        <v>Google</v>
      </c>
      <c r="I555" s="85">
        <f>IFERROR(__xludf.DUMMYFUNCTION("""COMPUTED_VALUE"""),39.94)</f>
        <v>39.94</v>
      </c>
      <c r="J555" s="85" t="str">
        <f>IFERROR(__xludf.DUMMYFUNCTION("""COMPUTED_VALUE"""),"算法")</f>
        <v>算法</v>
      </c>
      <c r="K555" s="2" t="s">
        <v>5009</v>
      </c>
    </row>
    <row r="556">
      <c r="A556" s="47">
        <v>956.0</v>
      </c>
      <c r="B556" s="86" t="str">
        <f>IFERROR(__xludf.DUMMYFUNCTION("IF(ISBLANK(A556),,FILTER('Leetcode List'!B:C,'Leetcode List'!A:A = A556))"),"Tallest Billboard")</f>
        <v>Tallest Billboard</v>
      </c>
      <c r="C556" s="85" t="str">
        <f>IFERROR(__xludf.DUMMYFUNCTION("""COMPUTED_VALUE"""),"Hard")</f>
        <v>Hard</v>
      </c>
      <c r="D556" s="47" t="s">
        <v>76</v>
      </c>
      <c r="E556" s="90" t="str">
        <f>IFERROR(__xludf.DUMMYFUNCTION("IF(ISBLANK(A556),,FILTER('Leetcode List'!E:J,'Leetcode List'!A:A = A556))"),"")</f>
        <v/>
      </c>
      <c r="F556" s="85"/>
      <c r="G556" s="85"/>
      <c r="H556" s="85"/>
      <c r="I556" s="85">
        <f>IFERROR(__xludf.DUMMYFUNCTION("""COMPUTED_VALUE"""),39.85)</f>
        <v>39.85</v>
      </c>
      <c r="J556" s="85" t="str">
        <f>IFERROR(__xludf.DUMMYFUNCTION("""COMPUTED_VALUE"""),"算法")</f>
        <v>算法</v>
      </c>
      <c r="K556" s="2" t="s">
        <v>5009</v>
      </c>
    </row>
    <row r="557">
      <c r="A557" s="47">
        <v>1049.0</v>
      </c>
      <c r="B557" s="86" t="str">
        <f>IFERROR(__xludf.DUMMYFUNCTION("IF(ISBLANK(A557),,FILTER('Leetcode List'!B:C,'Leetcode List'!A:A = A557))"),"Last Stone Weight II")</f>
        <v>Last Stone Weight II</v>
      </c>
      <c r="C557" s="85" t="str">
        <f>IFERROR(__xludf.DUMMYFUNCTION("""COMPUTED_VALUE"""),"Medium")</f>
        <v>Medium</v>
      </c>
      <c r="D557" s="47" t="s">
        <v>76</v>
      </c>
      <c r="E557" s="90" t="str">
        <f>IFERROR(__xludf.DUMMYFUNCTION("IF(ISBLANK(A557),,FILTER('Leetcode List'!E:J,'Leetcode List'!A:A = A557))"),"ByteDance,Amazon")</f>
        <v>ByteDance,Amazon</v>
      </c>
      <c r="F557" s="85" t="str">
        <f>IFERROR(__xludf.DUMMYFUNCTION("""COMPUTED_VALUE"""),"ByteDance")</f>
        <v>ByteDance</v>
      </c>
      <c r="G557" s="85" t="str">
        <f>IFERROR(__xludf.DUMMYFUNCTION("""COMPUTED_VALUE"""),"ByteDance")</f>
        <v>ByteDance</v>
      </c>
      <c r="H557" s="85" t="str">
        <f>IFERROR(__xludf.DUMMYFUNCTION("""COMPUTED_VALUE"""),"Amazon,ByteDance")</f>
        <v>Amazon,ByteDance</v>
      </c>
      <c r="I557" s="85">
        <f>IFERROR(__xludf.DUMMYFUNCTION("""COMPUTED_VALUE"""),45.54)</f>
        <v>45.54</v>
      </c>
      <c r="J557" s="85" t="str">
        <f>IFERROR(__xludf.DUMMYFUNCTION("""COMPUTED_VALUE"""),"算法")</f>
        <v>算法</v>
      </c>
      <c r="K557" s="2" t="s">
        <v>5009</v>
      </c>
    </row>
    <row r="558">
      <c r="A558" s="47">
        <v>1449.0</v>
      </c>
      <c r="B558" s="86" t="str">
        <f>IFERROR(__xludf.DUMMYFUNCTION("IF(ISBLANK(A558),,FILTER('Leetcode List'!B:C,'Leetcode List'!A:A = A558))"),"Form Largest Integer With Digits That Add up to Target")</f>
        <v>Form Largest Integer With Digits That Add up to Target</v>
      </c>
      <c r="C558" s="85" t="str">
        <f>IFERROR(__xludf.DUMMYFUNCTION("""COMPUTED_VALUE"""),"Hard")</f>
        <v>Hard</v>
      </c>
      <c r="D558" s="47" t="s">
        <v>76</v>
      </c>
      <c r="E558" s="90" t="str">
        <f>IFERROR(__xludf.DUMMYFUNCTION("IF(ISBLANK(A558),,FILTER('Leetcode List'!E:J,'Leetcode List'!A:A = A558))"),"Google")</f>
        <v>Google</v>
      </c>
      <c r="F558" s="85"/>
      <c r="G558" s="85"/>
      <c r="H558" s="85" t="str">
        <f>IFERROR(__xludf.DUMMYFUNCTION("""COMPUTED_VALUE"""),"Google")</f>
        <v>Google</v>
      </c>
      <c r="I558" s="85">
        <f>IFERROR(__xludf.DUMMYFUNCTION("""COMPUTED_VALUE"""),44.21)</f>
        <v>44.21</v>
      </c>
      <c r="J558" s="85" t="str">
        <f>IFERROR(__xludf.DUMMYFUNCTION("""COMPUTED_VALUE"""),"算法")</f>
        <v>算法</v>
      </c>
      <c r="K558" s="2" t="s">
        <v>5009</v>
      </c>
    </row>
    <row r="559">
      <c r="A559" s="47">
        <v>650.0</v>
      </c>
      <c r="B559" s="86" t="str">
        <f>IFERROR(__xludf.DUMMYFUNCTION("IF(ISBLANK(A559),,FILTER('Leetcode List'!B:C,'Leetcode List'!A:A = A559))"),"2 Keys Keyboard")</f>
        <v>2 Keys Keyboard</v>
      </c>
      <c r="C559" s="85" t="str">
        <f>IFERROR(__xludf.DUMMYFUNCTION("""COMPUTED_VALUE"""),"Medium")</f>
        <v>Medium</v>
      </c>
      <c r="D559" s="47" t="s">
        <v>76</v>
      </c>
      <c r="E559" s="90" t="str">
        <f>IFERROR(__xludf.DUMMYFUNCTION("IF(ISBLANK(A559),,FILTER('Leetcode List'!E:J,'Leetcode List'!A:A = A559))"),"Amazon,Bloomberg,Microsoft")</f>
        <v>Amazon,Bloomberg,Microsoft</v>
      </c>
      <c r="F559" s="85" t="str">
        <f>IFERROR(__xludf.DUMMYFUNCTION("""COMPUTED_VALUE"""),"Amazon,Microsoft")</f>
        <v>Amazon,Microsoft</v>
      </c>
      <c r="G559" s="85" t="str">
        <f>IFERROR(__xludf.DUMMYFUNCTION("""COMPUTED_VALUE"""),"Amazon,Microsoft")</f>
        <v>Amazon,Microsoft</v>
      </c>
      <c r="H559" s="85" t="str">
        <f>IFERROR(__xludf.DUMMYFUNCTION("""COMPUTED_VALUE"""),"Bloomberg,Amazon,Microsoft")</f>
        <v>Bloomberg,Amazon,Microsoft</v>
      </c>
      <c r="I559" s="85">
        <f>IFERROR(__xludf.DUMMYFUNCTION("""COMPUTED_VALUE"""),50.17)</f>
        <v>50.17</v>
      </c>
      <c r="J559" s="85" t="str">
        <f>IFERROR(__xludf.DUMMYFUNCTION("""COMPUTED_VALUE"""),"算法")</f>
        <v>算法</v>
      </c>
      <c r="K559" s="2" t="s">
        <v>5010</v>
      </c>
    </row>
    <row r="560">
      <c r="A560" s="47">
        <v>651.0</v>
      </c>
      <c r="B560" s="86" t="str">
        <f>IFERROR(__xludf.DUMMYFUNCTION("IF(ISBLANK(A560),,FILTER('Leetcode List'!B:C,'Leetcode List'!A:A = A560))"),"4 Keys Keyboard")</f>
        <v>4 Keys Keyboard</v>
      </c>
      <c r="C560" s="85" t="str">
        <f>IFERROR(__xludf.DUMMYFUNCTION("""COMPUTED_VALUE"""),"Medium")</f>
        <v>Medium</v>
      </c>
      <c r="D560" s="47" t="s">
        <v>76</v>
      </c>
      <c r="E560" s="90" t="str">
        <f>IFERROR(__xludf.DUMMYFUNCTION("IF(ISBLANK(A560),,FILTER('Leetcode List'!E:J,'Leetcode List'!A:A = A560))"),"Microsoft,Google")</f>
        <v>Microsoft,Google</v>
      </c>
      <c r="F560" s="85"/>
      <c r="G560" s="85"/>
      <c r="H560" s="85" t="str">
        <f>IFERROR(__xludf.DUMMYFUNCTION("""COMPUTED_VALUE"""),"Google,Microsoft")</f>
        <v>Google,Microsoft</v>
      </c>
      <c r="I560" s="85">
        <f>IFERROR(__xludf.DUMMYFUNCTION("""COMPUTED_VALUE"""),53.19)</f>
        <v>53.19</v>
      </c>
      <c r="J560" s="85" t="str">
        <f>IFERROR(__xludf.DUMMYFUNCTION("""COMPUTED_VALUE"""),"算法")</f>
        <v>算法</v>
      </c>
      <c r="K560" s="2" t="s">
        <v>5010</v>
      </c>
    </row>
    <row r="561">
      <c r="A561" s="47">
        <v>935.0</v>
      </c>
      <c r="B561" s="86" t="str">
        <f>IFERROR(__xludf.DUMMYFUNCTION("IF(ISBLANK(A561),,FILTER('Leetcode List'!B:C,'Leetcode List'!A:A = A561))"),"Knight Dialer")</f>
        <v>Knight Dialer</v>
      </c>
      <c r="C561" s="85" t="str">
        <f>IFERROR(__xludf.DUMMYFUNCTION("""COMPUTED_VALUE"""),"Medium")</f>
        <v>Medium</v>
      </c>
      <c r="D561" s="47" t="s">
        <v>76</v>
      </c>
      <c r="E561" s="90" t="str">
        <f>IFERROR(__xludf.DUMMYFUNCTION("IF(ISBLANK(A561),,FILTER('Leetcode List'!E:J,'Leetcode List'!A:A = A561))"),"Qualtrics,Pinterest,Twilio,Box,Citadel,Facebook,Microsoft,Google")</f>
        <v>Qualtrics,Pinterest,Twilio,Box,Citadel,Facebook,Microsoft,Google</v>
      </c>
      <c r="F561" s="85" t="str">
        <f>IFERROR(__xludf.DUMMYFUNCTION("""COMPUTED_VALUE"""),"Qualtrics")</f>
        <v>Qualtrics</v>
      </c>
      <c r="G561" s="85" t="str">
        <f>IFERROR(__xludf.DUMMYFUNCTION("""COMPUTED_VALUE"""),"Twilio,Google,Facebook,Citadel,Qualtrics")</f>
        <v>Twilio,Google,Facebook,Citadel,Qualtrics</v>
      </c>
      <c r="H561" s="85" t="str">
        <f>IFERROR(__xludf.DUMMYFUNCTION("""COMPUTED_VALUE"""),"Microsoft,Box,Twilio,Google,Facebook,Citadel,Qualtrics")</f>
        <v>Microsoft,Box,Twilio,Google,Facebook,Citadel,Qualtrics</v>
      </c>
      <c r="I561" s="85">
        <f>IFERROR(__xludf.DUMMYFUNCTION("""COMPUTED_VALUE"""),46.58)</f>
        <v>46.58</v>
      </c>
      <c r="J561" s="85" t="str">
        <f>IFERROR(__xludf.DUMMYFUNCTION("""COMPUTED_VALUE"""),"算法")</f>
        <v>算法</v>
      </c>
      <c r="K561" s="2" t="s">
        <v>5010</v>
      </c>
    </row>
    <row r="562">
      <c r="A562" s="47">
        <v>1320.0</v>
      </c>
      <c r="B562" s="86" t="str">
        <f>IFERROR(__xludf.DUMMYFUNCTION("IF(ISBLANK(A562),,FILTER('Leetcode List'!B:C,'Leetcode List'!A:A = A562))"),"Minimum Distance to Type a Word Using Two Fingers")</f>
        <v>Minimum Distance to Type a Word Using Two Fingers</v>
      </c>
      <c r="C562" s="85" t="str">
        <f>IFERROR(__xludf.DUMMYFUNCTION("""COMPUTED_VALUE"""),"Hard")</f>
        <v>Hard</v>
      </c>
      <c r="D562" s="47" t="s">
        <v>76</v>
      </c>
      <c r="E562" s="90" t="str">
        <f>IFERROR(__xludf.DUMMYFUNCTION("IF(ISBLANK(A562),,FILTER('Leetcode List'!E:J,'Leetcode List'!A:A = A562))"),"Google")</f>
        <v>Google</v>
      </c>
      <c r="F562" s="85"/>
      <c r="G562" s="85" t="str">
        <f>IFERROR(__xludf.DUMMYFUNCTION("""COMPUTED_VALUE"""),"Google")</f>
        <v>Google</v>
      </c>
      <c r="H562" s="85" t="str">
        <f>IFERROR(__xludf.DUMMYFUNCTION("""COMPUTED_VALUE"""),"Google")</f>
        <v>Google</v>
      </c>
      <c r="I562" s="85">
        <f>IFERROR(__xludf.DUMMYFUNCTION("""COMPUTED_VALUE"""),61.78)</f>
        <v>61.78</v>
      </c>
      <c r="J562" s="85" t="str">
        <f>IFERROR(__xludf.DUMMYFUNCTION("""COMPUTED_VALUE"""),"算法")</f>
        <v>算法</v>
      </c>
      <c r="K562" s="2" t="s">
        <v>5010</v>
      </c>
    </row>
    <row r="563">
      <c r="A563" s="47">
        <v>132.0</v>
      </c>
      <c r="B563" s="86" t="str">
        <f>IFERROR(__xludf.DUMMYFUNCTION("IF(ISBLANK(A563),,FILTER('Leetcode List'!B:C,'Leetcode List'!A:A = A563))"),"Palindrome Partitioning II")</f>
        <v>Palindrome Partitioning II</v>
      </c>
      <c r="C563" s="85" t="str">
        <f>IFERROR(__xludf.DUMMYFUNCTION("""COMPUTED_VALUE"""),"Hard")</f>
        <v>Hard</v>
      </c>
      <c r="D563" s="47" t="s">
        <v>76</v>
      </c>
      <c r="E563" s="90" t="str">
        <f>IFERROR(__xludf.DUMMYFUNCTION("IF(ISBLANK(A563),,FILTER('Leetcode List'!E:J,'Leetcode List'!A:A = A563))"),"Duolingo,Amazon,Google")</f>
        <v>Duolingo,Amazon,Google</v>
      </c>
      <c r="F563" s="85" t="str">
        <f>IFERROR(__xludf.DUMMYFUNCTION("""COMPUTED_VALUE"""),"Amazon")</f>
        <v>Amazon</v>
      </c>
      <c r="G563" s="85" t="str">
        <f>IFERROR(__xludf.DUMMYFUNCTION("""COMPUTED_VALUE"""),"Google,Amazon")</f>
        <v>Google,Amazon</v>
      </c>
      <c r="H563" s="85" t="str">
        <f>IFERROR(__xludf.DUMMYFUNCTION("""COMPUTED_VALUE"""),"Duolingo,Google,Amazon")</f>
        <v>Duolingo,Google,Amazon</v>
      </c>
      <c r="I563" s="85">
        <f>IFERROR(__xludf.DUMMYFUNCTION("""COMPUTED_VALUE"""),31.35)</f>
        <v>31.35</v>
      </c>
      <c r="J563" s="85" t="str">
        <f>IFERROR(__xludf.DUMMYFUNCTION("""COMPUTED_VALUE"""),"算法")</f>
        <v>算法</v>
      </c>
      <c r="K563" s="2" t="s">
        <v>5011</v>
      </c>
    </row>
    <row r="564">
      <c r="A564" s="47">
        <v>410.0</v>
      </c>
      <c r="B564" s="86" t="str">
        <f>IFERROR(__xludf.DUMMYFUNCTION("IF(ISBLANK(A564),,FILTER('Leetcode List'!B:C,'Leetcode List'!A:A = A564))"),"Split Array Largest Sum")</f>
        <v>Split Array Largest Sum</v>
      </c>
      <c r="C564" s="85" t="str">
        <f>IFERROR(__xludf.DUMMYFUNCTION("""COMPUTED_VALUE"""),"Hard")</f>
        <v>Hard</v>
      </c>
      <c r="D564" s="47" t="s">
        <v>76</v>
      </c>
      <c r="E564" s="90" t="str">
        <f>IFERROR(__xludf.DUMMYFUNCTION("IF(ISBLANK(A564),,FILTER('Leetcode List'!E:J,'Leetcode List'!A:A = A564))"),"Infosys,ByteDance,Apple,Microsoft,Baidu,Facebook,Amazon,Google")</f>
        <v>Infosys,ByteDance,Apple,Microsoft,Baidu,Facebook,Amazon,Google</v>
      </c>
      <c r="F564" s="85" t="str">
        <f>IFERROR(__xludf.DUMMYFUNCTION("""COMPUTED_VALUE"""),"Amazon,Google,ByteDance")</f>
        <v>Amazon,Google,ByteDance</v>
      </c>
      <c r="G564" s="85" t="str">
        <f>IFERROR(__xludf.DUMMYFUNCTION("""COMPUTED_VALUE"""),"Apple,Infosys,Amazon,Google,ByteDance")</f>
        <v>Apple,Infosys,Amazon,Google,ByteDance</v>
      </c>
      <c r="H564" s="85" t="str">
        <f>IFERROR(__xludf.DUMMYFUNCTION("""COMPUTED_VALUE"""),"Facebook,Microsoft,Baidu,Apple,Infosys,Amazon,Google,ByteDance")</f>
        <v>Facebook,Microsoft,Baidu,Apple,Infosys,Amazon,Google,ByteDance</v>
      </c>
      <c r="I564" s="85">
        <f>IFERROR(__xludf.DUMMYFUNCTION("""COMPUTED_VALUE"""),46.5)</f>
        <v>46.5</v>
      </c>
      <c r="J564" s="85" t="str">
        <f>IFERROR(__xludf.DUMMYFUNCTION("""COMPUTED_VALUE"""),"算法")</f>
        <v>算法</v>
      </c>
      <c r="K564" s="2" t="s">
        <v>5011</v>
      </c>
    </row>
    <row r="565">
      <c r="A565" s="47">
        <v>813.0</v>
      </c>
      <c r="B565" s="86" t="str">
        <f>IFERROR(__xludf.DUMMYFUNCTION("IF(ISBLANK(A565),,FILTER('Leetcode List'!B:C,'Leetcode List'!A:A = A565))"),"Largest Sum of Averages")</f>
        <v>Largest Sum of Averages</v>
      </c>
      <c r="C565" s="85" t="str">
        <f>IFERROR(__xludf.DUMMYFUNCTION("""COMPUTED_VALUE"""),"Medium")</f>
        <v>Medium</v>
      </c>
      <c r="D565" s="47" t="s">
        <v>76</v>
      </c>
      <c r="E565" s="90" t="str">
        <f>IFERROR(__xludf.DUMMYFUNCTION("IF(ISBLANK(A565),,FILTER('Leetcode List'!E:J,'Leetcode List'!A:A = A565))"),"Amazon,Bloomberg,Google")</f>
        <v>Amazon,Bloomberg,Google</v>
      </c>
      <c r="F565" s="85"/>
      <c r="G565" s="85" t="str">
        <f>IFERROR(__xludf.DUMMYFUNCTION("""COMPUTED_VALUE"""),"Amazon")</f>
        <v>Amazon</v>
      </c>
      <c r="H565" s="85" t="str">
        <f>IFERROR(__xludf.DUMMYFUNCTION("""COMPUTED_VALUE"""),"Bloomberg,Google,Amazon")</f>
        <v>Bloomberg,Google,Amazon</v>
      </c>
      <c r="I565" s="85">
        <f>IFERROR(__xludf.DUMMYFUNCTION("""COMPUTED_VALUE"""),51.16)</f>
        <v>51.16</v>
      </c>
      <c r="J565" s="85" t="str">
        <f>IFERROR(__xludf.DUMMYFUNCTION("""COMPUTED_VALUE"""),"算法")</f>
        <v>算法</v>
      </c>
      <c r="K565" s="2" t="s">
        <v>5011</v>
      </c>
    </row>
    <row r="566">
      <c r="A566" s="47">
        <v>1278.0</v>
      </c>
      <c r="B566" s="86" t="str">
        <f>IFERROR(__xludf.DUMMYFUNCTION("IF(ISBLANK(A566),,FILTER('Leetcode List'!B:C,'Leetcode List'!A:A = A566))"),"Palindrome Partitioning III")</f>
        <v>Palindrome Partitioning III</v>
      </c>
      <c r="C566" s="85" t="str">
        <f>IFERROR(__xludf.DUMMYFUNCTION("""COMPUTED_VALUE"""),"Hard")</f>
        <v>Hard</v>
      </c>
      <c r="D566" s="47" t="s">
        <v>76</v>
      </c>
      <c r="E566" s="90" t="str">
        <f>IFERROR(__xludf.DUMMYFUNCTION("IF(ISBLANK(A566),,FILTER('Leetcode List'!E:J,'Leetcode List'!A:A = A566))"),"Apple,Uber")</f>
        <v>Apple,Uber</v>
      </c>
      <c r="F566" s="85"/>
      <c r="G566" s="85"/>
      <c r="H566" s="85" t="str">
        <f>IFERROR(__xludf.DUMMYFUNCTION("""COMPUTED_VALUE"""),"Uber,Apple")</f>
        <v>Uber,Apple</v>
      </c>
      <c r="I566" s="85">
        <f>IFERROR(__xludf.DUMMYFUNCTION("""COMPUTED_VALUE"""),61.05)</f>
        <v>61.05</v>
      </c>
      <c r="J566" s="85" t="str">
        <f>IFERROR(__xludf.DUMMYFUNCTION("""COMPUTED_VALUE"""),"算法")</f>
        <v>算法</v>
      </c>
      <c r="K566" s="2" t="s">
        <v>5011</v>
      </c>
    </row>
    <row r="567">
      <c r="A567" s="47">
        <v>1335.0</v>
      </c>
      <c r="B567" s="86" t="str">
        <f>IFERROR(__xludf.DUMMYFUNCTION("IF(ISBLANK(A567),,FILTER('Leetcode List'!B:C,'Leetcode List'!A:A = A567))"),"Minimum Difficulty of a Job Schedule")</f>
        <v>Minimum Difficulty of a Job Schedule</v>
      </c>
      <c r="C567" s="85" t="str">
        <f>IFERROR(__xludf.DUMMYFUNCTION("""COMPUTED_VALUE"""),"Hard")</f>
        <v>Hard</v>
      </c>
      <c r="D567" s="47" t="s">
        <v>76</v>
      </c>
      <c r="E567" s="90" t="str">
        <f>IFERROR(__xludf.DUMMYFUNCTION("IF(ISBLANK(A567),,FILTER('Leetcode List'!E:J,'Leetcode List'!A:A = A567))"),"Swiggy,SAP,Amazon,Turvo")</f>
        <v>Swiggy,SAP,Amazon,Turvo</v>
      </c>
      <c r="F567" s="85" t="str">
        <f>IFERROR(__xludf.DUMMYFUNCTION("""COMPUTED_VALUE"""),"Amazon,Swiggy")</f>
        <v>Amazon,Swiggy</v>
      </c>
      <c r="G567" s="85" t="str">
        <f>IFERROR(__xludf.DUMMYFUNCTION("""COMPUTED_VALUE"""),"SAP,Amazon,Swiggy")</f>
        <v>SAP,Amazon,Swiggy</v>
      </c>
      <c r="H567" s="85" t="str">
        <f>IFERROR(__xludf.DUMMYFUNCTION("""COMPUTED_VALUE"""),"Turvo,SAP,Amazon,Swiggy")</f>
        <v>Turvo,SAP,Amazon,Swiggy</v>
      </c>
      <c r="I567" s="85">
        <f>IFERROR(__xludf.DUMMYFUNCTION("""COMPUTED_VALUE"""),56.77)</f>
        <v>56.77</v>
      </c>
      <c r="J567" s="85" t="str">
        <f>IFERROR(__xludf.DUMMYFUNCTION("""COMPUTED_VALUE"""),"算法")</f>
        <v>算法</v>
      </c>
      <c r="K567" s="2" t="s">
        <v>5011</v>
      </c>
    </row>
    <row r="568">
      <c r="A568" s="47">
        <v>1478.0</v>
      </c>
      <c r="B568" s="86" t="str">
        <f>IFERROR(__xludf.DUMMYFUNCTION("IF(ISBLANK(A568),,FILTER('Leetcode List'!B:C,'Leetcode List'!A:A = A568))"),"Allocate Mailboxes")</f>
        <v>Allocate Mailboxes</v>
      </c>
      <c r="C568" s="85" t="str">
        <f>IFERROR(__xludf.DUMMYFUNCTION("""COMPUTED_VALUE"""),"Hard")</f>
        <v>Hard</v>
      </c>
      <c r="D568" s="47" t="s">
        <v>76</v>
      </c>
      <c r="E568" s="90" t="str">
        <f>IFERROR(__xludf.DUMMYFUNCTION("IF(ISBLANK(A568),,FILTER('Leetcode List'!E:J,'Leetcode List'!A:A = A568))"),"Amazon,Bloomberg")</f>
        <v>Amazon,Bloomberg</v>
      </c>
      <c r="F568" s="85" t="str">
        <f>IFERROR(__xludf.DUMMYFUNCTION("""COMPUTED_VALUE"""),"Bloomberg")</f>
        <v>Bloomberg</v>
      </c>
      <c r="G568" s="85" t="str">
        <f>IFERROR(__xludf.DUMMYFUNCTION("""COMPUTED_VALUE"""),"Amazon,Bloomberg")</f>
        <v>Amazon,Bloomberg</v>
      </c>
      <c r="H568" s="85" t="str">
        <f>IFERROR(__xludf.DUMMYFUNCTION("""COMPUTED_VALUE"""),"Amazon,Bloomberg")</f>
        <v>Amazon,Bloomberg</v>
      </c>
      <c r="I568" s="85">
        <f>IFERROR(__xludf.DUMMYFUNCTION("""COMPUTED_VALUE"""),53.98)</f>
        <v>53.98</v>
      </c>
      <c r="J568" s="85" t="str">
        <f>IFERROR(__xludf.DUMMYFUNCTION("""COMPUTED_VALUE"""),"算法")</f>
        <v>算法</v>
      </c>
      <c r="K568" s="2" t="s">
        <v>5011</v>
      </c>
    </row>
    <row r="569">
      <c r="A569" s="47">
        <v>131.0</v>
      </c>
      <c r="B569" s="86" t="str">
        <f>IFERROR(__xludf.DUMMYFUNCTION("IF(ISBLANK(A569),,FILTER('Leetcode List'!B:C,'Leetcode List'!A:A = A569))"),"Palindrome Partitioning")</f>
        <v>Palindrome Partitioning</v>
      </c>
      <c r="C569" s="85" t="str">
        <f>IFERROR(__xludf.DUMMYFUNCTION("""COMPUTED_VALUE"""),"Medium")</f>
        <v>Medium</v>
      </c>
      <c r="D569" s="47" t="s">
        <v>76</v>
      </c>
      <c r="E569" s="90" t="str">
        <f>IFERROR(__xludf.DUMMYFUNCTION("IF(ISBLANK(A569),,FILTER('Leetcode List'!E:J,'Leetcode List'!A:A = A569))"),"Apple,Facebook,Microsoft,Qualtrics,Uber,Yahoo,Bloomberg,Adobe,Amazon,Google")</f>
        <v>Apple,Facebook,Microsoft,Qualtrics,Uber,Yahoo,Bloomberg,Adobe,Amazon,Google</v>
      </c>
      <c r="F569" s="85" t="str">
        <f>IFERROR(__xludf.DUMMYFUNCTION("""COMPUTED_VALUE"""),"Amazon,Apple,Google")</f>
        <v>Amazon,Apple,Google</v>
      </c>
      <c r="G569" s="85" t="str">
        <f>IFERROR(__xludf.DUMMYFUNCTION("""COMPUTED_VALUE"""),"Microsoft,Facebook,Amazon,Apple,Google")</f>
        <v>Microsoft,Facebook,Amazon,Apple,Google</v>
      </c>
      <c r="H569" s="85" t="str">
        <f>IFERROR(__xludf.DUMMYFUNCTION("""COMPUTED_VALUE"""),"Uber,Adobe,Bloomberg,Yahoo,Qualtrics,Microsoft,Facebook,Amazon,Apple,Google")</f>
        <v>Uber,Adobe,Bloomberg,Yahoo,Qualtrics,Microsoft,Facebook,Amazon,Apple,Google</v>
      </c>
      <c r="I569" s="85">
        <f>IFERROR(__xludf.DUMMYFUNCTION("""COMPUTED_VALUE"""),52.33)</f>
        <v>52.33</v>
      </c>
      <c r="J569" s="85" t="str">
        <f>IFERROR(__xludf.DUMMYFUNCTION("""COMPUTED_VALUE"""),"算法")</f>
        <v>算法</v>
      </c>
      <c r="K569" s="2" t="s">
        <v>5012</v>
      </c>
    </row>
    <row r="570">
      <c r="A570" s="47">
        <v>312.0</v>
      </c>
      <c r="B570" s="86" t="str">
        <f>IFERROR(__xludf.DUMMYFUNCTION("IF(ISBLANK(A570),,FILTER('Leetcode List'!B:C,'Leetcode List'!A:A = A570))"),"Burst Balloons")</f>
        <v>Burst Balloons</v>
      </c>
      <c r="C570" s="85" t="str">
        <f>IFERROR(__xludf.DUMMYFUNCTION("""COMPUTED_VALUE"""),"Hard")</f>
        <v>Hard</v>
      </c>
      <c r="D570" s="47" t="s">
        <v>76</v>
      </c>
      <c r="E570" s="90" t="str">
        <f>IFERROR(__xludf.DUMMYFUNCTION("IF(ISBLANK(A570),,FILTER('Leetcode List'!E:J,'Leetcode List'!A:A = A570))"),"Codenation,Uber,Bloomberg,Snapchat,Samsung,Adobe,Facebook,Amazon,Google")</f>
        <v>Codenation,Uber,Bloomberg,Snapchat,Samsung,Adobe,Facebook,Amazon,Google</v>
      </c>
      <c r="F570" s="85" t="str">
        <f>IFERROR(__xludf.DUMMYFUNCTION("""COMPUTED_VALUE"""),"Adobe,Codenation,Bloomberg")</f>
        <v>Adobe,Codenation,Bloomberg</v>
      </c>
      <c r="G570" s="85" t="str">
        <f>IFERROR(__xludf.DUMMYFUNCTION("""COMPUTED_VALUE"""),"Amazon,Samsung,Google,Adobe,Codenation,Bloomberg")</f>
        <v>Amazon,Samsung,Google,Adobe,Codenation,Bloomberg</v>
      </c>
      <c r="H570" s="85" t="str">
        <f>IFERROR(__xludf.DUMMYFUNCTION("""COMPUTED_VALUE"""),"Facebook,Uber,Snapchat,Amazon,Samsung,Google,Adobe,Codenation,Bloomberg")</f>
        <v>Facebook,Uber,Snapchat,Amazon,Samsung,Google,Adobe,Codenation,Bloomberg</v>
      </c>
      <c r="I570" s="85">
        <f>IFERROR(__xludf.DUMMYFUNCTION("""COMPUTED_VALUE"""),53.82)</f>
        <v>53.82</v>
      </c>
      <c r="J570" s="85" t="str">
        <f>IFERROR(__xludf.DUMMYFUNCTION("""COMPUTED_VALUE"""),"算法")</f>
        <v>算法</v>
      </c>
      <c r="K570" s="2" t="s">
        <v>5012</v>
      </c>
    </row>
    <row r="571">
      <c r="A571" s="47">
        <v>375.0</v>
      </c>
      <c r="B571" s="86" t="str">
        <f>IFERROR(__xludf.DUMMYFUNCTION("IF(ISBLANK(A571),,FILTER('Leetcode List'!B:C,'Leetcode List'!A:A = A571))"),"Guess Number Higher or Lower II")</f>
        <v>Guess Number Higher or Lower II</v>
      </c>
      <c r="C571" s="85" t="str">
        <f>IFERROR(__xludf.DUMMYFUNCTION("""COMPUTED_VALUE"""),"Medium")</f>
        <v>Medium</v>
      </c>
      <c r="D571" s="47" t="s">
        <v>76</v>
      </c>
      <c r="E571" s="90" t="str">
        <f>IFERROR(__xludf.DUMMYFUNCTION("IF(ISBLANK(A571),,FILTER('Leetcode List'!E:J,'Leetcode List'!A:A = A571))"),"Adobe,Google")</f>
        <v>Adobe,Google</v>
      </c>
      <c r="F571" s="85"/>
      <c r="G571" s="85" t="str">
        <f>IFERROR(__xludf.DUMMYFUNCTION("""COMPUTED_VALUE"""),"Google")</f>
        <v>Google</v>
      </c>
      <c r="H571" s="85" t="str">
        <f>IFERROR(__xludf.DUMMYFUNCTION("""COMPUTED_VALUE"""),"Google")</f>
        <v>Google</v>
      </c>
      <c r="I571" s="85">
        <f>IFERROR(__xludf.DUMMYFUNCTION("""COMPUTED_VALUE"""),42.28)</f>
        <v>42.28</v>
      </c>
      <c r="J571" s="85" t="str">
        <f>IFERROR(__xludf.DUMMYFUNCTION("""COMPUTED_VALUE"""),"算法")</f>
        <v>算法</v>
      </c>
      <c r="K571" s="2" t="s">
        <v>5012</v>
      </c>
    </row>
    <row r="572">
      <c r="A572" s="47">
        <v>471.0</v>
      </c>
      <c r="B572" s="86" t="str">
        <f>IFERROR(__xludf.DUMMYFUNCTION("IF(ISBLANK(A572),,FILTER('Leetcode List'!B:C,'Leetcode List'!A:A = A572))"),"Encode String with Shortest Length")</f>
        <v>Encode String with Shortest Length</v>
      </c>
      <c r="C572" s="85" t="str">
        <f>IFERROR(__xludf.DUMMYFUNCTION("""COMPUTED_VALUE"""),"Hard")</f>
        <v>Hard</v>
      </c>
      <c r="D572" s="47" t="s">
        <v>76</v>
      </c>
      <c r="E572" s="90" t="str">
        <f>IFERROR(__xludf.DUMMYFUNCTION("IF(ISBLANK(A572),,FILTER('Leetcode List'!E:J,'Leetcode List'!A:A = A572))"),"Amazon,Google")</f>
        <v>Amazon,Google</v>
      </c>
      <c r="F572" s="85" t="str">
        <f>IFERROR(__xludf.DUMMYFUNCTION("""COMPUTED_VALUE"""),"Google")</f>
        <v>Google</v>
      </c>
      <c r="G572" s="85" t="str">
        <f>IFERROR(__xludf.DUMMYFUNCTION("""COMPUTED_VALUE"""),"Amazon,Google")</f>
        <v>Amazon,Google</v>
      </c>
      <c r="H572" s="85" t="str">
        <f>IFERROR(__xludf.DUMMYFUNCTION("""COMPUTED_VALUE"""),"Amazon,Google")</f>
        <v>Amazon,Google</v>
      </c>
      <c r="I572" s="85">
        <f>IFERROR(__xludf.DUMMYFUNCTION("""COMPUTED_VALUE"""),49.36)</f>
        <v>49.36</v>
      </c>
      <c r="J572" s="85" t="str">
        <f>IFERROR(__xludf.DUMMYFUNCTION("""COMPUTED_VALUE"""),"算法")</f>
        <v>算法</v>
      </c>
      <c r="K572" s="2" t="s">
        <v>5012</v>
      </c>
    </row>
    <row r="573">
      <c r="A573" s="47">
        <v>516.0</v>
      </c>
      <c r="B573" s="86" t="str">
        <f>IFERROR(__xludf.DUMMYFUNCTION("IF(ISBLANK(A573),,FILTER('Leetcode List'!B:C,'Leetcode List'!A:A = A573))"),"Longest Palindromic Subsequence")</f>
        <v>Longest Palindromic Subsequence</v>
      </c>
      <c r="C573" s="85" t="str">
        <f>IFERROR(__xludf.DUMMYFUNCTION("""COMPUTED_VALUE"""),"Medium")</f>
        <v>Medium</v>
      </c>
      <c r="D573" s="47" t="s">
        <v>76</v>
      </c>
      <c r="E573" s="90" t="str">
        <f>IFERROR(__xludf.DUMMYFUNCTION("IF(ISBLANK(A573),,FILTER('Leetcode List'!E:J,'Leetcode List'!A:A = A573))"),"EBay,Goldman Sachs,Apple,Uber,Bloomberg,Facebook,Amazon,LinkedIn,Microsoft")</f>
        <v>EBay,Goldman Sachs,Apple,Uber,Bloomberg,Facebook,Amazon,LinkedIn,Microsoft</v>
      </c>
      <c r="F573" s="85" t="str">
        <f>IFERROR(__xludf.DUMMYFUNCTION("""COMPUTED_VALUE"""),"Amazon")</f>
        <v>Amazon</v>
      </c>
      <c r="G573" s="85" t="str">
        <f>IFERROR(__xludf.DUMMYFUNCTION("""COMPUTED_VALUE"""),"Microsoft,Facebook,eBay,Amazon")</f>
        <v>Microsoft,Facebook,eBay,Amazon</v>
      </c>
      <c r="H573" s="85" t="str">
        <f>IFERROR(__xludf.DUMMYFUNCTION("""COMPUTED_VALUE"""),"LinkedIn,Bloomberg,Goldman Sachs,Apple,Uber,Microsoft,Facebook,eBay,Amazon")</f>
        <v>LinkedIn,Bloomberg,Goldman Sachs,Apple,Uber,Microsoft,Facebook,eBay,Amazon</v>
      </c>
      <c r="I573" s="85">
        <f>IFERROR(__xludf.DUMMYFUNCTION("""COMPUTED_VALUE"""),55.61)</f>
        <v>55.61</v>
      </c>
      <c r="J573" s="85" t="str">
        <f>IFERROR(__xludf.DUMMYFUNCTION("""COMPUTED_VALUE"""),"算法")</f>
        <v>算法</v>
      </c>
      <c r="K573" s="2" t="s">
        <v>5012</v>
      </c>
    </row>
    <row r="574">
      <c r="A574" s="47">
        <v>546.0</v>
      </c>
      <c r="B574" s="86" t="str">
        <f>IFERROR(__xludf.DUMMYFUNCTION("IF(ISBLANK(A574),,FILTER('Leetcode List'!B:C,'Leetcode List'!A:A = A574))"),"Remove Boxes")</f>
        <v>Remove Boxes</v>
      </c>
      <c r="C574" s="85" t="str">
        <f>IFERROR(__xludf.DUMMYFUNCTION("""COMPUTED_VALUE"""),"Hard")</f>
        <v>Hard</v>
      </c>
      <c r="D574" s="47" t="s">
        <v>76</v>
      </c>
      <c r="E574" s="90" t="str">
        <f>IFERROR(__xludf.DUMMYFUNCTION("IF(ISBLANK(A574),,FILTER('Leetcode List'!E:J,'Leetcode List'!A:A = A574))"),"Apple,Amazon,Tencent")</f>
        <v>Apple,Amazon,Tencent</v>
      </c>
      <c r="F574" s="85"/>
      <c r="G574" s="85" t="str">
        <f>IFERROR(__xludf.DUMMYFUNCTION("""COMPUTED_VALUE"""),"Apple,Amazon")</f>
        <v>Apple,Amazon</v>
      </c>
      <c r="H574" s="85" t="str">
        <f>IFERROR(__xludf.DUMMYFUNCTION("""COMPUTED_VALUE"""),"Tencent,Apple,Amazon")</f>
        <v>Tencent,Apple,Amazon</v>
      </c>
      <c r="I574" s="85">
        <f>IFERROR(__xludf.DUMMYFUNCTION("""COMPUTED_VALUE"""),44.1)</f>
        <v>44.1</v>
      </c>
      <c r="J574" s="85" t="str">
        <f>IFERROR(__xludf.DUMMYFUNCTION("""COMPUTED_VALUE"""),"算法")</f>
        <v>算法</v>
      </c>
      <c r="K574" s="2" t="s">
        <v>5012</v>
      </c>
    </row>
    <row r="575">
      <c r="A575" s="47">
        <v>664.0</v>
      </c>
      <c r="B575" s="86" t="str">
        <f>IFERROR(__xludf.DUMMYFUNCTION("IF(ISBLANK(A575),,FILTER('Leetcode List'!B:C,'Leetcode List'!A:A = A575))"),"Strange Printer")</f>
        <v>Strange Printer</v>
      </c>
      <c r="C575" s="85" t="str">
        <f>IFERROR(__xludf.DUMMYFUNCTION("""COMPUTED_VALUE"""),"Hard")</f>
        <v>Hard</v>
      </c>
      <c r="D575" s="47" t="s">
        <v>76</v>
      </c>
      <c r="E575" s="90" t="str">
        <f>IFERROR(__xludf.DUMMYFUNCTION("IF(ISBLANK(A575),,FILTER('Leetcode List'!E:J,'Leetcode List'!A:A = A575))"),"NetEase")</f>
        <v>NetEase</v>
      </c>
      <c r="F575" s="85"/>
      <c r="G575" s="85"/>
      <c r="H575" s="85" t="str">
        <f>IFERROR(__xludf.DUMMYFUNCTION("""COMPUTED_VALUE"""),"NetEase")</f>
        <v>NetEase</v>
      </c>
      <c r="I575" s="85">
        <f>IFERROR(__xludf.DUMMYFUNCTION("""COMPUTED_VALUE"""),41.51)</f>
        <v>41.51</v>
      </c>
      <c r="J575" s="85" t="str">
        <f>IFERROR(__xludf.DUMMYFUNCTION("""COMPUTED_VALUE"""),"算法")</f>
        <v>算法</v>
      </c>
      <c r="K575" s="2" t="s">
        <v>5012</v>
      </c>
    </row>
    <row r="576">
      <c r="A576" s="47">
        <v>730.0</v>
      </c>
      <c r="B576" s="86" t="str">
        <f>IFERROR(__xludf.DUMMYFUNCTION("IF(ISBLANK(A576),,FILTER('Leetcode List'!B:C,'Leetcode List'!A:A = A576))"),"Count Different Palindromic Subsequences")</f>
        <v>Count Different Palindromic Subsequences</v>
      </c>
      <c r="C576" s="85" t="str">
        <f>IFERROR(__xludf.DUMMYFUNCTION("""COMPUTED_VALUE"""),"Hard")</f>
        <v>Hard</v>
      </c>
      <c r="D576" s="47" t="s">
        <v>76</v>
      </c>
      <c r="E576" s="90" t="str">
        <f>IFERROR(__xludf.DUMMYFUNCTION("IF(ISBLANK(A576),,FILTER('Leetcode List'!E:J,'Leetcode List'!A:A = A576))"),"Facebook,Pure Storage,LinkedIn,Google")</f>
        <v>Facebook,Pure Storage,LinkedIn,Google</v>
      </c>
      <c r="F576" s="85"/>
      <c r="G576" s="85"/>
      <c r="H576" s="85" t="str">
        <f>IFERROR(__xludf.DUMMYFUNCTION("""COMPUTED_VALUE"""),"LinkedIn,Google,Facebook")</f>
        <v>LinkedIn,Google,Facebook</v>
      </c>
      <c r="I576" s="85">
        <f>IFERROR(__xludf.DUMMYFUNCTION("""COMPUTED_VALUE"""),43.43)</f>
        <v>43.43</v>
      </c>
      <c r="J576" s="85" t="str">
        <f>IFERROR(__xludf.DUMMYFUNCTION("""COMPUTED_VALUE"""),"算法")</f>
        <v>算法</v>
      </c>
      <c r="K576" s="2" t="s">
        <v>5012</v>
      </c>
    </row>
    <row r="577">
      <c r="A577" s="47">
        <v>1000.0</v>
      </c>
      <c r="B577" s="86" t="str">
        <f>IFERROR(__xludf.DUMMYFUNCTION("IF(ISBLANK(A577),,FILTER('Leetcode List'!B:C,'Leetcode List'!A:A = A577))"),"Minimum Cost to Merge Stones")</f>
        <v>Minimum Cost to Merge Stones</v>
      </c>
      <c r="C577" s="85" t="str">
        <f>IFERROR(__xludf.DUMMYFUNCTION("""COMPUTED_VALUE"""),"Hard")</f>
        <v>Hard</v>
      </c>
      <c r="D577" s="47" t="s">
        <v>76</v>
      </c>
      <c r="E577" s="90" t="str">
        <f>IFERROR(__xludf.DUMMYFUNCTION("IF(ISBLANK(A577),,FILTER('Leetcode List'!E:J,'Leetcode List'!A:A = A577))"),"Amazon,Google")</f>
        <v>Amazon,Google</v>
      </c>
      <c r="F577" s="85" t="str">
        <f>IFERROR(__xludf.DUMMYFUNCTION("""COMPUTED_VALUE"""),"Amazon")</f>
        <v>Amazon</v>
      </c>
      <c r="G577" s="85" t="str">
        <f>IFERROR(__xludf.DUMMYFUNCTION("""COMPUTED_VALUE"""),"Amazon")</f>
        <v>Amazon</v>
      </c>
      <c r="H577" s="85" t="str">
        <f>IFERROR(__xludf.DUMMYFUNCTION("""COMPUTED_VALUE"""),"Google,Amazon")</f>
        <v>Google,Amazon</v>
      </c>
      <c r="I577" s="85">
        <f>IFERROR(__xludf.DUMMYFUNCTION("""COMPUTED_VALUE"""),40.49)</f>
        <v>40.49</v>
      </c>
      <c r="J577" s="85" t="str">
        <f>IFERROR(__xludf.DUMMYFUNCTION("""COMPUTED_VALUE"""),"算法")</f>
        <v>算法</v>
      </c>
      <c r="K577" s="2" t="s">
        <v>5012</v>
      </c>
    </row>
    <row r="578">
      <c r="A578" s="47">
        <v>1130.0</v>
      </c>
      <c r="B578" s="86" t="str">
        <f>IFERROR(__xludf.DUMMYFUNCTION("IF(ISBLANK(A578),,FILTER('Leetcode List'!B:C,'Leetcode List'!A:A = A578))"),"Minimum Cost Tree From Leaf Values")</f>
        <v>Minimum Cost Tree From Leaf Values</v>
      </c>
      <c r="C578" s="85" t="str">
        <f>IFERROR(__xludf.DUMMYFUNCTION("""COMPUTED_VALUE"""),"Medium")</f>
        <v>Medium</v>
      </c>
      <c r="D578" s="47" t="s">
        <v>76</v>
      </c>
      <c r="E578" s="90" t="str">
        <f>IFERROR(__xludf.DUMMYFUNCTION("IF(ISBLANK(A578),,FILTER('Leetcode List'!E:J,'Leetcode List'!A:A = A578))"),"Bloomberg,Mathworks,Amazon")</f>
        <v>Bloomberg,Mathworks,Amazon</v>
      </c>
      <c r="F578" s="85" t="str">
        <f>IFERROR(__xludf.DUMMYFUNCTION("""COMPUTED_VALUE"""),"Amazon")</f>
        <v>Amazon</v>
      </c>
      <c r="G578" s="85" t="str">
        <f>IFERROR(__xludf.DUMMYFUNCTION("""COMPUTED_VALUE"""),"Mathworks,Bloomberg,Amazon")</f>
        <v>Mathworks,Bloomberg,Amazon</v>
      </c>
      <c r="H578" s="85" t="str">
        <f>IFERROR(__xludf.DUMMYFUNCTION("""COMPUTED_VALUE"""),"Mathworks,Bloomberg,Amazon")</f>
        <v>Mathworks,Bloomberg,Amazon</v>
      </c>
      <c r="I578" s="85">
        <f>IFERROR(__xludf.DUMMYFUNCTION("""COMPUTED_VALUE"""),67.28)</f>
        <v>67.28</v>
      </c>
      <c r="J578" s="85" t="str">
        <f>IFERROR(__xludf.DUMMYFUNCTION("""COMPUTED_VALUE"""),"算法")</f>
        <v>算法</v>
      </c>
      <c r="K578" s="2" t="s">
        <v>5012</v>
      </c>
    </row>
    <row r="579">
      <c r="A579" s="47">
        <v>1246.0</v>
      </c>
      <c r="B579" s="86" t="str">
        <f>IFERROR(__xludf.DUMMYFUNCTION("IF(ISBLANK(A579),,FILTER('Leetcode List'!B:C,'Leetcode List'!A:A = A579))"),"Palindrome Removal")</f>
        <v>Palindrome Removal</v>
      </c>
      <c r="C579" s="85" t="str">
        <f>IFERROR(__xludf.DUMMYFUNCTION("""COMPUTED_VALUE"""),"Hard")</f>
        <v>Hard</v>
      </c>
      <c r="D579" s="47" t="s">
        <v>76</v>
      </c>
      <c r="E579" s="90" t="str">
        <f>IFERROR(__xludf.DUMMYFUNCTION("IF(ISBLANK(A579),,FILTER('Leetcode List'!E:J,'Leetcode List'!A:A = A579))"),"Microsoft")</f>
        <v>Microsoft</v>
      </c>
      <c r="F579" s="85"/>
      <c r="G579" s="85" t="str">
        <f>IFERROR(__xludf.DUMMYFUNCTION("""COMPUTED_VALUE"""),"Microsoft")</f>
        <v>Microsoft</v>
      </c>
      <c r="H579" s="85" t="str">
        <f>IFERROR(__xludf.DUMMYFUNCTION("""COMPUTED_VALUE"""),"Microsoft")</f>
        <v>Microsoft</v>
      </c>
      <c r="I579" s="85">
        <f>IFERROR(__xludf.DUMMYFUNCTION("""COMPUTED_VALUE"""),45.98)</f>
        <v>45.98</v>
      </c>
      <c r="J579" s="85" t="str">
        <f>IFERROR(__xludf.DUMMYFUNCTION("""COMPUTED_VALUE"""),"算法")</f>
        <v>算法</v>
      </c>
      <c r="K579" s="2" t="s">
        <v>5012</v>
      </c>
    </row>
    <row r="580">
      <c r="A580" s="47">
        <v>1039.0</v>
      </c>
      <c r="B580" s="86" t="str">
        <f>IFERROR(__xludf.DUMMYFUNCTION("IF(ISBLANK(A580),,FILTER('Leetcode List'!B:C,'Leetcode List'!A:A = A580))"),"Minimum Score Triangulation of Polygon")</f>
        <v>Minimum Score Triangulation of Polygon</v>
      </c>
      <c r="C580" s="85" t="str">
        <f>IFERROR(__xludf.DUMMYFUNCTION("""COMPUTED_VALUE"""),"Medium")</f>
        <v>Medium</v>
      </c>
      <c r="D580" s="47" t="s">
        <v>76</v>
      </c>
      <c r="E580" s="90" t="str">
        <f>IFERROR(__xludf.DUMMYFUNCTION("IF(ISBLANK(A580),,FILTER('Leetcode List'!E:J,'Leetcode List'!A:A = A580))"),"Uber")</f>
        <v>Uber</v>
      </c>
      <c r="F580" s="85"/>
      <c r="G580" s="85"/>
      <c r="H580" s="85" t="str">
        <f>IFERROR(__xludf.DUMMYFUNCTION("""COMPUTED_VALUE"""),"Uber")</f>
        <v>Uber</v>
      </c>
      <c r="I580" s="85">
        <f>IFERROR(__xludf.DUMMYFUNCTION("""COMPUTED_VALUE"""),50.18)</f>
        <v>50.18</v>
      </c>
      <c r="J580" s="85" t="str">
        <f>IFERROR(__xludf.DUMMYFUNCTION("""COMPUTED_VALUE"""),"算法")</f>
        <v>算法</v>
      </c>
      <c r="K580" s="2" t="s">
        <v>5012</v>
      </c>
    </row>
    <row r="581">
      <c r="A581" s="47">
        <v>1547.0</v>
      </c>
      <c r="B581" s="86" t="str">
        <f>IFERROR(__xludf.DUMMYFUNCTION("IF(ISBLANK(A581),,FILTER('Leetcode List'!B:C,'Leetcode List'!A:A = A581))"),"Minimum Cost to Cut a Stick")</f>
        <v>Minimum Cost to Cut a Stick</v>
      </c>
      <c r="C581" s="85" t="str">
        <f>IFERROR(__xludf.DUMMYFUNCTION("""COMPUTED_VALUE"""),"Hard")</f>
        <v>Hard</v>
      </c>
      <c r="D581" s="47" t="s">
        <v>76</v>
      </c>
      <c r="E581" s="90" t="str">
        <f>IFERROR(__xludf.DUMMYFUNCTION("IF(ISBLANK(A581),,FILTER('Leetcode List'!E:J,'Leetcode List'!A:A = A581))"),"Google")</f>
        <v>Google</v>
      </c>
      <c r="F581" s="85"/>
      <c r="G581" s="85"/>
      <c r="H581" s="85" t="str">
        <f>IFERROR(__xludf.DUMMYFUNCTION("""COMPUTED_VALUE"""),"Google")</f>
        <v>Google</v>
      </c>
      <c r="I581" s="85">
        <f>IFERROR(__xludf.DUMMYFUNCTION("""COMPUTED_VALUE"""),52.9)</f>
        <v>52.9</v>
      </c>
      <c r="J581" s="85" t="str">
        <f>IFERROR(__xludf.DUMMYFUNCTION("""COMPUTED_VALUE"""),"算法")</f>
        <v>算法</v>
      </c>
      <c r="K581" s="2" t="s">
        <v>5012</v>
      </c>
    </row>
    <row r="582">
      <c r="A582" s="47">
        <v>1682.0</v>
      </c>
      <c r="B582" s="86" t="str">
        <f>IFERROR(__xludf.DUMMYFUNCTION("IF(ISBLANK(A582),,FILTER('Leetcode List'!B:C,'Leetcode List'!A:A = A582))"),"Longest Palindromic Subsequence II")</f>
        <v>Longest Palindromic Subsequence II</v>
      </c>
      <c r="C582" s="85" t="str">
        <f>IFERROR(__xludf.DUMMYFUNCTION("""COMPUTED_VALUE"""),"Medium")</f>
        <v>Medium</v>
      </c>
      <c r="D582" s="47" t="s">
        <v>76</v>
      </c>
      <c r="E582" s="90" t="str">
        <f>IFERROR(__xludf.DUMMYFUNCTION("IF(ISBLANK(A582),,FILTER('Leetcode List'!E:J,'Leetcode List'!A:A = A582))"),"Codenation")</f>
        <v>Codenation</v>
      </c>
      <c r="F582" s="85"/>
      <c r="G582" s="85"/>
      <c r="H582" s="85" t="str">
        <f>IFERROR(__xludf.DUMMYFUNCTION("""COMPUTED_VALUE"""),"Codenation")</f>
        <v>Codenation</v>
      </c>
      <c r="I582" s="85">
        <f>IFERROR(__xludf.DUMMYFUNCTION("""COMPUTED_VALUE"""),51.59)</f>
        <v>51.59</v>
      </c>
      <c r="J582" s="85" t="str">
        <f>IFERROR(__xludf.DUMMYFUNCTION("""COMPUTED_VALUE"""),"算法")</f>
        <v>算法</v>
      </c>
      <c r="K582" s="2" t="s">
        <v>5012</v>
      </c>
    </row>
    <row r="583">
      <c r="A583" s="47">
        <v>1690.0</v>
      </c>
      <c r="B583" s="86" t="str">
        <f>IFERROR(__xludf.DUMMYFUNCTION("IF(ISBLANK(A583),,FILTER('Leetcode List'!B:C,'Leetcode List'!A:A = A583))"),"Stone Game VII")</f>
        <v>Stone Game VII</v>
      </c>
      <c r="C583" s="85" t="str">
        <f>IFERROR(__xludf.DUMMYFUNCTION("""COMPUTED_VALUE"""),"Medium")</f>
        <v>Medium</v>
      </c>
      <c r="D583" s="47" t="s">
        <v>76</v>
      </c>
      <c r="E583" s="90" t="str">
        <f>IFERROR(__xludf.DUMMYFUNCTION("IF(ISBLANK(A583),,FILTER('Leetcode List'!E:J,'Leetcode List'!A:A = A583))"),"Dunzo")</f>
        <v>Dunzo</v>
      </c>
      <c r="F583" s="85"/>
      <c r="G583" s="85"/>
      <c r="H583" s="85" t="str">
        <f>IFERROR(__xludf.DUMMYFUNCTION("""COMPUTED_VALUE"""),"Dunzo")</f>
        <v>Dunzo</v>
      </c>
      <c r="I583" s="85">
        <f>IFERROR(__xludf.DUMMYFUNCTION("""COMPUTED_VALUE"""),48.54)</f>
        <v>48.54</v>
      </c>
      <c r="J583" s="85" t="str">
        <f>IFERROR(__xludf.DUMMYFUNCTION("""COMPUTED_VALUE"""),"算法")</f>
        <v>算法</v>
      </c>
      <c r="K583" s="2" t="s">
        <v>5012</v>
      </c>
    </row>
    <row r="584">
      <c r="A584" s="47">
        <v>1745.0</v>
      </c>
      <c r="B584" s="86" t="str">
        <f>IFERROR(__xludf.DUMMYFUNCTION("IF(ISBLANK(A584),,FILTER('Leetcode List'!B:C,'Leetcode List'!A:A = A584))"),"Palindrome Partitioning IV")</f>
        <v>Palindrome Partitioning IV</v>
      </c>
      <c r="C584" s="85" t="str">
        <f>IFERROR(__xludf.DUMMYFUNCTION("""COMPUTED_VALUE"""),"Hard")</f>
        <v>Hard</v>
      </c>
      <c r="D584" s="47" t="s">
        <v>76</v>
      </c>
      <c r="E584" s="90" t="str">
        <f>IFERROR(__xludf.DUMMYFUNCTION("IF(ISBLANK(A584),,FILTER('Leetcode List'!E:J,'Leetcode List'!A:A = A584))"),"Tcs")</f>
        <v>Tcs</v>
      </c>
      <c r="F584" s="85"/>
      <c r="G584" s="85"/>
      <c r="H584" s="85" t="str">
        <f>IFERROR(__xludf.DUMMYFUNCTION("""COMPUTED_VALUE"""),"tcs")</f>
        <v>tcs</v>
      </c>
      <c r="I584" s="85">
        <f>IFERROR(__xludf.DUMMYFUNCTION("""COMPUTED_VALUE"""),49.22)</f>
        <v>49.22</v>
      </c>
      <c r="J584" s="85" t="str">
        <f>IFERROR(__xludf.DUMMYFUNCTION("""COMPUTED_VALUE"""),"算法")</f>
        <v>算法</v>
      </c>
      <c r="K584" s="2" t="s">
        <v>5012</v>
      </c>
    </row>
    <row r="585">
      <c r="A585" s="47">
        <v>1770.0</v>
      </c>
      <c r="B585" s="86" t="str">
        <f>IFERROR(__xludf.DUMMYFUNCTION("IF(ISBLANK(A585),,FILTER('Leetcode List'!B:C,'Leetcode List'!A:A = A585))"),"Maximum Score from Performing Multiplication Operations")</f>
        <v>Maximum Score from Performing Multiplication Operations</v>
      </c>
      <c r="C585" s="85" t="str">
        <f>IFERROR(__xludf.DUMMYFUNCTION("""COMPUTED_VALUE"""),"Medium")</f>
        <v>Medium</v>
      </c>
      <c r="D585" s="47" t="s">
        <v>76</v>
      </c>
      <c r="E585" s="90" t="str">
        <f>IFERROR(__xludf.DUMMYFUNCTION("IF(ISBLANK(A585),,FILTER('Leetcode List'!E:J,'Leetcode List'!A:A = A585))"),"Amazon,Google")</f>
        <v>Amazon,Google</v>
      </c>
      <c r="F585" s="85" t="str">
        <f>IFERROR(__xludf.DUMMYFUNCTION("""COMPUTED_VALUE"""),"Amazon")</f>
        <v>Amazon</v>
      </c>
      <c r="G585" s="85" t="str">
        <f>IFERROR(__xludf.DUMMYFUNCTION("""COMPUTED_VALUE"""),"Amazon")</f>
        <v>Amazon</v>
      </c>
      <c r="H585" s="85" t="str">
        <f>IFERROR(__xludf.DUMMYFUNCTION("""COMPUTED_VALUE"""),"Google,Amazon")</f>
        <v>Google,Amazon</v>
      </c>
      <c r="I585" s="85">
        <f>IFERROR(__xludf.DUMMYFUNCTION("""COMPUTED_VALUE"""),29.05)</f>
        <v>29.05</v>
      </c>
      <c r="J585" s="85" t="str">
        <f>IFERROR(__xludf.DUMMYFUNCTION("""COMPUTED_VALUE"""),"算法")</f>
        <v>算法</v>
      </c>
      <c r="K585" s="2" t="s">
        <v>5012</v>
      </c>
    </row>
    <row r="586">
      <c r="A586" s="47">
        <v>10.0</v>
      </c>
      <c r="B586" s="86" t="str">
        <f>IFERROR(__xludf.DUMMYFUNCTION("IF(ISBLANK(A586),,FILTER('Leetcode List'!B:C,'Leetcode List'!A:A = A586))"),"Regular Expression Matching")</f>
        <v>Regular Expression Matching</v>
      </c>
      <c r="C586" s="85" t="str">
        <f>IFERROR(__xludf.DUMMYFUNCTION("""COMPUTED_VALUE"""),"Hard")</f>
        <v>Hard</v>
      </c>
      <c r="D586" s="47" t="s">
        <v>76</v>
      </c>
      <c r="E586" s="90" t="str">
        <f>IFERROR(__xludf.DUMMYFUNCTION("IF(ISBLANK(A586),,FILTER('Leetcode List'!E:J,'Leetcode List'!A:A = A586))"),"Cloudera,Goldman Sachs,Databricks,Pocket Gems,Palantir Technologies,Coursera,Cruise Automation,Zulily,Houzz,Flipkart,ByteDance,Twitter,Oracle,Lyft,EBay,Apple,Airbnb,Uber,Bloomberg,Adobe,Facebook,Amazon,Microsoft,Alibaba,Google")</f>
        <v>Cloudera,Goldman Sachs,Databricks,Pocket Gems,Palantir Technologies,Coursera,Cruise Automation,Zulily,Houzz,Flipkart,ByteDance,Twitter,Oracle,Lyft,EBay,Apple,Airbnb,Uber,Bloomberg,Adobe,Facebook,Amazon,Microsoft,Alibaba,Google</v>
      </c>
      <c r="F586" s="85" t="str">
        <f>IFERROR(__xludf.DUMMYFUNCTION("""COMPUTED_VALUE"""),"Facebook,Amazon,Coursera,Microsoft,Apple,Google,Adobe,Goldman Sachs")</f>
        <v>Facebook,Amazon,Coursera,Microsoft,Apple,Google,Adobe,Goldman Sachs</v>
      </c>
      <c r="G586" s="85" t="str">
        <f>IFERROR(__xludf.DUMMYFUNCTION("""COMPUTED_VALUE"""),"Bloomberg,Uber,eBay,Databricks,Facebook,Amazon,Coursera,Microsoft,Apple,Google,Adobe,Goldman Sachs")</f>
        <v>Bloomberg,Uber,eBay,Databricks,Facebook,Amazon,Coursera,Microsoft,Apple,Google,Adobe,Goldman Sachs</v>
      </c>
      <c r="H586" s="85" t="str">
        <f>IFERROR(__xludf.DUMMYFUNCTION("""COMPUTED_VALUE"""),"Lyft,Oracle,Twitter,Pocket Gems,Cloudera,Airbnb,Bloomberg,Uber,eBay,Databricks,Facebook,Amazon,Coursera,Microsoft,Apple,Google,Adobe,Goldman Sachs")</f>
        <v>Lyft,Oracle,Twitter,Pocket Gems,Cloudera,Airbnb,Bloomberg,Uber,eBay,Databricks,Facebook,Amazon,Coursera,Microsoft,Apple,Google,Adobe,Goldman Sachs</v>
      </c>
      <c r="I586" s="85">
        <f>IFERROR(__xludf.DUMMYFUNCTION("""COMPUTED_VALUE"""),27.39)</f>
        <v>27.39</v>
      </c>
      <c r="J586" s="85" t="str">
        <f>IFERROR(__xludf.DUMMYFUNCTION("""COMPUTED_VALUE"""),"算法")</f>
        <v>算法</v>
      </c>
      <c r="K586" s="2" t="s">
        <v>5013</v>
      </c>
    </row>
    <row r="587">
      <c r="A587" s="47">
        <v>44.0</v>
      </c>
      <c r="B587" s="86" t="str">
        <f>IFERROR(__xludf.DUMMYFUNCTION("IF(ISBLANK(A587),,FILTER('Leetcode List'!B:C,'Leetcode List'!A:A = A587))"),"Wildcard Matching")</f>
        <v>Wildcard Matching</v>
      </c>
      <c r="C587" s="85" t="str">
        <f>IFERROR(__xludf.DUMMYFUNCTION("""COMPUTED_VALUE"""),"Hard")</f>
        <v>Hard</v>
      </c>
      <c r="D587" s="47" t="s">
        <v>76</v>
      </c>
      <c r="E587" s="90" t="str">
        <f>IFERROR(__xludf.DUMMYFUNCTION("IF(ISBLANK(A587),,FILTER('Leetcode List'!E:J,'Leetcode List'!A:A = A587))"),"Citadel,Apple,Coursera,Cruise Automation,Two Sigma,ByteDance,Snapchat,Twitter,Oracle,Bloomberg,Adobe,Facebook,Amazon,Microsoft,Goldman Sachs,Google")</f>
        <v>Citadel,Apple,Coursera,Cruise Automation,Two Sigma,ByteDance,Snapchat,Twitter,Oracle,Bloomberg,Adobe,Facebook,Amazon,Microsoft,Goldman Sachs,Google</v>
      </c>
      <c r="F587" s="85" t="str">
        <f>IFERROR(__xludf.DUMMYFUNCTION("""COMPUTED_VALUE"""),"Amazon,Adobe,Citadel,Facebook,Microsoft,Google,Coursera,Apple")</f>
        <v>Amazon,Adobe,Citadel,Facebook,Microsoft,Google,Coursera,Apple</v>
      </c>
      <c r="G587" s="85" t="str">
        <f>IFERROR(__xludf.DUMMYFUNCTION("""COMPUTED_VALUE"""),"Goldman Sachs,ByteDance,Bloomberg,Amazon,Adobe,Citadel,Facebook,Microsoft,Google,Coursera,Apple")</f>
        <v>Goldman Sachs,ByteDance,Bloomberg,Amazon,Adobe,Citadel,Facebook,Microsoft,Google,Coursera,Apple</v>
      </c>
      <c r="H587" s="85" t="str">
        <f>IFERROR(__xludf.DUMMYFUNCTION("""COMPUTED_VALUE"""),"Two Sigma,Twitter,Snapchat,Goldman Sachs,ByteDance,Bloomberg,Amazon,Adobe,Citadel,Facebook,Microsoft,Google,Coursera,Apple")</f>
        <v>Two Sigma,Twitter,Snapchat,Goldman Sachs,ByteDance,Bloomberg,Amazon,Adobe,Citadel,Facebook,Microsoft,Google,Coursera,Apple</v>
      </c>
      <c r="I587" s="85">
        <f>IFERROR(__xludf.DUMMYFUNCTION("""COMPUTED_VALUE"""),25.47)</f>
        <v>25.47</v>
      </c>
      <c r="J587" s="85" t="str">
        <f>IFERROR(__xludf.DUMMYFUNCTION("""COMPUTED_VALUE"""),"算法")</f>
        <v>算法</v>
      </c>
      <c r="K587" s="2" t="s">
        <v>5013</v>
      </c>
    </row>
    <row r="588">
      <c r="A588" s="47">
        <v>97.0</v>
      </c>
      <c r="B588" s="86" t="str">
        <f>IFERROR(__xludf.DUMMYFUNCTION("IF(ISBLANK(A588),,FILTER('Leetcode List'!B:C,'Leetcode List'!A:A = A588))"),"Interleaving String")</f>
        <v>Interleaving String</v>
      </c>
      <c r="C588" s="85" t="str">
        <f>IFERROR(__xludf.DUMMYFUNCTION("""COMPUTED_VALUE"""),"Hard")</f>
        <v>Hard</v>
      </c>
      <c r="D588" s="47" t="s">
        <v>76</v>
      </c>
      <c r="E588" s="90" t="str">
        <f>IFERROR(__xludf.DUMMYFUNCTION("IF(ISBLANK(A588),,FILTER('Leetcode List'!E:J,'Leetcode List'!A:A = A588))"),"VMware,Nvidia,Apple,Uber,Bloomberg,Amazon,Microsoft,Google")</f>
        <v>VMware,Nvidia,Apple,Uber,Bloomberg,Amazon,Microsoft,Google</v>
      </c>
      <c r="F588" s="85" t="str">
        <f>IFERROR(__xludf.DUMMYFUNCTION("""COMPUTED_VALUE"""),"Microsoft")</f>
        <v>Microsoft</v>
      </c>
      <c r="G588" s="85" t="str">
        <f>IFERROR(__xludf.DUMMYFUNCTION("""COMPUTED_VALUE"""),"Amazon,Apple,VMware,Microsoft")</f>
        <v>Amazon,Apple,VMware,Microsoft</v>
      </c>
      <c r="H588" s="85" t="str">
        <f>IFERROR(__xludf.DUMMYFUNCTION("""COMPUTED_VALUE"""),"Google,Bloomberg,Amazon,Apple,VMware,Microsoft")</f>
        <v>Google,Bloomberg,Amazon,Apple,VMware,Microsoft</v>
      </c>
      <c r="I588" s="85">
        <f>IFERROR(__xludf.DUMMYFUNCTION("""COMPUTED_VALUE"""),32.65)</f>
        <v>32.65</v>
      </c>
      <c r="J588" s="85" t="str">
        <f>IFERROR(__xludf.DUMMYFUNCTION("""COMPUTED_VALUE"""),"算法")</f>
        <v>算法</v>
      </c>
      <c r="K588" s="2" t="s">
        <v>5013</v>
      </c>
    </row>
    <row r="589">
      <c r="A589" s="47">
        <v>72.0</v>
      </c>
      <c r="B589" s="86" t="str">
        <f>IFERROR(__xludf.DUMMYFUNCTION("IF(ISBLANK(A589),,FILTER('Leetcode List'!B:C,'Leetcode List'!A:A = A589))"),"Edit Distance")</f>
        <v>Edit Distance</v>
      </c>
      <c r="C589" s="85" t="str">
        <f>IFERROR(__xludf.DUMMYFUNCTION("""COMPUTED_VALUE"""),"Hard")</f>
        <v>Hard</v>
      </c>
      <c r="D589" s="47" t="s">
        <v>76</v>
      </c>
      <c r="E589" s="90" t="str">
        <f>IFERROR(__xludf.DUMMYFUNCTION("IF(ISBLANK(A589),,FILTER('Leetcode List'!E:J,'Leetcode List'!A:A = A589))"),"DiDi,Palantir Technologies,Cisco,Tencent,Square,ByteDance,Qualcomm,VMware,Paypal,Intuit,Baidu,Apple,Uber,Yahoo,Bloomberg,Adobe,Facebook,Amazon,LinkedIn,Microsoft,Goldman Sachs,Google")</f>
        <v>DiDi,Palantir Technologies,Cisco,Tencent,Square,ByteDance,Qualcomm,VMware,Paypal,Intuit,Baidu,Apple,Uber,Yahoo,Bloomberg,Adobe,Facebook,Amazon,LinkedIn,Microsoft,Goldman Sachs,Google</v>
      </c>
      <c r="F589" s="85" t="str">
        <f>IFERROR(__xludf.DUMMYFUNCTION("""COMPUTED_VALUE"""),"Amazon,Microsoft,Google,Palantir Technologies,Facebook")</f>
        <v>Amazon,Microsoft,Google,Palantir Technologies,Facebook</v>
      </c>
      <c r="G589" s="85" t="str">
        <f>IFERROR(__xludf.DUMMYFUNCTION("""COMPUTED_VALUE"""),"Square,ByteDance,Cisco,Tencent,Uber,Amazon,Microsoft,Google,Palantir Technologies,Facebook")</f>
        <v>Square,ByteDance,Cisco,Tencent,Uber,Amazon,Microsoft,Google,Palantir Technologies,Facebook</v>
      </c>
      <c r="H589" s="85" t="str">
        <f>IFERROR(__xludf.DUMMYFUNCTION("""COMPUTED_VALUE"""),"LinkedIn,Bloomberg,Intuit,Apple,Adobe,DiDi,Square,ByteDance,Cisco,Tencent,Uber,Amazon,Microsoft,Google,Palantir Technologies,Facebook")</f>
        <v>LinkedIn,Bloomberg,Intuit,Apple,Adobe,DiDi,Square,ByteDance,Cisco,Tencent,Uber,Amazon,Microsoft,Google,Palantir Technologies,Facebook</v>
      </c>
      <c r="I589" s="85">
        <f>IFERROR(__xludf.DUMMYFUNCTION("""COMPUTED_VALUE"""),46.92)</f>
        <v>46.92</v>
      </c>
      <c r="J589" s="85" t="str">
        <f>IFERROR(__xludf.DUMMYFUNCTION("""COMPUTED_VALUE"""),"算法")</f>
        <v>算法</v>
      </c>
      <c r="K589" s="2" t="s">
        <v>5013</v>
      </c>
    </row>
    <row r="590">
      <c r="A590" s="47">
        <v>115.0</v>
      </c>
      <c r="B590" s="86" t="str">
        <f>IFERROR(__xludf.DUMMYFUNCTION("IF(ISBLANK(A590),,FILTER('Leetcode List'!B:C,'Leetcode List'!A:A = A590))"),"Distinct Subsequences")</f>
        <v>Distinct Subsequences</v>
      </c>
      <c r="C590" s="85" t="str">
        <f>IFERROR(__xludf.DUMMYFUNCTION("""COMPUTED_VALUE"""),"Hard")</f>
        <v>Hard</v>
      </c>
      <c r="D590" s="47" t="s">
        <v>76</v>
      </c>
      <c r="E590" s="90" t="str">
        <f>IFERROR(__xludf.DUMMYFUNCTION("IF(ISBLANK(A590),,FILTER('Leetcode List'!E:J,'Leetcode List'!A:A = A590))"),"Uber,Bloomberg,Barclays,Mathworks,Adobe,Amazon,Google")</f>
        <v>Uber,Bloomberg,Barclays,Mathworks,Adobe,Amazon,Google</v>
      </c>
      <c r="F590" s="85" t="str">
        <f>IFERROR(__xludf.DUMMYFUNCTION("""COMPUTED_VALUE"""),"Mathworks,Google,Amazon,Bloomberg")</f>
        <v>Mathworks,Google,Amazon,Bloomberg</v>
      </c>
      <c r="G590" s="85" t="str">
        <f>IFERROR(__xludf.DUMMYFUNCTION("""COMPUTED_VALUE"""),"Adobe,Mathworks,Google,Amazon,Bloomberg")</f>
        <v>Adobe,Mathworks,Google,Amazon,Bloomberg</v>
      </c>
      <c r="H590" s="85" t="str">
        <f>IFERROR(__xludf.DUMMYFUNCTION("""COMPUTED_VALUE"""),"Uber,Adobe,Mathworks,Google,Amazon,Bloomberg")</f>
        <v>Uber,Adobe,Mathworks,Google,Amazon,Bloomberg</v>
      </c>
      <c r="I590" s="85">
        <f>IFERROR(__xludf.DUMMYFUNCTION("""COMPUTED_VALUE"""),39.86)</f>
        <v>39.86</v>
      </c>
      <c r="J590" s="85" t="str">
        <f>IFERROR(__xludf.DUMMYFUNCTION("""COMPUTED_VALUE"""),"算法")</f>
        <v>算法</v>
      </c>
      <c r="K590" s="2" t="s">
        <v>5013</v>
      </c>
    </row>
    <row r="591">
      <c r="A591" s="47">
        <v>583.0</v>
      </c>
      <c r="B591" s="86" t="str">
        <f>IFERROR(__xludf.DUMMYFUNCTION("IF(ISBLANK(A591),,FILTER('Leetcode List'!B:C,'Leetcode List'!A:A = A591))"),"Delete Operation for Two Strings")</f>
        <v>Delete Operation for Two Strings</v>
      </c>
      <c r="C591" s="85" t="str">
        <f>IFERROR(__xludf.DUMMYFUNCTION("""COMPUTED_VALUE"""),"Medium")</f>
        <v>Medium</v>
      </c>
      <c r="D591" s="47" t="s">
        <v>76</v>
      </c>
      <c r="E591" s="90" t="str">
        <f>IFERROR(__xludf.DUMMYFUNCTION("IF(ISBLANK(A591),,FILTER('Leetcode List'!E:J,'Leetcode List'!A:A = A591))"),"Google")</f>
        <v>Google</v>
      </c>
      <c r="F591" s="85"/>
      <c r="G591" s="85"/>
      <c r="H591" s="85" t="str">
        <f>IFERROR(__xludf.DUMMYFUNCTION("""COMPUTED_VALUE"""),"Google")</f>
        <v>Google</v>
      </c>
      <c r="I591" s="85">
        <f>IFERROR(__xludf.DUMMYFUNCTION("""COMPUTED_VALUE"""),50.19)</f>
        <v>50.19</v>
      </c>
      <c r="J591" s="85" t="str">
        <f>IFERROR(__xludf.DUMMYFUNCTION("""COMPUTED_VALUE"""),"算法")</f>
        <v>算法</v>
      </c>
      <c r="K591" s="2" t="s">
        <v>5013</v>
      </c>
    </row>
    <row r="592">
      <c r="A592" s="47">
        <v>712.0</v>
      </c>
      <c r="B592" s="86" t="str">
        <f>IFERROR(__xludf.DUMMYFUNCTION("IF(ISBLANK(A592),,FILTER('Leetcode List'!B:C,'Leetcode List'!A:A = A592))"),"Minimum ASCII Delete Sum for Two Strings")</f>
        <v>Minimum ASCII Delete Sum for Two Strings</v>
      </c>
      <c r="C592" s="85" t="str">
        <f>IFERROR(__xludf.DUMMYFUNCTION("""COMPUTED_VALUE"""),"Medium")</f>
        <v>Medium</v>
      </c>
      <c r="D592" s="47" t="s">
        <v>76</v>
      </c>
      <c r="E592" s="90" t="str">
        <f>IFERROR(__xludf.DUMMYFUNCTION("IF(ISBLANK(A592),,FILTER('Leetcode List'!E:J,'Leetcode List'!A:A = A592))"),"TripleByte")</f>
        <v>TripleByte</v>
      </c>
      <c r="F592" s="85" t="str">
        <f>IFERROR(__xludf.DUMMYFUNCTION("""COMPUTED_VALUE"""),"TripleByte")</f>
        <v>TripleByte</v>
      </c>
      <c r="G592" s="85" t="str">
        <f>IFERROR(__xludf.DUMMYFUNCTION("""COMPUTED_VALUE"""),"TripleByte")</f>
        <v>TripleByte</v>
      </c>
      <c r="H592" s="85" t="str">
        <f>IFERROR(__xludf.DUMMYFUNCTION("""COMPUTED_VALUE"""),"TripleByte")</f>
        <v>TripleByte</v>
      </c>
      <c r="I592" s="85">
        <f>IFERROR(__xludf.DUMMYFUNCTION("""COMPUTED_VALUE"""),59.48)</f>
        <v>59.48</v>
      </c>
      <c r="J592" s="85" t="str">
        <f>IFERROR(__xludf.DUMMYFUNCTION("""COMPUTED_VALUE"""),"算法")</f>
        <v>算法</v>
      </c>
      <c r="K592" s="2" t="s">
        <v>5013</v>
      </c>
    </row>
    <row r="593">
      <c r="A593" s="47">
        <v>718.0</v>
      </c>
      <c r="B593" s="86" t="str">
        <f>IFERROR(__xludf.DUMMYFUNCTION("IF(ISBLANK(A593),,FILTER('Leetcode List'!B:C,'Leetcode List'!A:A = A593))"),"Maximum Length of Repeated Subarray")</f>
        <v>Maximum Length of Repeated Subarray</v>
      </c>
      <c r="C593" s="85" t="str">
        <f>IFERROR(__xludf.DUMMYFUNCTION("""COMPUTED_VALUE"""),"Medium")</f>
        <v>Medium</v>
      </c>
      <c r="D593" s="47" t="s">
        <v>76</v>
      </c>
      <c r="E593" s="90" t="str">
        <f>IFERROR(__xludf.DUMMYFUNCTION("IF(ISBLANK(A593),,FILTER('Leetcode List'!E:J,'Leetcode List'!A:A = A593))"),"Karat,Wayfair,Roblox,Apple,Google,Pinterest,Citadel,Indeed,Intuit")</f>
        <v>Karat,Wayfair,Roblox,Apple,Google,Pinterest,Citadel,Indeed,Intuit</v>
      </c>
      <c r="F593" s="85" t="str">
        <f>IFERROR(__xludf.DUMMYFUNCTION("""COMPUTED_VALUE"""),"Karat,Indeed,Intuit,Roblox")</f>
        <v>Karat,Indeed,Intuit,Roblox</v>
      </c>
      <c r="G593" s="85" t="str">
        <f>IFERROR(__xludf.DUMMYFUNCTION("""COMPUTED_VALUE"""),"Karat,Indeed,Intuit,Roblox")</f>
        <v>Karat,Indeed,Intuit,Roblox</v>
      </c>
      <c r="H593" s="85" t="str">
        <f>IFERROR(__xludf.DUMMYFUNCTION("""COMPUTED_VALUE"""),"Pinterest,Apple,Wayfair,Google,Citadel,Karat,Indeed,Intuit,Roblox")</f>
        <v>Pinterest,Apple,Wayfair,Google,Citadel,Karat,Indeed,Intuit,Roblox</v>
      </c>
      <c r="I593" s="85">
        <f>IFERROR(__xludf.DUMMYFUNCTION("""COMPUTED_VALUE"""),50.4)</f>
        <v>50.4</v>
      </c>
      <c r="J593" s="85" t="str">
        <f>IFERROR(__xludf.DUMMYFUNCTION("""COMPUTED_VALUE"""),"算法")</f>
        <v>算法</v>
      </c>
      <c r="K593" s="2" t="s">
        <v>5013</v>
      </c>
    </row>
    <row r="594">
      <c r="A594" s="47">
        <v>727.0</v>
      </c>
      <c r="B594" s="86" t="str">
        <f>IFERROR(__xludf.DUMMYFUNCTION("IF(ISBLANK(A594),,FILTER('Leetcode List'!B:C,'Leetcode List'!A:A = A594))"),"Minimum Window Subsequence")</f>
        <v>Minimum Window Subsequence</v>
      </c>
      <c r="C594" s="85" t="str">
        <f>IFERROR(__xludf.DUMMYFUNCTION("""COMPUTED_VALUE"""),"Hard")</f>
        <v>Hard</v>
      </c>
      <c r="D594" s="47" t="s">
        <v>76</v>
      </c>
      <c r="E594" s="90" t="str">
        <f>IFERROR(__xludf.DUMMYFUNCTION("IF(ISBLANK(A594),,FILTER('Leetcode List'!E:J,'Leetcode List'!A:A = A594))"),"Facebook,Houzz,EBay,Bloomberg,Amazon,Microsoft,Google")</f>
        <v>Facebook,Houzz,EBay,Bloomberg,Amazon,Microsoft,Google</v>
      </c>
      <c r="F594" s="85" t="str">
        <f>IFERROR(__xludf.DUMMYFUNCTION("""COMPUTED_VALUE"""),"Google,Amazon,Facebook")</f>
        <v>Google,Amazon,Facebook</v>
      </c>
      <c r="G594" s="85" t="str">
        <f>IFERROR(__xludf.DUMMYFUNCTION("""COMPUTED_VALUE"""),"Microsoft,Google,Amazon,Facebook")</f>
        <v>Microsoft,Google,Amazon,Facebook</v>
      </c>
      <c r="H594" s="85" t="str">
        <f>IFERROR(__xludf.DUMMYFUNCTION("""COMPUTED_VALUE"""),"Bloomberg,eBay,Microsoft,Google,Amazon,Facebook")</f>
        <v>Bloomberg,eBay,Microsoft,Google,Amazon,Facebook</v>
      </c>
      <c r="I594" s="85">
        <f>IFERROR(__xludf.DUMMYFUNCTION("""COMPUTED_VALUE"""),42.27)</f>
        <v>42.27</v>
      </c>
      <c r="J594" s="85" t="str">
        <f>IFERROR(__xludf.DUMMYFUNCTION("""COMPUTED_VALUE"""),"算法")</f>
        <v>算法</v>
      </c>
      <c r="K594" s="2" t="s">
        <v>5013</v>
      </c>
    </row>
    <row r="595">
      <c r="A595" s="47">
        <v>1035.0</v>
      </c>
      <c r="B595" s="86" t="str">
        <f>IFERROR(__xludf.DUMMYFUNCTION("IF(ISBLANK(A595),,FILTER('Leetcode List'!B:C,'Leetcode List'!A:A = A595))"),"Uncrossed Lines")</f>
        <v>Uncrossed Lines</v>
      </c>
      <c r="C595" s="85" t="str">
        <f>IFERROR(__xludf.DUMMYFUNCTION("""COMPUTED_VALUE"""),"Medium")</f>
        <v>Medium</v>
      </c>
      <c r="D595" s="47" t="s">
        <v>76</v>
      </c>
      <c r="E595" s="90" t="str">
        <f>IFERROR(__xludf.DUMMYFUNCTION("IF(ISBLANK(A595),,FILTER('Leetcode List'!E:J,'Leetcode List'!A:A = A595))"),"Amazon")</f>
        <v>Amazon</v>
      </c>
      <c r="F595" s="85"/>
      <c r="G595" s="85"/>
      <c r="H595" s="85" t="str">
        <f>IFERROR(__xludf.DUMMYFUNCTION("""COMPUTED_VALUE"""),"Amazon")</f>
        <v>Amazon</v>
      </c>
      <c r="I595" s="85">
        <f>IFERROR(__xludf.DUMMYFUNCTION("""COMPUTED_VALUE"""),56.14)</f>
        <v>56.14</v>
      </c>
      <c r="J595" s="85" t="str">
        <f>IFERROR(__xludf.DUMMYFUNCTION("""COMPUTED_VALUE"""),"算法")</f>
        <v>算法</v>
      </c>
      <c r="K595" s="2" t="s">
        <v>5013</v>
      </c>
    </row>
    <row r="596">
      <c r="A596" s="47">
        <v>1092.0</v>
      </c>
      <c r="B596" s="86" t="str">
        <f>IFERROR(__xludf.DUMMYFUNCTION("IF(ISBLANK(A596),,FILTER('Leetcode List'!B:C,'Leetcode List'!A:A = A596))"),"Shortest Common Supersequence")</f>
        <v>Shortest Common Supersequence</v>
      </c>
      <c r="C596" s="85" t="str">
        <f>IFERROR(__xludf.DUMMYFUNCTION("""COMPUTED_VALUE"""),"Hard")</f>
        <v>Hard</v>
      </c>
      <c r="D596" s="47" t="s">
        <v>76</v>
      </c>
      <c r="E596" s="90" t="str">
        <f>IFERROR(__xludf.DUMMYFUNCTION("IF(ISBLANK(A596),,FILTER('Leetcode List'!E:J,'Leetcode List'!A:A = A596))"),"Amazon,Microsoft")</f>
        <v>Amazon,Microsoft</v>
      </c>
      <c r="F596" s="85" t="str">
        <f>IFERROR(__xludf.DUMMYFUNCTION("""COMPUTED_VALUE"""),"Amazon")</f>
        <v>Amazon</v>
      </c>
      <c r="G596" s="85" t="str">
        <f>IFERROR(__xludf.DUMMYFUNCTION("""COMPUTED_VALUE"""),"Microsoft,Amazon")</f>
        <v>Microsoft,Amazon</v>
      </c>
      <c r="H596" s="85" t="str">
        <f>IFERROR(__xludf.DUMMYFUNCTION("""COMPUTED_VALUE"""),"Microsoft,Amazon")</f>
        <v>Microsoft,Amazon</v>
      </c>
      <c r="I596" s="85">
        <f>IFERROR(__xludf.DUMMYFUNCTION("""COMPUTED_VALUE"""),53.03)</f>
        <v>53.03</v>
      </c>
      <c r="J596" s="85" t="str">
        <f>IFERROR(__xludf.DUMMYFUNCTION("""COMPUTED_VALUE"""),"算法")</f>
        <v>算法</v>
      </c>
      <c r="K596" s="2" t="s">
        <v>5013</v>
      </c>
    </row>
    <row r="597">
      <c r="A597" s="47">
        <v>1143.0</v>
      </c>
      <c r="B597" s="86" t="str">
        <f>IFERROR(__xludf.DUMMYFUNCTION("IF(ISBLANK(A597),,FILTER('Leetcode List'!B:C,'Leetcode List'!A:A = A597))"),"Longest Common Subsequence")</f>
        <v>Longest Common Subsequence</v>
      </c>
      <c r="C597" s="85" t="str">
        <f>IFERROR(__xludf.DUMMYFUNCTION("""COMPUTED_VALUE"""),"Medium")</f>
        <v>Medium</v>
      </c>
      <c r="D597" s="47" t="s">
        <v>76</v>
      </c>
      <c r="E597" s="90" t="str">
        <f>IFERROR(__xludf.DUMMYFUNCTION("IF(ISBLANK(A597),,FILTER('Leetcode List'!E:J,'Leetcode List'!A:A = A597))"),"Indeed,EBay,Uber,Morgan Stanley,Facebook,ByteDance,Tencent,Amazon,Microsoft,Google")</f>
        <v>Indeed,EBay,Uber,Morgan Stanley,Facebook,ByteDance,Tencent,Amazon,Microsoft,Google</v>
      </c>
      <c r="F597" s="85" t="str">
        <f>IFERROR(__xludf.DUMMYFUNCTION("""COMPUTED_VALUE"""),"Amazon,Microsoft,Facebook,eBay")</f>
        <v>Amazon,Microsoft,Facebook,eBay</v>
      </c>
      <c r="G597" s="85" t="str">
        <f>IFERROR(__xludf.DUMMYFUNCTION("""COMPUTED_VALUE"""),"Google,ByteDance,Morgan Stanley,Tencent,Amazon,Microsoft,Facebook,eBay")</f>
        <v>Google,ByteDance,Morgan Stanley,Tencent,Amazon,Microsoft,Facebook,eBay</v>
      </c>
      <c r="H597" s="85" t="str">
        <f>IFERROR(__xludf.DUMMYFUNCTION("""COMPUTED_VALUE"""),"Uber,Indeed,Google,ByteDance,Morgan Stanley,Tencent,Amazon,Microsoft,Facebook,eBay")</f>
        <v>Uber,Indeed,Google,ByteDance,Morgan Stanley,Tencent,Amazon,Microsoft,Facebook,eBay</v>
      </c>
      <c r="I597" s="85">
        <f>IFERROR(__xludf.DUMMYFUNCTION("""COMPUTED_VALUE"""),58.67)</f>
        <v>58.67</v>
      </c>
      <c r="J597" s="85" t="str">
        <f>IFERROR(__xludf.DUMMYFUNCTION("""COMPUTED_VALUE"""),"算法")</f>
        <v>算法</v>
      </c>
      <c r="K597" s="2" t="s">
        <v>5013</v>
      </c>
    </row>
    <row r="598">
      <c r="A598" s="47">
        <v>1216.0</v>
      </c>
      <c r="B598" s="86" t="str">
        <f>IFERROR(__xludf.DUMMYFUNCTION("IF(ISBLANK(A598),,FILTER('Leetcode List'!B:C,'Leetcode List'!A:A = A598))"),"Valid Palindrome III")</f>
        <v>Valid Palindrome III</v>
      </c>
      <c r="C598" s="85" t="str">
        <f>IFERROR(__xludf.DUMMYFUNCTION("""COMPUTED_VALUE"""),"Hard")</f>
        <v>Hard</v>
      </c>
      <c r="D598" s="47" t="s">
        <v>76</v>
      </c>
      <c r="E598" s="90" t="str">
        <f>IFERROR(__xludf.DUMMYFUNCTION("IF(ISBLANK(A598),,FILTER('Leetcode List'!E:J,'Leetcode List'!A:A = A598))"),"Amazon,Facebook")</f>
        <v>Amazon,Facebook</v>
      </c>
      <c r="F598" s="85" t="str">
        <f>IFERROR(__xludf.DUMMYFUNCTION("""COMPUTED_VALUE"""),"Facebook")</f>
        <v>Facebook</v>
      </c>
      <c r="G598" s="85" t="str">
        <f>IFERROR(__xludf.DUMMYFUNCTION("""COMPUTED_VALUE"""),"Amazon,Facebook")</f>
        <v>Amazon,Facebook</v>
      </c>
      <c r="H598" s="85" t="str">
        <f>IFERROR(__xludf.DUMMYFUNCTION("""COMPUTED_VALUE"""),"Amazon,Facebook")</f>
        <v>Amazon,Facebook</v>
      </c>
      <c r="I598" s="85">
        <f>IFERROR(__xludf.DUMMYFUNCTION("""COMPUTED_VALUE"""),49.87)</f>
        <v>49.87</v>
      </c>
      <c r="J598" s="85" t="str">
        <f>IFERROR(__xludf.DUMMYFUNCTION("""COMPUTED_VALUE"""),"算法")</f>
        <v>算法</v>
      </c>
      <c r="K598" s="2" t="s">
        <v>5013</v>
      </c>
    </row>
    <row r="599">
      <c r="A599" s="47">
        <v>1312.0</v>
      </c>
      <c r="B599" s="86" t="str">
        <f>IFERROR(__xludf.DUMMYFUNCTION("IF(ISBLANK(A599),,FILTER('Leetcode List'!B:C,'Leetcode List'!A:A = A599))"),"Minimum Insertion Steps to Make a String Palindrome")</f>
        <v>Minimum Insertion Steps to Make a String Palindrome</v>
      </c>
      <c r="C599" s="85" t="str">
        <f>IFERROR(__xludf.DUMMYFUNCTION("""COMPUTED_VALUE"""),"Hard")</f>
        <v>Hard</v>
      </c>
      <c r="D599" s="47" t="s">
        <v>76</v>
      </c>
      <c r="E599" s="90" t="str">
        <f>IFERROR(__xludf.DUMMYFUNCTION("IF(ISBLANK(A599),,FILTER('Leetcode List'!E:J,'Leetcode List'!A:A = A599))"),"Apple,SAP,Bloomberg,Amazon,LinkedIn,Google")</f>
        <v>Apple,SAP,Bloomberg,Amazon,LinkedIn,Google</v>
      </c>
      <c r="F599" s="85" t="str">
        <f>IFERROR(__xludf.DUMMYFUNCTION("""COMPUTED_VALUE"""),"Amazon,LinkedIn")</f>
        <v>Amazon,LinkedIn</v>
      </c>
      <c r="G599" s="85" t="str">
        <f>IFERROR(__xludf.DUMMYFUNCTION("""COMPUTED_VALUE"""),"Google,SAP,Bloomberg,Amazon,LinkedIn")</f>
        <v>Google,SAP,Bloomberg,Amazon,LinkedIn</v>
      </c>
      <c r="H599" s="85" t="str">
        <f>IFERROR(__xludf.DUMMYFUNCTION("""COMPUTED_VALUE"""),"Apple,Google,SAP,Bloomberg,Amazon,LinkedIn")</f>
        <v>Apple,Google,SAP,Bloomberg,Amazon,LinkedIn</v>
      </c>
      <c r="I599" s="85">
        <f>IFERROR(__xludf.DUMMYFUNCTION("""COMPUTED_VALUE"""),59.81)</f>
        <v>59.81</v>
      </c>
      <c r="J599" s="85" t="str">
        <f>IFERROR(__xludf.DUMMYFUNCTION("""COMPUTED_VALUE"""),"算法")</f>
        <v>算法</v>
      </c>
      <c r="K599" s="2" t="s">
        <v>5013</v>
      </c>
    </row>
    <row r="600">
      <c r="A600" s="47">
        <v>1458.0</v>
      </c>
      <c r="B600" s="86" t="str">
        <f>IFERROR(__xludf.DUMMYFUNCTION("IF(ISBLANK(A600),,FILTER('Leetcode List'!B:C,'Leetcode List'!A:A = A600))"),"Max Dot Product of Two Subsequences")</f>
        <v>Max Dot Product of Two Subsequences</v>
      </c>
      <c r="C600" s="85" t="str">
        <f>IFERROR(__xludf.DUMMYFUNCTION("""COMPUTED_VALUE"""),"Hard")</f>
        <v>Hard</v>
      </c>
      <c r="D600" s="47" t="s">
        <v>76</v>
      </c>
      <c r="E600" s="90" t="str">
        <f>IFERROR(__xludf.DUMMYFUNCTION("IF(ISBLANK(A600),,FILTER('Leetcode List'!E:J,'Leetcode List'!A:A = A600))"),"Microsoft")</f>
        <v>Microsoft</v>
      </c>
      <c r="F600" s="85"/>
      <c r="G600" s="85"/>
      <c r="H600" s="85" t="str">
        <f>IFERROR(__xludf.DUMMYFUNCTION("""COMPUTED_VALUE"""),"Microsoft")</f>
        <v>Microsoft</v>
      </c>
      <c r="I600" s="85">
        <f>IFERROR(__xludf.DUMMYFUNCTION("""COMPUTED_VALUE"""),43.19)</f>
        <v>43.19</v>
      </c>
      <c r="J600" s="85" t="str">
        <f>IFERROR(__xludf.DUMMYFUNCTION("""COMPUTED_VALUE"""),"算法")</f>
        <v>算法</v>
      </c>
      <c r="K600" s="2" t="s">
        <v>5013</v>
      </c>
    </row>
    <row r="601">
      <c r="A601" s="47">
        <v>1771.0</v>
      </c>
      <c r="B601" s="86" t="str">
        <f>IFERROR(__xludf.DUMMYFUNCTION("IF(ISBLANK(A601),,FILTER('Leetcode List'!B:C,'Leetcode List'!A:A = A601))"),"Maximize Palindrome Length From Subsequences")</f>
        <v>Maximize Palindrome Length From Subsequences</v>
      </c>
      <c r="C601" s="85" t="str">
        <f>IFERROR(__xludf.DUMMYFUNCTION("""COMPUTED_VALUE"""),"Hard")</f>
        <v>Hard</v>
      </c>
      <c r="D601" s="47" t="s">
        <v>76</v>
      </c>
      <c r="E601" s="90" t="str">
        <f>IFERROR(__xludf.DUMMYFUNCTION("IF(ISBLANK(A601),,FILTER('Leetcode List'!E:J,'Leetcode List'!A:A = A601))"),"Goldman Sachs")</f>
        <v>Goldman Sachs</v>
      </c>
      <c r="F601" s="85"/>
      <c r="G601" s="85"/>
      <c r="H601" s="85" t="str">
        <f>IFERROR(__xludf.DUMMYFUNCTION("""COMPUTED_VALUE"""),"Goldman Sachs")</f>
        <v>Goldman Sachs</v>
      </c>
      <c r="I601" s="85">
        <f>IFERROR(__xludf.DUMMYFUNCTION("""COMPUTED_VALUE"""),34.14)</f>
        <v>34.14</v>
      </c>
      <c r="J601" s="85" t="str">
        <f>IFERROR(__xludf.DUMMYFUNCTION("""COMPUTED_VALUE"""),"算法")</f>
        <v>算法</v>
      </c>
      <c r="K601" s="2" t="s">
        <v>5013</v>
      </c>
    </row>
    <row r="602">
      <c r="A602" s="47">
        <v>691.0</v>
      </c>
      <c r="B602" s="86" t="str">
        <f>IFERROR(__xludf.DUMMYFUNCTION("IF(ISBLANK(A602),,FILTER('Leetcode List'!B:C,'Leetcode List'!A:A = A602))"),"Stickers to Spell Word")</f>
        <v>Stickers to Spell Word</v>
      </c>
      <c r="C602" s="85" t="str">
        <f>IFERROR(__xludf.DUMMYFUNCTION("""COMPUTED_VALUE"""),"Hard")</f>
        <v>Hard</v>
      </c>
      <c r="D602" s="47" t="s">
        <v>76</v>
      </c>
      <c r="E602" s="90" t="str">
        <f>IFERROR(__xludf.DUMMYFUNCTION("IF(ISBLANK(A602),,FILTER('Leetcode List'!E:J,'Leetcode List'!A:A = A602))"),"IXL,Facebook")</f>
        <v>IXL,Facebook</v>
      </c>
      <c r="F602" s="85" t="str">
        <f>IFERROR(__xludf.DUMMYFUNCTION("""COMPUTED_VALUE"""),"Facebook")</f>
        <v>Facebook</v>
      </c>
      <c r="G602" s="85" t="str">
        <f>IFERROR(__xludf.DUMMYFUNCTION("""COMPUTED_VALUE"""),"Facebook")</f>
        <v>Facebook</v>
      </c>
      <c r="H602" s="85" t="str">
        <f>IFERROR(__xludf.DUMMYFUNCTION("""COMPUTED_VALUE"""),"IXL,Facebook")</f>
        <v>IXL,Facebook</v>
      </c>
      <c r="I602" s="85">
        <f>IFERROR(__xludf.DUMMYFUNCTION("""COMPUTED_VALUE"""),44.85)</f>
        <v>44.85</v>
      </c>
      <c r="J602" s="85" t="str">
        <f>IFERROR(__xludf.DUMMYFUNCTION("""COMPUTED_VALUE"""),"算法")</f>
        <v>算法</v>
      </c>
      <c r="K602" s="2" t="s">
        <v>5014</v>
      </c>
    </row>
    <row r="603">
      <c r="A603" s="47">
        <v>943.0</v>
      </c>
      <c r="B603" s="86" t="str">
        <f>IFERROR(__xludf.DUMMYFUNCTION("IF(ISBLANK(A603),,FILTER('Leetcode List'!B:C,'Leetcode List'!A:A = A603))"),"Find the Shortest Superstring")</f>
        <v>Find the Shortest Superstring</v>
      </c>
      <c r="C603" s="85" t="str">
        <f>IFERROR(__xludf.DUMMYFUNCTION("""COMPUTED_VALUE"""),"Hard")</f>
        <v>Hard</v>
      </c>
      <c r="D603" s="47" t="s">
        <v>76</v>
      </c>
      <c r="E603" s="90" t="str">
        <f>IFERROR(__xludf.DUMMYFUNCTION("IF(ISBLANK(A603),,FILTER('Leetcode List'!E:J,'Leetcode List'!A:A = A603))"),"Amazon,Google")</f>
        <v>Amazon,Google</v>
      </c>
      <c r="F603" s="85"/>
      <c r="G603" s="85"/>
      <c r="H603" s="85" t="str">
        <f>IFERROR(__xludf.DUMMYFUNCTION("""COMPUTED_VALUE"""),"Amazon,Google")</f>
        <v>Amazon,Google</v>
      </c>
      <c r="I603" s="85">
        <f>IFERROR(__xludf.DUMMYFUNCTION("""COMPUTED_VALUE"""),43.42)</f>
        <v>43.42</v>
      </c>
      <c r="J603" s="85" t="str">
        <f>IFERROR(__xludf.DUMMYFUNCTION("""COMPUTED_VALUE"""),"算法")</f>
        <v>算法</v>
      </c>
      <c r="K603" s="2" t="s">
        <v>5014</v>
      </c>
    </row>
    <row r="604">
      <c r="A604" s="47">
        <v>1125.0</v>
      </c>
      <c r="B604" s="86" t="str">
        <f>IFERROR(__xludf.DUMMYFUNCTION("IF(ISBLANK(A604),,FILTER('Leetcode List'!B:C,'Leetcode List'!A:A = A604))"),"Smallest Sufficient Team")</f>
        <v>Smallest Sufficient Team</v>
      </c>
      <c r="C604" s="85" t="str">
        <f>IFERROR(__xludf.DUMMYFUNCTION("""COMPUTED_VALUE"""),"Hard")</f>
        <v>Hard</v>
      </c>
      <c r="D604" s="47" t="s">
        <v>76</v>
      </c>
      <c r="E604" s="90" t="str">
        <f>IFERROR(__xludf.DUMMYFUNCTION("IF(ISBLANK(A604),,FILTER('Leetcode List'!E:J,'Leetcode List'!A:A = A604))"),"Google")</f>
        <v>Google</v>
      </c>
      <c r="F604" s="85"/>
      <c r="G604" s="85" t="str">
        <f>IFERROR(__xludf.DUMMYFUNCTION("""COMPUTED_VALUE"""),"Google")</f>
        <v>Google</v>
      </c>
      <c r="H604" s="85" t="str">
        <f>IFERROR(__xludf.DUMMYFUNCTION("""COMPUTED_VALUE"""),"Google")</f>
        <v>Google</v>
      </c>
      <c r="I604" s="85">
        <f>IFERROR(__xludf.DUMMYFUNCTION("""COMPUTED_VALUE"""),47.02)</f>
        <v>47.02</v>
      </c>
      <c r="J604" s="85" t="str">
        <f>IFERROR(__xludf.DUMMYFUNCTION("""COMPUTED_VALUE"""),"算法")</f>
        <v>算法</v>
      </c>
      <c r="K604" s="2" t="s">
        <v>5014</v>
      </c>
    </row>
    <row r="605">
      <c r="A605" s="47">
        <v>1349.0</v>
      </c>
      <c r="B605" s="86" t="str">
        <f>IFERROR(__xludf.DUMMYFUNCTION("IF(ISBLANK(A605),,FILTER('Leetcode List'!B:C,'Leetcode List'!A:A = A605))"),"Maximum Students Taking Exam")</f>
        <v>Maximum Students Taking Exam</v>
      </c>
      <c r="C605" s="85" t="str">
        <f>IFERROR(__xludf.DUMMYFUNCTION("""COMPUTED_VALUE"""),"Hard")</f>
        <v>Hard</v>
      </c>
      <c r="D605" s="47" t="s">
        <v>76</v>
      </c>
      <c r="E605" s="90" t="str">
        <f>IFERROR(__xludf.DUMMYFUNCTION("IF(ISBLANK(A605),,FILTER('Leetcode List'!E:J,'Leetcode List'!A:A = A605))"),"SAP")</f>
        <v>SAP</v>
      </c>
      <c r="F605" s="85"/>
      <c r="G605" s="85"/>
      <c r="H605" s="85" t="str">
        <f>IFERROR(__xludf.DUMMYFUNCTION("""COMPUTED_VALUE"""),"SAP")</f>
        <v>SAP</v>
      </c>
      <c r="I605" s="85">
        <f>IFERROR(__xludf.DUMMYFUNCTION("""COMPUTED_VALUE"""),44.18)</f>
        <v>44.18</v>
      </c>
      <c r="J605" s="85" t="str">
        <f>IFERROR(__xludf.DUMMYFUNCTION("""COMPUTED_VALUE"""),"算法")</f>
        <v>算法</v>
      </c>
      <c r="K605" s="2" t="s">
        <v>5014</v>
      </c>
    </row>
    <row r="606">
      <c r="A606" s="47">
        <v>1411.0</v>
      </c>
      <c r="B606" s="86" t="str">
        <f>IFERROR(__xludf.DUMMYFUNCTION("IF(ISBLANK(A606),,FILTER('Leetcode List'!B:C,'Leetcode List'!A:A = A606))"),"Number of Ways to Paint N × 3 Grid")</f>
        <v>Number of Ways to Paint N × 3 Grid</v>
      </c>
      <c r="C606" s="85" t="str">
        <f>IFERROR(__xludf.DUMMYFUNCTION("""COMPUTED_VALUE"""),"Hard")</f>
        <v>Hard</v>
      </c>
      <c r="D606" s="47" t="s">
        <v>76</v>
      </c>
      <c r="E606" s="90" t="str">
        <f>IFERROR(__xludf.DUMMYFUNCTION("IF(ISBLANK(A606),,FILTER('Leetcode List'!E:J,'Leetcode List'!A:A = A606))"),"Akuna Capital,Paypal,Hackerrank,Facebook")</f>
        <v>Akuna Capital,Paypal,Hackerrank,Facebook</v>
      </c>
      <c r="F606" s="85"/>
      <c r="G606" s="85" t="str">
        <f>IFERROR(__xludf.DUMMYFUNCTION("""COMPUTED_VALUE"""),"Akuna Capital,Facebook,Paypal")</f>
        <v>Akuna Capital,Facebook,Paypal</v>
      </c>
      <c r="H606" s="85" t="str">
        <f>IFERROR(__xludf.DUMMYFUNCTION("""COMPUTED_VALUE"""),"Hackerrank,Akuna Capital,Facebook,Paypal")</f>
        <v>Hackerrank,Akuna Capital,Facebook,Paypal</v>
      </c>
      <c r="I606" s="85">
        <f>IFERROR(__xludf.DUMMYFUNCTION("""COMPUTED_VALUE"""),60.55)</f>
        <v>60.55</v>
      </c>
      <c r="J606" s="85" t="str">
        <f>IFERROR(__xludf.DUMMYFUNCTION("""COMPUTED_VALUE"""),"算法")</f>
        <v>算法</v>
      </c>
      <c r="K606" s="2" t="s">
        <v>5014</v>
      </c>
    </row>
    <row r="607">
      <c r="A607" s="47">
        <v>1434.0</v>
      </c>
      <c r="B607" s="86" t="str">
        <f>IFERROR(__xludf.DUMMYFUNCTION("IF(ISBLANK(A607),,FILTER('Leetcode List'!B:C,'Leetcode List'!A:A = A607))"),"Number of Ways to Wear Different Hats to Each Other")</f>
        <v>Number of Ways to Wear Different Hats to Each Other</v>
      </c>
      <c r="C607" s="85" t="str">
        <f>IFERROR(__xludf.DUMMYFUNCTION("""COMPUTED_VALUE"""),"Hard")</f>
        <v>Hard</v>
      </c>
      <c r="D607" s="47" t="s">
        <v>76</v>
      </c>
      <c r="E607" s="90" t="str">
        <f>IFERROR(__xludf.DUMMYFUNCTION("IF(ISBLANK(A607),,FILTER('Leetcode List'!E:J,'Leetcode List'!A:A = A607))"),"MindTickle")</f>
        <v>MindTickle</v>
      </c>
      <c r="F607" s="85"/>
      <c r="G607" s="85"/>
      <c r="H607" s="85" t="str">
        <f>IFERROR(__xludf.DUMMYFUNCTION("""COMPUTED_VALUE"""),"MindTickle")</f>
        <v>MindTickle</v>
      </c>
      <c r="I607" s="85">
        <f>IFERROR(__xludf.DUMMYFUNCTION("""COMPUTED_VALUE"""),39.44)</f>
        <v>39.44</v>
      </c>
      <c r="J607" s="85" t="str">
        <f>IFERROR(__xludf.DUMMYFUNCTION("""COMPUTED_VALUE"""),"算法")</f>
        <v>算法</v>
      </c>
      <c r="K607" s="2" t="s">
        <v>5014</v>
      </c>
    </row>
    <row r="608">
      <c r="A608" s="47">
        <v>1494.0</v>
      </c>
      <c r="B608" s="86" t="str">
        <f>IFERROR(__xludf.DUMMYFUNCTION("IF(ISBLANK(A608),,FILTER('Leetcode List'!B:C,'Leetcode List'!A:A = A608))"),"Parallel Courses II")</f>
        <v>Parallel Courses II</v>
      </c>
      <c r="C608" s="85" t="str">
        <f>IFERROR(__xludf.DUMMYFUNCTION("""COMPUTED_VALUE"""),"Hard")</f>
        <v>Hard</v>
      </c>
      <c r="D608" s="47" t="s">
        <v>76</v>
      </c>
      <c r="E608" s="90" t="str">
        <f>IFERROR(__xludf.DUMMYFUNCTION("IF(ISBLANK(A608),,FILTER('Leetcode List'!E:J,'Leetcode List'!A:A = A608))"),"Microsoft,Google")</f>
        <v>Microsoft,Google</v>
      </c>
      <c r="F608" s="85"/>
      <c r="G608" s="85" t="str">
        <f>IFERROR(__xludf.DUMMYFUNCTION("""COMPUTED_VALUE"""),"Microsoft")</f>
        <v>Microsoft</v>
      </c>
      <c r="H608" s="85" t="str">
        <f>IFERROR(__xludf.DUMMYFUNCTION("""COMPUTED_VALUE"""),"Google,Microsoft")</f>
        <v>Google,Microsoft</v>
      </c>
      <c r="I608" s="85">
        <f>IFERROR(__xludf.DUMMYFUNCTION("""COMPUTED_VALUE"""),31.13)</f>
        <v>31.13</v>
      </c>
      <c r="J608" s="85" t="str">
        <f>IFERROR(__xludf.DUMMYFUNCTION("""COMPUTED_VALUE"""),"算法")</f>
        <v>算法</v>
      </c>
      <c r="K608" s="2" t="s">
        <v>5014</v>
      </c>
    </row>
    <row r="609">
      <c r="A609" s="47">
        <v>1595.0</v>
      </c>
      <c r="B609" s="86" t="str">
        <f>IFERROR(__xludf.DUMMYFUNCTION("IF(ISBLANK(A609),,FILTER('Leetcode List'!B:C,'Leetcode List'!A:A = A609))"),"Minimum Cost to Connect Two Groups of Points")</f>
        <v>Minimum Cost to Connect Two Groups of Points</v>
      </c>
      <c r="C609" s="85" t="str">
        <f>IFERROR(__xludf.DUMMYFUNCTION("""COMPUTED_VALUE"""),"Hard")</f>
        <v>Hard</v>
      </c>
      <c r="D609" s="47" t="s">
        <v>76</v>
      </c>
      <c r="E609" s="90" t="str">
        <f>IFERROR(__xludf.DUMMYFUNCTION("IF(ISBLANK(A609),,FILTER('Leetcode List'!E:J,'Leetcode List'!A:A = A609))"),"Google")</f>
        <v>Google</v>
      </c>
      <c r="F609" s="85"/>
      <c r="G609" s="85"/>
      <c r="H609" s="85" t="str">
        <f>IFERROR(__xludf.DUMMYFUNCTION("""COMPUTED_VALUE"""),"Google")</f>
        <v>Google</v>
      </c>
      <c r="I609" s="85">
        <f>IFERROR(__xludf.DUMMYFUNCTION("""COMPUTED_VALUE"""),43.41)</f>
        <v>43.41</v>
      </c>
      <c r="J609" s="85" t="str">
        <f>IFERROR(__xludf.DUMMYFUNCTION("""COMPUTED_VALUE"""),"算法")</f>
        <v>算法</v>
      </c>
      <c r="K609" s="2" t="s">
        <v>5014</v>
      </c>
    </row>
    <row r="610">
      <c r="A610" s="47">
        <v>1655.0</v>
      </c>
      <c r="B610" s="86" t="str">
        <f>IFERROR(__xludf.DUMMYFUNCTION("IF(ISBLANK(A610),,FILTER('Leetcode List'!B:C,'Leetcode List'!A:A = A610))"),"Distribute Repeating Integers")</f>
        <v>Distribute Repeating Integers</v>
      </c>
      <c r="C610" s="85" t="str">
        <f>IFERROR(__xludf.DUMMYFUNCTION("""COMPUTED_VALUE"""),"Hard")</f>
        <v>Hard</v>
      </c>
      <c r="D610" s="47" t="s">
        <v>76</v>
      </c>
      <c r="E610" s="90" t="str">
        <f>IFERROR(__xludf.DUMMYFUNCTION("IF(ISBLANK(A610),,FILTER('Leetcode List'!E:J,'Leetcode List'!A:A = A610))"),"Google")</f>
        <v>Google</v>
      </c>
      <c r="F610" s="85"/>
      <c r="G610" s="85"/>
      <c r="H610" s="85" t="str">
        <f>IFERROR(__xludf.DUMMYFUNCTION("""COMPUTED_VALUE"""),"Google")</f>
        <v>Google</v>
      </c>
      <c r="I610" s="85">
        <f>IFERROR(__xludf.DUMMYFUNCTION("""COMPUTED_VALUE"""),39.96)</f>
        <v>39.96</v>
      </c>
      <c r="J610" s="85" t="str">
        <f>IFERROR(__xludf.DUMMYFUNCTION("""COMPUTED_VALUE"""),"算法")</f>
        <v>算法</v>
      </c>
      <c r="K610" s="2" t="s">
        <v>5014</v>
      </c>
    </row>
    <row r="611">
      <c r="A611" s="47">
        <v>1659.0</v>
      </c>
      <c r="B611" s="86" t="str">
        <f>IFERROR(__xludf.DUMMYFUNCTION("IF(ISBLANK(A611),,FILTER('Leetcode List'!B:C,'Leetcode List'!A:A = A611))"),"Maximize Grid Happiness")</f>
        <v>Maximize Grid Happiness</v>
      </c>
      <c r="C611" s="85" t="str">
        <f>IFERROR(__xludf.DUMMYFUNCTION("""COMPUTED_VALUE"""),"Hard")</f>
        <v>Hard</v>
      </c>
      <c r="D611" s="47" t="s">
        <v>76</v>
      </c>
      <c r="E611" s="90" t="str">
        <f>IFERROR(__xludf.DUMMYFUNCTION("IF(ISBLANK(A611),,FILTER('Leetcode List'!E:J,'Leetcode List'!A:A = A611))"),"Salesforce")</f>
        <v>Salesforce</v>
      </c>
      <c r="F611" s="85"/>
      <c r="G611" s="85"/>
      <c r="H611" s="85" t="str">
        <f>IFERROR(__xludf.DUMMYFUNCTION("""COMPUTED_VALUE"""),"Salesforce")</f>
        <v>Salesforce</v>
      </c>
      <c r="I611" s="85">
        <f>IFERROR(__xludf.DUMMYFUNCTION("""COMPUTED_VALUE"""),35.52)</f>
        <v>35.52</v>
      </c>
      <c r="J611" s="85" t="str">
        <f>IFERROR(__xludf.DUMMYFUNCTION("""COMPUTED_VALUE"""),"算法")</f>
        <v>算法</v>
      </c>
      <c r="K611" s="2" t="s">
        <v>5014</v>
      </c>
    </row>
    <row r="612">
      <c r="A612" s="47">
        <v>1681.0</v>
      </c>
      <c r="B612" s="86" t="str">
        <f>IFERROR(__xludf.DUMMYFUNCTION("IF(ISBLANK(A612),,FILTER('Leetcode List'!B:C,'Leetcode List'!A:A = A612))"),"Minimum Incompatibility")</f>
        <v>Minimum Incompatibility</v>
      </c>
      <c r="C612" s="85" t="str">
        <f>IFERROR(__xludf.DUMMYFUNCTION("""COMPUTED_VALUE"""),"Hard")</f>
        <v>Hard</v>
      </c>
      <c r="D612" s="47" t="s">
        <v>76</v>
      </c>
      <c r="E612" s="90" t="str">
        <f>IFERROR(__xludf.DUMMYFUNCTION("IF(ISBLANK(A612),,FILTER('Leetcode List'!E:J,'Leetcode List'!A:A = A612))"),"Microsoft")</f>
        <v>Microsoft</v>
      </c>
      <c r="F612" s="85"/>
      <c r="G612" s="85"/>
      <c r="H612" s="85" t="str">
        <f>IFERROR(__xludf.DUMMYFUNCTION("""COMPUTED_VALUE"""),"Microsoft")</f>
        <v>Microsoft</v>
      </c>
      <c r="I612" s="85">
        <f>IFERROR(__xludf.DUMMYFUNCTION("""COMPUTED_VALUE"""),35.72)</f>
        <v>35.72</v>
      </c>
      <c r="J612" s="85" t="str">
        <f>IFERROR(__xludf.DUMMYFUNCTION("""COMPUTED_VALUE"""),"算法")</f>
        <v>算法</v>
      </c>
      <c r="K612" s="2" t="s">
        <v>5014</v>
      </c>
    </row>
    <row r="613">
      <c r="A613" s="47">
        <v>1723.0</v>
      </c>
      <c r="B613" s="86" t="str">
        <f>IFERROR(__xludf.DUMMYFUNCTION("IF(ISBLANK(A613),,FILTER('Leetcode List'!B:C,'Leetcode List'!A:A = A613))"),"Find Minimum Time to Finish All Jobs")</f>
        <v>Find Minimum Time to Finish All Jobs</v>
      </c>
      <c r="C613" s="85" t="str">
        <f>IFERROR(__xludf.DUMMYFUNCTION("""COMPUTED_VALUE"""),"Hard")</f>
        <v>Hard</v>
      </c>
      <c r="D613" s="47" t="s">
        <v>76</v>
      </c>
      <c r="E613" s="90" t="str">
        <f>IFERROR(__xludf.DUMMYFUNCTION("IF(ISBLANK(A613),,FILTER('Leetcode List'!E:J,'Leetcode List'!A:A = A613))"),"Amazon")</f>
        <v>Amazon</v>
      </c>
      <c r="F613" s="85"/>
      <c r="G613" s="85"/>
      <c r="H613" s="85" t="str">
        <f>IFERROR(__xludf.DUMMYFUNCTION("""COMPUTED_VALUE"""),"Amazon")</f>
        <v>Amazon</v>
      </c>
      <c r="I613" s="85">
        <f>IFERROR(__xludf.DUMMYFUNCTION("""COMPUTED_VALUE"""),43.72)</f>
        <v>43.72</v>
      </c>
      <c r="J613" s="85" t="str">
        <f>IFERROR(__xludf.DUMMYFUNCTION("""COMPUTED_VALUE"""),"算法")</f>
        <v>算法</v>
      </c>
      <c r="K613" s="2" t="s">
        <v>5014</v>
      </c>
    </row>
    <row r="614">
      <c r="A614" s="47">
        <v>96.0</v>
      </c>
      <c r="B614" s="86" t="str">
        <f>IFERROR(__xludf.DUMMYFUNCTION("IF(ISBLANK(A614),,FILTER('Leetcode List'!B:C,'Leetcode List'!A:A = A614))"),"Unique Binary Search Trees")</f>
        <v>Unique Binary Search Trees</v>
      </c>
      <c r="C614" s="85" t="str">
        <f>IFERROR(__xludf.DUMMYFUNCTION("""COMPUTED_VALUE"""),"Medium")</f>
        <v>Medium</v>
      </c>
      <c r="D614" s="47" t="s">
        <v>76</v>
      </c>
      <c r="E614" s="90" t="str">
        <f>IFERROR(__xludf.DUMMYFUNCTION("IF(ISBLANK(A614),,FILTER('Leetcode List'!E:J,'Leetcode List'!A:A = A614))"),"ByteDance,Snapchat,Expedia,Wish,Apple,Bloomberg,Adobe,Facebook,Amazon,Microsoft,Google")</f>
        <v>ByteDance,Snapchat,Expedia,Wish,Apple,Bloomberg,Adobe,Facebook,Amazon,Microsoft,Google</v>
      </c>
      <c r="F614" s="85" t="str">
        <f>IFERROR(__xludf.DUMMYFUNCTION("""COMPUTED_VALUE"""),"Bloomberg,Microsoft")</f>
        <v>Bloomberg,Microsoft</v>
      </c>
      <c r="G614" s="85" t="str">
        <f>IFERROR(__xludf.DUMMYFUNCTION("""COMPUTED_VALUE"""),"Amazon,Google,Adobe,ByteDance,Bloomberg,Microsoft")</f>
        <v>Amazon,Google,Adobe,ByteDance,Bloomberg,Microsoft</v>
      </c>
      <c r="H614" s="85" t="str">
        <f>IFERROR(__xludf.DUMMYFUNCTION("""COMPUTED_VALUE"""),"Apple,Wish,Facebook,Snapchat,Amazon,Google,Adobe,ByteDance,Bloomberg,Microsoft")</f>
        <v>Apple,Wish,Facebook,Snapchat,Amazon,Google,Adobe,ByteDance,Bloomberg,Microsoft</v>
      </c>
      <c r="I614" s="85">
        <f>IFERROR(__xludf.DUMMYFUNCTION("""COMPUTED_VALUE"""),54.55)</f>
        <v>54.55</v>
      </c>
      <c r="J614" s="85" t="str">
        <f>IFERROR(__xludf.DUMMYFUNCTION("""COMPUTED_VALUE"""),"算法")</f>
        <v>算法</v>
      </c>
      <c r="K614" s="2" t="s">
        <v>5015</v>
      </c>
    </row>
    <row r="615">
      <c r="A615" s="47">
        <v>1259.0</v>
      </c>
      <c r="B615" s="86" t="str">
        <f>IFERROR(__xludf.DUMMYFUNCTION("IF(ISBLANK(A615),,FILTER('Leetcode List'!B:C,'Leetcode List'!A:A = A615))"),"Handshakes That Don't Cross")</f>
        <v>Handshakes That Don't Cross</v>
      </c>
      <c r="C615" s="85" t="str">
        <f>IFERROR(__xludf.DUMMYFUNCTION("""COMPUTED_VALUE"""),"Hard")</f>
        <v>Hard</v>
      </c>
      <c r="D615" s="47" t="s">
        <v>76</v>
      </c>
      <c r="E615" s="90" t="str">
        <f>IFERROR(__xludf.DUMMYFUNCTION("IF(ISBLANK(A615),,FILTER('Leetcode List'!E:J,'Leetcode List'!A:A = A615))"),"Amazon")</f>
        <v>Amazon</v>
      </c>
      <c r="F615" s="85"/>
      <c r="G615" s="85"/>
      <c r="H615" s="85" t="str">
        <f>IFERROR(__xludf.DUMMYFUNCTION("""COMPUTED_VALUE"""),"Amazon")</f>
        <v>Amazon</v>
      </c>
      <c r="I615" s="85">
        <f>IFERROR(__xludf.DUMMYFUNCTION("""COMPUTED_VALUE"""),54.27)</f>
        <v>54.27</v>
      </c>
      <c r="J615" s="85" t="str">
        <f>IFERROR(__xludf.DUMMYFUNCTION("""COMPUTED_VALUE"""),"算法")</f>
        <v>算法</v>
      </c>
      <c r="K615" s="2" t="s">
        <v>5015</v>
      </c>
    </row>
    <row r="616">
      <c r="A616" s="47">
        <v>137.0</v>
      </c>
      <c r="B616" s="86" t="str">
        <f>IFERROR(__xludf.DUMMYFUNCTION("IF(ISBLANK(A616),,FILTER('Leetcode List'!B:C,'Leetcode List'!A:A = A616))"),"Single Number II")</f>
        <v>Single Number II</v>
      </c>
      <c r="C616" s="85" t="str">
        <f>IFERROR(__xludf.DUMMYFUNCTION("""COMPUTED_VALUE"""),"Medium")</f>
        <v>Medium</v>
      </c>
      <c r="D616" s="47" t="s">
        <v>182</v>
      </c>
      <c r="E616" s="90" t="str">
        <f>IFERROR(__xludf.DUMMYFUNCTION("IF(ISBLANK(A616),,FILTER('Leetcode List'!E:J,'Leetcode List'!A:A = A616))"),"Apple,Adobe,Facebook,Amazon,Google")</f>
        <v>Apple,Adobe,Facebook,Amazon,Google</v>
      </c>
      <c r="F616" s="85" t="str">
        <f>IFERROR(__xludf.DUMMYFUNCTION("""COMPUTED_VALUE"""),"Amazon,Adobe")</f>
        <v>Amazon,Adobe</v>
      </c>
      <c r="G616" s="85" t="str">
        <f>IFERROR(__xludf.DUMMYFUNCTION("""COMPUTED_VALUE"""),"Facebook,Google,Amazon,Adobe")</f>
        <v>Facebook,Google,Amazon,Adobe</v>
      </c>
      <c r="H616" s="85" t="str">
        <f>IFERROR(__xludf.DUMMYFUNCTION("""COMPUTED_VALUE"""),"Apple,Facebook,Google,Amazon,Adobe")</f>
        <v>Apple,Facebook,Google,Amazon,Adobe</v>
      </c>
      <c r="I616" s="85">
        <f>IFERROR(__xludf.DUMMYFUNCTION("""COMPUTED_VALUE"""),53.96)</f>
        <v>53.96</v>
      </c>
      <c r="J616" s="85" t="str">
        <f>IFERROR(__xludf.DUMMYFUNCTION("""COMPUTED_VALUE"""),"算法")</f>
        <v>算法</v>
      </c>
    </row>
    <row r="617">
      <c r="A617" s="47">
        <v>260.0</v>
      </c>
      <c r="B617" s="86" t="str">
        <f>IFERROR(__xludf.DUMMYFUNCTION("IF(ISBLANK(A617),,FILTER('Leetcode List'!B:C,'Leetcode List'!A:A = A617))"),"Single Number III")</f>
        <v>Single Number III</v>
      </c>
      <c r="C617" s="85" t="str">
        <f>IFERROR(__xludf.DUMMYFUNCTION("""COMPUTED_VALUE"""),"Medium")</f>
        <v>Medium</v>
      </c>
      <c r="D617" s="47" t="s">
        <v>182</v>
      </c>
      <c r="E617" s="90" t="str">
        <f>IFERROR(__xludf.DUMMYFUNCTION("IF(ISBLANK(A617),,FILTER('Leetcode List'!E:J,'Leetcode List'!A:A = A617))"),"Microsoft,Apple,Yahoo,Facebook,Amazon")</f>
        <v>Microsoft,Apple,Yahoo,Facebook,Amazon</v>
      </c>
      <c r="F617" s="85" t="str">
        <f>IFERROR(__xludf.DUMMYFUNCTION("""COMPUTED_VALUE"""),"Microsoft")</f>
        <v>Microsoft</v>
      </c>
      <c r="G617" s="85" t="str">
        <f>IFERROR(__xludf.DUMMYFUNCTION("""COMPUTED_VALUE"""),"Apple,Yahoo,Amazon,Microsoft")</f>
        <v>Apple,Yahoo,Amazon,Microsoft</v>
      </c>
      <c r="H617" s="85" t="str">
        <f>IFERROR(__xludf.DUMMYFUNCTION("""COMPUTED_VALUE"""),"Facebook,Apple,Yahoo,Amazon,Microsoft")</f>
        <v>Facebook,Apple,Yahoo,Amazon,Microsoft</v>
      </c>
      <c r="I617" s="85">
        <f>IFERROR(__xludf.DUMMYFUNCTION("""COMPUTED_VALUE"""),65.39)</f>
        <v>65.39</v>
      </c>
      <c r="J617" s="85" t="str">
        <f>IFERROR(__xludf.DUMMYFUNCTION("""COMPUTED_VALUE"""),"算法")</f>
        <v>算法</v>
      </c>
    </row>
    <row r="618">
      <c r="A618" s="47">
        <v>371.0</v>
      </c>
      <c r="B618" s="86" t="str">
        <f>IFERROR(__xludf.DUMMYFUNCTION("IF(ISBLANK(A618),,FILTER('Leetcode List'!B:C,'Leetcode List'!A:A = A618))"),"Sum of Two Integers")</f>
        <v>Sum of Two Integers</v>
      </c>
      <c r="C618" s="85" t="str">
        <f>IFERROR(__xludf.DUMMYFUNCTION("""COMPUTED_VALUE"""),"Medium")</f>
        <v>Medium</v>
      </c>
      <c r="D618" s="47" t="s">
        <v>182</v>
      </c>
      <c r="E618" s="90" t="str">
        <f>IFERROR(__xludf.DUMMYFUNCTION("IF(ISBLANK(A618),,FILTER('Leetcode List'!E:J,'Leetcode List'!A:A = A618))"),"Apple,Yahoo,Bloomberg,Google,Hulu,Facebook,Amazon")</f>
        <v>Apple,Yahoo,Bloomberg,Google,Hulu,Facebook,Amazon</v>
      </c>
      <c r="F618" s="85" t="str">
        <f>IFERROR(__xludf.DUMMYFUNCTION("""COMPUTED_VALUE"""),"Facebook")</f>
        <v>Facebook</v>
      </c>
      <c r="G618" s="85" t="str">
        <f>IFERROR(__xludf.DUMMYFUNCTION("""COMPUTED_VALUE"""),"Apple,Yahoo,Bloomberg,Facebook")</f>
        <v>Apple,Yahoo,Bloomberg,Facebook</v>
      </c>
      <c r="H618" s="85" t="str">
        <f>IFERROR(__xludf.DUMMYFUNCTION("""COMPUTED_VALUE"""),"Google,Hulu,Apple,Yahoo,Bloomberg,Facebook")</f>
        <v>Google,Hulu,Apple,Yahoo,Bloomberg,Facebook</v>
      </c>
      <c r="I618" s="85">
        <f>IFERROR(__xludf.DUMMYFUNCTION("""COMPUTED_VALUE"""),50.6)</f>
        <v>50.6</v>
      </c>
      <c r="J618" s="85" t="str">
        <f>IFERROR(__xludf.DUMMYFUNCTION("""COMPUTED_VALUE"""),"算法")</f>
        <v>算法</v>
      </c>
    </row>
    <row r="619">
      <c r="A619" s="47">
        <v>318.0</v>
      </c>
      <c r="B619" s="86" t="str">
        <f>IFERROR(__xludf.DUMMYFUNCTION("IF(ISBLANK(A619),,FILTER('Leetcode List'!B:C,'Leetcode List'!A:A = A619))"),"Maximum Product of Word Lengths")</f>
        <v>Maximum Product of Word Lengths</v>
      </c>
      <c r="C619" s="85" t="str">
        <f>IFERROR(__xludf.DUMMYFUNCTION("""COMPUTED_VALUE"""),"Medium")</f>
        <v>Medium</v>
      </c>
      <c r="D619" s="47" t="s">
        <v>182</v>
      </c>
      <c r="E619" s="90" t="str">
        <f>IFERROR(__xludf.DUMMYFUNCTION("IF(ISBLANK(A619),,FILTER('Leetcode List'!E:J,'Leetcode List'!A:A = A619))"),"Google")</f>
        <v>Google</v>
      </c>
      <c r="F619" s="85"/>
      <c r="G619" s="85"/>
      <c r="H619" s="85" t="str">
        <f>IFERROR(__xludf.DUMMYFUNCTION("""COMPUTED_VALUE"""),"Google")</f>
        <v>Google</v>
      </c>
      <c r="I619" s="85">
        <f>IFERROR(__xludf.DUMMYFUNCTION("""COMPUTED_VALUE"""),52.34)</f>
        <v>52.34</v>
      </c>
      <c r="J619" s="85" t="str">
        <f>IFERROR(__xludf.DUMMYFUNCTION("""COMPUTED_VALUE"""),"算法")</f>
        <v>算法</v>
      </c>
    </row>
    <row r="620">
      <c r="A620" s="47">
        <v>342.0</v>
      </c>
      <c r="B620" s="86" t="str">
        <f>IFERROR(__xludf.DUMMYFUNCTION("IF(ISBLANK(A620),,FILTER('Leetcode List'!B:C,'Leetcode List'!A:A = A620))"),"Power of Four")</f>
        <v>Power of Four</v>
      </c>
      <c r="C620" s="85" t="str">
        <f>IFERROR(__xludf.DUMMYFUNCTION("""COMPUTED_VALUE"""),"Easy")</f>
        <v>Easy</v>
      </c>
      <c r="D620" s="47" t="s">
        <v>182</v>
      </c>
      <c r="E620" s="90" t="str">
        <f>IFERROR(__xludf.DUMMYFUNCTION("IF(ISBLANK(A620),,FILTER('Leetcode List'!E:J,'Leetcode List'!A:A = A620))"),"Two Sigma,Uber")</f>
        <v>Two Sigma,Uber</v>
      </c>
      <c r="F620" s="85"/>
      <c r="G620" s="85"/>
      <c r="H620" s="85" t="str">
        <f>IFERROR(__xludf.DUMMYFUNCTION("""COMPUTED_VALUE"""),"Two Sigma")</f>
        <v>Two Sigma</v>
      </c>
      <c r="I620" s="85">
        <f>IFERROR(__xludf.DUMMYFUNCTION("""COMPUTED_VALUE"""),41.78)</f>
        <v>41.78</v>
      </c>
      <c r="J620" s="85" t="str">
        <f>IFERROR(__xludf.DUMMYFUNCTION("""COMPUTED_VALUE"""),"算法")</f>
        <v>算法</v>
      </c>
    </row>
    <row r="621">
      <c r="A621" s="47">
        <v>957.0</v>
      </c>
      <c r="B621" s="86" t="str">
        <f>IFERROR(__xludf.DUMMYFUNCTION("IF(ISBLANK(A621),,FILTER('Leetcode List'!B:C,'Leetcode List'!A:A = A621))"),"Prison Cells After N Days")</f>
        <v>Prison Cells After N Days</v>
      </c>
      <c r="C621" s="85" t="str">
        <f>IFERROR(__xludf.DUMMYFUNCTION("""COMPUTED_VALUE"""),"Medium")</f>
        <v>Medium</v>
      </c>
      <c r="D621" s="47" t="s">
        <v>182</v>
      </c>
      <c r="E621" s="90" t="str">
        <f>IFERROR(__xludf.DUMMYFUNCTION("IF(ISBLANK(A621),,FILTER('Leetcode List'!E:J,'Leetcode List'!A:A = A621))"),"Bloomberg,Amazon")</f>
        <v>Bloomberg,Amazon</v>
      </c>
      <c r="F621" s="85" t="str">
        <f>IFERROR(__xludf.DUMMYFUNCTION("""COMPUTED_VALUE"""),"Amazon")</f>
        <v>Amazon</v>
      </c>
      <c r="G621" s="85" t="str">
        <f>IFERROR(__xludf.DUMMYFUNCTION("""COMPUTED_VALUE"""),"Amazon")</f>
        <v>Amazon</v>
      </c>
      <c r="H621" s="85" t="str">
        <f>IFERROR(__xludf.DUMMYFUNCTION("""COMPUTED_VALUE"""),"Bloomberg,Amazon")</f>
        <v>Bloomberg,Amazon</v>
      </c>
      <c r="I621" s="85">
        <f>IFERROR(__xludf.DUMMYFUNCTION("""COMPUTED_VALUE"""),40.12)</f>
        <v>40.12</v>
      </c>
      <c r="J621" s="85" t="str">
        <f>IFERROR(__xludf.DUMMYFUNCTION("""COMPUTED_VALUE"""),"算法")</f>
        <v>算法</v>
      </c>
    </row>
    <row r="622">
      <c r="A622" s="47">
        <v>1461.0</v>
      </c>
      <c r="B622" s="86" t="str">
        <f>IFERROR(__xludf.DUMMYFUNCTION("IF(ISBLANK(A622),,FILTER('Leetcode List'!B:C,'Leetcode List'!A:A = A622))"),"Check If a String Contains All Binary Codes of Size K")</f>
        <v>Check If a String Contains All Binary Codes of Size K</v>
      </c>
      <c r="C622" s="85" t="str">
        <f>IFERROR(__xludf.DUMMYFUNCTION("""COMPUTED_VALUE"""),"Medium")</f>
        <v>Medium</v>
      </c>
      <c r="D622" s="47" t="s">
        <v>182</v>
      </c>
      <c r="E622" s="90" t="str">
        <f>IFERROR(__xludf.DUMMYFUNCTION("IF(ISBLANK(A622),,FILTER('Leetcode List'!E:J,'Leetcode List'!A:A = A622))"),"Google")</f>
        <v>Google</v>
      </c>
      <c r="F622" s="85"/>
      <c r="G622" s="85"/>
      <c r="H622" s="85" t="str">
        <f>IFERROR(__xludf.DUMMYFUNCTION("""COMPUTED_VALUE"""),"Google")</f>
        <v>Google</v>
      </c>
      <c r="I622" s="85">
        <f>IFERROR(__xludf.DUMMYFUNCTION("""COMPUTED_VALUE"""),54.31)</f>
        <v>54.31</v>
      </c>
      <c r="J622" s="85" t="str">
        <f>IFERROR(__xludf.DUMMYFUNCTION("""COMPUTED_VALUE"""),"算法")</f>
        <v>算法</v>
      </c>
    </row>
    <row r="623">
      <c r="A623" s="47">
        <v>1521.0</v>
      </c>
      <c r="B623" s="86" t="str">
        <f>IFERROR(__xludf.DUMMYFUNCTION("IF(ISBLANK(A623),,FILTER('Leetcode List'!B:C,'Leetcode List'!A:A = A623))"),"Find a Value of a Mysterious Function Closest to Target")</f>
        <v>Find a Value of a Mysterious Function Closest to Target</v>
      </c>
      <c r="C623" s="85" t="str">
        <f>IFERROR(__xludf.DUMMYFUNCTION("""COMPUTED_VALUE"""),"Hard")</f>
        <v>Hard</v>
      </c>
      <c r="D623" s="47" t="s">
        <v>182</v>
      </c>
      <c r="E623" s="90" t="str">
        <f>IFERROR(__xludf.DUMMYFUNCTION("IF(ISBLANK(A623),,FILTER('Leetcode List'!E:J,'Leetcode List'!A:A = A623))"),"American Express")</f>
        <v>American Express</v>
      </c>
      <c r="F623" s="85"/>
      <c r="G623" s="85"/>
      <c r="H623" s="85" t="str">
        <f>IFERROR(__xludf.DUMMYFUNCTION("""COMPUTED_VALUE"""),"American Express")</f>
        <v>American Express</v>
      </c>
      <c r="I623" s="85">
        <f>IFERROR(__xludf.DUMMYFUNCTION("""COMPUTED_VALUE"""),44.23)</f>
        <v>44.23</v>
      </c>
      <c r="J623" s="85" t="str">
        <f>IFERROR(__xludf.DUMMYFUNCTION("""COMPUTED_VALUE"""),"算法")</f>
        <v>算法</v>
      </c>
    </row>
    <row r="624">
      <c r="A624" s="47">
        <v>136.0</v>
      </c>
      <c r="B624" s="86" t="str">
        <f>IFERROR(__xludf.DUMMYFUNCTION("IF(ISBLANK(A624),,FILTER('Leetcode List'!B:C,'Leetcode List'!A:A = A624))"),"Single Number")</f>
        <v>Single Number</v>
      </c>
      <c r="C624" s="85" t="str">
        <f>IFERROR(__xludf.DUMMYFUNCTION("""COMPUTED_VALUE"""),"Easy")</f>
        <v>Easy</v>
      </c>
      <c r="D624" s="47" t="s">
        <v>182</v>
      </c>
      <c r="E624" s="90" t="str">
        <f>IFERROR(__xludf.DUMMYFUNCTION("IF(ISBLANK(A624),,FILTER('Leetcode List'!E:J,'Leetcode List'!A:A = A624))"),"Palantir Technologies,Atlassian,Oracle,Apple,Airbnb,Tencent,SAP,Bloomberg,Adobe,Facebook,Amazon,Microsoft,Google")</f>
        <v>Palantir Technologies,Atlassian,Oracle,Apple,Airbnb,Tencent,SAP,Bloomberg,Adobe,Facebook,Amazon,Microsoft,Google</v>
      </c>
      <c r="F624" s="85" t="str">
        <f>IFERROR(__xludf.DUMMYFUNCTION("""COMPUTED_VALUE"""),"Google,Facebook,Microsoft,Amazon")</f>
        <v>Google,Facebook,Microsoft,Amazon</v>
      </c>
      <c r="G624" s="85" t="str">
        <f>IFERROR(__xludf.DUMMYFUNCTION("""COMPUTED_VALUE"""),"Apple,Bloomberg,Adobe,Google,Facebook,Microsoft,Amazon")</f>
        <v>Apple,Bloomberg,Adobe,Google,Facebook,Microsoft,Amazon</v>
      </c>
      <c r="H624" s="85" t="str">
        <f>IFERROR(__xludf.DUMMYFUNCTION("""COMPUTED_VALUE"""),"Tencent,Oracle,Atlassian,Airbnb,Palantir Technologies,Apple,Bloomberg,Adobe,Google,Facebook,Microsoft,Amazon")</f>
        <v>Tencent,Oracle,Atlassian,Airbnb,Palantir Technologies,Apple,Bloomberg,Adobe,Google,Facebook,Microsoft,Amazon</v>
      </c>
      <c r="I624" s="85">
        <f>IFERROR(__xludf.DUMMYFUNCTION("""COMPUTED_VALUE"""),66.61)</f>
        <v>66.61</v>
      </c>
      <c r="J624" s="85" t="str">
        <f>IFERROR(__xludf.DUMMYFUNCTION("""COMPUTED_VALUE"""),"算法")</f>
        <v>算法</v>
      </c>
      <c r="K624" s="2" t="s">
        <v>5016</v>
      </c>
    </row>
    <row r="625">
      <c r="A625" s="47">
        <v>268.0</v>
      </c>
      <c r="B625" s="86" t="str">
        <f>IFERROR(__xludf.DUMMYFUNCTION("IF(ISBLANK(A625),,FILTER('Leetcode List'!B:C,'Leetcode List'!A:A = A625))"),"Missing Number")</f>
        <v>Missing Number</v>
      </c>
      <c r="C625" s="85" t="str">
        <f>IFERROR(__xludf.DUMMYFUNCTION("""COMPUTED_VALUE"""),"Easy")</f>
        <v>Easy</v>
      </c>
      <c r="D625" s="47" t="s">
        <v>182</v>
      </c>
      <c r="E625" s="90" t="str">
        <f>IFERROR(__xludf.DUMMYFUNCTION("IF(ISBLANK(A625),,FILTER('Leetcode List'!E:J,'Leetcode List'!A:A = A625))"),"Capital One,JPMorgan,Paypal,Nvidia,Cisco,Yandex,EBay,Goldman Sachs,Arista Networks,VMware,Zillow,ServiceNow,Oracle,IBM,Apple,Bloomberg,Adobe,Facebook,Amazon,Microsoft,Google")</f>
        <v>Capital One,JPMorgan,Paypal,Nvidia,Cisco,Yandex,EBay,Goldman Sachs,Arista Networks,VMware,Zillow,ServiceNow,Oracle,IBM,Apple,Bloomberg,Adobe,Facebook,Amazon,Microsoft,Google</v>
      </c>
      <c r="F625" s="85" t="str">
        <f>IFERROR(__xludf.DUMMYFUNCTION("""COMPUTED_VALUE"""),"Capital One,Facebook,Amazon,Apple,Oracle,Microsoft,Goldman Sachs,Cisco,Arista Networks")</f>
        <v>Capital One,Facebook,Amazon,Apple,Oracle,Microsoft,Goldman Sachs,Cisco,Arista Networks</v>
      </c>
      <c r="G625" s="85" t="str">
        <f>IFERROR(__xludf.DUMMYFUNCTION("""COMPUTED_VALUE"""),"Adobe,Capital One,Facebook,Amazon,Apple,Oracle,Microsoft,Goldman Sachs,Cisco,Arista Networks")</f>
        <v>Adobe,Capital One,Facebook,Amazon,Apple,Oracle,Microsoft,Goldman Sachs,Cisco,Arista Networks</v>
      </c>
      <c r="H625" s="85" t="str">
        <f>IFERROR(__xludf.DUMMYFUNCTION("""COMPUTED_VALUE"""),"Google,Bloomberg,JPMorgan,Paypal,IBM,Yandex,ServiceNow,Nvidia,eBay,Adobe,Capital One,Facebook,Amazon,Apple,Oracle,Microsoft,Goldman Sachs,Cisco,Arista Networks")</f>
        <v>Google,Bloomberg,JPMorgan,Paypal,IBM,Yandex,ServiceNow,Nvidia,eBay,Adobe,Capital One,Facebook,Amazon,Apple,Oracle,Microsoft,Goldman Sachs,Cisco,Arista Networks</v>
      </c>
      <c r="I625" s="85">
        <f>IFERROR(__xludf.DUMMYFUNCTION("""COMPUTED_VALUE"""),55.03)</f>
        <v>55.03</v>
      </c>
      <c r="J625" s="85" t="str">
        <f>IFERROR(__xludf.DUMMYFUNCTION("""COMPUTED_VALUE"""),"算法")</f>
        <v>算法</v>
      </c>
      <c r="K625" s="2" t="s">
        <v>5016</v>
      </c>
    </row>
    <row r="626">
      <c r="A626" s="47">
        <v>1310.0</v>
      </c>
      <c r="B626" s="86" t="str">
        <f>IFERROR(__xludf.DUMMYFUNCTION("IF(ISBLANK(A626),,FILTER('Leetcode List'!B:C,'Leetcode List'!A:A = A626))"),"XOR Queries of a Subarray")</f>
        <v>XOR Queries of a Subarray</v>
      </c>
      <c r="C626" s="85" t="str">
        <f>IFERROR(__xludf.DUMMYFUNCTION("""COMPUTED_VALUE"""),"Medium")</f>
        <v>Medium</v>
      </c>
      <c r="D626" s="47" t="s">
        <v>182</v>
      </c>
      <c r="E626" s="90" t="str">
        <f>IFERROR(__xludf.DUMMYFUNCTION("IF(ISBLANK(A626),,FILTER('Leetcode List'!E:J,'Leetcode List'!A:A = A626))"),"Codenation,Amazon,Airtel")</f>
        <v>Codenation,Amazon,Airtel</v>
      </c>
      <c r="F626" s="85"/>
      <c r="G626" s="85" t="str">
        <f>IFERROR(__xludf.DUMMYFUNCTION("""COMPUTED_VALUE"""),"Codenation,Amazon")</f>
        <v>Codenation,Amazon</v>
      </c>
      <c r="H626" s="85" t="str">
        <f>IFERROR(__xludf.DUMMYFUNCTION("""COMPUTED_VALUE"""),"Airtel,Codenation,Amazon")</f>
        <v>Airtel,Codenation,Amazon</v>
      </c>
      <c r="I626" s="85">
        <f>IFERROR(__xludf.DUMMYFUNCTION("""COMPUTED_VALUE"""),69.42)</f>
        <v>69.42</v>
      </c>
      <c r="J626" s="85" t="str">
        <f>IFERROR(__xludf.DUMMYFUNCTION("""COMPUTED_VALUE"""),"算法")</f>
        <v>算法</v>
      </c>
      <c r="K626" s="2" t="s">
        <v>5016</v>
      </c>
    </row>
    <row r="627">
      <c r="A627" s="47">
        <v>1442.0</v>
      </c>
      <c r="B627" s="86" t="str">
        <f>IFERROR(__xludf.DUMMYFUNCTION("IF(ISBLANK(A627),,FILTER('Leetcode List'!B:C,'Leetcode List'!A:A = A627))"),"Count Triplets That Can Form Two Arrays of Equal XOR")</f>
        <v>Count Triplets That Can Form Two Arrays of Equal XOR</v>
      </c>
      <c r="C627" s="85" t="str">
        <f>IFERROR(__xludf.DUMMYFUNCTION("""COMPUTED_VALUE"""),"Medium")</f>
        <v>Medium</v>
      </c>
      <c r="D627" s="47" t="s">
        <v>182</v>
      </c>
      <c r="E627" s="90" t="str">
        <f>IFERROR(__xludf.DUMMYFUNCTION("IF(ISBLANK(A627),,FILTER('Leetcode List'!E:J,'Leetcode List'!A:A = A627))"),"")</f>
        <v/>
      </c>
      <c r="F627" s="85"/>
      <c r="G627" s="85"/>
      <c r="H627" s="85"/>
      <c r="I627" s="85">
        <f>IFERROR(__xludf.DUMMYFUNCTION("""COMPUTED_VALUE"""),71.69)</f>
        <v>71.69</v>
      </c>
      <c r="J627" s="85" t="str">
        <f>IFERROR(__xludf.DUMMYFUNCTION("""COMPUTED_VALUE"""),"算法")</f>
        <v>算法</v>
      </c>
      <c r="K627" s="2" t="s">
        <v>5016</v>
      </c>
    </row>
    <row r="628">
      <c r="A628" s="47">
        <v>1506.0</v>
      </c>
      <c r="B628" s="86" t="str">
        <f>IFERROR(__xludf.DUMMYFUNCTION("IF(ISBLANK(A628),,FILTER('Leetcode List'!B:C,'Leetcode List'!A:A = A628))"),"Find Root of N-Ary Tree")</f>
        <v>Find Root of N-Ary Tree</v>
      </c>
      <c r="C628" s="85" t="str">
        <f>IFERROR(__xludf.DUMMYFUNCTION("""COMPUTED_VALUE"""),"Medium")</f>
        <v>Medium</v>
      </c>
      <c r="D628" s="47" t="s">
        <v>182</v>
      </c>
      <c r="E628" s="90" t="str">
        <f>IFERROR(__xludf.DUMMYFUNCTION("IF(ISBLANK(A628),,FILTER('Leetcode List'!E:J,'Leetcode List'!A:A = A628))"),"Google")</f>
        <v>Google</v>
      </c>
      <c r="F628" s="85"/>
      <c r="G628" s="85"/>
      <c r="H628" s="85" t="str">
        <f>IFERROR(__xludf.DUMMYFUNCTION("""COMPUTED_VALUE"""),"Google")</f>
        <v>Google</v>
      </c>
      <c r="I628" s="85">
        <f>IFERROR(__xludf.DUMMYFUNCTION("""COMPUTED_VALUE"""),80.36)</f>
        <v>80.36</v>
      </c>
      <c r="J628" s="85" t="str">
        <f>IFERROR(__xludf.DUMMYFUNCTION("""COMPUTED_VALUE"""),"算法")</f>
        <v>算法</v>
      </c>
      <c r="K628" s="2" t="s">
        <v>5016</v>
      </c>
    </row>
    <row r="629">
      <c r="A629" s="47">
        <v>1734.0</v>
      </c>
      <c r="B629" s="86" t="str">
        <f>IFERROR(__xludf.DUMMYFUNCTION("IF(ISBLANK(A629),,FILTER('Leetcode List'!B:C,'Leetcode List'!A:A = A629))"),"Decode XORed Permutation")</f>
        <v>Decode XORed Permutation</v>
      </c>
      <c r="C629" s="85" t="str">
        <f>IFERROR(__xludf.DUMMYFUNCTION("""COMPUTED_VALUE"""),"Medium")</f>
        <v>Medium</v>
      </c>
      <c r="D629" s="47" t="s">
        <v>182</v>
      </c>
      <c r="E629" s="90" t="str">
        <f>IFERROR(__xludf.DUMMYFUNCTION("IF(ISBLANK(A629),,FILTER('Leetcode List'!E:J,'Leetcode List'!A:A = A629))"),"Amazon")</f>
        <v>Amazon</v>
      </c>
      <c r="F629" s="85"/>
      <c r="G629" s="85"/>
      <c r="H629" s="85" t="str">
        <f>IFERROR(__xludf.DUMMYFUNCTION("""COMPUTED_VALUE"""),"Amazon")</f>
        <v>Amazon</v>
      </c>
      <c r="I629" s="85">
        <f>IFERROR(__xludf.DUMMYFUNCTION("""COMPUTED_VALUE"""),52.81)</f>
        <v>52.81</v>
      </c>
      <c r="J629" s="85" t="str">
        <f>IFERROR(__xludf.DUMMYFUNCTION("""COMPUTED_VALUE"""),"算法")</f>
        <v>算法</v>
      </c>
      <c r="K629" s="2" t="s">
        <v>5016</v>
      </c>
    </row>
    <row r="630">
      <c r="A630" s="47">
        <v>1738.0</v>
      </c>
      <c r="B630" s="86" t="str">
        <f>IFERROR(__xludf.DUMMYFUNCTION("IF(ISBLANK(A630),,FILTER('Leetcode List'!B:C,'Leetcode List'!A:A = A630))"),"Find Kth Largest XOR Coordinate Value")</f>
        <v>Find Kth Largest XOR Coordinate Value</v>
      </c>
      <c r="C630" s="85" t="str">
        <f>IFERROR(__xludf.DUMMYFUNCTION("""COMPUTED_VALUE"""),"Medium")</f>
        <v>Medium</v>
      </c>
      <c r="D630" s="47" t="s">
        <v>182</v>
      </c>
      <c r="E630" s="90" t="str">
        <f>IFERROR(__xludf.DUMMYFUNCTION("IF(ISBLANK(A630),,FILTER('Leetcode List'!E:J,'Leetcode List'!A:A = A630))"),"Google")</f>
        <v>Google</v>
      </c>
      <c r="F630" s="85"/>
      <c r="G630" s="85"/>
      <c r="H630" s="85" t="str">
        <f>IFERROR(__xludf.DUMMYFUNCTION("""COMPUTED_VALUE"""),"Google")</f>
        <v>Google</v>
      </c>
      <c r="I630" s="85">
        <f>IFERROR(__xludf.DUMMYFUNCTION("""COMPUTED_VALUE"""),62.44)</f>
        <v>62.44</v>
      </c>
      <c r="J630" s="85" t="str">
        <f>IFERROR(__xludf.DUMMYFUNCTION("""COMPUTED_VALUE"""),"算法")</f>
        <v>算法</v>
      </c>
      <c r="K630" s="2" t="s">
        <v>5016</v>
      </c>
    </row>
    <row r="631">
      <c r="A631" s="47">
        <v>1284.0</v>
      </c>
      <c r="B631" s="86" t="str">
        <f>IFERROR(__xludf.DUMMYFUNCTION("IF(ISBLANK(A631),,FILTER('Leetcode List'!B:C,'Leetcode List'!A:A = A631))"),"Minimum Number of Flips to Convert Binary Matrix to Zero Matrix")</f>
        <v>Minimum Number of Flips to Convert Binary Matrix to Zero Matrix</v>
      </c>
      <c r="C631" s="85" t="str">
        <f>IFERROR(__xludf.DUMMYFUNCTION("""COMPUTED_VALUE"""),"Hard")</f>
        <v>Hard</v>
      </c>
      <c r="D631" s="47" t="s">
        <v>182</v>
      </c>
      <c r="E631" s="90" t="str">
        <f>IFERROR(__xludf.DUMMYFUNCTION("IF(ISBLANK(A631),,FILTER('Leetcode List'!E:J,'Leetcode List'!A:A = A631))"),"Airbnb,Google")</f>
        <v>Airbnb,Google</v>
      </c>
      <c r="F631" s="85"/>
      <c r="G631" s="85"/>
      <c r="H631" s="85" t="str">
        <f>IFERROR(__xludf.DUMMYFUNCTION("""COMPUTED_VALUE"""),"Google,Airbnb")</f>
        <v>Google,Airbnb</v>
      </c>
      <c r="I631" s="85">
        <f>IFERROR(__xludf.DUMMYFUNCTION("""COMPUTED_VALUE"""),70.09)</f>
        <v>70.09</v>
      </c>
      <c r="J631" s="85" t="str">
        <f>IFERROR(__xludf.DUMMYFUNCTION("""COMPUTED_VALUE"""),"算法")</f>
        <v>算法</v>
      </c>
      <c r="K631" s="2" t="s">
        <v>5017</v>
      </c>
    </row>
    <row r="632">
      <c r="A632" s="47">
        <v>1452.0</v>
      </c>
      <c r="B632" s="86" t="str">
        <f>IFERROR(__xludf.DUMMYFUNCTION("IF(ISBLANK(A632),,FILTER('Leetcode List'!B:C,'Leetcode List'!A:A = A632))"),"People Whose List of Favorite Companies Is Not a Subset of Another List")</f>
        <v>People Whose List of Favorite Companies Is Not a Subset of Another List</v>
      </c>
      <c r="C632" s="85" t="str">
        <f>IFERROR(__xludf.DUMMYFUNCTION("""COMPUTED_VALUE"""),"Medium")</f>
        <v>Medium</v>
      </c>
      <c r="D632" s="47" t="s">
        <v>182</v>
      </c>
      <c r="E632" s="90" t="str">
        <f>IFERROR(__xludf.DUMMYFUNCTION("IF(ISBLANK(A632),,FILTER('Leetcode List'!E:J,'Leetcode List'!A:A = A632))"),"Google")</f>
        <v>Google</v>
      </c>
      <c r="F632" s="85"/>
      <c r="G632" s="85"/>
      <c r="H632" s="85" t="str">
        <f>IFERROR(__xludf.DUMMYFUNCTION("""COMPUTED_VALUE"""),"Google")</f>
        <v>Google</v>
      </c>
      <c r="I632" s="85">
        <f>IFERROR(__xludf.DUMMYFUNCTION("""COMPUTED_VALUE"""),55.04)</f>
        <v>55.04</v>
      </c>
      <c r="J632" s="85" t="str">
        <f>IFERROR(__xludf.DUMMYFUNCTION("""COMPUTED_VALUE"""),"算法")</f>
        <v>算法</v>
      </c>
      <c r="K632" s="2" t="s">
        <v>5017</v>
      </c>
    </row>
    <row r="633">
      <c r="A633" s="47">
        <v>1601.0</v>
      </c>
      <c r="B633" s="86" t="str">
        <f>IFERROR(__xludf.DUMMYFUNCTION("IF(ISBLANK(A633),,FILTER('Leetcode List'!B:C,'Leetcode List'!A:A = A633))"),"Maximum Number of Achievable Transfer Requests")</f>
        <v>Maximum Number of Achievable Transfer Requests</v>
      </c>
      <c r="C633" s="85" t="str">
        <f>IFERROR(__xludf.DUMMYFUNCTION("""COMPUTED_VALUE"""),"Hard")</f>
        <v>Hard</v>
      </c>
      <c r="D633" s="47" t="s">
        <v>182</v>
      </c>
      <c r="E633" s="90" t="str">
        <f>IFERROR(__xludf.DUMMYFUNCTION("IF(ISBLANK(A633),,FILTER('Leetcode List'!E:J,'Leetcode List'!A:A = A633))"),"Amazon")</f>
        <v>Amazon</v>
      </c>
      <c r="F633" s="85"/>
      <c r="G633" s="85"/>
      <c r="H633" s="85" t="str">
        <f>IFERROR(__xludf.DUMMYFUNCTION("""COMPUTED_VALUE"""),"Amazon")</f>
        <v>Amazon</v>
      </c>
      <c r="I633" s="85">
        <f>IFERROR(__xludf.DUMMYFUNCTION("""COMPUTED_VALUE"""),47.7)</f>
        <v>47.7</v>
      </c>
      <c r="J633" s="85" t="str">
        <f>IFERROR(__xludf.DUMMYFUNCTION("""COMPUTED_VALUE"""),"算法")</f>
        <v>算法</v>
      </c>
      <c r="K633" s="2" t="s">
        <v>5017</v>
      </c>
    </row>
    <row r="634">
      <c r="A634" s="47">
        <v>1755.0</v>
      </c>
      <c r="B634" s="86" t="str">
        <f>IFERROR(__xludf.DUMMYFUNCTION("IF(ISBLANK(A634),,FILTER('Leetcode List'!B:C,'Leetcode List'!A:A = A634))"),"Closest Subsequence Sum")</f>
        <v>Closest Subsequence Sum</v>
      </c>
      <c r="C634" s="85" t="str">
        <f>IFERROR(__xludf.DUMMYFUNCTION("""COMPUTED_VALUE"""),"Hard")</f>
        <v>Hard</v>
      </c>
      <c r="D634" s="47" t="s">
        <v>182</v>
      </c>
      <c r="E634" s="90" t="str">
        <f>IFERROR(__xludf.DUMMYFUNCTION("IF(ISBLANK(A634),,FILTER('Leetcode List'!E:J,'Leetcode List'!A:A = A634))"),"Sprinklr")</f>
        <v>Sprinklr</v>
      </c>
      <c r="F634" s="85"/>
      <c r="G634" s="85"/>
      <c r="H634" s="85" t="str">
        <f>IFERROR(__xludf.DUMMYFUNCTION("""COMPUTED_VALUE"""),"Sprinklr")</f>
        <v>Sprinklr</v>
      </c>
      <c r="I634" s="85">
        <f>IFERROR(__xludf.DUMMYFUNCTION("""COMPUTED_VALUE"""),35.67)</f>
        <v>35.67</v>
      </c>
      <c r="J634" s="85" t="str">
        <f>IFERROR(__xludf.DUMMYFUNCTION("""COMPUTED_VALUE"""),"算法")</f>
        <v>算法</v>
      </c>
      <c r="K634" s="2" t="s">
        <v>5017</v>
      </c>
    </row>
    <row r="635">
      <c r="A635" s="47">
        <v>1774.0</v>
      </c>
      <c r="B635" s="86" t="str">
        <f>IFERROR(__xludf.DUMMYFUNCTION("IF(ISBLANK(A635),,FILTER('Leetcode List'!B:C,'Leetcode List'!A:A = A635))"),"Closest Dessert Cost")</f>
        <v>Closest Dessert Cost</v>
      </c>
      <c r="C635" s="85" t="str">
        <f>IFERROR(__xludf.DUMMYFUNCTION("""COMPUTED_VALUE"""),"Medium")</f>
        <v>Medium</v>
      </c>
      <c r="D635" s="47" t="s">
        <v>182</v>
      </c>
      <c r="E635" s="90" t="str">
        <f>IFERROR(__xludf.DUMMYFUNCTION("IF(ISBLANK(A635),,FILTER('Leetcode List'!E:J,'Leetcode List'!A:A = A635))"),"Google")</f>
        <v>Google</v>
      </c>
      <c r="F635" s="85"/>
      <c r="G635" s="85"/>
      <c r="H635" s="85" t="str">
        <f>IFERROR(__xludf.DUMMYFUNCTION("""COMPUTED_VALUE"""),"Google")</f>
        <v>Google</v>
      </c>
      <c r="I635" s="85">
        <f>IFERROR(__xludf.DUMMYFUNCTION("""COMPUTED_VALUE"""),59.35)</f>
        <v>59.35</v>
      </c>
      <c r="J635" s="85" t="str">
        <f>IFERROR(__xludf.DUMMYFUNCTION("""COMPUTED_VALUE"""),"算法")</f>
        <v>算法</v>
      </c>
      <c r="K635" s="2" t="s">
        <v>5017</v>
      </c>
    </row>
    <row r="636">
      <c r="A636" s="47">
        <v>315.0</v>
      </c>
      <c r="B636" s="86" t="str">
        <f>IFERROR(__xludf.DUMMYFUNCTION("IF(ISBLANK(A636),,FILTER('Leetcode List'!B:C,'Leetcode List'!A:A = A636))"),"Count of Smaller Numbers After Self")</f>
        <v>Count of Smaller Numbers After Self</v>
      </c>
      <c r="C636" s="85" t="str">
        <f>IFERROR(__xludf.DUMMYFUNCTION("""COMPUTED_VALUE"""),"Hard")</f>
        <v>Hard</v>
      </c>
      <c r="D636" s="47" t="s">
        <v>1078</v>
      </c>
      <c r="E636" s="90" t="str">
        <f>IFERROR(__xludf.DUMMYFUNCTION("IF(ISBLANK(A636),,FILTER('Leetcode List'!E:J,'Leetcode List'!A:A = A636))"),"Adobe,Oracle,Apple,Uber,Bloomberg,Facebook,Amazon,Microsoft,Google")</f>
        <v>Adobe,Oracle,Apple,Uber,Bloomberg,Facebook,Amazon,Microsoft,Google</v>
      </c>
      <c r="F636" s="85" t="str">
        <f>IFERROR(__xludf.DUMMYFUNCTION("""COMPUTED_VALUE"""),"Google,Amazon,Apple,Bloomberg,Uber")</f>
        <v>Google,Amazon,Apple,Bloomberg,Uber</v>
      </c>
      <c r="G636" s="85" t="str">
        <f>IFERROR(__xludf.DUMMYFUNCTION("""COMPUTED_VALUE"""),"Microsoft,Adobe,Google,Amazon,Apple,Bloomberg,Uber")</f>
        <v>Microsoft,Adobe,Google,Amazon,Apple,Bloomberg,Uber</v>
      </c>
      <c r="H636" s="85" t="str">
        <f>IFERROR(__xludf.DUMMYFUNCTION("""COMPUTED_VALUE"""),"Oracle,Microsoft,Adobe,Google,Amazon,Apple,Bloomberg,Uber")</f>
        <v>Oracle,Microsoft,Adobe,Google,Amazon,Apple,Bloomberg,Uber</v>
      </c>
      <c r="I636" s="85">
        <f>IFERROR(__xludf.DUMMYFUNCTION("""COMPUTED_VALUE"""),42.43)</f>
        <v>42.43</v>
      </c>
      <c r="J636" s="85" t="str">
        <f>IFERROR(__xludf.DUMMYFUNCTION("""COMPUTED_VALUE"""),"算法")</f>
        <v>算法</v>
      </c>
    </row>
    <row r="637">
      <c r="A637" s="47">
        <v>327.0</v>
      </c>
      <c r="B637" s="86" t="str">
        <f>IFERROR(__xludf.DUMMYFUNCTION("IF(ISBLANK(A637),,FILTER('Leetcode List'!B:C,'Leetcode List'!A:A = A637))"),"Count of Range Sum")</f>
        <v>Count of Range Sum</v>
      </c>
      <c r="C637" s="85" t="str">
        <f>IFERROR(__xludf.DUMMYFUNCTION("""COMPUTED_VALUE"""),"Hard")</f>
        <v>Hard</v>
      </c>
      <c r="D637" s="47" t="s">
        <v>1078</v>
      </c>
      <c r="E637" s="90" t="str">
        <f>IFERROR(__xludf.DUMMYFUNCTION("IF(ISBLANK(A637),,FILTER('Leetcode List'!E:J,'Leetcode List'!A:A = A637))"),"Amazon,Google")</f>
        <v>Amazon,Google</v>
      </c>
      <c r="F637" s="85"/>
      <c r="G637" s="85" t="str">
        <f>IFERROR(__xludf.DUMMYFUNCTION("""COMPUTED_VALUE"""),"Amazon")</f>
        <v>Amazon</v>
      </c>
      <c r="H637" s="85" t="str">
        <f>IFERROR(__xludf.DUMMYFUNCTION("""COMPUTED_VALUE"""),"Google,Amazon")</f>
        <v>Google,Amazon</v>
      </c>
      <c r="I637" s="85">
        <f>IFERROR(__xludf.DUMMYFUNCTION("""COMPUTED_VALUE"""),36.09)</f>
        <v>36.09</v>
      </c>
      <c r="J637" s="85" t="str">
        <f>IFERROR(__xludf.DUMMYFUNCTION("""COMPUTED_VALUE"""),"算法")</f>
        <v>算法</v>
      </c>
    </row>
    <row r="638">
      <c r="A638" s="47">
        <v>493.0</v>
      </c>
      <c r="B638" s="86" t="str">
        <f>IFERROR(__xludf.DUMMYFUNCTION("IF(ISBLANK(A638),,FILTER('Leetcode List'!B:C,'Leetcode List'!A:A = A638))"),"Reverse Pairs")</f>
        <v>Reverse Pairs</v>
      </c>
      <c r="C638" s="85" t="str">
        <f>IFERROR(__xludf.DUMMYFUNCTION("""COMPUTED_VALUE"""),"Hard")</f>
        <v>Hard</v>
      </c>
      <c r="D638" s="47" t="s">
        <v>1078</v>
      </c>
      <c r="E638" s="90" t="str">
        <f>IFERROR(__xludf.DUMMYFUNCTION("IF(ISBLANK(A638),,FILTER('Leetcode List'!E:J,'Leetcode List'!A:A = A638))"),"ByteDance,Bloomberg,Uber,Facebook,Amazon,Microsoft,Google")</f>
        <v>ByteDance,Bloomberg,Uber,Facebook,Amazon,Microsoft,Google</v>
      </c>
      <c r="F638" s="85" t="str">
        <f>IFERROR(__xludf.DUMMYFUNCTION("""COMPUTED_VALUE"""),"ByteDance,Amazon,Google")</f>
        <v>ByteDance,Amazon,Google</v>
      </c>
      <c r="G638" s="85" t="str">
        <f>IFERROR(__xludf.DUMMYFUNCTION("""COMPUTED_VALUE"""),"ByteDance,Amazon,Google")</f>
        <v>ByteDance,Amazon,Google</v>
      </c>
      <c r="H638" s="85" t="str">
        <f>IFERROR(__xludf.DUMMYFUNCTION("""COMPUTED_VALUE"""),"Uber,Microsoft,Bloomberg,ByteDance,Amazon,Google")</f>
        <v>Uber,Microsoft,Bloomberg,ByteDance,Amazon,Google</v>
      </c>
      <c r="I638" s="85">
        <f>IFERROR(__xludf.DUMMYFUNCTION("""COMPUTED_VALUE"""),26.98)</f>
        <v>26.98</v>
      </c>
      <c r="J638" s="85" t="str">
        <f>IFERROR(__xludf.DUMMYFUNCTION("""COMPUTED_VALUE"""),"算法")</f>
        <v>算法</v>
      </c>
    </row>
    <row r="639">
      <c r="A639" s="47">
        <v>1649.0</v>
      </c>
      <c r="B639" s="86" t="str">
        <f>IFERROR(__xludf.DUMMYFUNCTION("IF(ISBLANK(A639),,FILTER('Leetcode List'!B:C,'Leetcode List'!A:A = A639))"),"Create Sorted Array through Instructions")</f>
        <v>Create Sorted Array through Instructions</v>
      </c>
      <c r="C639" s="85" t="str">
        <f>IFERROR(__xludf.DUMMYFUNCTION("""COMPUTED_VALUE"""),"Hard")</f>
        <v>Hard</v>
      </c>
      <c r="D639" s="47" t="s">
        <v>1078</v>
      </c>
      <c r="E639" s="90" t="str">
        <f>IFERROR(__xludf.DUMMYFUNCTION("IF(ISBLANK(A639),,FILTER('Leetcode List'!E:J,'Leetcode List'!A:A = A639))"),"Akuna Capital")</f>
        <v>Akuna Capital</v>
      </c>
      <c r="F639" s="85"/>
      <c r="G639" s="85"/>
      <c r="H639" s="85" t="str">
        <f>IFERROR(__xludf.DUMMYFUNCTION("""COMPUTED_VALUE"""),"Akuna Capital")</f>
        <v>Akuna Capital</v>
      </c>
      <c r="I639" s="85">
        <f>IFERROR(__xludf.DUMMYFUNCTION("""COMPUTED_VALUE"""),36.37)</f>
        <v>36.37</v>
      </c>
      <c r="J639" s="85" t="str">
        <f>IFERROR(__xludf.DUMMYFUNCTION("""COMPUTED_VALUE"""),"算法")</f>
        <v>算法</v>
      </c>
    </row>
    <row r="640">
      <c r="A640" s="47">
        <v>5.0</v>
      </c>
      <c r="B640" s="86" t="str">
        <f>IFERROR(__xludf.DUMMYFUNCTION("IF(ISBLANK(A640),,FILTER('Leetcode List'!B:C,'Leetcode List'!A:A = A640))"),"Longest Palindromic Substring")</f>
        <v>Longest Palindromic Substring</v>
      </c>
      <c r="C640" s="85" t="str">
        <f>IFERROR(__xludf.DUMMYFUNCTION("""COMPUTED_VALUE"""),"Medium")</f>
        <v>Medium</v>
      </c>
      <c r="D640" s="47" t="s">
        <v>70</v>
      </c>
      <c r="E640" s="90" t="str">
        <f>IFERROR(__xludf.DUMMYFUNCTION("IF(ISBLANK(A640),,FILTER('Leetcode List'!E:J,'Leetcode List'!A:A = A640))"),"Nutanix,Robinhood,Tcs,Infosys,ByteDance,Qualcomm,Morgan Stanley,Goldman Sachs,Wayfair,Pure Storage,Roblox,VMware,Walmart Labs,GoDaddy,JPMorgan,Paypal,ServiceNow,Oracle,Cisco,Mathworks,Yandex,Huawei,EBay,Apple,Airbnb,Uber,Yahoo,Samsung,Tencent,SAP,Bloomber"&amp;"g,Adobe,Facebook,Amazon,Microsoft,Alibaba,Google")</f>
        <v>Nutanix,Robinhood,Tcs,Infosys,ByteDance,Qualcomm,Morgan Stanley,Goldman Sachs,Wayfair,Pure Storage,Roblox,VMware,Walmart Labs,GoDaddy,JPMorgan,Paypal,ServiceNow,Oracle,Cisco,Mathworks,Yandex,Huawei,EBay,Apple,Airbnb,Uber,Yahoo,Samsung,Tencent,SAP,Bloomberg,Adobe,Facebook,Amazon,Microsoft,Alibaba,Google</v>
      </c>
      <c r="F640" s="85" t="str">
        <f>IFERROR(__xludf.DUMMYFUNCTION("""COMPUTED_VALUE"""),"Amazon,Microsoft,Wayfair,Facebook,Google,Adobe,eBay,Oracle,Bloomberg,Goldman Sachs,Apple,Yandex,Qualcomm")</f>
        <v>Amazon,Microsoft,Wayfair,Facebook,Google,Adobe,eBay,Oracle,Bloomberg,Goldman Sachs,Apple,Yandex,Qualcomm</v>
      </c>
      <c r="G640" s="85" t="str">
        <f>IFERROR(__xludf.DUMMYFUNCTION("""COMPUTED_VALUE"""),"Cisco,Nutanix,Uber,Walmart Labs,Paypal,Morgan Stanley,Infosys,tcs,Amazon,Microsoft,Wayfair,Facebook,Google,Adobe,eBay,Oracle,Bloomberg,Goldman Sachs,Apple,Yandex,Qualcomm")</f>
        <v>Cisco,Nutanix,Uber,Walmart Labs,Paypal,Morgan Stanley,Infosys,tcs,Amazon,Microsoft,Wayfair,Facebook,Google,Adobe,eBay,Oracle,Bloomberg,Goldman Sachs,Apple,Yandex,Qualcomm</v>
      </c>
      <c r="H640" s="85" t="str">
        <f>IFERROR(__xludf.DUMMYFUNCTION("""COMPUTED_VALUE"""),"Yahoo,SAP,ServiceNow,Samsung,Tencent,VMware,Huawei,Airbnb,Mathworks,ByteDance,Robinhood,Cisco,Nutanix,Uber,Walmart Labs,Paypal,Morgan Stanley,Infosys,tcs,Amazon,Microsoft,Wayfair,Facebook,Google,Adobe,eBay,Oracle,Bloomberg,Goldman Sachs,Apple,Yandex,Qualc"&amp;"omm")</f>
        <v>Yahoo,SAP,ServiceNow,Samsung,Tencent,VMware,Huawei,Airbnb,Mathworks,ByteDance,Robinhood,Cisco,Nutanix,Uber,Walmart Labs,Paypal,Morgan Stanley,Infosys,tcs,Amazon,Microsoft,Wayfair,Facebook,Google,Adobe,eBay,Oracle,Bloomberg,Goldman Sachs,Apple,Yandex,Qualcomm</v>
      </c>
      <c r="I640" s="85">
        <f>IFERROR(__xludf.DUMMYFUNCTION("""COMPUTED_VALUE"""),30.58)</f>
        <v>30.58</v>
      </c>
      <c r="J640" s="85" t="str">
        <f>IFERROR(__xludf.DUMMYFUNCTION("""COMPUTED_VALUE"""),"算法")</f>
        <v>算法</v>
      </c>
    </row>
    <row r="641">
      <c r="A641" s="47">
        <v>6.0</v>
      </c>
      <c r="B641" s="86" t="str">
        <f>IFERROR(__xludf.DUMMYFUNCTION("IF(ISBLANK(A641),,FILTER('Leetcode List'!B:C,'Leetcode List'!A:A = A641))"),"ZigZag Conversion")</f>
        <v>ZigZag Conversion</v>
      </c>
      <c r="C641" s="85" t="str">
        <f>IFERROR(__xludf.DUMMYFUNCTION("""COMPUTED_VALUE"""),"Medium")</f>
        <v>Medium</v>
      </c>
      <c r="D641" s="47" t="s">
        <v>70</v>
      </c>
      <c r="E641" s="90" t="str">
        <f>IFERROR(__xludf.DUMMYFUNCTION("IF(ISBLANK(A641),,FILTER('Leetcode List'!E:J,'Leetcode List'!A:A = A641))"),"EBay,Uber,Paypal,Wish,Apple,Bloomberg,Adobe,Facebook,Amazon,Microsoft,Google")</f>
        <v>EBay,Uber,Paypal,Wish,Apple,Bloomberg,Adobe,Facebook,Amazon,Microsoft,Google</v>
      </c>
      <c r="F641" s="85" t="str">
        <f>IFERROR(__xludf.DUMMYFUNCTION("""COMPUTED_VALUE"""),"Adobe,Bloomberg")</f>
        <v>Adobe,Bloomberg</v>
      </c>
      <c r="G641" s="85" t="str">
        <f>IFERROR(__xludf.DUMMYFUNCTION("""COMPUTED_VALUE"""),"Amazon,Paypal,Facebook,eBay,Microsoft,Adobe,Bloomberg")</f>
        <v>Amazon,Paypal,Facebook,eBay,Microsoft,Adobe,Bloomberg</v>
      </c>
      <c r="H641" s="85" t="str">
        <f>IFERROR(__xludf.DUMMYFUNCTION("""COMPUTED_VALUE"""),"Apple,Google,Uber,Wish,Amazon,Paypal,Facebook,eBay,Microsoft,Adobe,Bloomberg")</f>
        <v>Apple,Google,Uber,Wish,Amazon,Paypal,Facebook,eBay,Microsoft,Adobe,Bloomberg</v>
      </c>
      <c r="I641" s="85">
        <f>IFERROR(__xludf.DUMMYFUNCTION("""COMPUTED_VALUE"""),38.1)</f>
        <v>38.1</v>
      </c>
      <c r="J641" s="85" t="str">
        <f>IFERROR(__xludf.DUMMYFUNCTION("""COMPUTED_VALUE"""),"算法")</f>
        <v>算法</v>
      </c>
    </row>
    <row r="642">
      <c r="A642" s="47">
        <v>336.0</v>
      </c>
      <c r="B642" s="86" t="str">
        <f>IFERROR(__xludf.DUMMYFUNCTION("IF(ISBLANK(A642),,FILTER('Leetcode List'!B:C,'Leetcode List'!A:A = A642))"),"Palindrome Pairs")</f>
        <v>Palindrome Pairs</v>
      </c>
      <c r="C642" s="85" t="str">
        <f>IFERROR(__xludf.DUMMYFUNCTION("""COMPUTED_VALUE"""),"Hard")</f>
        <v>Hard</v>
      </c>
      <c r="D642" s="47" t="s">
        <v>70</v>
      </c>
      <c r="E642" s="90" t="str">
        <f>IFERROR(__xludf.DUMMYFUNCTION("IF(ISBLANK(A642),,FILTER('Leetcode List'!E:J,'Leetcode List'!A:A = A642))"),"Nutanix,ByteDance,Square,Apple,Airbnb,Uber,Bloomberg,Adobe,Facebook,Amazon,Google")</f>
        <v>Nutanix,ByteDance,Square,Apple,Airbnb,Uber,Bloomberg,Adobe,Facebook,Amazon,Google</v>
      </c>
      <c r="F642" s="85" t="str">
        <f>IFERROR(__xludf.DUMMYFUNCTION("""COMPUTED_VALUE"""),"Airbnb,ByteDance,Facebook,Amazon")</f>
        <v>Airbnb,ByteDance,Facebook,Amazon</v>
      </c>
      <c r="G642" s="85" t="str">
        <f>IFERROR(__xludf.DUMMYFUNCTION("""COMPUTED_VALUE"""),"Square,Uber,Airbnb,ByteDance,Facebook,Amazon")</f>
        <v>Square,Uber,Airbnb,ByteDance,Facebook,Amazon</v>
      </c>
      <c r="H642" s="85" t="str">
        <f>IFERROR(__xludf.DUMMYFUNCTION("""COMPUTED_VALUE"""),"Google,Apple,Nutanix,Square,Uber,Airbnb,ByteDance,Facebook,Amazon")</f>
        <v>Google,Apple,Nutanix,Square,Uber,Airbnb,ByteDance,Facebook,Amazon</v>
      </c>
      <c r="I642" s="85">
        <f>IFERROR(__xludf.DUMMYFUNCTION("""COMPUTED_VALUE"""),34.72)</f>
        <v>34.72</v>
      </c>
      <c r="J642" s="85" t="str">
        <f>IFERROR(__xludf.DUMMYFUNCTION("""COMPUTED_VALUE"""),"算法")</f>
        <v>算法</v>
      </c>
    </row>
    <row r="643">
      <c r="A643" s="47">
        <v>388.0</v>
      </c>
      <c r="B643" s="86" t="str">
        <f>IFERROR(__xludf.DUMMYFUNCTION("IF(ISBLANK(A643),,FILTER('Leetcode List'!B:C,'Leetcode List'!A:A = A643))"),"Longest Absolute File Path")</f>
        <v>Longest Absolute File Path</v>
      </c>
      <c r="C643" s="85" t="str">
        <f>IFERROR(__xludf.DUMMYFUNCTION("""COMPUTED_VALUE"""),"Medium")</f>
        <v>Medium</v>
      </c>
      <c r="D643" s="47" t="s">
        <v>70</v>
      </c>
      <c r="E643" s="90" t="str">
        <f>IFERROR(__xludf.DUMMYFUNCTION("IF(ISBLANK(A643),,FILTER('Leetcode List'!E:J,'Leetcode List'!A:A = A643))"),"Square,Nvidia,Bloomberg,Wish,Apple,Uber,Facebook,Amazon,Google")</f>
        <v>Square,Nvidia,Bloomberg,Wish,Apple,Uber,Facebook,Amazon,Google</v>
      </c>
      <c r="F643" s="85" t="str">
        <f>IFERROR(__xludf.DUMMYFUNCTION("""COMPUTED_VALUE"""),"Amazon,Facebook,Google")</f>
        <v>Amazon,Facebook,Google</v>
      </c>
      <c r="G643" s="85" t="str">
        <f>IFERROR(__xludf.DUMMYFUNCTION("""COMPUTED_VALUE"""),"Square,Apple,Bloomberg,Nvidia,Amazon,Facebook,Google")</f>
        <v>Square,Apple,Bloomberg,Nvidia,Amazon,Facebook,Google</v>
      </c>
      <c r="H643" s="85" t="str">
        <f>IFERROR(__xludf.DUMMYFUNCTION("""COMPUTED_VALUE"""),"Wish,Square,Apple,Bloomberg,Nvidia,Amazon,Facebook,Google")</f>
        <v>Wish,Square,Apple,Bloomberg,Nvidia,Amazon,Facebook,Google</v>
      </c>
      <c r="I643" s="85">
        <f>IFERROR(__xludf.DUMMYFUNCTION("""COMPUTED_VALUE"""),43.0)</f>
        <v>43</v>
      </c>
      <c r="J643" s="85" t="str">
        <f>IFERROR(__xludf.DUMMYFUNCTION("""COMPUTED_VALUE"""),"算法")</f>
        <v>算法</v>
      </c>
    </row>
    <row r="644">
      <c r="A644" s="47">
        <v>408.0</v>
      </c>
      <c r="B644" s="86" t="str">
        <f>IFERROR(__xludf.DUMMYFUNCTION("IF(ISBLANK(A644),,FILTER('Leetcode List'!B:C,'Leetcode List'!A:A = A644))"),"Valid Word Abbreviation")</f>
        <v>Valid Word Abbreviation</v>
      </c>
      <c r="C644" s="85" t="str">
        <f>IFERROR(__xludf.DUMMYFUNCTION("""COMPUTED_VALUE"""),"Easy")</f>
        <v>Easy</v>
      </c>
      <c r="D644" s="47" t="s">
        <v>70</v>
      </c>
      <c r="E644" s="90" t="str">
        <f>IFERROR(__xludf.DUMMYFUNCTION("IF(ISBLANK(A644),,FILTER('Leetcode List'!E:J,'Leetcode List'!A:A = A644))"),"Facebook,Google")</f>
        <v>Facebook,Google</v>
      </c>
      <c r="F644" s="85" t="str">
        <f>IFERROR(__xludf.DUMMYFUNCTION("""COMPUTED_VALUE"""),"Facebook")</f>
        <v>Facebook</v>
      </c>
      <c r="G644" s="85" t="str">
        <f>IFERROR(__xludf.DUMMYFUNCTION("""COMPUTED_VALUE"""),"Facebook")</f>
        <v>Facebook</v>
      </c>
      <c r="H644" s="85" t="str">
        <f>IFERROR(__xludf.DUMMYFUNCTION("""COMPUTED_VALUE"""),"Google,Facebook")</f>
        <v>Google,Facebook</v>
      </c>
      <c r="I644" s="85">
        <f>IFERROR(__xludf.DUMMYFUNCTION("""COMPUTED_VALUE"""),31.41)</f>
        <v>31.41</v>
      </c>
      <c r="J644" s="85" t="str">
        <f>IFERROR(__xludf.DUMMYFUNCTION("""COMPUTED_VALUE"""),"算法")</f>
        <v>算法</v>
      </c>
    </row>
    <row r="645">
      <c r="A645" s="47">
        <v>411.0</v>
      </c>
      <c r="B645" s="86" t="str">
        <f>IFERROR(__xludf.DUMMYFUNCTION("IF(ISBLANK(A645),,FILTER('Leetcode List'!B:C,'Leetcode List'!A:A = A645))"),"Minimum Unique Word Abbreviation")</f>
        <v>Minimum Unique Word Abbreviation</v>
      </c>
      <c r="C645" s="85" t="str">
        <f>IFERROR(__xludf.DUMMYFUNCTION("""COMPUTED_VALUE"""),"Hard")</f>
        <v>Hard</v>
      </c>
      <c r="D645" s="47" t="s">
        <v>70</v>
      </c>
      <c r="E645" s="90" t="str">
        <f>IFERROR(__xludf.DUMMYFUNCTION("IF(ISBLANK(A645),,FILTER('Leetcode List'!E:J,'Leetcode List'!A:A = A645))"),"Google")</f>
        <v>Google</v>
      </c>
      <c r="F645" s="85"/>
      <c r="G645" s="85"/>
      <c r="H645" s="85" t="str">
        <f>IFERROR(__xludf.DUMMYFUNCTION("""COMPUTED_VALUE"""),"Google")</f>
        <v>Google</v>
      </c>
      <c r="I645" s="85">
        <f>IFERROR(__xludf.DUMMYFUNCTION("""COMPUTED_VALUE"""),37.34)</f>
        <v>37.34</v>
      </c>
      <c r="J645" s="85" t="str">
        <f>IFERROR(__xludf.DUMMYFUNCTION("""COMPUTED_VALUE"""),"算法")</f>
        <v>算法</v>
      </c>
    </row>
    <row r="646">
      <c r="A646" s="47">
        <v>418.0</v>
      </c>
      <c r="B646" s="86" t="str">
        <f>IFERROR(__xludf.DUMMYFUNCTION("IF(ISBLANK(A646),,FILTER('Leetcode List'!B:C,'Leetcode List'!A:A = A646))"),"Sentence Screen Fitting")</f>
        <v>Sentence Screen Fitting</v>
      </c>
      <c r="C646" s="85" t="str">
        <f>IFERROR(__xludf.DUMMYFUNCTION("""COMPUTED_VALUE"""),"Medium")</f>
        <v>Medium</v>
      </c>
      <c r="D646" s="47" t="s">
        <v>70</v>
      </c>
      <c r="E646" s="90" t="str">
        <f>IFERROR(__xludf.DUMMYFUNCTION("IF(ISBLANK(A646),,FILTER('Leetcode List'!E:J,'Leetcode List'!A:A = A646))"),"Robinhood,Google")</f>
        <v>Robinhood,Google</v>
      </c>
      <c r="F646" s="85" t="str">
        <f>IFERROR(__xludf.DUMMYFUNCTION("""COMPUTED_VALUE"""),"Google")</f>
        <v>Google</v>
      </c>
      <c r="G646" s="85" t="str">
        <f>IFERROR(__xludf.DUMMYFUNCTION("""COMPUTED_VALUE"""),"Google")</f>
        <v>Google</v>
      </c>
      <c r="H646" s="85" t="str">
        <f>IFERROR(__xludf.DUMMYFUNCTION("""COMPUTED_VALUE"""),"Robinhood,Google")</f>
        <v>Robinhood,Google</v>
      </c>
      <c r="I646" s="85">
        <f>IFERROR(__xludf.DUMMYFUNCTION("""COMPUTED_VALUE"""),33.36)</f>
        <v>33.36</v>
      </c>
      <c r="J646" s="85" t="str">
        <f>IFERROR(__xludf.DUMMYFUNCTION("""COMPUTED_VALUE"""),"算法")</f>
        <v>算法</v>
      </c>
    </row>
    <row r="647">
      <c r="A647" s="47">
        <v>527.0</v>
      </c>
      <c r="B647" s="86" t="str">
        <f>IFERROR(__xludf.DUMMYFUNCTION("IF(ISBLANK(A647),,FILTER('Leetcode List'!B:C,'Leetcode List'!A:A = A647))"),"Word Abbreviation")</f>
        <v>Word Abbreviation</v>
      </c>
      <c r="C647" s="85" t="str">
        <f>IFERROR(__xludf.DUMMYFUNCTION("""COMPUTED_VALUE"""),"Hard")</f>
        <v>Hard</v>
      </c>
      <c r="D647" s="47" t="s">
        <v>70</v>
      </c>
      <c r="E647" s="90" t="str">
        <f>IFERROR(__xludf.DUMMYFUNCTION("IF(ISBLANK(A647),,FILTER('Leetcode List'!E:J,'Leetcode List'!A:A = A647))"),"Grab,Snapchat,Uber,Google")</f>
        <v>Grab,Snapchat,Uber,Google</v>
      </c>
      <c r="F647" s="85"/>
      <c r="G647" s="85" t="str">
        <f>IFERROR(__xludf.DUMMYFUNCTION("""COMPUTED_VALUE"""),"Google")</f>
        <v>Google</v>
      </c>
      <c r="H647" s="85" t="str">
        <f>IFERROR(__xludf.DUMMYFUNCTION("""COMPUTED_VALUE"""),"Snapchat,Grab,Uber,Google")</f>
        <v>Snapchat,Grab,Uber,Google</v>
      </c>
      <c r="I647" s="85">
        <f>IFERROR(__xludf.DUMMYFUNCTION("""COMPUTED_VALUE"""),56.28)</f>
        <v>56.28</v>
      </c>
      <c r="J647" s="85" t="str">
        <f>IFERROR(__xludf.DUMMYFUNCTION("""COMPUTED_VALUE"""),"算法")</f>
        <v>算法</v>
      </c>
    </row>
    <row r="648">
      <c r="A648" s="47">
        <v>647.0</v>
      </c>
      <c r="B648" s="86" t="str">
        <f>IFERROR(__xludf.DUMMYFUNCTION("IF(ISBLANK(A648),,FILTER('Leetcode List'!B:C,'Leetcode List'!A:A = A648))"),"Palindromic Substrings")</f>
        <v>Palindromic Substrings</v>
      </c>
      <c r="C648" s="85" t="str">
        <f>IFERROR(__xludf.DUMMYFUNCTION("""COMPUTED_VALUE"""),"Medium")</f>
        <v>Medium</v>
      </c>
      <c r="D648" s="47" t="s">
        <v>70</v>
      </c>
      <c r="E648" s="90" t="str">
        <f>IFERROR(__xludf.DUMMYFUNCTION("IF(ISBLANK(A648),,FILTER('Leetcode List'!E:J,'Leetcode List'!A:A = A648))"),"Walmart Labs,Expedia,Citrix,Bloomberg,Goldman Sachs,Coursera,Pure Storage,Atlassian,Roblox,VMware,Citadel,Twitter,Mathworks,Apple,Uber,SAP,Adobe,Facebook,Amazon,LinkedIn,Microsoft,Google")</f>
        <v>Walmart Labs,Expedia,Citrix,Bloomberg,Goldman Sachs,Coursera,Pure Storage,Atlassian,Roblox,VMware,Citadel,Twitter,Mathworks,Apple,Uber,SAP,Adobe,Facebook,Amazon,LinkedIn,Microsoft,Google</v>
      </c>
      <c r="F648" s="85" t="str">
        <f>IFERROR(__xludf.DUMMYFUNCTION("""COMPUTED_VALUE"""),"Facebook,Goldman Sachs,Expedia,Google,Twitter,Bloomberg,Walmart Labs")</f>
        <v>Facebook,Goldman Sachs,Expedia,Google,Twitter,Bloomberg,Walmart Labs</v>
      </c>
      <c r="G648" s="85" t="str">
        <f>IFERROR(__xludf.DUMMYFUNCTION("""COMPUTED_VALUE"""),"Microsoft,Apple,Amazon,Citadel,Facebook,Goldman Sachs,Expedia,Google,Twitter,Bloomberg,Walmart Labs")</f>
        <v>Microsoft,Apple,Amazon,Citadel,Facebook,Goldman Sachs,Expedia,Google,Twitter,Bloomberg,Walmart Labs</v>
      </c>
      <c r="H648" s="85" t="str">
        <f>IFERROR(__xludf.DUMMYFUNCTION("""COMPUTED_VALUE"""),"Mathworks,Pure Storage,Uber,VMware,Atlassian,Citrix,Roblox,LinkedIn,Microsoft,Apple,Amazon,Citadel,Facebook,Goldman Sachs,Expedia,Google,Twitter,Bloomberg,Walmart Labs")</f>
        <v>Mathworks,Pure Storage,Uber,VMware,Atlassian,Citrix,Roblox,LinkedIn,Microsoft,Apple,Amazon,Citadel,Facebook,Goldman Sachs,Expedia,Google,Twitter,Bloomberg,Walmart Labs</v>
      </c>
      <c r="I648" s="85">
        <f>IFERROR(__xludf.DUMMYFUNCTION("""COMPUTED_VALUE"""),61.95)</f>
        <v>61.95</v>
      </c>
      <c r="J648" s="85" t="str">
        <f>IFERROR(__xludf.DUMMYFUNCTION("""COMPUTED_VALUE"""),"算法")</f>
        <v>算法</v>
      </c>
    </row>
    <row r="649">
      <c r="A649" s="47">
        <v>556.0</v>
      </c>
      <c r="B649" s="86" t="str">
        <f>IFERROR(__xludf.DUMMYFUNCTION("IF(ISBLANK(A649),,FILTER('Leetcode List'!B:C,'Leetcode List'!A:A = A649))"),"Next Greater Element III")</f>
        <v>Next Greater Element III</v>
      </c>
      <c r="C649" s="85" t="str">
        <f>IFERROR(__xludf.DUMMYFUNCTION("""COMPUTED_VALUE"""),"Medium")</f>
        <v>Medium</v>
      </c>
      <c r="D649" s="47" t="s">
        <v>70</v>
      </c>
      <c r="E649" s="90" t="str">
        <f>IFERROR(__xludf.DUMMYFUNCTION("IF(ISBLANK(A649),,FILTER('Leetcode List'!E:J,'Leetcode List'!A:A = A649))"),"Grab,ByteDance,Houzz,Bloomberg,Facebook,Amazon,Microsoft")</f>
        <v>Grab,ByteDance,Houzz,Bloomberg,Facebook,Amazon,Microsoft</v>
      </c>
      <c r="F649" s="85" t="str">
        <f>IFERROR(__xludf.DUMMYFUNCTION("""COMPUTED_VALUE"""),"Amazon,ByteDance")</f>
        <v>Amazon,ByteDance</v>
      </c>
      <c r="G649" s="85" t="str">
        <f>IFERROR(__xludf.DUMMYFUNCTION("""COMPUTED_VALUE"""),"Microsoft,Facebook,Amazon,ByteDance")</f>
        <v>Microsoft,Facebook,Amazon,ByteDance</v>
      </c>
      <c r="H649" s="85" t="str">
        <f>IFERROR(__xludf.DUMMYFUNCTION("""COMPUTED_VALUE"""),"Grab,Bloomberg,Microsoft,Facebook,Amazon,ByteDance")</f>
        <v>Grab,Bloomberg,Microsoft,Facebook,Amazon,ByteDance</v>
      </c>
      <c r="I649" s="85">
        <f>IFERROR(__xludf.DUMMYFUNCTION("""COMPUTED_VALUE"""),33.49)</f>
        <v>33.49</v>
      </c>
      <c r="J649" s="85" t="str">
        <f>IFERROR(__xludf.DUMMYFUNCTION("""COMPUTED_VALUE"""),"算法")</f>
        <v>算法</v>
      </c>
    </row>
    <row r="650">
      <c r="A650" s="47">
        <v>616.0</v>
      </c>
      <c r="B650" s="86" t="str">
        <f>IFERROR(__xludf.DUMMYFUNCTION("IF(ISBLANK(A650),,FILTER('Leetcode List'!B:C,'Leetcode List'!A:A = A650))"),"Add Bold Tag in String")</f>
        <v>Add Bold Tag in String</v>
      </c>
      <c r="C650" s="85" t="str">
        <f>IFERROR(__xludf.DUMMYFUNCTION("""COMPUTED_VALUE"""),"Medium")</f>
        <v>Medium</v>
      </c>
      <c r="D650" s="47" t="s">
        <v>70</v>
      </c>
      <c r="E650" s="90" t="str">
        <f>IFERROR(__xludf.DUMMYFUNCTION("IF(ISBLANK(A650),,FILTER('Leetcode List'!E:J,'Leetcode List'!A:A = A650))"),"Wish,Facebook,Google")</f>
        <v>Wish,Facebook,Google</v>
      </c>
      <c r="F650" s="85" t="str">
        <f>IFERROR(__xludf.DUMMYFUNCTION("""COMPUTED_VALUE"""),"Facebook")</f>
        <v>Facebook</v>
      </c>
      <c r="G650" s="85" t="str">
        <f>IFERROR(__xludf.DUMMYFUNCTION("""COMPUTED_VALUE"""),"Wish,Facebook")</f>
        <v>Wish,Facebook</v>
      </c>
      <c r="H650" s="85" t="str">
        <f>IFERROR(__xludf.DUMMYFUNCTION("""COMPUTED_VALUE"""),"Google,Wish,Facebook")</f>
        <v>Google,Wish,Facebook</v>
      </c>
      <c r="I650" s="85">
        <f>IFERROR(__xludf.DUMMYFUNCTION("""COMPUTED_VALUE"""),44.8)</f>
        <v>44.8</v>
      </c>
      <c r="J650" s="85" t="str">
        <f>IFERROR(__xludf.DUMMYFUNCTION("""COMPUTED_VALUE"""),"算法")</f>
        <v>算法</v>
      </c>
    </row>
    <row r="651">
      <c r="A651" s="47">
        <v>467.0</v>
      </c>
      <c r="B651" s="86" t="str">
        <f>IFERROR(__xludf.DUMMYFUNCTION("IF(ISBLANK(A651),,FILTER('Leetcode List'!B:C,'Leetcode List'!A:A = A651))"),"Unique Substrings in Wraparound String")</f>
        <v>Unique Substrings in Wraparound String</v>
      </c>
      <c r="C651" s="85" t="str">
        <f>IFERROR(__xludf.DUMMYFUNCTION("""COMPUTED_VALUE"""),"Medium")</f>
        <v>Medium</v>
      </c>
      <c r="D651" s="47" t="s">
        <v>70</v>
      </c>
      <c r="E651" s="90" t="str">
        <f>IFERROR(__xludf.DUMMYFUNCTION("IF(ISBLANK(A651),,FILTER('Leetcode List'!E:J,'Leetcode List'!A:A = A651))"),"MAQ Software,Google")</f>
        <v>MAQ Software,Google</v>
      </c>
      <c r="F651" s="85"/>
      <c r="G651" s="85"/>
      <c r="H651" s="85" t="str">
        <f>IFERROR(__xludf.DUMMYFUNCTION("""COMPUTED_VALUE"""),"Google,MAQ Software")</f>
        <v>Google,MAQ Software</v>
      </c>
      <c r="I651" s="85">
        <f>IFERROR(__xludf.DUMMYFUNCTION("""COMPUTED_VALUE"""),36.1)</f>
        <v>36.1</v>
      </c>
      <c r="J651" s="85" t="str">
        <f>IFERROR(__xludf.DUMMYFUNCTION("""COMPUTED_VALUE"""),"算法")</f>
        <v>算法</v>
      </c>
    </row>
    <row r="652">
      <c r="A652" s="47">
        <v>564.0</v>
      </c>
      <c r="B652" s="86" t="str">
        <f>IFERROR(__xludf.DUMMYFUNCTION("IF(ISBLANK(A652),,FILTER('Leetcode List'!B:C,'Leetcode List'!A:A = A652))"),"Find the Closest Palindrome")</f>
        <v>Find the Closest Palindrome</v>
      </c>
      <c r="C652" s="85" t="str">
        <f>IFERROR(__xludf.DUMMYFUNCTION("""COMPUTED_VALUE"""),"Hard")</f>
        <v>Hard</v>
      </c>
      <c r="D652" s="47" t="s">
        <v>70</v>
      </c>
      <c r="E652" s="90" t="str">
        <f>IFERROR(__xludf.DUMMYFUNCTION("IF(ISBLANK(A652),,FILTER('Leetcode List'!E:J,'Leetcode List'!A:A = A652))"),"Apple,Nutanix,Pinterest,Yelp,Uber,Facebook,Amazon,Microsoft,Google")</f>
        <v>Apple,Nutanix,Pinterest,Yelp,Uber,Facebook,Amazon,Microsoft,Google</v>
      </c>
      <c r="F652" s="85" t="str">
        <f>IFERROR(__xludf.DUMMYFUNCTION("""COMPUTED_VALUE"""),"Amazon")</f>
        <v>Amazon</v>
      </c>
      <c r="G652" s="85" t="str">
        <f>IFERROR(__xludf.DUMMYFUNCTION("""COMPUTED_VALUE"""),"Apple,Amazon")</f>
        <v>Apple,Amazon</v>
      </c>
      <c r="H652" s="85" t="str">
        <f>IFERROR(__xludf.DUMMYFUNCTION("""COMPUTED_VALUE"""),"Microsoft,Nutanix,Uber,Yelp,Apple,Amazon")</f>
        <v>Microsoft,Nutanix,Uber,Yelp,Apple,Amazon</v>
      </c>
      <c r="I652" s="85">
        <f>IFERROR(__xludf.DUMMYFUNCTION("""COMPUTED_VALUE"""),20.3)</f>
        <v>20.3</v>
      </c>
      <c r="J652" s="85" t="str">
        <f>IFERROR(__xludf.DUMMYFUNCTION("""COMPUTED_VALUE"""),"算法")</f>
        <v>算法</v>
      </c>
    </row>
    <row r="653">
      <c r="A653" s="47">
        <v>722.0</v>
      </c>
      <c r="B653" s="86" t="str">
        <f>IFERROR(__xludf.DUMMYFUNCTION("IF(ISBLANK(A653),,FILTER('Leetcode List'!B:C,'Leetcode List'!A:A = A653))"),"Remove Comments")</f>
        <v>Remove Comments</v>
      </c>
      <c r="C653" s="85" t="str">
        <f>IFERROR(__xludf.DUMMYFUNCTION("""COMPUTED_VALUE"""),"Medium")</f>
        <v>Medium</v>
      </c>
      <c r="D653" s="47" t="s">
        <v>70</v>
      </c>
      <c r="E653" s="90" t="str">
        <f>IFERROR(__xludf.DUMMYFUNCTION("IF(ISBLANK(A653),,FILTER('Leetcode List'!E:J,'Leetcode List'!A:A = A653))"),"HBO,Qualtrics,Databricks,Oracle,Uber,Facebook,Amazon,Microsoft,Goldman Sachs,Google")</f>
        <v>HBO,Qualtrics,Databricks,Oracle,Uber,Facebook,Amazon,Microsoft,Goldman Sachs,Google</v>
      </c>
      <c r="F653" s="85" t="str">
        <f>IFERROR(__xludf.DUMMYFUNCTION("""COMPUTED_VALUE"""),"Microsoft,Google,Databricks")</f>
        <v>Microsoft,Google,Databricks</v>
      </c>
      <c r="G653" s="85" t="str">
        <f>IFERROR(__xludf.DUMMYFUNCTION("""COMPUTED_VALUE"""),"Facebook,Microsoft,Google,Databricks")</f>
        <v>Facebook,Microsoft,Google,Databricks</v>
      </c>
      <c r="H653" s="85" t="str">
        <f>IFERROR(__xludf.DUMMYFUNCTION("""COMPUTED_VALUE"""),"Oracle,HBO,Uber,Amazon,Goldman Sachs,Facebook,Microsoft,Google,Databricks")</f>
        <v>Oracle,HBO,Uber,Amazon,Goldman Sachs,Facebook,Microsoft,Google,Databricks</v>
      </c>
      <c r="I653" s="85">
        <f>IFERROR(__xludf.DUMMYFUNCTION("""COMPUTED_VALUE"""),36.29)</f>
        <v>36.29</v>
      </c>
      <c r="J653" s="85" t="str">
        <f>IFERROR(__xludf.DUMMYFUNCTION("""COMPUTED_VALUE"""),"算法")</f>
        <v>算法</v>
      </c>
    </row>
    <row r="654">
      <c r="A654" s="47">
        <v>736.0</v>
      </c>
      <c r="B654" s="86" t="str">
        <f>IFERROR(__xludf.DUMMYFUNCTION("IF(ISBLANK(A654),,FILTER('Leetcode List'!B:C,'Leetcode List'!A:A = A654))"),"Parse Lisp Expression")</f>
        <v>Parse Lisp Expression</v>
      </c>
      <c r="C654" s="85" t="str">
        <f>IFERROR(__xludf.DUMMYFUNCTION("""COMPUTED_VALUE"""),"Hard")</f>
        <v>Hard</v>
      </c>
      <c r="D654" s="47" t="s">
        <v>70</v>
      </c>
      <c r="E654" s="90" t="str">
        <f>IFERROR(__xludf.DUMMYFUNCTION("IF(ISBLANK(A654),,FILTER('Leetcode List'!E:J,'Leetcode List'!A:A = A654))"),"Affirm,Google")</f>
        <v>Affirm,Google</v>
      </c>
      <c r="F654" s="85"/>
      <c r="G654" s="85" t="str">
        <f>IFERROR(__xludf.DUMMYFUNCTION("""COMPUTED_VALUE"""),"Google")</f>
        <v>Google</v>
      </c>
      <c r="H654" s="85" t="str">
        <f>IFERROR(__xludf.DUMMYFUNCTION("""COMPUTED_VALUE"""),"Affirm,Google")</f>
        <v>Affirm,Google</v>
      </c>
      <c r="I654" s="85">
        <f>IFERROR(__xludf.DUMMYFUNCTION("""COMPUTED_VALUE"""),49.71)</f>
        <v>49.71</v>
      </c>
      <c r="J654" s="85" t="str">
        <f>IFERROR(__xludf.DUMMYFUNCTION("""COMPUTED_VALUE"""),"算法")</f>
        <v>算法</v>
      </c>
    </row>
    <row r="655">
      <c r="A655" s="47">
        <v>844.0</v>
      </c>
      <c r="B655" s="86" t="str">
        <f>IFERROR(__xludf.DUMMYFUNCTION("IF(ISBLANK(A655),,FILTER('Leetcode List'!B:C,'Leetcode List'!A:A = A655))"),"Backspace String Compare")</f>
        <v>Backspace String Compare</v>
      </c>
      <c r="C655" s="85" t="str">
        <f>IFERROR(__xludf.DUMMYFUNCTION("""COMPUTED_VALUE"""),"Easy")</f>
        <v>Easy</v>
      </c>
      <c r="D655" s="47" t="s">
        <v>70</v>
      </c>
      <c r="E655" s="90" t="str">
        <f>IFERROR(__xludf.DUMMYFUNCTION("IF(ISBLANK(A655),,FILTER('Leetcode List'!E:J,'Leetcode List'!A:A = A655))"),"Codenation,Atlassian,Oracle,Uber,Facebook,Amazon,Microsoft,Google")</f>
        <v>Codenation,Atlassian,Oracle,Uber,Facebook,Amazon,Microsoft,Google</v>
      </c>
      <c r="F655" s="85" t="str">
        <f>IFERROR(__xludf.DUMMYFUNCTION("""COMPUTED_VALUE"""),"Google,Facebook,Amazon,Oracle")</f>
        <v>Google,Facebook,Amazon,Oracle</v>
      </c>
      <c r="G655" s="85" t="str">
        <f>IFERROR(__xludf.DUMMYFUNCTION("""COMPUTED_VALUE"""),"Microsoft,Codenation,Google,Facebook,Amazon,Oracle")</f>
        <v>Microsoft,Codenation,Google,Facebook,Amazon,Oracle</v>
      </c>
      <c r="H655" s="85" t="str">
        <f>IFERROR(__xludf.DUMMYFUNCTION("""COMPUTED_VALUE"""),"Atlassian,Microsoft,Codenation,Google,Facebook,Amazon,Oracle")</f>
        <v>Atlassian,Microsoft,Codenation,Google,Facebook,Amazon,Oracle</v>
      </c>
      <c r="I655" s="85">
        <f>IFERROR(__xludf.DUMMYFUNCTION("""COMPUTED_VALUE"""),47.09)</f>
        <v>47.09</v>
      </c>
      <c r="J655" s="85" t="str">
        <f>IFERROR(__xludf.DUMMYFUNCTION("""COMPUTED_VALUE"""),"算法")</f>
        <v>算法</v>
      </c>
    </row>
    <row r="656">
      <c r="A656" s="47">
        <v>1616.0</v>
      </c>
      <c r="B656" s="86" t="str">
        <f>IFERROR(__xludf.DUMMYFUNCTION("IF(ISBLANK(A656),,FILTER('Leetcode List'!B:C,'Leetcode List'!A:A = A656))"),"Split Two Strings to Make Palindrome")</f>
        <v>Split Two Strings to Make Palindrome</v>
      </c>
      <c r="C656" s="85" t="str">
        <f>IFERROR(__xludf.DUMMYFUNCTION("""COMPUTED_VALUE"""),"Medium")</f>
        <v>Medium</v>
      </c>
      <c r="D656" s="47" t="s">
        <v>70</v>
      </c>
      <c r="E656" s="90" t="str">
        <f>IFERROR(__xludf.DUMMYFUNCTION("IF(ISBLANK(A656),,FILTER('Leetcode List'!E:J,'Leetcode List'!A:A = A656))"),"Google")</f>
        <v>Google</v>
      </c>
      <c r="F656" s="85" t="str">
        <f>IFERROR(__xludf.DUMMYFUNCTION("""COMPUTED_VALUE"""),"Google")</f>
        <v>Google</v>
      </c>
      <c r="G656" s="85" t="str">
        <f>IFERROR(__xludf.DUMMYFUNCTION("""COMPUTED_VALUE"""),"Google")</f>
        <v>Google</v>
      </c>
      <c r="H656" s="85" t="str">
        <f>IFERROR(__xludf.DUMMYFUNCTION("""COMPUTED_VALUE"""),"Google")</f>
        <v>Google</v>
      </c>
      <c r="I656" s="85">
        <f>IFERROR(__xludf.DUMMYFUNCTION("""COMPUTED_VALUE"""),36.13)</f>
        <v>36.13</v>
      </c>
      <c r="J656" s="85" t="str">
        <f>IFERROR(__xludf.DUMMYFUNCTION("""COMPUTED_VALUE"""),"算法")</f>
        <v>算法</v>
      </c>
    </row>
    <row r="657">
      <c r="A657" s="47">
        <v>1754.0</v>
      </c>
      <c r="B657" s="86" t="str">
        <f>IFERROR(__xludf.DUMMYFUNCTION("IF(ISBLANK(A657),,FILTER('Leetcode List'!B:C,'Leetcode List'!A:A = A657))"),"Largest Merge Of Two Strings")</f>
        <v>Largest Merge Of Two Strings</v>
      </c>
      <c r="C657" s="85" t="str">
        <f>IFERROR(__xludf.DUMMYFUNCTION("""COMPUTED_VALUE"""),"Medium")</f>
        <v>Medium</v>
      </c>
      <c r="D657" s="47" t="s">
        <v>70</v>
      </c>
      <c r="E657" s="90" t="str">
        <f>IFERROR(__xludf.DUMMYFUNCTION("IF(ISBLANK(A657),,FILTER('Leetcode List'!E:J,'Leetcode List'!A:A = A657))"),"Snapchat")</f>
        <v>Snapchat</v>
      </c>
      <c r="F657" s="85"/>
      <c r="G657" s="85"/>
      <c r="H657" s="85" t="str">
        <f>IFERROR(__xludf.DUMMYFUNCTION("""COMPUTED_VALUE"""),"Snapchat")</f>
        <v>Snapchat</v>
      </c>
      <c r="I657" s="85">
        <f>IFERROR(__xludf.DUMMYFUNCTION("""COMPUTED_VALUE"""),40.26)</f>
        <v>40.26</v>
      </c>
      <c r="J657" s="85" t="str">
        <f>IFERROR(__xludf.DUMMYFUNCTION("""COMPUTED_VALUE"""),"算法")</f>
        <v>算法</v>
      </c>
    </row>
    <row r="658">
      <c r="A658" s="47">
        <v>1044.0</v>
      </c>
      <c r="B658" s="86" t="str">
        <f>IFERROR(__xludf.DUMMYFUNCTION("IF(ISBLANK(A658),,FILTER('Leetcode List'!B:C,'Leetcode List'!A:A = A658))"),"Longest Duplicate Substring")</f>
        <v>Longest Duplicate Substring</v>
      </c>
      <c r="C658" s="85" t="str">
        <f>IFERROR(__xludf.DUMMYFUNCTION("""COMPUTED_VALUE"""),"Hard")</f>
        <v>Hard</v>
      </c>
      <c r="D658" s="47" t="s">
        <v>70</v>
      </c>
      <c r="E658" s="90" t="str">
        <f>IFERROR(__xludf.DUMMYFUNCTION("IF(ISBLANK(A658),,FILTER('Leetcode List'!E:J,'Leetcode List'!A:A = A658))"),"Google,Oracle,Apple,Amazon,Microsoft")</f>
        <v>Google,Oracle,Apple,Amazon,Microsoft</v>
      </c>
      <c r="F658" s="85"/>
      <c r="G658" s="85" t="str">
        <f>IFERROR(__xludf.DUMMYFUNCTION("""COMPUTED_VALUE"""),"Microsoft,Google")</f>
        <v>Microsoft,Google</v>
      </c>
      <c r="H658" s="85" t="str">
        <f>IFERROR(__xludf.DUMMYFUNCTION("""COMPUTED_VALUE"""),"Amazon,Oracle,Apple,Microsoft,Google")</f>
        <v>Amazon,Oracle,Apple,Microsoft,Google</v>
      </c>
      <c r="I658" s="85">
        <f>IFERROR(__xludf.DUMMYFUNCTION("""COMPUTED_VALUE"""),31.4)</f>
        <v>31.4</v>
      </c>
      <c r="J658" s="85" t="str">
        <f>IFERROR(__xludf.DUMMYFUNCTION("""COMPUTED_VALUE"""),"算法")</f>
        <v>算法</v>
      </c>
      <c r="K658" s="2" t="s">
        <v>5018</v>
      </c>
    </row>
    <row r="659">
      <c r="A659" s="47">
        <v>1062.0</v>
      </c>
      <c r="B659" s="86" t="str">
        <f>IFERROR(__xludf.DUMMYFUNCTION("IF(ISBLANK(A659),,FILTER('Leetcode List'!B:C,'Leetcode List'!A:A = A659))"),"Longest Repeating Substring")</f>
        <v>Longest Repeating Substring</v>
      </c>
      <c r="C659" s="85" t="str">
        <f>IFERROR(__xludf.DUMMYFUNCTION("""COMPUTED_VALUE"""),"Medium")</f>
        <v>Medium</v>
      </c>
      <c r="D659" s="47" t="s">
        <v>70</v>
      </c>
      <c r="E659" s="90" t="str">
        <f>IFERROR(__xludf.DUMMYFUNCTION("IF(ISBLANK(A659),,FILTER('Leetcode List'!E:J,'Leetcode List'!A:A = A659))"),"Facebook,Amazon,Microsoft,Google")</f>
        <v>Facebook,Amazon,Microsoft,Google</v>
      </c>
      <c r="F659" s="85"/>
      <c r="G659" s="85" t="str">
        <f>IFERROR(__xludf.DUMMYFUNCTION("""COMPUTED_VALUE"""),"Google,Facebook")</f>
        <v>Google,Facebook</v>
      </c>
      <c r="H659" s="85" t="str">
        <f>IFERROR(__xludf.DUMMYFUNCTION("""COMPUTED_VALUE"""),"Amazon,Microsoft,Google,Facebook")</f>
        <v>Amazon,Microsoft,Google,Facebook</v>
      </c>
      <c r="I659" s="85">
        <f>IFERROR(__xludf.DUMMYFUNCTION("""COMPUTED_VALUE"""),58.35)</f>
        <v>58.35</v>
      </c>
      <c r="J659" s="85" t="str">
        <f>IFERROR(__xludf.DUMMYFUNCTION("""COMPUTED_VALUE"""),"算法")</f>
        <v>算法</v>
      </c>
      <c r="K659" s="2" t="s">
        <v>5018</v>
      </c>
    </row>
    <row r="660">
      <c r="A660" s="47">
        <v>1554.0</v>
      </c>
      <c r="B660" s="86" t="str">
        <f>IFERROR(__xludf.DUMMYFUNCTION("IF(ISBLANK(A660),,FILTER('Leetcode List'!B:C,'Leetcode List'!A:A = A660))"),"Strings Differ by One Character")</f>
        <v>Strings Differ by One Character</v>
      </c>
      <c r="C660" s="85" t="str">
        <f>IFERROR(__xludf.DUMMYFUNCTION("""COMPUTED_VALUE"""),"Medium")</f>
        <v>Medium</v>
      </c>
      <c r="D660" s="47" t="s">
        <v>70</v>
      </c>
      <c r="E660" s="90" t="str">
        <f>IFERROR(__xludf.DUMMYFUNCTION("IF(ISBLANK(A660),,FILTER('Leetcode List'!E:J,'Leetcode List'!A:A = A660))"),"Airbnb")</f>
        <v>Airbnb</v>
      </c>
      <c r="F660" s="85"/>
      <c r="G660" s="85"/>
      <c r="H660" s="85" t="str">
        <f>IFERROR(__xludf.DUMMYFUNCTION("""COMPUTED_VALUE"""),"Airbnb")</f>
        <v>Airbnb</v>
      </c>
      <c r="I660" s="85">
        <f>IFERROR(__xludf.DUMMYFUNCTION("""COMPUTED_VALUE"""),63.61)</f>
        <v>63.61</v>
      </c>
      <c r="J660" s="85" t="str">
        <f>IFERROR(__xludf.DUMMYFUNCTION("""COMPUTED_VALUE"""),"算法")</f>
        <v>算法</v>
      </c>
      <c r="K660" s="2" t="s">
        <v>5018</v>
      </c>
    </row>
    <row r="661">
      <c r="A661" s="47">
        <v>1698.0</v>
      </c>
      <c r="B661" s="86" t="str">
        <f>IFERROR(__xludf.DUMMYFUNCTION("IF(ISBLANK(A661),,FILTER('Leetcode List'!B:C,'Leetcode List'!A:A = A661))"),"Number of Distinct Substrings in a String")</f>
        <v>Number of Distinct Substrings in a String</v>
      </c>
      <c r="C661" s="85" t="str">
        <f>IFERROR(__xludf.DUMMYFUNCTION("""COMPUTED_VALUE"""),"Medium")</f>
        <v>Medium</v>
      </c>
      <c r="D661" s="47" t="s">
        <v>70</v>
      </c>
      <c r="E661" s="90" t="str">
        <f>IFERROR(__xludf.DUMMYFUNCTION("IF(ISBLANK(A661),,FILTER('Leetcode List'!E:J,'Leetcode List'!A:A = A661))"),"Dunzo,Intuit")</f>
        <v>Dunzo,Intuit</v>
      </c>
      <c r="F661" s="85"/>
      <c r="G661" s="85"/>
      <c r="H661" s="85" t="str">
        <f>IFERROR(__xludf.DUMMYFUNCTION("""COMPUTED_VALUE"""),"Intuit,Dunzo")</f>
        <v>Intuit,Dunzo</v>
      </c>
      <c r="I661" s="85">
        <f>IFERROR(__xludf.DUMMYFUNCTION("""COMPUTED_VALUE"""),60.44)</f>
        <v>60.44</v>
      </c>
      <c r="J661" s="85" t="str">
        <f>IFERROR(__xludf.DUMMYFUNCTION("""COMPUTED_VALUE"""),"算法")</f>
        <v>算法</v>
      </c>
      <c r="K661" s="2" t="s">
        <v>5018</v>
      </c>
    </row>
    <row r="662">
      <c r="A662" s="47">
        <v>1392.0</v>
      </c>
      <c r="B662" s="86" t="str">
        <f>IFERROR(__xludf.DUMMYFUNCTION("IF(ISBLANK(A662),,FILTER('Leetcode List'!B:C,'Leetcode List'!A:A = A662))"),"Longest Happy Prefix")</f>
        <v>Longest Happy Prefix</v>
      </c>
      <c r="C662" s="85" t="str">
        <f>IFERROR(__xludf.DUMMYFUNCTION("""COMPUTED_VALUE"""),"Hard")</f>
        <v>Hard</v>
      </c>
      <c r="D662" s="47" t="s">
        <v>70</v>
      </c>
      <c r="E662" s="90" t="str">
        <f>IFERROR(__xludf.DUMMYFUNCTION("IF(ISBLANK(A662),,FILTER('Leetcode List'!E:J,'Leetcode List'!A:A = A662))"),"Google")</f>
        <v>Google</v>
      </c>
      <c r="F662" s="85"/>
      <c r="G662" s="85"/>
      <c r="H662" s="85" t="str">
        <f>IFERROR(__xludf.DUMMYFUNCTION("""COMPUTED_VALUE"""),"Google")</f>
        <v>Google</v>
      </c>
      <c r="I662" s="85">
        <f>IFERROR(__xludf.DUMMYFUNCTION("""COMPUTED_VALUE"""),41.96)</f>
        <v>41.96</v>
      </c>
      <c r="J662" s="85" t="str">
        <f>IFERROR(__xludf.DUMMYFUNCTION("""COMPUTED_VALUE"""),"算法")</f>
        <v>算法</v>
      </c>
      <c r="K662" s="2" t="s">
        <v>5019</v>
      </c>
    </row>
    <row r="663">
      <c r="A663" s="47">
        <v>28.0</v>
      </c>
      <c r="B663" s="86" t="str">
        <f>IFERROR(__xludf.DUMMYFUNCTION("IF(ISBLANK(A663),,FILTER('Leetcode List'!B:C,'Leetcode List'!A:A = A663))"),"Implement strStr()")</f>
        <v>Implement strStr()</v>
      </c>
      <c r="C663" s="85" t="str">
        <f>IFERROR(__xludf.DUMMYFUNCTION("""COMPUTED_VALUE"""),"Easy")</f>
        <v>Easy</v>
      </c>
      <c r="D663" s="47" t="s">
        <v>70</v>
      </c>
      <c r="E663" s="90" t="str">
        <f>IFERROR(__xludf.DUMMYFUNCTION("IF(ISBLANK(A663),,FILTER('Leetcode List'!E:J,'Leetcode List'!A:A = A663))"),"Adobe,Pocket Gems,VMware,Citadel,Dropbox,Oracle,Yandex,EBay,Apple,Yahoo,Bloomberg,Facebook,Amazon,Microsoft,Google")</f>
        <v>Adobe,Pocket Gems,VMware,Citadel,Dropbox,Oracle,Yandex,EBay,Apple,Yahoo,Bloomberg,Facebook,Amazon,Microsoft,Google</v>
      </c>
      <c r="F663" s="85" t="str">
        <f>IFERROR(__xludf.DUMMYFUNCTION("""COMPUTED_VALUE"""),"Facebook,Amazon")</f>
        <v>Facebook,Amazon</v>
      </c>
      <c r="G663" s="85" t="str">
        <f>IFERROR(__xludf.DUMMYFUNCTION("""COMPUTED_VALUE"""),"Apple,Microsoft,Yahoo,Adobe,Facebook,Amazon")</f>
        <v>Apple,Microsoft,Yahoo,Adobe,Facebook,Amazon</v>
      </c>
      <c r="H663" s="85" t="str">
        <f>IFERROR(__xludf.DUMMYFUNCTION("""COMPUTED_VALUE"""),"Google,Bloomberg,Dropbox,Oracle,eBay,Citadel,VMware,Pocket Gems,Apple,Microsoft,Yahoo,Adobe,Facebook,Amazon")</f>
        <v>Google,Bloomberg,Dropbox,Oracle,eBay,Citadel,VMware,Pocket Gems,Apple,Microsoft,Yahoo,Adobe,Facebook,Amazon</v>
      </c>
      <c r="I663" s="85">
        <f>IFERROR(__xludf.DUMMYFUNCTION("""COMPUTED_VALUE"""),35.29)</f>
        <v>35.29</v>
      </c>
      <c r="J663" s="85" t="str">
        <f>IFERROR(__xludf.DUMMYFUNCTION("""COMPUTED_VALUE"""),"算法")</f>
        <v>算法</v>
      </c>
      <c r="K663" s="2" t="s">
        <v>5019</v>
      </c>
    </row>
    <row r="664">
      <c r="A664" s="47">
        <v>214.0</v>
      </c>
      <c r="B664" s="86" t="str">
        <f>IFERROR(__xludf.DUMMYFUNCTION("IF(ISBLANK(A664),,FILTER('Leetcode List'!B:C,'Leetcode List'!A:A = A664))"),"Shortest Palindrome")</f>
        <v>Shortest Palindrome</v>
      </c>
      <c r="C664" s="85" t="str">
        <f>IFERROR(__xludf.DUMMYFUNCTION("""COMPUTED_VALUE"""),"Hard")</f>
        <v>Hard</v>
      </c>
      <c r="D664" s="47" t="s">
        <v>70</v>
      </c>
      <c r="E664" s="90" t="str">
        <f>IFERROR(__xludf.DUMMYFUNCTION("IF(ISBLANK(A664),,FILTER('Leetcode List'!E:J,'Leetcode List'!A:A = A664))"),"Tesla,Pocket Gems,Oracle,Bloomberg,Adobe,Facebook,Amazon,Microsoft,Google")</f>
        <v>Tesla,Pocket Gems,Oracle,Bloomberg,Adobe,Facebook,Amazon,Microsoft,Google</v>
      </c>
      <c r="F664" s="85" t="str">
        <f>IFERROR(__xludf.DUMMYFUNCTION("""COMPUTED_VALUE"""),"Microsoft")</f>
        <v>Microsoft</v>
      </c>
      <c r="G664" s="85" t="str">
        <f>IFERROR(__xludf.DUMMYFUNCTION("""COMPUTED_VALUE"""),"Bloomberg,Facebook,Google,Amazon,Tesla,Microsoft")</f>
        <v>Bloomberg,Facebook,Google,Amazon,Tesla,Microsoft</v>
      </c>
      <c r="H664" s="85" t="str">
        <f>IFERROR(__xludf.DUMMYFUNCTION("""COMPUTED_VALUE"""),"Oracle,Adobe,Pocket Gems,Bloomberg,Facebook,Google,Amazon,Tesla,Microsoft")</f>
        <v>Oracle,Adobe,Pocket Gems,Bloomberg,Facebook,Google,Amazon,Tesla,Microsoft</v>
      </c>
      <c r="I664" s="85">
        <f>IFERROR(__xludf.DUMMYFUNCTION("""COMPUTED_VALUE"""),30.74)</f>
        <v>30.74</v>
      </c>
      <c r="J664" s="85" t="str">
        <f>IFERROR(__xludf.DUMMYFUNCTION("""COMPUTED_VALUE"""),"算法")</f>
        <v>算法</v>
      </c>
      <c r="K664" s="2" t="s">
        <v>5019</v>
      </c>
    </row>
    <row r="665">
      <c r="A665" s="47">
        <v>459.0</v>
      </c>
      <c r="B665" s="86" t="str">
        <f>IFERROR(__xludf.DUMMYFUNCTION("IF(ISBLANK(A665),,FILTER('Leetcode List'!B:C,'Leetcode List'!A:A = A665))"),"Repeated Substring Pattern")</f>
        <v>Repeated Substring Pattern</v>
      </c>
      <c r="C665" s="85" t="str">
        <f>IFERROR(__xludf.DUMMYFUNCTION("""COMPUTED_VALUE"""),"Easy")</f>
        <v>Easy</v>
      </c>
      <c r="D665" s="47" t="s">
        <v>70</v>
      </c>
      <c r="E665" s="90" t="str">
        <f>IFERROR(__xludf.DUMMYFUNCTION("IF(ISBLANK(A665),,FILTER('Leetcode List'!E:J,'Leetcode List'!A:A = A665))"),"Amazon,Microsoft,Google")</f>
        <v>Amazon,Microsoft,Google</v>
      </c>
      <c r="F665" s="85" t="str">
        <f>IFERROR(__xludf.DUMMYFUNCTION("""COMPUTED_VALUE"""),"Google")</f>
        <v>Google</v>
      </c>
      <c r="G665" s="85" t="str">
        <f>IFERROR(__xludf.DUMMYFUNCTION("""COMPUTED_VALUE"""),"Amazon,Google")</f>
        <v>Amazon,Google</v>
      </c>
      <c r="H665" s="85" t="str">
        <f>IFERROR(__xludf.DUMMYFUNCTION("""COMPUTED_VALUE"""),"Amazon,Google")</f>
        <v>Amazon,Google</v>
      </c>
      <c r="I665" s="85">
        <f>IFERROR(__xludf.DUMMYFUNCTION("""COMPUTED_VALUE"""),43.34)</f>
        <v>43.34</v>
      </c>
      <c r="J665" s="85" t="str">
        <f>IFERROR(__xludf.DUMMYFUNCTION("""COMPUTED_VALUE"""),"算法")</f>
        <v>算法</v>
      </c>
      <c r="K665" s="2" t="s">
        <v>5019</v>
      </c>
    </row>
    <row r="666">
      <c r="A666" s="47">
        <v>572.0</v>
      </c>
      <c r="B666" s="86" t="str">
        <f>IFERROR(__xludf.DUMMYFUNCTION("IF(ISBLANK(A666),,FILTER('Leetcode List'!B:C,'Leetcode List'!A:A = A666))"),"Subtree of Another Tree")</f>
        <v>Subtree of Another Tree</v>
      </c>
      <c r="C666" s="85" t="str">
        <f>IFERROR(__xludf.DUMMYFUNCTION("""COMPUTED_VALUE"""),"Easy")</f>
        <v>Easy</v>
      </c>
      <c r="D666" s="47" t="s">
        <v>70</v>
      </c>
      <c r="E666" s="90" t="str">
        <f>IFERROR(__xludf.DUMMYFUNCTION("IF(ISBLANK(A666),,FILTER('Leetcode List'!E:J,'Leetcode List'!A:A = A666))"),"JPMorgan,EBay,Samsung,Bloomberg,Facebook,Amazon,Microsoft,Google")</f>
        <v>JPMorgan,EBay,Samsung,Bloomberg,Facebook,Amazon,Microsoft,Google</v>
      </c>
      <c r="F666" s="85" t="str">
        <f>IFERROR(__xludf.DUMMYFUNCTION("""COMPUTED_VALUE"""),"Amazon,Microsoft,Facebook")</f>
        <v>Amazon,Microsoft,Facebook</v>
      </c>
      <c r="G666" s="85" t="str">
        <f>IFERROR(__xludf.DUMMYFUNCTION("""COMPUTED_VALUE"""),"JPMorgan,Amazon,Microsoft,Facebook")</f>
        <v>JPMorgan,Amazon,Microsoft,Facebook</v>
      </c>
      <c r="H666" s="85" t="str">
        <f>IFERROR(__xludf.DUMMYFUNCTION("""COMPUTED_VALUE"""),"Google,Bloomberg,eBay,JPMorgan,Amazon,Microsoft,Facebook")</f>
        <v>Google,Bloomberg,eBay,JPMorgan,Amazon,Microsoft,Facebook</v>
      </c>
      <c r="I666" s="85">
        <f>IFERROR(__xludf.DUMMYFUNCTION("""COMPUTED_VALUE"""),44.54)</f>
        <v>44.54</v>
      </c>
      <c r="J666" s="85" t="str">
        <f>IFERROR(__xludf.DUMMYFUNCTION("""COMPUTED_VALUE"""),"算法")</f>
        <v>算法</v>
      </c>
      <c r="K666" s="2" t="s">
        <v>5019</v>
      </c>
    </row>
    <row r="667">
      <c r="A667" s="47">
        <v>1367.0</v>
      </c>
      <c r="B667" s="86" t="str">
        <f>IFERROR(__xludf.DUMMYFUNCTION("IF(ISBLANK(A667),,FILTER('Leetcode List'!B:C,'Leetcode List'!A:A = A667))"),"Linked List in Binary Tree")</f>
        <v>Linked List in Binary Tree</v>
      </c>
      <c r="C667" s="85" t="str">
        <f>IFERROR(__xludf.DUMMYFUNCTION("""COMPUTED_VALUE"""),"Medium")</f>
        <v>Medium</v>
      </c>
      <c r="D667" s="47" t="s">
        <v>70</v>
      </c>
      <c r="E667" s="90" t="str">
        <f>IFERROR(__xludf.DUMMYFUNCTION("IF(ISBLANK(A667),,FILTER('Leetcode List'!E:J,'Leetcode List'!A:A = A667))"),"Amazon,SoundHound")</f>
        <v>Amazon,SoundHound</v>
      </c>
      <c r="F667" s="85"/>
      <c r="G667" s="85" t="str">
        <f>IFERROR(__xludf.DUMMYFUNCTION("""COMPUTED_VALUE"""),"Amazon")</f>
        <v>Amazon</v>
      </c>
      <c r="H667" s="85" t="str">
        <f>IFERROR(__xludf.DUMMYFUNCTION("""COMPUTED_VALUE"""),"SoundHound,Amazon")</f>
        <v>SoundHound,Amazon</v>
      </c>
      <c r="I667" s="85">
        <f>IFERROR(__xludf.DUMMYFUNCTION("""COMPUTED_VALUE"""),41.04)</f>
        <v>41.04</v>
      </c>
      <c r="J667" s="85" t="str">
        <f>IFERROR(__xludf.DUMMYFUNCTION("""COMPUTED_VALUE"""),"算法")</f>
        <v>算法</v>
      </c>
      <c r="K667" s="2" t="s">
        <v>5019</v>
      </c>
    </row>
    <row r="668">
      <c r="A668" s="47">
        <v>1397.0</v>
      </c>
      <c r="B668" s="86" t="str">
        <f>IFERROR(__xludf.DUMMYFUNCTION("IF(ISBLANK(A668),,FILTER('Leetcode List'!B:C,'Leetcode List'!A:A = A668))"),"Find All Good Strings")</f>
        <v>Find All Good Strings</v>
      </c>
      <c r="C668" s="85" t="str">
        <f>IFERROR(__xludf.DUMMYFUNCTION("""COMPUTED_VALUE"""),"Hard")</f>
        <v>Hard</v>
      </c>
      <c r="D668" s="47" t="s">
        <v>70</v>
      </c>
      <c r="E668" s="90" t="str">
        <f>IFERROR(__xludf.DUMMYFUNCTION("IF(ISBLANK(A668),,FILTER('Leetcode List'!E:J,'Leetcode List'!A:A = A668))"),"Dunzo")</f>
        <v>Dunzo</v>
      </c>
      <c r="F668" s="85"/>
      <c r="G668" s="85"/>
      <c r="H668" s="85" t="str">
        <f>IFERROR(__xludf.DUMMYFUNCTION("""COMPUTED_VALUE"""),"Dunzo")</f>
        <v>Dunzo</v>
      </c>
      <c r="I668" s="85">
        <f>IFERROR(__xludf.DUMMYFUNCTION("""COMPUTED_VALUE"""),38.59)</f>
        <v>38.59</v>
      </c>
      <c r="J668" s="85" t="str">
        <f>IFERROR(__xludf.DUMMYFUNCTION("""COMPUTED_VALUE"""),"算法")</f>
        <v>算法</v>
      </c>
      <c r="K668" s="2" t="s">
        <v>5019</v>
      </c>
    </row>
    <row r="669">
      <c r="A669" s="47">
        <v>1764.0</v>
      </c>
      <c r="B669" s="86" t="str">
        <f>IFERROR(__xludf.DUMMYFUNCTION("IF(ISBLANK(A669),,FILTER('Leetcode List'!B:C,'Leetcode List'!A:A = A669))"),"Form Array by Concatenating Subarrays of Another Array")</f>
        <v>Form Array by Concatenating Subarrays of Another Array</v>
      </c>
      <c r="C669" s="85" t="str">
        <f>IFERROR(__xludf.DUMMYFUNCTION("""COMPUTED_VALUE"""),"Medium")</f>
        <v>Medium</v>
      </c>
      <c r="D669" s="47" t="s">
        <v>70</v>
      </c>
      <c r="E669" s="90" t="str">
        <f>IFERROR(__xludf.DUMMYFUNCTION("IF(ISBLANK(A669),,FILTER('Leetcode List'!E:J,'Leetcode List'!A:A = A669))"),"Amazon")</f>
        <v>Amazon</v>
      </c>
      <c r="F669" s="85"/>
      <c r="G669" s="85"/>
      <c r="H669" s="85" t="str">
        <f>IFERROR(__xludf.DUMMYFUNCTION("""COMPUTED_VALUE"""),"Amazon")</f>
        <v>Amazon</v>
      </c>
      <c r="I669" s="85">
        <f>IFERROR(__xludf.DUMMYFUNCTION("""COMPUTED_VALUE"""),55.07)</f>
        <v>55.07</v>
      </c>
      <c r="J669" s="85" t="str">
        <f>IFERROR(__xludf.DUMMYFUNCTION("""COMPUTED_VALUE"""),"算法")</f>
        <v>算法</v>
      </c>
      <c r="K669" s="2" t="s">
        <v>5019</v>
      </c>
    </row>
    <row r="670">
      <c r="A670" s="47">
        <v>547.0</v>
      </c>
      <c r="B670" s="86" t="str">
        <f>IFERROR(__xludf.DUMMYFUNCTION("IF(ISBLANK(A670),,FILTER('Leetcode List'!B:C,'Leetcode List'!A:A = A670))"),"Number of Provinces")</f>
        <v>Number of Provinces</v>
      </c>
      <c r="C670" s="85" t="str">
        <f>IFERROR(__xludf.DUMMYFUNCTION("""COMPUTED_VALUE"""),"Medium")</f>
        <v>Medium</v>
      </c>
      <c r="D670" s="47" t="s">
        <v>467</v>
      </c>
      <c r="E670" s="90" t="str">
        <f>IFERROR(__xludf.DUMMYFUNCTION("IF(ISBLANK(A670),,FILTER('Leetcode List'!E:J,'Leetcode List'!A:A = A670))"),"Sapient,Snapchat,Audible,Dropbox,Paypal,EBay,Goldman Sachs,Pocket Gems,Two Sigma,Atlassian,Deutsche Bank,Salesforce,Drawbridge,Twitter,Uber,Bloomberg,Adobe,Facebook,Amazon,LinkedIn,Microsoft,Google")</f>
        <v>Sapient,Snapchat,Audible,Dropbox,Paypal,EBay,Goldman Sachs,Pocket Gems,Two Sigma,Atlassian,Deutsche Bank,Salesforce,Drawbridge,Twitter,Uber,Bloomberg,Adobe,Facebook,Amazon,LinkedIn,Microsoft,Google</v>
      </c>
      <c r="F670" s="85" t="str">
        <f>IFERROR(__xludf.DUMMYFUNCTION("""COMPUTED_VALUE"""),"Amazon,Two Sigma,Dropbox,Goldman Sachs,Facebook,Adobe,Audible")</f>
        <v>Amazon,Two Sigma,Dropbox,Goldman Sachs,Facebook,Adobe,Audible</v>
      </c>
      <c r="G670" s="85" t="str">
        <f>IFERROR(__xludf.DUMMYFUNCTION("""COMPUTED_VALUE"""),"Microsoft,Twitter,eBay,Snapchat,Paypal,Amazon,Two Sigma,Dropbox,Goldman Sachs,Facebook,Adobe,Audible")</f>
        <v>Microsoft,Twitter,eBay,Snapchat,Paypal,Amazon,Two Sigma,Dropbox,Goldman Sachs,Facebook,Adobe,Audible</v>
      </c>
      <c r="H670" s="85" t="str">
        <f>IFERROR(__xludf.DUMMYFUNCTION("""COMPUTED_VALUE"""),"Pocket Gems,Sapient,Atlassian,Google,Uber,Salesforce,Bloomberg,Microsoft,Twitter,eBay,Snapchat,Paypal,Amazon,Two Sigma,Dropbox,Goldman Sachs,Facebook,Adobe,Audible")</f>
        <v>Pocket Gems,Sapient,Atlassian,Google,Uber,Salesforce,Bloomberg,Microsoft,Twitter,eBay,Snapchat,Paypal,Amazon,Two Sigma,Dropbox,Goldman Sachs,Facebook,Adobe,Audible</v>
      </c>
      <c r="I670" s="85">
        <f>IFERROR(__xludf.DUMMYFUNCTION("""COMPUTED_VALUE"""),60.58)</f>
        <v>60.58</v>
      </c>
      <c r="J670" s="85" t="str">
        <f>IFERROR(__xludf.DUMMYFUNCTION("""COMPUTED_VALUE"""),"算法")</f>
        <v>算法</v>
      </c>
    </row>
    <row r="671">
      <c r="A671" s="47">
        <v>200.0</v>
      </c>
      <c r="B671" s="86" t="str">
        <f>IFERROR(__xludf.DUMMYFUNCTION("IF(ISBLANK(A671),,FILTER('Leetcode List'!B:C,'Leetcode List'!A:A = A671))"),"Number of Islands")</f>
        <v>Number of Islands</v>
      </c>
      <c r="C671" s="85" t="str">
        <f>IFERROR(__xludf.DUMMYFUNCTION("""COMPUTED_VALUE"""),"Medium")</f>
        <v>Medium</v>
      </c>
      <c r="D671" s="47" t="s">
        <v>467</v>
      </c>
      <c r="E671" s="90" t="str">
        <f>IFERROR(__xludf.DUMMYFUNCTION("IF(ISBLANK(A671),,FILTER('Leetcode List'!E:J,'Leetcode List'!A:A = A671))"),"Pony.ai,Karat,Tesla,Robinhood,PayTM,ByteDance,Intel,Dropbox,ServiceNow,Yandex,Samsung,AppDynamics,Electronic Arts,Sumologic,Hulu,Cohesity,Arista Networks,LiveRamp,Nutanix,DoorDash,Square,Qualtrics,Evernote,Palantir Technologies,Cruise Automation,Citrix,Zu"&amp;"lily,Houzz,Zenefits,Atlassian,Twitch,Roblox,Audible,Splunk,Tableau,Salesforce,Visa,VMware,Citadel,Affirm,Walmart Labs,Snapchat,JPMorgan,Paypal,Twitter,Expedia,Wish,Nvidia,Oracle,Spotify,Lyft,Cisco,Mathworks,EBay,BlackRock,Apple,Uber,Yahoo,SAP,Bloomberg,Ad"&amp;"obe,Facebook,Amazon,LinkedIn,Microsoft,Alibaba,Goldman Sachs,Google")</f>
        <v>Pony.ai,Karat,Tesla,Robinhood,PayTM,ByteDance,Intel,Dropbox,ServiceNow,Yandex,Samsung,AppDynamics,Electronic Arts,Sumologic,Hulu,Cohesity,Arista Networks,LiveRamp,Nutanix,DoorDash,Square,Qualtrics,Evernote,Palantir Technologies,Cruise Automation,Citrix,Zulily,Houzz,Zenefits,Atlassian,Twitch,Roblox,Audible,Splunk,Tableau,Salesforce,Visa,VMware,Citadel,Affirm,Walmart Labs,Snapchat,JPMorgan,Paypal,Twitter,Expedia,Wish,Nvidia,Oracle,Spotify,Lyft,Cisco,Mathworks,EBay,BlackRock,Apple,Uber,Yahoo,SAP,Bloomberg,Adobe,Facebook,Amazon,LinkedIn,Microsoft,Alibaba,Goldman Sachs,Google</v>
      </c>
      <c r="F671" s="85" t="str">
        <f>IFERROR(__xludf.DUMMYFUNCTION("""COMPUTED_VALUE"""),"Amazon,Bloomberg,Microsoft,Oracle,Facebook,Apple,Uber,Google,DoorDash,Qualtrics,LinkedIn,Snapchat,Expedia,Goldman Sachs,Citadel,VMware,Tesla,Karat,ByteDance,Yandex,eBay,Samsung,Yahoo,Nvidia,Splunk,Pony.ai")</f>
        <v>Amazon,Bloomberg,Microsoft,Oracle,Facebook,Apple,Uber,Google,DoorDash,Qualtrics,LinkedIn,Snapchat,Expedia,Goldman Sachs,Citadel,VMware,Tesla,Karat,ByteDance,Yandex,eBay,Samsung,Yahoo,Nvidia,Splunk,Pony.ai</v>
      </c>
      <c r="G671" s="85" t="str">
        <f>IFERROR(__xludf.DUMMYFUNCTION("""COMPUTED_VALUE"""),"Adobe,Wish,Walmart Labs,Roblox,Lyft,Robinhood,Palantir Technologies,Salesforce,Visa,Intel,Audible,PayTM,Amazon,Bloomberg,Microsoft,Oracle,Facebook,Apple,Uber,Google,DoorDash,Qualtrics,LinkedIn,Snapchat,Expedia,Goldman Sachs,Citadel,VMware,Tesla,Karat,Byte"&amp;"Dance,Yandex,eBay,Samsung,Yahoo,Nvidia,Splunk,Pony.ai")</f>
        <v>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H671" s="85" t="str">
        <f>IFERROR(__xludf.DUMMYFUNCTION("""COMPUTED_VALUE"""),"Cruise Automation,Twitch,Atlassian,Tableau,Affirm,Mathworks,JPMorgan,Electronic Arts,Houzz,Nutanix,Evernote,Dropbox,Paypal,SAP,Square,Arista Networks,ServiceNow,Spotify,Zulily,Cohesity,Zenefits,Adobe,Wish,Walmart Labs,Roblox,Lyft,Robinhood,Palantir Techno"&amp;"logies,Salesforce,Visa,Intel,Audible,PayTM,Amazon,Bloomberg,Microsoft,Oracle,Facebook,Apple,Uber,Google,DoorDash,Qualtrics,LinkedIn,Snapchat,Expedia,Goldman Sachs,Citadel,VMware,Tesla,Karat,ByteDance,Yandex,eBay,Samsung,Yahoo,Nvidia,Splunk,Pony.ai")</f>
        <v>Cruise Automation,Twitch,Atlassian,Tableau,Affirm,Mathworks,JPMorgan,Electronic Arts,Houzz,Nutanix,Evernote,Dropbox,Paypal,SAP,Square,Arista Networks,ServiceNow,Spotify,Zulily,Cohesity,Zenefits,Adobe,Wish,Walmart Labs,Roblox,Lyft,Robinhood,Palantir Technologies,Salesforce,Visa,Intel,Audible,PayTM,Amazon,Bloomberg,Microsoft,Oracle,Facebook,Apple,Uber,Google,DoorDash,Qualtrics,LinkedIn,Snapchat,Expedia,Goldman Sachs,Citadel,VMware,Tesla,Karat,ByteDance,Yandex,eBay,Samsung,Yahoo,Nvidia,Splunk,Pony.ai</v>
      </c>
      <c r="I671" s="85">
        <f>IFERROR(__xludf.DUMMYFUNCTION("""COMPUTED_VALUE"""),49.32)</f>
        <v>49.32</v>
      </c>
      <c r="J671" s="85" t="str">
        <f>IFERROR(__xludf.DUMMYFUNCTION("""COMPUTED_VALUE"""),"算法")</f>
        <v>算法</v>
      </c>
    </row>
    <row r="672">
      <c r="A672" s="47">
        <v>305.0</v>
      </c>
      <c r="B672" s="86" t="str">
        <f>IFERROR(__xludf.DUMMYFUNCTION("IF(ISBLANK(A672),,FILTER('Leetcode List'!B:C,'Leetcode List'!A:A = A672))"),"Number of Islands II")</f>
        <v>Number of Islands II</v>
      </c>
      <c r="C672" s="85" t="str">
        <f>IFERROR(__xludf.DUMMYFUNCTION("""COMPUTED_VALUE"""),"Hard")</f>
        <v>Hard</v>
      </c>
      <c r="D672" s="47" t="s">
        <v>467</v>
      </c>
      <c r="E672" s="90" t="str">
        <f>IFERROR(__xludf.DUMMYFUNCTION("IF(ISBLANK(A672),,FILTER('Leetcode List'!E:J,'Leetcode List'!A:A = A672))"),"Bloomberg,Snapchat,Oracle,Uber,Facebook,Amazon,Microsoft,Google")</f>
        <v>Bloomberg,Snapchat,Oracle,Uber,Facebook,Amazon,Microsoft,Google</v>
      </c>
      <c r="F672" s="85" t="str">
        <f>IFERROR(__xludf.DUMMYFUNCTION("""COMPUTED_VALUE"""),"Amazon")</f>
        <v>Amazon</v>
      </c>
      <c r="G672" s="85" t="str">
        <f>IFERROR(__xludf.DUMMYFUNCTION("""COMPUTED_VALUE"""),"Amazon")</f>
        <v>Amazon</v>
      </c>
      <c r="H672" s="85" t="str">
        <f>IFERROR(__xludf.DUMMYFUNCTION("""COMPUTED_VALUE"""),"Uber,Facebook,Bloomberg,Microsoft,Oracle,Google,Amazon")</f>
        <v>Uber,Facebook,Bloomberg,Microsoft,Oracle,Google,Amazon</v>
      </c>
      <c r="I672" s="85">
        <f>IFERROR(__xludf.DUMMYFUNCTION("""COMPUTED_VALUE"""),39.62)</f>
        <v>39.62</v>
      </c>
      <c r="J672" s="85" t="str">
        <f>IFERROR(__xludf.DUMMYFUNCTION("""COMPUTED_VALUE"""),"算法")</f>
        <v>算法</v>
      </c>
    </row>
    <row r="673">
      <c r="A673" s="47">
        <v>130.0</v>
      </c>
      <c r="B673" s="86" t="str">
        <f>IFERROR(__xludf.DUMMYFUNCTION("IF(ISBLANK(A673),,FILTER('Leetcode List'!B:C,'Leetcode List'!A:A = A673))"),"Surrounded Regions")</f>
        <v>Surrounded Regions</v>
      </c>
      <c r="C673" s="85" t="str">
        <f>IFERROR(__xludf.DUMMYFUNCTION("""COMPUTED_VALUE"""),"Medium")</f>
        <v>Medium</v>
      </c>
      <c r="D673" s="47" t="s">
        <v>467</v>
      </c>
      <c r="E673" s="90" t="str">
        <f>IFERROR(__xludf.DUMMYFUNCTION("IF(ISBLANK(A673),,FILTER('Leetcode List'!E:J,'Leetcode List'!A:A = A673))"),"Splunk,EBay,Uber,Facebook,Amazon,Google")</f>
        <v>Splunk,EBay,Uber,Facebook,Amazon,Google</v>
      </c>
      <c r="F673" s="85" t="str">
        <f>IFERROR(__xludf.DUMMYFUNCTION("""COMPUTED_VALUE"""),"Google,Amazon,Uber")</f>
        <v>Google,Amazon,Uber</v>
      </c>
      <c r="G673" s="85" t="str">
        <f>IFERROR(__xludf.DUMMYFUNCTION("""COMPUTED_VALUE"""),"eBay,Google,Amazon,Uber")</f>
        <v>eBay,Google,Amazon,Uber</v>
      </c>
      <c r="H673" s="85" t="str">
        <f>IFERROR(__xludf.DUMMYFUNCTION("""COMPUTED_VALUE"""),"Splunk,Facebook,eBay,Google,Amazon,Uber")</f>
        <v>Splunk,Facebook,eBay,Google,Amazon,Uber</v>
      </c>
      <c r="I673" s="85">
        <f>IFERROR(__xludf.DUMMYFUNCTION("""COMPUTED_VALUE"""),29.58)</f>
        <v>29.58</v>
      </c>
      <c r="J673" s="85" t="str">
        <f>IFERROR(__xludf.DUMMYFUNCTION("""COMPUTED_VALUE"""),"算法")</f>
        <v>算法</v>
      </c>
    </row>
    <row r="674">
      <c r="A674" s="47">
        <v>128.0</v>
      </c>
      <c r="B674" s="86" t="str">
        <f>IFERROR(__xludf.DUMMYFUNCTION("IF(ISBLANK(A674),,FILTER('Leetcode List'!B:C,'Leetcode List'!A:A = A674))"),"Longest Consecutive Sequence")</f>
        <v>Longest Consecutive Sequence</v>
      </c>
      <c r="C674" s="85" t="str">
        <f>IFERROR(__xludf.DUMMYFUNCTION("""COMPUTED_VALUE"""),"Hard")</f>
        <v>Hard</v>
      </c>
      <c r="D674" s="47" t="s">
        <v>467</v>
      </c>
      <c r="E674" s="90" t="str">
        <f>IFERROR(__xludf.DUMMYFUNCTION("IF(ISBLANK(A674),,FILTER('Leetcode List'!E:J,'Leetcode List'!A:A = A674))"),"Qualtrics,Twitter,Adobe,Goldman Sachs,Nutanix,Paypal,Wish,Oracle,Spotify,Apple,Uber,Bloomberg,Facebook,Amazon,Microsoft,Google")</f>
        <v>Qualtrics,Twitter,Adobe,Goldman Sachs,Nutanix,Paypal,Wish,Oracle,Spotify,Apple,Uber,Bloomberg,Facebook,Amazon,Microsoft,Google</v>
      </c>
      <c r="F674" s="85" t="str">
        <f>IFERROR(__xludf.DUMMYFUNCTION("""COMPUTED_VALUE"""),"Amazon,Microsoft,Bloomberg,Google,Facebook,Oracle,Goldman Sachs")</f>
        <v>Amazon,Microsoft,Bloomberg,Google,Facebook,Oracle,Goldman Sachs</v>
      </c>
      <c r="G674" s="85" t="str">
        <f>IFERROR(__xludf.DUMMYFUNCTION("""COMPUTED_VALUE"""),"Uber,Adobe,Apple,Paypal,Spotify,Amazon,Microsoft,Bloomberg,Google,Facebook,Oracle,Goldman Sachs")</f>
        <v>Uber,Adobe,Apple,Paypal,Spotify,Amazon,Microsoft,Bloomberg,Google,Facebook,Oracle,Goldman Sachs</v>
      </c>
      <c r="H674" s="85" t="str">
        <f>IFERROR(__xludf.DUMMYFUNCTION("""COMPUTED_VALUE"""),"Wish,Twitter,Nutanix,Qualtrics,Uber,Adobe,Apple,Paypal,Spotify,Amazon,Microsoft,Bloomberg,Google,Facebook,Oracle,Goldman Sachs")</f>
        <v>Wish,Twitter,Nutanix,Qualtrics,Uber,Adobe,Apple,Paypal,Spotify,Amazon,Microsoft,Bloomberg,Google,Facebook,Oracle,Goldman Sachs</v>
      </c>
      <c r="I674" s="85">
        <f>IFERROR(__xludf.DUMMYFUNCTION("""COMPUTED_VALUE"""),46.36)</f>
        <v>46.36</v>
      </c>
      <c r="J674" s="85" t="str">
        <f>IFERROR(__xludf.DUMMYFUNCTION("""COMPUTED_VALUE"""),"算法")</f>
        <v>算法</v>
      </c>
    </row>
    <row r="675">
      <c r="A675" s="47">
        <v>684.0</v>
      </c>
      <c r="B675" s="86" t="str">
        <f>IFERROR(__xludf.DUMMYFUNCTION("IF(ISBLANK(A675),,FILTER('Leetcode List'!B:C,'Leetcode List'!A:A = A675))"),"Redundant Connection")</f>
        <v>Redundant Connection</v>
      </c>
      <c r="C675" s="85" t="str">
        <f>IFERROR(__xludf.DUMMYFUNCTION("""COMPUTED_VALUE"""),"Medium")</f>
        <v>Medium</v>
      </c>
      <c r="D675" s="47" t="s">
        <v>467</v>
      </c>
      <c r="E675" s="90" t="str">
        <f>IFERROR(__xludf.DUMMYFUNCTION("IF(ISBLANK(A675),,FILTER('Leetcode List'!E:J,'Leetcode List'!A:A = A675))"),"Amazon,Google")</f>
        <v>Amazon,Google</v>
      </c>
      <c r="F675" s="85" t="str">
        <f>IFERROR(__xludf.DUMMYFUNCTION("""COMPUTED_VALUE"""),"Amazon")</f>
        <v>Amazon</v>
      </c>
      <c r="G675" s="85" t="str">
        <f>IFERROR(__xludf.DUMMYFUNCTION("""COMPUTED_VALUE"""),"Amazon")</f>
        <v>Amazon</v>
      </c>
      <c r="H675" s="85" t="str">
        <f>IFERROR(__xludf.DUMMYFUNCTION("""COMPUTED_VALUE"""),"Google,Amazon")</f>
        <v>Google,Amazon</v>
      </c>
      <c r="I675" s="85">
        <f>IFERROR(__xludf.DUMMYFUNCTION("""COMPUTED_VALUE"""),59.05)</f>
        <v>59.05</v>
      </c>
      <c r="J675" s="85" t="str">
        <f>IFERROR(__xludf.DUMMYFUNCTION("""COMPUTED_VALUE"""),"算法")</f>
        <v>算法</v>
      </c>
    </row>
    <row r="676">
      <c r="A676" s="47">
        <v>685.0</v>
      </c>
      <c r="B676" s="86" t="str">
        <f>IFERROR(__xludf.DUMMYFUNCTION("IF(ISBLANK(A676),,FILTER('Leetcode List'!B:C,'Leetcode List'!A:A = A676))"),"Redundant Connection II")</f>
        <v>Redundant Connection II</v>
      </c>
      <c r="C676" s="85" t="str">
        <f>IFERROR(__xludf.DUMMYFUNCTION("""COMPUTED_VALUE"""),"Hard")</f>
        <v>Hard</v>
      </c>
      <c r="D676" s="47" t="s">
        <v>467</v>
      </c>
      <c r="E676" s="90" t="str">
        <f>IFERROR(__xludf.DUMMYFUNCTION("IF(ISBLANK(A676),,FILTER('Leetcode List'!E:J,'Leetcode List'!A:A = A676))"),"Apple,Amazon,Google")</f>
        <v>Apple,Amazon,Google</v>
      </c>
      <c r="F676" s="85" t="str">
        <f>IFERROR(__xludf.DUMMYFUNCTION("""COMPUTED_VALUE"""),"Amazon")</f>
        <v>Amazon</v>
      </c>
      <c r="G676" s="85" t="str">
        <f>IFERROR(__xludf.DUMMYFUNCTION("""COMPUTED_VALUE"""),"Amazon")</f>
        <v>Amazon</v>
      </c>
      <c r="H676" s="85" t="str">
        <f>IFERROR(__xludf.DUMMYFUNCTION("""COMPUTED_VALUE"""),"Google,Apple,Amazon")</f>
        <v>Google,Apple,Amazon</v>
      </c>
      <c r="I676" s="85">
        <f>IFERROR(__xludf.DUMMYFUNCTION("""COMPUTED_VALUE"""),33.03)</f>
        <v>33.03</v>
      </c>
      <c r="J676" s="85" t="str">
        <f>IFERROR(__xludf.DUMMYFUNCTION("""COMPUTED_VALUE"""),"算法")</f>
        <v>算法</v>
      </c>
    </row>
    <row r="677">
      <c r="A677" s="47">
        <v>721.0</v>
      </c>
      <c r="B677" s="86" t="str">
        <f>IFERROR(__xludf.DUMMYFUNCTION("IF(ISBLANK(A677),,FILTER('Leetcode List'!B:C,'Leetcode List'!A:A = A677))"),"Accounts Merge")</f>
        <v>Accounts Merge</v>
      </c>
      <c r="C677" s="85" t="str">
        <f>IFERROR(__xludf.DUMMYFUNCTION("""COMPUTED_VALUE"""),"Medium")</f>
        <v>Medium</v>
      </c>
      <c r="D677" s="47" t="s">
        <v>467</v>
      </c>
      <c r="E677" s="90" t="str">
        <f>IFERROR(__xludf.DUMMYFUNCTION("IF(ISBLANK(A677),,FILTER('Leetcode List'!E:J,'Leetcode List'!A:A = A677))"),"Rubrik,Twitter,Uber,Bloomberg,Houzz,Oracle,Apple,Facebook,Amazon,LinkedIn,Microsoft,Google")</f>
        <v>Rubrik,Twitter,Uber,Bloomberg,Houzz,Oracle,Apple,Facebook,Amazon,LinkedIn,Microsoft,Google</v>
      </c>
      <c r="F677" s="85" t="str">
        <f>IFERROR(__xludf.DUMMYFUNCTION("""COMPUTED_VALUE"""),"Facebook,Google,Microsoft,Amazon,LinkedIn,Twitter")</f>
        <v>Facebook,Google,Microsoft,Amazon,LinkedIn,Twitter</v>
      </c>
      <c r="G677" s="85" t="str">
        <f>IFERROR(__xludf.DUMMYFUNCTION("""COMPUTED_VALUE"""),"Bloomberg,Facebook,Google,Microsoft,Amazon,LinkedIn,Twitter")</f>
        <v>Bloomberg,Facebook,Google,Microsoft,Amazon,LinkedIn,Twitter</v>
      </c>
      <c r="H677" s="85" t="str">
        <f>IFERROR(__xludf.DUMMYFUNCTION("""COMPUTED_VALUE"""),"Houzz,Uber,Apple,Rubrik,Oracle,Bloomberg,Facebook,Google,Microsoft,Amazon,LinkedIn,Twitter")</f>
        <v>Houzz,Uber,Apple,Rubrik,Oracle,Bloomberg,Facebook,Google,Microsoft,Amazon,LinkedIn,Twitter</v>
      </c>
      <c r="I677" s="85">
        <f>IFERROR(__xludf.DUMMYFUNCTION("""COMPUTED_VALUE"""),52.05)</f>
        <v>52.05</v>
      </c>
      <c r="J677" s="85" t="str">
        <f>IFERROR(__xludf.DUMMYFUNCTION("""COMPUTED_VALUE"""),"算法")</f>
        <v>算法</v>
      </c>
    </row>
    <row r="678">
      <c r="A678" s="47">
        <v>765.0</v>
      </c>
      <c r="B678" s="86" t="str">
        <f>IFERROR(__xludf.DUMMYFUNCTION("IF(ISBLANK(A678),,FILTER('Leetcode List'!B:C,'Leetcode List'!A:A = A678))"),"Couples Holding Hands")</f>
        <v>Couples Holding Hands</v>
      </c>
      <c r="C678" s="85" t="str">
        <f>IFERROR(__xludf.DUMMYFUNCTION("""COMPUTED_VALUE"""),"Hard")</f>
        <v>Hard</v>
      </c>
      <c r="D678" s="47" t="s">
        <v>467</v>
      </c>
      <c r="E678" s="90" t="str">
        <f>IFERROR(__xludf.DUMMYFUNCTION("IF(ISBLANK(A678),,FILTER('Leetcode List'!E:J,'Leetcode List'!A:A = A678))"),"Amazon,Google")</f>
        <v>Amazon,Google</v>
      </c>
      <c r="F678" s="85"/>
      <c r="G678" s="85"/>
      <c r="H678" s="85" t="str">
        <f>IFERROR(__xludf.DUMMYFUNCTION("""COMPUTED_VALUE"""),"Google")</f>
        <v>Google</v>
      </c>
      <c r="I678" s="85">
        <f>IFERROR(__xludf.DUMMYFUNCTION("""COMPUTED_VALUE"""),55.52)</f>
        <v>55.52</v>
      </c>
      <c r="J678" s="85" t="str">
        <f>IFERROR(__xludf.DUMMYFUNCTION("""COMPUTED_VALUE"""),"算法")</f>
        <v>算法</v>
      </c>
    </row>
    <row r="679">
      <c r="A679" s="47">
        <v>785.0</v>
      </c>
      <c r="B679" s="86" t="str">
        <f>IFERROR(__xludf.DUMMYFUNCTION("IF(ISBLANK(A679),,FILTER('Leetcode List'!B:C,'Leetcode List'!A:A = A679))"),"Is Graph Bipartite?")</f>
        <v>Is Graph Bipartite?</v>
      </c>
      <c r="C679" s="85" t="str">
        <f>IFERROR(__xludf.DUMMYFUNCTION("""COMPUTED_VALUE"""),"Medium")</f>
        <v>Medium</v>
      </c>
      <c r="D679" s="47" t="s">
        <v>467</v>
      </c>
      <c r="E679" s="90" t="str">
        <f>IFERROR(__xludf.DUMMYFUNCTION("IF(ISBLANK(A679),,FILTER('Leetcode List'!E:J,'Leetcode List'!A:A = A679))"),"ByteDance,Uber,Bloomberg,LiveRamp,Walmart Labs,EBay,Facebook,Amazon,LinkedIn,Microsoft,Google")</f>
        <v>ByteDance,Uber,Bloomberg,LiveRamp,Walmart Labs,EBay,Facebook,Amazon,LinkedIn,Microsoft,Google</v>
      </c>
      <c r="F679" s="85" t="str">
        <f>IFERROR(__xludf.DUMMYFUNCTION("""COMPUTED_VALUE"""),"Facebook,ByteDance,eBay")</f>
        <v>Facebook,ByteDance,eBay</v>
      </c>
      <c r="G679" s="85" t="str">
        <f>IFERROR(__xludf.DUMMYFUNCTION("""COMPUTED_VALUE"""),"Amazon,Walmart Labs,Facebook,ByteDance,eBay")</f>
        <v>Amazon,Walmart Labs,Facebook,ByteDance,eBay</v>
      </c>
      <c r="H679" s="85" t="str">
        <f>IFERROR(__xludf.DUMMYFUNCTION("""COMPUTED_VALUE"""),"Google,LinkedIn,LiveRamp,Microsoft,Bloomberg,Uber,Amazon,Walmart Labs,Facebook,ByteDance,eBay")</f>
        <v>Google,LinkedIn,LiveRamp,Microsoft,Bloomberg,Uber,Amazon,Walmart Labs,Facebook,ByteDance,eBay</v>
      </c>
      <c r="I679" s="85">
        <f>IFERROR(__xludf.DUMMYFUNCTION("""COMPUTED_VALUE"""),48.65)</f>
        <v>48.65</v>
      </c>
      <c r="J679" s="85" t="str">
        <f>IFERROR(__xludf.DUMMYFUNCTION("""COMPUTED_VALUE"""),"算法")</f>
        <v>算法</v>
      </c>
    </row>
    <row r="680">
      <c r="A680" s="47">
        <v>924.0</v>
      </c>
      <c r="B680" s="86" t="str">
        <f>IFERROR(__xludf.DUMMYFUNCTION("IF(ISBLANK(A680),,FILTER('Leetcode List'!B:C,'Leetcode List'!A:A = A680))"),"Minimize Malware Spread")</f>
        <v>Minimize Malware Spread</v>
      </c>
      <c r="C680" s="85" t="str">
        <f>IFERROR(__xludf.DUMMYFUNCTION("""COMPUTED_VALUE"""),"Hard")</f>
        <v>Hard</v>
      </c>
      <c r="D680" s="47" t="s">
        <v>467</v>
      </c>
      <c r="E680" s="90" t="str">
        <f>IFERROR(__xludf.DUMMYFUNCTION("IF(ISBLANK(A680),,FILTER('Leetcode List'!E:J,'Leetcode List'!A:A = A680))"),"ByteDance,Dropbox,Bloomberg,Google")</f>
        <v>ByteDance,Dropbox,Bloomberg,Google</v>
      </c>
      <c r="F680" s="85" t="str">
        <f>IFERROR(__xludf.DUMMYFUNCTION("""COMPUTED_VALUE"""),"ByteDance")</f>
        <v>ByteDance</v>
      </c>
      <c r="G680" s="85" t="str">
        <f>IFERROR(__xludf.DUMMYFUNCTION("""COMPUTED_VALUE"""),"Bloomberg,ByteDance")</f>
        <v>Bloomberg,ByteDance</v>
      </c>
      <c r="H680" s="85" t="str">
        <f>IFERROR(__xludf.DUMMYFUNCTION("""COMPUTED_VALUE"""),"Google,Dropbox,Bloomberg,ByteDance")</f>
        <v>Google,Dropbox,Bloomberg,ByteDance</v>
      </c>
      <c r="I680" s="85">
        <f>IFERROR(__xludf.DUMMYFUNCTION("""COMPUTED_VALUE"""),41.94)</f>
        <v>41.94</v>
      </c>
      <c r="J680" s="85" t="str">
        <f>IFERROR(__xludf.DUMMYFUNCTION("""COMPUTED_VALUE"""),"算法")</f>
        <v>算法</v>
      </c>
    </row>
    <row r="681">
      <c r="A681" s="47">
        <v>947.0</v>
      </c>
      <c r="B681" s="86" t="str">
        <f>IFERROR(__xludf.DUMMYFUNCTION("IF(ISBLANK(A681),,FILTER('Leetcode List'!B:C,'Leetcode List'!A:A = A681))"),"Most Stones Removed with Same Row or Column")</f>
        <v>Most Stones Removed with Same Row or Column</v>
      </c>
      <c r="C681" s="85" t="str">
        <f>IFERROR(__xludf.DUMMYFUNCTION("""COMPUTED_VALUE"""),"Medium")</f>
        <v>Medium</v>
      </c>
      <c r="D681" s="47" t="s">
        <v>467</v>
      </c>
      <c r="E681" s="90" t="str">
        <f>IFERROR(__xludf.DUMMYFUNCTION("IF(ISBLANK(A681),,FILTER('Leetcode List'!E:J,'Leetcode List'!A:A = A681))"),"Adobe,Amazon,Google")</f>
        <v>Adobe,Amazon,Google</v>
      </c>
      <c r="F681" s="85" t="str">
        <f>IFERROR(__xludf.DUMMYFUNCTION("""COMPUTED_VALUE"""),"Amazon")</f>
        <v>Amazon</v>
      </c>
      <c r="G681" s="85" t="str">
        <f>IFERROR(__xludf.DUMMYFUNCTION("""COMPUTED_VALUE"""),"Adobe,Amazon")</f>
        <v>Adobe,Amazon</v>
      </c>
      <c r="H681" s="85" t="str">
        <f>IFERROR(__xludf.DUMMYFUNCTION("""COMPUTED_VALUE"""),"Google,Adobe,Amazon")</f>
        <v>Google,Adobe,Amazon</v>
      </c>
      <c r="I681" s="85">
        <f>IFERROR(__xludf.DUMMYFUNCTION("""COMPUTED_VALUE"""),55.47)</f>
        <v>55.47</v>
      </c>
      <c r="J681" s="85" t="str">
        <f>IFERROR(__xludf.DUMMYFUNCTION("""COMPUTED_VALUE"""),"算法")</f>
        <v>算法</v>
      </c>
    </row>
    <row r="682">
      <c r="A682" s="47">
        <v>952.0</v>
      </c>
      <c r="B682" s="86" t="str">
        <f>IFERROR(__xludf.DUMMYFUNCTION("IF(ISBLANK(A682),,FILTER('Leetcode List'!B:C,'Leetcode List'!A:A = A682))"),"Largest Component Size by Common Factor")</f>
        <v>Largest Component Size by Common Factor</v>
      </c>
      <c r="C682" s="85" t="str">
        <f>IFERROR(__xludf.DUMMYFUNCTION("""COMPUTED_VALUE"""),"Hard")</f>
        <v>Hard</v>
      </c>
      <c r="D682" s="47" t="s">
        <v>467</v>
      </c>
      <c r="E682" s="90" t="str">
        <f>IFERROR(__xludf.DUMMYFUNCTION("IF(ISBLANK(A682),,FILTER('Leetcode List'!E:J,'Leetcode List'!A:A = A682))"),"Google")</f>
        <v>Google</v>
      </c>
      <c r="F682" s="85"/>
      <c r="G682" s="85"/>
      <c r="H682" s="85" t="str">
        <f>IFERROR(__xludf.DUMMYFUNCTION("""COMPUTED_VALUE"""),"Google")</f>
        <v>Google</v>
      </c>
      <c r="I682" s="85">
        <f>IFERROR(__xludf.DUMMYFUNCTION("""COMPUTED_VALUE"""),36.21)</f>
        <v>36.21</v>
      </c>
      <c r="J682" s="85" t="str">
        <f>IFERROR(__xludf.DUMMYFUNCTION("""COMPUTED_VALUE"""),"算法")</f>
        <v>算法</v>
      </c>
    </row>
    <row r="683">
      <c r="A683" s="47">
        <v>959.0</v>
      </c>
      <c r="B683" s="86" t="str">
        <f>IFERROR(__xludf.DUMMYFUNCTION("IF(ISBLANK(A683),,FILTER('Leetcode List'!B:C,'Leetcode List'!A:A = A683))"),"Regions Cut By Slashes")</f>
        <v>Regions Cut By Slashes</v>
      </c>
      <c r="C683" s="85" t="str">
        <f>IFERROR(__xludf.DUMMYFUNCTION("""COMPUTED_VALUE"""),"Medium")</f>
        <v>Medium</v>
      </c>
      <c r="D683" s="47" t="s">
        <v>467</v>
      </c>
      <c r="E683" s="90" t="str">
        <f>IFERROR(__xludf.DUMMYFUNCTION("IF(ISBLANK(A683),,FILTER('Leetcode List'!E:J,'Leetcode List'!A:A = A683))"),"Uber")</f>
        <v>Uber</v>
      </c>
      <c r="F683" s="85"/>
      <c r="G683" s="85"/>
      <c r="H683" s="85" t="str">
        <f>IFERROR(__xludf.DUMMYFUNCTION("""COMPUTED_VALUE"""),"Uber")</f>
        <v>Uber</v>
      </c>
      <c r="I683" s="85">
        <f>IFERROR(__xludf.DUMMYFUNCTION("""COMPUTED_VALUE"""),67.16)</f>
        <v>67.16</v>
      </c>
      <c r="J683" s="85" t="str">
        <f>IFERROR(__xludf.DUMMYFUNCTION("""COMPUTED_VALUE"""),"算法")</f>
        <v>算法</v>
      </c>
    </row>
    <row r="684">
      <c r="A684" s="47">
        <v>990.0</v>
      </c>
      <c r="B684" s="86" t="str">
        <f>IFERROR(__xludf.DUMMYFUNCTION("IF(ISBLANK(A684),,FILTER('Leetcode List'!B:C,'Leetcode List'!A:A = A684))"),"Satisfiability of Equality Equations")</f>
        <v>Satisfiability of Equality Equations</v>
      </c>
      <c r="C684" s="85" t="str">
        <f>IFERROR(__xludf.DUMMYFUNCTION("""COMPUTED_VALUE"""),"Medium")</f>
        <v>Medium</v>
      </c>
      <c r="D684" s="47" t="s">
        <v>467</v>
      </c>
      <c r="E684" s="90" t="str">
        <f>IFERROR(__xludf.DUMMYFUNCTION("IF(ISBLANK(A684),,FILTER('Leetcode List'!E:J,'Leetcode List'!A:A = A684))"),"Sumologic")</f>
        <v>Sumologic</v>
      </c>
      <c r="F684" s="85"/>
      <c r="G684" s="85"/>
      <c r="H684" s="85" t="str">
        <f>IFERROR(__xludf.DUMMYFUNCTION("""COMPUTED_VALUE"""),"Sumologic")</f>
        <v>Sumologic</v>
      </c>
      <c r="I684" s="85">
        <f>IFERROR(__xludf.DUMMYFUNCTION("""COMPUTED_VALUE"""),46.89)</f>
        <v>46.89</v>
      </c>
      <c r="J684" s="85" t="str">
        <f>IFERROR(__xludf.DUMMYFUNCTION("""COMPUTED_VALUE"""),"算法")</f>
        <v>算法</v>
      </c>
    </row>
    <row r="685">
      <c r="A685" s="47">
        <v>1061.0</v>
      </c>
      <c r="B685" s="86" t="str">
        <f>IFERROR(__xludf.DUMMYFUNCTION("IF(ISBLANK(A685),,FILTER('Leetcode List'!B:C,'Leetcode List'!A:A = A685))"),"Lexicographically Smallest Equivalent String")</f>
        <v>Lexicographically Smallest Equivalent String</v>
      </c>
      <c r="C685" s="85" t="str">
        <f>IFERROR(__xludf.DUMMYFUNCTION("""COMPUTED_VALUE"""),"Medium")</f>
        <v>Medium</v>
      </c>
      <c r="D685" s="47" t="s">
        <v>467</v>
      </c>
      <c r="E685" s="90" t="str">
        <f>IFERROR(__xludf.DUMMYFUNCTION("IF(ISBLANK(A685),,FILTER('Leetcode List'!E:J,'Leetcode List'!A:A = A685))"),"")</f>
        <v/>
      </c>
      <c r="F685" s="85"/>
      <c r="G685" s="85"/>
      <c r="H685" s="85"/>
      <c r="I685" s="85">
        <f>IFERROR(__xludf.DUMMYFUNCTION("""COMPUTED_VALUE"""),66.81)</f>
        <v>66.81</v>
      </c>
      <c r="J685" s="85" t="str">
        <f>IFERROR(__xludf.DUMMYFUNCTION("""COMPUTED_VALUE"""),"算法")</f>
        <v>算法</v>
      </c>
    </row>
    <row r="686">
      <c r="A686" s="47">
        <v>1101.0</v>
      </c>
      <c r="B686" s="86" t="str">
        <f>IFERROR(__xludf.DUMMYFUNCTION("IF(ISBLANK(A686),,FILTER('Leetcode List'!B:C,'Leetcode List'!A:A = A686))"),"The Earliest Moment When Everyone Become Friends")</f>
        <v>The Earliest Moment When Everyone Become Friends</v>
      </c>
      <c r="C686" s="85" t="str">
        <f>IFERROR(__xludf.DUMMYFUNCTION("""COMPUTED_VALUE"""),"Medium")</f>
        <v>Medium</v>
      </c>
      <c r="D686" s="47" t="s">
        <v>467</v>
      </c>
      <c r="E686" s="90" t="str">
        <f>IFERROR(__xludf.DUMMYFUNCTION("IF(ISBLANK(A686),,FILTER('Leetcode List'!E:J,'Leetcode List'!A:A = A686))"),"Google,Expedia")</f>
        <v>Google,Expedia</v>
      </c>
      <c r="F686" s="85"/>
      <c r="G686" s="85" t="str">
        <f>IFERROR(__xludf.DUMMYFUNCTION("""COMPUTED_VALUE"""),"Google")</f>
        <v>Google</v>
      </c>
      <c r="H686" s="85" t="str">
        <f>IFERROR(__xludf.DUMMYFUNCTION("""COMPUTED_VALUE"""),"Expedia,Google")</f>
        <v>Expedia,Google</v>
      </c>
      <c r="I686" s="85">
        <f>IFERROR(__xludf.DUMMYFUNCTION("""COMPUTED_VALUE"""),67.84)</f>
        <v>67.84</v>
      </c>
      <c r="J686" s="85" t="str">
        <f>IFERROR(__xludf.DUMMYFUNCTION("""COMPUTED_VALUE"""),"算法")</f>
        <v>算法</v>
      </c>
    </row>
    <row r="687">
      <c r="A687" s="47">
        <v>1202.0</v>
      </c>
      <c r="B687" s="86" t="str">
        <f>IFERROR(__xludf.DUMMYFUNCTION("IF(ISBLANK(A687),,FILTER('Leetcode List'!B:C,'Leetcode List'!A:A = A687))"),"Smallest String With Swaps")</f>
        <v>Smallest String With Swaps</v>
      </c>
      <c r="C687" s="85" t="str">
        <f>IFERROR(__xludf.DUMMYFUNCTION("""COMPUTED_VALUE"""),"Medium")</f>
        <v>Medium</v>
      </c>
      <c r="D687" s="47" t="s">
        <v>467</v>
      </c>
      <c r="E687" s="90" t="str">
        <f>IFERROR(__xludf.DUMMYFUNCTION("IF(ISBLANK(A687),,FILTER('Leetcode List'!E:J,'Leetcode List'!A:A = A687))"),"PhonePe,Citrix,PHONEPE,ByteDance,Amazon")</f>
        <v>PhonePe,Citrix,PHONEPE,ByteDance,Amazon</v>
      </c>
      <c r="F687" s="85" t="str">
        <f>IFERROR(__xludf.DUMMYFUNCTION("""COMPUTED_VALUE"""),"Citrix")</f>
        <v>Citrix</v>
      </c>
      <c r="G687" s="85" t="str">
        <f>IFERROR(__xludf.DUMMYFUNCTION("""COMPUTED_VALUE"""),"Citrix")</f>
        <v>Citrix</v>
      </c>
      <c r="H687" s="85" t="str">
        <f>IFERROR(__xludf.DUMMYFUNCTION("""COMPUTED_VALUE"""),"ByteDance,Amazon,PhonePe,Citrix")</f>
        <v>ByteDance,Amazon,PhonePe,Citrix</v>
      </c>
      <c r="I687" s="85">
        <f>IFERROR(__xludf.DUMMYFUNCTION("""COMPUTED_VALUE"""),48.92)</f>
        <v>48.92</v>
      </c>
      <c r="J687" s="85" t="str">
        <f>IFERROR(__xludf.DUMMYFUNCTION("""COMPUTED_VALUE"""),"算法")</f>
        <v>算法</v>
      </c>
    </row>
    <row r="688">
      <c r="A688" s="47">
        <v>1319.0</v>
      </c>
      <c r="B688" s="86" t="str">
        <f>IFERROR(__xludf.DUMMYFUNCTION("IF(ISBLANK(A688),,FILTER('Leetcode List'!B:C,'Leetcode List'!A:A = A688))"),"Number of Operations to Make Network Connected")</f>
        <v>Number of Operations to Make Network Connected</v>
      </c>
      <c r="C688" s="85" t="str">
        <f>IFERROR(__xludf.DUMMYFUNCTION("""COMPUTED_VALUE"""),"Medium")</f>
        <v>Medium</v>
      </c>
      <c r="D688" s="47" t="s">
        <v>467</v>
      </c>
      <c r="E688" s="90" t="str">
        <f>IFERROR(__xludf.DUMMYFUNCTION("IF(ISBLANK(A688),,FILTER('Leetcode List'!E:J,'Leetcode List'!A:A = A688))"),"Apple,Amazon,Akuna Capital,Mathworks")</f>
        <v>Apple,Amazon,Akuna Capital,Mathworks</v>
      </c>
      <c r="F688" s="85" t="str">
        <f>IFERROR(__xludf.DUMMYFUNCTION("""COMPUTED_VALUE"""),"Amazon,Apple")</f>
        <v>Amazon,Apple</v>
      </c>
      <c r="G688" s="85" t="str">
        <f>IFERROR(__xludf.DUMMYFUNCTION("""COMPUTED_VALUE"""),"Amazon,Apple")</f>
        <v>Amazon,Apple</v>
      </c>
      <c r="H688" s="85" t="str">
        <f>IFERROR(__xludf.DUMMYFUNCTION("""COMPUTED_VALUE"""),"Akuna Capital,Mathworks,Amazon,Apple")</f>
        <v>Akuna Capital,Mathworks,Amazon,Apple</v>
      </c>
      <c r="I688" s="85">
        <f>IFERROR(__xludf.DUMMYFUNCTION("""COMPUTED_VALUE"""),55.52)</f>
        <v>55.52</v>
      </c>
      <c r="J688" s="85" t="str">
        <f>IFERROR(__xludf.DUMMYFUNCTION("""COMPUTED_VALUE"""),"算法")</f>
        <v>算法</v>
      </c>
    </row>
    <row r="689">
      <c r="A689" s="47">
        <v>1627.0</v>
      </c>
      <c r="B689" s="86" t="str">
        <f>IFERROR(__xludf.DUMMYFUNCTION("IF(ISBLANK(A689),,FILTER('Leetcode List'!B:C,'Leetcode List'!A:A = A689))"),"Graph Connectivity With Threshold")</f>
        <v>Graph Connectivity With Threshold</v>
      </c>
      <c r="C689" s="85" t="str">
        <f>IFERROR(__xludf.DUMMYFUNCTION("""COMPUTED_VALUE"""),"Hard")</f>
        <v>Hard</v>
      </c>
      <c r="D689" s="47" t="s">
        <v>467</v>
      </c>
      <c r="E689" s="90" t="str">
        <f>IFERROR(__xludf.DUMMYFUNCTION("IF(ISBLANK(A689),,FILTER('Leetcode List'!E:J,'Leetcode List'!A:A = A689))"),"Trexquant")</f>
        <v>Trexquant</v>
      </c>
      <c r="F689" s="85"/>
      <c r="G689" s="85"/>
      <c r="H689" s="85" t="str">
        <f>IFERROR(__xludf.DUMMYFUNCTION("""COMPUTED_VALUE"""),"Trexquant")</f>
        <v>Trexquant</v>
      </c>
      <c r="I689" s="85">
        <f>IFERROR(__xludf.DUMMYFUNCTION("""COMPUTED_VALUE"""),39.41)</f>
        <v>39.41</v>
      </c>
      <c r="J689" s="85" t="str">
        <f>IFERROR(__xludf.DUMMYFUNCTION("""COMPUTED_VALUE"""),"算法")</f>
        <v>算法</v>
      </c>
    </row>
    <row r="690">
      <c r="A690" s="47">
        <v>1632.0</v>
      </c>
      <c r="B690" s="86" t="str">
        <f>IFERROR(__xludf.DUMMYFUNCTION("IF(ISBLANK(A690),,FILTER('Leetcode List'!B:C,'Leetcode List'!A:A = A690))"),"Rank Transform of a Matrix")</f>
        <v>Rank Transform of a Matrix</v>
      </c>
      <c r="C690" s="85" t="str">
        <f>IFERROR(__xludf.DUMMYFUNCTION("""COMPUTED_VALUE"""),"Hard")</f>
        <v>Hard</v>
      </c>
      <c r="D690" s="47" t="s">
        <v>467</v>
      </c>
      <c r="E690" s="90" t="str">
        <f>IFERROR(__xludf.DUMMYFUNCTION("IF(ISBLANK(A690),,FILTER('Leetcode List'!E:J,'Leetcode List'!A:A = A690))"),"Google")</f>
        <v>Google</v>
      </c>
      <c r="F690" s="85"/>
      <c r="G690" s="85"/>
      <c r="H690" s="85" t="str">
        <f>IFERROR(__xludf.DUMMYFUNCTION("""COMPUTED_VALUE"""),"Google")</f>
        <v>Google</v>
      </c>
      <c r="I690" s="85">
        <f>IFERROR(__xludf.DUMMYFUNCTION("""COMPUTED_VALUE"""),30.85)</f>
        <v>30.85</v>
      </c>
      <c r="J690" s="85" t="str">
        <f>IFERROR(__xludf.DUMMYFUNCTION("""COMPUTED_VALUE"""),"算法")</f>
        <v>算法</v>
      </c>
    </row>
    <row r="691">
      <c r="A691" s="47">
        <v>1631.0</v>
      </c>
      <c r="B691" s="86" t="str">
        <f>IFERROR(__xludf.DUMMYFUNCTION("IF(ISBLANK(A691),,FILTER('Leetcode List'!B:C,'Leetcode List'!A:A = A691))"),"Path With Minimum Effort")</f>
        <v>Path With Minimum Effort</v>
      </c>
      <c r="C691" s="85" t="str">
        <f>IFERROR(__xludf.DUMMYFUNCTION("""COMPUTED_VALUE"""),"Medium")</f>
        <v>Medium</v>
      </c>
      <c r="D691" s="47" t="s">
        <v>467</v>
      </c>
      <c r="E691" s="90" t="str">
        <f>IFERROR(__xludf.DUMMYFUNCTION("IF(ISBLANK(A691),,FILTER('Leetcode List'!E:J,'Leetcode List'!A:A = A691))"),"ByteDance,Google")</f>
        <v>ByteDance,Google</v>
      </c>
      <c r="F691" s="85" t="str">
        <f>IFERROR(__xludf.DUMMYFUNCTION("""COMPUTED_VALUE"""),"Google,ByteDance")</f>
        <v>Google,ByteDance</v>
      </c>
      <c r="G691" s="85" t="str">
        <f>IFERROR(__xludf.DUMMYFUNCTION("""COMPUTED_VALUE"""),"Google,ByteDance")</f>
        <v>Google,ByteDance</v>
      </c>
      <c r="H691" s="85" t="str">
        <f>IFERROR(__xludf.DUMMYFUNCTION("""COMPUTED_VALUE"""),"Google,ByteDance")</f>
        <v>Google,ByteDance</v>
      </c>
      <c r="I691" s="85">
        <f>IFERROR(__xludf.DUMMYFUNCTION("""COMPUTED_VALUE"""),50.0)</f>
        <v>50</v>
      </c>
      <c r="J691" s="85" t="str">
        <f>IFERROR(__xludf.DUMMYFUNCTION("""COMPUTED_VALUE"""),"算法")</f>
        <v>算法</v>
      </c>
    </row>
    <row r="692">
      <c r="A692" s="47">
        <v>1697.0</v>
      </c>
      <c r="B692" s="86" t="str">
        <f>IFERROR(__xludf.DUMMYFUNCTION("IF(ISBLANK(A692),,FILTER('Leetcode List'!B:C,'Leetcode List'!A:A = A692))"),"Checking Existence of Edge Length Limited Paths")</f>
        <v>Checking Existence of Edge Length Limited Paths</v>
      </c>
      <c r="C692" s="85" t="str">
        <f>IFERROR(__xludf.DUMMYFUNCTION("""COMPUTED_VALUE"""),"Hard")</f>
        <v>Hard</v>
      </c>
      <c r="D692" s="47" t="s">
        <v>467</v>
      </c>
      <c r="E692" s="90" t="str">
        <f>IFERROR(__xludf.DUMMYFUNCTION("IF(ISBLANK(A692),,FILTER('Leetcode List'!E:J,'Leetcode List'!A:A = A692))"),"Google")</f>
        <v>Google</v>
      </c>
      <c r="F692" s="85" t="str">
        <f>IFERROR(__xludf.DUMMYFUNCTION("""COMPUTED_VALUE"""),"Google")</f>
        <v>Google</v>
      </c>
      <c r="G692" s="85" t="str">
        <f>IFERROR(__xludf.DUMMYFUNCTION("""COMPUTED_VALUE"""),"Google")</f>
        <v>Google</v>
      </c>
      <c r="H692" s="85" t="str">
        <f>IFERROR(__xludf.DUMMYFUNCTION("""COMPUTED_VALUE"""),"Google")</f>
        <v>Google</v>
      </c>
      <c r="I692" s="85">
        <f>IFERROR(__xludf.DUMMYFUNCTION("""COMPUTED_VALUE"""),54.53)</f>
        <v>54.53</v>
      </c>
      <c r="J692" s="85" t="str">
        <f>IFERROR(__xludf.DUMMYFUNCTION("""COMPUTED_VALUE"""),"算法")</f>
        <v>算法</v>
      </c>
    </row>
    <row r="693">
      <c r="A693" s="47">
        <v>1724.0</v>
      </c>
      <c r="B693" s="86" t="str">
        <f>IFERROR(__xludf.DUMMYFUNCTION("IF(ISBLANK(A693),,FILTER('Leetcode List'!B:C,'Leetcode List'!A:A = A693))"),"Checking Existence of Edge Length Limited Paths II")</f>
        <v>Checking Existence of Edge Length Limited Paths II</v>
      </c>
      <c r="C693" s="85" t="str">
        <f>IFERROR(__xludf.DUMMYFUNCTION("""COMPUTED_VALUE"""),"Hard")</f>
        <v>Hard</v>
      </c>
      <c r="D693" s="47" t="s">
        <v>467</v>
      </c>
      <c r="E693" s="90" t="str">
        <f>IFERROR(__xludf.DUMMYFUNCTION("IF(ISBLANK(A693),,FILTER('Leetcode List'!E:J,'Leetcode List'!A:A = A693))"),"Google")</f>
        <v>Google</v>
      </c>
      <c r="F693" s="85"/>
      <c r="G693" s="85"/>
      <c r="H693" s="85" t="str">
        <f>IFERROR(__xludf.DUMMYFUNCTION("""COMPUTED_VALUE"""),"Google")</f>
        <v>Google</v>
      </c>
      <c r="I693" s="85">
        <f>IFERROR(__xludf.DUMMYFUNCTION("""COMPUTED_VALUE"""),56.55)</f>
        <v>56.55</v>
      </c>
      <c r="J693" s="85" t="str">
        <f>IFERROR(__xludf.DUMMYFUNCTION("""COMPUTED_VALUE"""),"算法")</f>
        <v>算法</v>
      </c>
    </row>
    <row r="694">
      <c r="A694" s="47">
        <v>1722.0</v>
      </c>
      <c r="B694" s="86" t="str">
        <f>IFERROR(__xludf.DUMMYFUNCTION("IF(ISBLANK(A694),,FILTER('Leetcode List'!B:C,'Leetcode List'!A:A = A694))"),"Minimize Hamming Distance After Swap Operations")</f>
        <v>Minimize Hamming Distance After Swap Operations</v>
      </c>
      <c r="C694" s="85" t="str">
        <f>IFERROR(__xludf.DUMMYFUNCTION("""COMPUTED_VALUE"""),"Medium")</f>
        <v>Medium</v>
      </c>
      <c r="D694" s="47" t="s">
        <v>467</v>
      </c>
      <c r="E694" s="90" t="str">
        <f>IFERROR(__xludf.DUMMYFUNCTION("IF(ISBLANK(A694),,FILTER('Leetcode List'!E:J,'Leetcode List'!A:A = A694))"),"Google")</f>
        <v>Google</v>
      </c>
      <c r="F694" s="85"/>
      <c r="G694" s="85"/>
      <c r="H694" s="85" t="str">
        <f>IFERROR(__xludf.DUMMYFUNCTION("""COMPUTED_VALUE"""),"Google")</f>
        <v>Google</v>
      </c>
      <c r="I694" s="85">
        <f>IFERROR(__xludf.DUMMYFUNCTION("""COMPUTED_VALUE"""),54.34)</f>
        <v>54.34</v>
      </c>
      <c r="J694" s="85" t="str">
        <f>IFERROR(__xludf.DUMMYFUNCTION("""COMPUTED_VALUE"""),"算法")</f>
        <v>算法</v>
      </c>
    </row>
    <row r="695">
      <c r="A695" s="47">
        <v>1135.0</v>
      </c>
      <c r="B695" s="86" t="str">
        <f>IFERROR(__xludf.DUMMYFUNCTION("IF(ISBLANK(A695),,FILTER('Leetcode List'!B:C,'Leetcode List'!A:A = A695))"),"Connecting Cities With Minimum Cost")</f>
        <v>Connecting Cities With Minimum Cost</v>
      </c>
      <c r="C695" s="85" t="str">
        <f>IFERROR(__xludf.DUMMYFUNCTION("""COMPUTED_VALUE"""),"Medium")</f>
        <v>Medium</v>
      </c>
      <c r="D695" s="47" t="s">
        <v>467</v>
      </c>
      <c r="E695" s="90" t="str">
        <f>IFERROR(__xludf.DUMMYFUNCTION("IF(ISBLANK(A695),,FILTER('Leetcode List'!E:J,'Leetcode List'!A:A = A695))"),"Google,Uber,Amazon")</f>
        <v>Google,Uber,Amazon</v>
      </c>
      <c r="F695" s="85" t="str">
        <f>IFERROR(__xludf.DUMMYFUNCTION("""COMPUTED_VALUE"""),"Amazon,Uber")</f>
        <v>Amazon,Uber</v>
      </c>
      <c r="G695" s="85" t="str">
        <f>IFERROR(__xludf.DUMMYFUNCTION("""COMPUTED_VALUE"""),"Amazon,Uber")</f>
        <v>Amazon,Uber</v>
      </c>
      <c r="H695" s="85" t="str">
        <f>IFERROR(__xludf.DUMMYFUNCTION("""COMPUTED_VALUE"""),"Google,Amazon,Uber")</f>
        <v>Google,Amazon,Uber</v>
      </c>
      <c r="I695" s="85">
        <f>IFERROR(__xludf.DUMMYFUNCTION("""COMPUTED_VALUE"""),59.45)</f>
        <v>59.45</v>
      </c>
      <c r="J695" s="85" t="str">
        <f>IFERROR(__xludf.DUMMYFUNCTION("""COMPUTED_VALUE"""),"算法")</f>
        <v>算法</v>
      </c>
      <c r="K695" s="2" t="s">
        <v>5020</v>
      </c>
    </row>
    <row r="696">
      <c r="A696" s="47">
        <v>1168.0</v>
      </c>
      <c r="B696" s="86" t="str">
        <f>IFERROR(__xludf.DUMMYFUNCTION("IF(ISBLANK(A696),,FILTER('Leetcode List'!B:C,'Leetcode List'!A:A = A696))"),"Optimize Water Distribution in a Village")</f>
        <v>Optimize Water Distribution in a Village</v>
      </c>
      <c r="C696" s="85" t="str">
        <f>IFERROR(__xludf.DUMMYFUNCTION("""COMPUTED_VALUE"""),"Hard")</f>
        <v>Hard</v>
      </c>
      <c r="D696" s="47" t="s">
        <v>467</v>
      </c>
      <c r="E696" s="90" t="str">
        <f>IFERROR(__xludf.DUMMYFUNCTION("IF(ISBLANK(A696),,FILTER('Leetcode List'!E:J,'Leetcode List'!A:A = A696))"),"Facebook,Yahoo,Google")</f>
        <v>Facebook,Yahoo,Google</v>
      </c>
      <c r="F696" s="85"/>
      <c r="G696" s="85"/>
      <c r="H696" s="85" t="str">
        <f>IFERROR(__xludf.DUMMYFUNCTION("""COMPUTED_VALUE"""),"Google,Facebook,Yahoo")</f>
        <v>Google,Facebook,Yahoo</v>
      </c>
      <c r="I696" s="85">
        <f>IFERROR(__xludf.DUMMYFUNCTION("""COMPUTED_VALUE"""),61.08)</f>
        <v>61.08</v>
      </c>
      <c r="J696" s="85" t="str">
        <f>IFERROR(__xludf.DUMMYFUNCTION("""COMPUTED_VALUE"""),"算法")</f>
        <v>算法</v>
      </c>
      <c r="K696" s="2" t="s">
        <v>5020</v>
      </c>
    </row>
    <row r="697">
      <c r="A697" s="47">
        <v>1489.0</v>
      </c>
      <c r="B697" s="86" t="str">
        <f>IFERROR(__xludf.DUMMYFUNCTION("IF(ISBLANK(A697),,FILTER('Leetcode List'!B:C,'Leetcode List'!A:A = A697))"),"Find Critical and Pseudo-Critical Edges in Minimum Spanning Tree")</f>
        <v>Find Critical and Pseudo-Critical Edges in Minimum Spanning Tree</v>
      </c>
      <c r="C697" s="85" t="str">
        <f>IFERROR(__xludf.DUMMYFUNCTION("""COMPUTED_VALUE"""),"Hard")</f>
        <v>Hard</v>
      </c>
      <c r="D697" s="47" t="s">
        <v>467</v>
      </c>
      <c r="E697" s="90" t="str">
        <f>IFERROR(__xludf.DUMMYFUNCTION("IF(ISBLANK(A697),,FILTER('Leetcode List'!E:J,'Leetcode List'!A:A = A697))"),"Amazon")</f>
        <v>Amazon</v>
      </c>
      <c r="F697" s="85"/>
      <c r="G697" s="85"/>
      <c r="H697" s="85" t="str">
        <f>IFERROR(__xludf.DUMMYFUNCTION("""COMPUTED_VALUE"""),"Amazon")</f>
        <v>Amazon</v>
      </c>
      <c r="I697" s="85">
        <f>IFERROR(__xludf.DUMMYFUNCTION("""COMPUTED_VALUE"""),51.39)</f>
        <v>51.39</v>
      </c>
      <c r="J697" s="85" t="str">
        <f>IFERROR(__xludf.DUMMYFUNCTION("""COMPUTED_VALUE"""),"算法")</f>
        <v>算法</v>
      </c>
      <c r="K697" s="2" t="s">
        <v>5020</v>
      </c>
    </row>
    <row r="698">
      <c r="A698" s="47">
        <v>1579.0</v>
      </c>
      <c r="B698" s="86" t="str">
        <f>IFERROR(__xludf.DUMMYFUNCTION("IF(ISBLANK(A698),,FILTER('Leetcode List'!B:C,'Leetcode List'!A:A = A698))"),"Remove Max Number of Edges to Keep Graph Fully Traversable")</f>
        <v>Remove Max Number of Edges to Keep Graph Fully Traversable</v>
      </c>
      <c r="C698" s="85" t="str">
        <f>IFERROR(__xludf.DUMMYFUNCTION("""COMPUTED_VALUE"""),"Hard")</f>
        <v>Hard</v>
      </c>
      <c r="D698" s="47" t="s">
        <v>467</v>
      </c>
      <c r="E698" s="90" t="str">
        <f>IFERROR(__xludf.DUMMYFUNCTION("IF(ISBLANK(A698),,FILTER('Leetcode List'!E:J,'Leetcode List'!A:A = A698))"),"Uber")</f>
        <v>Uber</v>
      </c>
      <c r="F698" s="85"/>
      <c r="G698" s="85"/>
      <c r="H698" s="85" t="str">
        <f>IFERROR(__xludf.DUMMYFUNCTION("""COMPUTED_VALUE"""),"Uber")</f>
        <v>Uber</v>
      </c>
      <c r="I698" s="85">
        <f>IFERROR(__xludf.DUMMYFUNCTION("""COMPUTED_VALUE"""),46.18)</f>
        <v>46.18</v>
      </c>
      <c r="J698" s="85" t="str">
        <f>IFERROR(__xludf.DUMMYFUNCTION("""COMPUTED_VALUE"""),"算法")</f>
        <v>算法</v>
      </c>
      <c r="K698" s="2" t="s">
        <v>5020</v>
      </c>
    </row>
    <row r="699">
      <c r="A699" s="47">
        <v>1584.0</v>
      </c>
      <c r="B699" s="86" t="str">
        <f>IFERROR(__xludf.DUMMYFUNCTION("IF(ISBLANK(A699),,FILTER('Leetcode List'!B:C,'Leetcode List'!A:A = A699))"),"Min Cost to Connect All Points")</f>
        <v>Min Cost to Connect All Points</v>
      </c>
      <c r="C699" s="85" t="str">
        <f>IFERROR(__xludf.DUMMYFUNCTION("""COMPUTED_VALUE"""),"Medium")</f>
        <v>Medium</v>
      </c>
      <c r="D699" s="47" t="s">
        <v>467</v>
      </c>
      <c r="E699" s="90" t="str">
        <f>IFERROR(__xludf.DUMMYFUNCTION("IF(ISBLANK(A699),,FILTER('Leetcode List'!E:J,'Leetcode List'!A:A = A699))"),"Directi")</f>
        <v>Directi</v>
      </c>
      <c r="F699" s="85"/>
      <c r="G699" s="85"/>
      <c r="H699" s="85" t="str">
        <f>IFERROR(__xludf.DUMMYFUNCTION("""COMPUTED_VALUE"""),"Directi")</f>
        <v>Directi</v>
      </c>
      <c r="I699" s="85">
        <f>IFERROR(__xludf.DUMMYFUNCTION("""COMPUTED_VALUE"""),52.48)</f>
        <v>52.48</v>
      </c>
      <c r="J699" s="85" t="str">
        <f>IFERROR(__xludf.DUMMYFUNCTION("""COMPUTED_VALUE"""),"算法")</f>
        <v>算法</v>
      </c>
      <c r="K699" s="2" t="s">
        <v>5020</v>
      </c>
    </row>
    <row r="700">
      <c r="A700" s="47">
        <v>133.0</v>
      </c>
      <c r="B700" s="86" t="str">
        <f>IFERROR(__xludf.DUMMYFUNCTION("IF(ISBLANK(A700),,FILTER('Leetcode List'!B:C,'Leetcode List'!A:A = A700))"),"Clone Graph")</f>
        <v>Clone Graph</v>
      </c>
      <c r="C700" s="85" t="str">
        <f>IFERROR(__xludf.DUMMYFUNCTION("""COMPUTED_VALUE"""),"Medium")</f>
        <v>Medium</v>
      </c>
      <c r="D700" s="47" t="s">
        <v>1396</v>
      </c>
      <c r="E700" s="90" t="str">
        <f>IFERROR(__xludf.DUMMYFUNCTION("IF(ISBLANK(A700),,FILTER('Leetcode List'!E:J,'Leetcode List'!A:A = A700))"),"DiDi,Qualtrics,Docusign,VMware,Pocket Gems,Splunk,Walmart Labs,Twitter,Mathworks,Apple,Uber,Bloomberg,Facebook,Amazon,LinkedIn,Microsoft,Google")</f>
        <v>DiDi,Qualtrics,Docusign,VMware,Pocket Gems,Splunk,Walmart Labs,Twitter,Mathworks,Apple,Uber,Bloomberg,Facebook,Amazon,LinkedIn,Microsoft,Google</v>
      </c>
      <c r="F700" s="85" t="str">
        <f>IFERROR(__xludf.DUMMYFUNCTION("""COMPUTED_VALUE"""),"Facebook,Amazon,Microsoft,Bloomberg,Apple,Google,Twitter,Uber,Qualtrics")</f>
        <v>Facebook,Amazon,Microsoft,Bloomberg,Apple,Google,Twitter,Uber,Qualtrics</v>
      </c>
      <c r="G700" s="85" t="str">
        <f>IFERROR(__xludf.DUMMYFUNCTION("""COMPUTED_VALUE"""),"DiDi,Docusign,Facebook,Amazon,Microsoft,Bloomberg,Apple,Google,Twitter,Uber,Qualtrics")</f>
        <v>DiDi,Docusign,Facebook,Amazon,Microsoft,Bloomberg,Apple,Google,Twitter,Uber,Qualtrics</v>
      </c>
      <c r="H700" s="85" t="str">
        <f>IFERROR(__xludf.DUMMYFUNCTION("""COMPUTED_VALUE"""),"Mathworks,Walmart Labs,Splunk,VMware,Pocket Gems,DiDi,Docusign,Facebook,Amazon,Microsoft,Bloomberg,Apple,Google,Twitter,Uber,Qualtrics")</f>
        <v>Mathworks,Walmart Labs,Splunk,VMware,Pocket Gems,DiDi,Docusign,Facebook,Amazon,Microsoft,Bloomberg,Apple,Google,Twitter,Uber,Qualtrics</v>
      </c>
      <c r="I700" s="85">
        <f>IFERROR(__xludf.DUMMYFUNCTION("""COMPUTED_VALUE"""),39.51)</f>
        <v>39.51</v>
      </c>
      <c r="J700" s="85" t="str">
        <f>IFERROR(__xludf.DUMMYFUNCTION("""COMPUTED_VALUE"""),"算法")</f>
        <v>算法</v>
      </c>
    </row>
    <row r="701">
      <c r="A701" s="47">
        <v>213.0</v>
      </c>
      <c r="B701" s="86" t="str">
        <f>IFERROR(__xludf.DUMMYFUNCTION("IF(ISBLANK(A701),,FILTER('Leetcode List'!B:C,'Leetcode List'!A:A = A701))"),"House Robber II")</f>
        <v>House Robber II</v>
      </c>
      <c r="C701" s="85" t="str">
        <f>IFERROR(__xludf.DUMMYFUNCTION("""COMPUTED_VALUE"""),"Medium")</f>
        <v>Medium</v>
      </c>
      <c r="D701" s="47" t="s">
        <v>1396</v>
      </c>
      <c r="E701" s="90" t="str">
        <f>IFERROR(__xludf.DUMMYFUNCTION("IF(ISBLANK(A701),,FILTER('Leetcode List'!E:J,'Leetcode List'!A:A = A701))"),"Walmart Labs,Apple,Adobe,Amazon,Salesforce,EBay,Microsoft,Google")</f>
        <v>Walmart Labs,Apple,Adobe,Amazon,Salesforce,EBay,Microsoft,Google</v>
      </c>
      <c r="F701" s="85"/>
      <c r="G701" s="85" t="str">
        <f>IFERROR(__xludf.DUMMYFUNCTION("""COMPUTED_VALUE"""),"Adobe,Amazon,eBay,Microsoft")</f>
        <v>Adobe,Amazon,eBay,Microsoft</v>
      </c>
      <c r="H701" s="85" t="str">
        <f>IFERROR(__xludf.DUMMYFUNCTION("""COMPUTED_VALUE"""),"Apple,Google,Walmart Labs,Adobe,Amazon,eBay,Microsoft")</f>
        <v>Apple,Google,Walmart Labs,Adobe,Amazon,eBay,Microsoft</v>
      </c>
      <c r="I701" s="85">
        <f>IFERROR(__xludf.DUMMYFUNCTION("""COMPUTED_VALUE"""),37.6)</f>
        <v>37.6</v>
      </c>
      <c r="J701" s="85" t="str">
        <f>IFERROR(__xludf.DUMMYFUNCTION("""COMPUTED_VALUE"""),"算法")</f>
        <v>算法</v>
      </c>
    </row>
    <row r="702">
      <c r="A702" s="47">
        <v>241.0</v>
      </c>
      <c r="B702" s="86" t="str">
        <f>IFERROR(__xludf.DUMMYFUNCTION("IF(ISBLANK(A702),,FILTER('Leetcode List'!B:C,'Leetcode List'!A:A = A702))"),"Different Ways to Add Parentheses")</f>
        <v>Different Ways to Add Parentheses</v>
      </c>
      <c r="C702" s="85" t="str">
        <f>IFERROR(__xludf.DUMMYFUNCTION("""COMPUTED_VALUE"""),"Medium")</f>
        <v>Medium</v>
      </c>
      <c r="D702" s="47" t="s">
        <v>1396</v>
      </c>
      <c r="E702" s="90" t="str">
        <f>IFERROR(__xludf.DUMMYFUNCTION("IF(ISBLANK(A702),,FILTER('Leetcode List'!E:J,'Leetcode List'!A:A = A702))"),"Flipkart,Cisco,Bloomberg,Adobe,Microsoft,Citadel,Facebook,Amazon,Google")</f>
        <v>Flipkart,Cisco,Bloomberg,Adobe,Microsoft,Citadel,Facebook,Amazon,Google</v>
      </c>
      <c r="F702" s="85" t="str">
        <f>IFERROR(__xludf.DUMMYFUNCTION("""COMPUTED_VALUE"""),"Microsoft,Flipkart")</f>
        <v>Microsoft,Flipkart</v>
      </c>
      <c r="G702" s="85" t="str">
        <f>IFERROR(__xludf.DUMMYFUNCTION("""COMPUTED_VALUE"""),"Citadel,Google,Amazon,Bloomberg,Microsoft,Flipkart")</f>
        <v>Citadel,Google,Amazon,Bloomberg,Microsoft,Flipkart</v>
      </c>
      <c r="H702" s="85" t="str">
        <f>IFERROR(__xludf.DUMMYFUNCTION("""COMPUTED_VALUE"""),"Facebook,Adobe,Cisco,Citadel,Google,Amazon,Bloomberg,Microsoft,Flipkart")</f>
        <v>Facebook,Adobe,Cisco,Citadel,Google,Amazon,Bloomberg,Microsoft,Flipkart</v>
      </c>
      <c r="I702" s="85">
        <f>IFERROR(__xludf.DUMMYFUNCTION("""COMPUTED_VALUE"""),57.41)</f>
        <v>57.41</v>
      </c>
      <c r="J702" s="85" t="str">
        <f>IFERROR(__xludf.DUMMYFUNCTION("""COMPUTED_VALUE"""),"算法")</f>
        <v>算法</v>
      </c>
    </row>
    <row r="703">
      <c r="A703" s="47">
        <v>390.0</v>
      </c>
      <c r="B703" s="86" t="str">
        <f>IFERROR(__xludf.DUMMYFUNCTION("IF(ISBLANK(A703),,FILTER('Leetcode List'!B:C,'Leetcode List'!A:A = A703))"),"Elimination Game")</f>
        <v>Elimination Game</v>
      </c>
      <c r="C703" s="85" t="str">
        <f>IFERROR(__xludf.DUMMYFUNCTION("""COMPUTED_VALUE"""),"Medium")</f>
        <v>Medium</v>
      </c>
      <c r="D703" s="47" t="s">
        <v>1396</v>
      </c>
      <c r="E703" s="90" t="str">
        <f>IFERROR(__xludf.DUMMYFUNCTION("IF(ISBLANK(A703),,FILTER('Leetcode List'!E:J,'Leetcode List'!A:A = A703))"),"Goldman Sachs,Quora,Bloomberg,Amazon")</f>
        <v>Goldman Sachs,Quora,Bloomberg,Amazon</v>
      </c>
      <c r="F703" s="85" t="str">
        <f>IFERROR(__xludf.DUMMYFUNCTION("""COMPUTED_VALUE"""),"Bloomberg,Goldman Sachs")</f>
        <v>Bloomberg,Goldman Sachs</v>
      </c>
      <c r="G703" s="85" t="str">
        <f>IFERROR(__xludf.DUMMYFUNCTION("""COMPUTED_VALUE"""),"Bloomberg,Goldman Sachs")</f>
        <v>Bloomberg,Goldman Sachs</v>
      </c>
      <c r="H703" s="85" t="str">
        <f>IFERROR(__xludf.DUMMYFUNCTION("""COMPUTED_VALUE"""),"Amazon,Quora,Bloomberg,Goldman Sachs")</f>
        <v>Amazon,Quora,Bloomberg,Goldman Sachs</v>
      </c>
      <c r="I703" s="85">
        <f>IFERROR(__xludf.DUMMYFUNCTION("""COMPUTED_VALUE"""),45.06)</f>
        <v>45.06</v>
      </c>
      <c r="J703" s="85" t="str">
        <f>IFERROR(__xludf.DUMMYFUNCTION("""COMPUTED_VALUE"""),"算法")</f>
        <v>算法</v>
      </c>
    </row>
    <row r="704">
      <c r="A704" s="47">
        <v>395.0</v>
      </c>
      <c r="B704" s="86" t="str">
        <f>IFERROR(__xludf.DUMMYFUNCTION("IF(ISBLANK(A704),,FILTER('Leetcode List'!B:C,'Leetcode List'!A:A = A704))"),"Longest Substring with At Least K Repeating Characters")</f>
        <v>Longest Substring with At Least K Repeating Characters</v>
      </c>
      <c r="C704" s="85" t="str">
        <f>IFERROR(__xludf.DUMMYFUNCTION("""COMPUTED_VALUE"""),"Medium")</f>
        <v>Medium</v>
      </c>
      <c r="D704" s="47" t="s">
        <v>1396</v>
      </c>
      <c r="E704" s="90" t="str">
        <f>IFERROR(__xludf.DUMMYFUNCTION("IF(ISBLANK(A704),,FILTER('Leetcode List'!E:J,'Leetcode List'!A:A = A704))"),"Apple,ByteDance,Baidu,Uber,Bloomberg,Adobe,Facebook,Amazon,Google")</f>
        <v>Apple,ByteDance,Baidu,Uber,Bloomberg,Adobe,Facebook,Amazon,Google</v>
      </c>
      <c r="F704" s="85" t="str">
        <f>IFERROR(__xludf.DUMMYFUNCTION("""COMPUTED_VALUE"""),"Facebook,Amazon")</f>
        <v>Facebook,Amazon</v>
      </c>
      <c r="G704" s="85" t="str">
        <f>IFERROR(__xludf.DUMMYFUNCTION("""COMPUTED_VALUE"""),"Uber,Apple,ByteDance,Bloomberg,Facebook,Amazon")</f>
        <v>Uber,Apple,ByteDance,Bloomberg,Facebook,Amazon</v>
      </c>
      <c r="H704" s="85" t="str">
        <f>IFERROR(__xludf.DUMMYFUNCTION("""COMPUTED_VALUE"""),"Google,Adobe,Baidu,Uber,Apple,ByteDance,Bloomberg,Facebook,Amazon")</f>
        <v>Google,Adobe,Baidu,Uber,Apple,ByteDance,Bloomberg,Facebook,Amazon</v>
      </c>
      <c r="I704" s="85">
        <f>IFERROR(__xludf.DUMMYFUNCTION("""COMPUTED_VALUE"""),43.59)</f>
        <v>43.59</v>
      </c>
      <c r="J704" s="85" t="str">
        <f>IFERROR(__xludf.DUMMYFUNCTION("""COMPUTED_VALUE"""),"算法")</f>
        <v>算法</v>
      </c>
    </row>
    <row r="705">
      <c r="A705" s="47">
        <v>397.0</v>
      </c>
      <c r="B705" s="86" t="str">
        <f>IFERROR(__xludf.DUMMYFUNCTION("IF(ISBLANK(A705),,FILTER('Leetcode List'!B:C,'Leetcode List'!A:A = A705))"),"Integer Replacement")</f>
        <v>Integer Replacement</v>
      </c>
      <c r="C705" s="85" t="str">
        <f>IFERROR(__xludf.DUMMYFUNCTION("""COMPUTED_VALUE"""),"Medium")</f>
        <v>Medium</v>
      </c>
      <c r="D705" s="47" t="s">
        <v>1396</v>
      </c>
      <c r="E705" s="90" t="str">
        <f>IFERROR(__xludf.DUMMYFUNCTION("IF(ISBLANK(A705),,FILTER('Leetcode List'!E:J,'Leetcode List'!A:A = A705))"),"Baidu,Bloomberg,Amazon,Microsoft,Google")</f>
        <v>Baidu,Bloomberg,Amazon,Microsoft,Google</v>
      </c>
      <c r="F705" s="85" t="str">
        <f>IFERROR(__xludf.DUMMYFUNCTION("""COMPUTED_VALUE"""),"Google")</f>
        <v>Google</v>
      </c>
      <c r="G705" s="85" t="str">
        <f>IFERROR(__xludf.DUMMYFUNCTION("""COMPUTED_VALUE"""),"Google")</f>
        <v>Google</v>
      </c>
      <c r="H705" s="85" t="str">
        <f>IFERROR(__xludf.DUMMYFUNCTION("""COMPUTED_VALUE"""),"Amazon,Bloomberg,Baidu,Google")</f>
        <v>Amazon,Bloomberg,Baidu,Google</v>
      </c>
      <c r="I705" s="85">
        <f>IFERROR(__xludf.DUMMYFUNCTION("""COMPUTED_VALUE"""),33.52)</f>
        <v>33.52</v>
      </c>
      <c r="J705" s="85" t="str">
        <f>IFERROR(__xludf.DUMMYFUNCTION("""COMPUTED_VALUE"""),"算法")</f>
        <v>算法</v>
      </c>
    </row>
    <row r="706">
      <c r="A706" s="47">
        <v>440.0</v>
      </c>
      <c r="B706" s="86" t="str">
        <f>IFERROR(__xludf.DUMMYFUNCTION("IF(ISBLANK(A706),,FILTER('Leetcode List'!B:C,'Leetcode List'!A:A = A706))"),"K-th Smallest in Lexicographical Order")</f>
        <v>K-th Smallest in Lexicographical Order</v>
      </c>
      <c r="C706" s="85" t="str">
        <f>IFERROR(__xludf.DUMMYFUNCTION("""COMPUTED_VALUE"""),"Hard")</f>
        <v>Hard</v>
      </c>
      <c r="D706" s="47" t="s">
        <v>1396</v>
      </c>
      <c r="E706" s="90" t="str">
        <f>IFERROR(__xludf.DUMMYFUNCTION("IF(ISBLANK(A706),,FILTER('Leetcode List'!E:J,'Leetcode List'!A:A = A706))"),"Hulu,ByteDance,Google")</f>
        <v>Hulu,ByteDance,Google</v>
      </c>
      <c r="F706" s="85"/>
      <c r="G706" s="85"/>
      <c r="H706" s="85" t="str">
        <f>IFERROR(__xludf.DUMMYFUNCTION("""COMPUTED_VALUE"""),"ByteDance,Google,Hulu")</f>
        <v>ByteDance,Google,Hulu</v>
      </c>
      <c r="I706" s="85">
        <f>IFERROR(__xludf.DUMMYFUNCTION("""COMPUTED_VALUE"""),29.84)</f>
        <v>29.84</v>
      </c>
      <c r="J706" s="85" t="str">
        <f>IFERROR(__xludf.DUMMYFUNCTION("""COMPUTED_VALUE"""),"算法")</f>
        <v>算法</v>
      </c>
    </row>
    <row r="707">
      <c r="A707" s="47">
        <v>679.0</v>
      </c>
      <c r="B707" s="86" t="str">
        <f>IFERROR(__xludf.DUMMYFUNCTION("IF(ISBLANK(A707),,FILTER('Leetcode List'!B:C,'Leetcode List'!A:A = A707))"),"24 Game")</f>
        <v>24 Game</v>
      </c>
      <c r="C707" s="85" t="str">
        <f>IFERROR(__xludf.DUMMYFUNCTION("""COMPUTED_VALUE"""),"Hard")</f>
        <v>Hard</v>
      </c>
      <c r="D707" s="47" t="s">
        <v>1396</v>
      </c>
      <c r="E707" s="90" t="str">
        <f>IFERROR(__xludf.DUMMYFUNCTION("IF(ISBLANK(A707),,FILTER('Leetcode List'!E:J,'Leetcode List'!A:A = A707))"),"Snapchat,ByteDance,Twitter,Uber,Facebook,Amazon,Microsoft,Google")</f>
        <v>Snapchat,ByteDance,Twitter,Uber,Facebook,Amazon,Microsoft,Google</v>
      </c>
      <c r="F707" s="85" t="str">
        <f>IFERROR(__xludf.DUMMYFUNCTION("""COMPUTED_VALUE"""),"Amazon")</f>
        <v>Amazon</v>
      </c>
      <c r="G707" s="85" t="str">
        <f>IFERROR(__xludf.DUMMYFUNCTION("""COMPUTED_VALUE"""),"Google,Microsoft,Snapchat,Amazon")</f>
        <v>Google,Microsoft,Snapchat,Amazon</v>
      </c>
      <c r="H707" s="85" t="str">
        <f>IFERROR(__xludf.DUMMYFUNCTION("""COMPUTED_VALUE"""),"Uber,Twitter,ByteDance,Facebook,Google,Microsoft,Snapchat,Amazon")</f>
        <v>Uber,Twitter,ByteDance,Facebook,Google,Microsoft,Snapchat,Amazon</v>
      </c>
      <c r="I707" s="85">
        <f>IFERROR(__xludf.DUMMYFUNCTION("""COMPUTED_VALUE"""),47.25)</f>
        <v>47.25</v>
      </c>
      <c r="J707" s="85" t="str">
        <f>IFERROR(__xludf.DUMMYFUNCTION("""COMPUTED_VALUE"""),"算法")</f>
        <v>算法</v>
      </c>
    </row>
    <row r="708">
      <c r="A708" s="47">
        <v>761.0</v>
      </c>
      <c r="B708" s="86" t="str">
        <f>IFERROR(__xludf.DUMMYFUNCTION("IF(ISBLANK(A708),,FILTER('Leetcode List'!B:C,'Leetcode List'!A:A = A708))"),"Special Binary String")</f>
        <v>Special Binary String</v>
      </c>
      <c r="C708" s="85" t="str">
        <f>IFERROR(__xludf.DUMMYFUNCTION("""COMPUTED_VALUE"""),"Hard")</f>
        <v>Hard</v>
      </c>
      <c r="D708" s="47" t="s">
        <v>1396</v>
      </c>
      <c r="E708" s="90" t="str">
        <f>IFERROR(__xludf.DUMMYFUNCTION("IF(ISBLANK(A708),,FILTER('Leetcode List'!E:J,'Leetcode List'!A:A = A708))"),"Quip (Salesforce),Coursera,Citrix,Visa")</f>
        <v>Quip (Salesforce),Coursera,Citrix,Visa</v>
      </c>
      <c r="F708" s="85"/>
      <c r="G708" s="85" t="str">
        <f>IFERROR(__xludf.DUMMYFUNCTION("""COMPUTED_VALUE"""),"Citrix")</f>
        <v>Citrix</v>
      </c>
      <c r="H708" s="85" t="str">
        <f>IFERROR(__xludf.DUMMYFUNCTION("""COMPUTED_VALUE"""),"Visa,Quip (Salesforce),Coursera,Citrix")</f>
        <v>Visa,Quip (Salesforce),Coursera,Citrix</v>
      </c>
      <c r="I708" s="85">
        <f>IFERROR(__xludf.DUMMYFUNCTION("""COMPUTED_VALUE"""),58.69)</f>
        <v>58.69</v>
      </c>
      <c r="J708" s="85" t="str">
        <f>IFERROR(__xludf.DUMMYFUNCTION("""COMPUTED_VALUE"""),"算法")</f>
        <v>算法</v>
      </c>
    </row>
    <row r="709">
      <c r="A709" s="47">
        <v>779.0</v>
      </c>
      <c r="B709" s="86" t="str">
        <f>IFERROR(__xludf.DUMMYFUNCTION("IF(ISBLANK(A709),,FILTER('Leetcode List'!B:C,'Leetcode List'!A:A = A709))"),"K-th Symbol in Grammar")</f>
        <v>K-th Symbol in Grammar</v>
      </c>
      <c r="C709" s="85" t="str">
        <f>IFERROR(__xludf.DUMMYFUNCTION("""COMPUTED_VALUE"""),"Medium")</f>
        <v>Medium</v>
      </c>
      <c r="D709" s="47" t="s">
        <v>1396</v>
      </c>
      <c r="E709" s="90" t="str">
        <f>IFERROR(__xludf.DUMMYFUNCTION("IF(ISBLANK(A709),,FILTER('Leetcode List'!E:J,'Leetcode List'!A:A = A709))"),"Facebook,Amazon,Google")</f>
        <v>Facebook,Amazon,Google</v>
      </c>
      <c r="F709" s="85"/>
      <c r="G709" s="85" t="str">
        <f>IFERROR(__xludf.DUMMYFUNCTION("""COMPUTED_VALUE"""),"Amazon,Facebook")</f>
        <v>Amazon,Facebook</v>
      </c>
      <c r="H709" s="85" t="str">
        <f>IFERROR(__xludf.DUMMYFUNCTION("""COMPUTED_VALUE"""),"Google,Amazon,Facebook")</f>
        <v>Google,Amazon,Facebook</v>
      </c>
      <c r="I709" s="85">
        <f>IFERROR(__xludf.DUMMYFUNCTION("""COMPUTED_VALUE"""),38.57)</f>
        <v>38.57</v>
      </c>
      <c r="J709" s="85" t="str">
        <f>IFERROR(__xludf.DUMMYFUNCTION("""COMPUTED_VALUE"""),"算法")</f>
        <v>算法</v>
      </c>
    </row>
    <row r="710">
      <c r="A710" s="47">
        <v>780.0</v>
      </c>
      <c r="B710" s="86" t="str">
        <f>IFERROR(__xludf.DUMMYFUNCTION("IF(ISBLANK(A710),,FILTER('Leetcode List'!B:C,'Leetcode List'!A:A = A710))"),"Reaching Points")</f>
        <v>Reaching Points</v>
      </c>
      <c r="C710" s="85" t="str">
        <f>IFERROR(__xludf.DUMMYFUNCTION("""COMPUTED_VALUE"""),"Hard")</f>
        <v>Hard</v>
      </c>
      <c r="D710" s="47" t="s">
        <v>1396</v>
      </c>
      <c r="E710" s="90" t="str">
        <f>IFERROR(__xludf.DUMMYFUNCTION("IF(ISBLANK(A710),,FILTER('Leetcode List'!E:J,'Leetcode List'!A:A = A710))"),"Goldman Sachs,Coursera,Salesforce,Quora,Twitter,Uber,Google")</f>
        <v>Goldman Sachs,Coursera,Salesforce,Quora,Twitter,Uber,Google</v>
      </c>
      <c r="F710" s="85" t="str">
        <f>IFERROR(__xludf.DUMMYFUNCTION("""COMPUTED_VALUE"""),"Goldman Sachs,Twitter,Quora")</f>
        <v>Goldman Sachs,Twitter,Quora</v>
      </c>
      <c r="G710" s="85" t="str">
        <f>IFERROR(__xludf.DUMMYFUNCTION("""COMPUTED_VALUE"""),"Goldman Sachs,Twitter,Quora")</f>
        <v>Goldman Sachs,Twitter,Quora</v>
      </c>
      <c r="H710" s="85" t="str">
        <f>IFERROR(__xludf.DUMMYFUNCTION("""COMPUTED_VALUE"""),"Uber,Google,Coursera,Goldman Sachs,Twitter,Quora")</f>
        <v>Uber,Google,Coursera,Goldman Sachs,Twitter,Quora</v>
      </c>
      <c r="I710" s="85">
        <f>IFERROR(__xludf.DUMMYFUNCTION("""COMPUTED_VALUE"""),30.44)</f>
        <v>30.44</v>
      </c>
      <c r="J710" s="85" t="str">
        <f>IFERROR(__xludf.DUMMYFUNCTION("""COMPUTED_VALUE"""),"算法")</f>
        <v>算法</v>
      </c>
    </row>
    <row r="711">
      <c r="A711" s="47">
        <v>808.0</v>
      </c>
      <c r="B711" s="86" t="str">
        <f>IFERROR(__xludf.DUMMYFUNCTION("IF(ISBLANK(A711),,FILTER('Leetcode List'!B:C,'Leetcode List'!A:A = A711))"),"Soup Servings")</f>
        <v>Soup Servings</v>
      </c>
      <c r="C711" s="85" t="str">
        <f>IFERROR(__xludf.DUMMYFUNCTION("""COMPUTED_VALUE"""),"Medium")</f>
        <v>Medium</v>
      </c>
      <c r="D711" s="47" t="s">
        <v>1396</v>
      </c>
      <c r="E711" s="90" t="str">
        <f>IFERROR(__xludf.DUMMYFUNCTION("IF(ISBLANK(A711),,FILTER('Leetcode List'!E:J,'Leetcode List'!A:A = A711))"),"Google")</f>
        <v>Google</v>
      </c>
      <c r="F711" s="85"/>
      <c r="G711" s="85"/>
      <c r="H711" s="85" t="str">
        <f>IFERROR(__xludf.DUMMYFUNCTION("""COMPUTED_VALUE"""),"Google")</f>
        <v>Google</v>
      </c>
      <c r="I711" s="85">
        <f>IFERROR(__xludf.DUMMYFUNCTION("""COMPUTED_VALUE"""),41.03)</f>
        <v>41.03</v>
      </c>
      <c r="J711" s="85" t="str">
        <f>IFERROR(__xludf.DUMMYFUNCTION("""COMPUTED_VALUE"""),"算法")</f>
        <v>算法</v>
      </c>
    </row>
    <row r="712">
      <c r="A712" s="47">
        <v>880.0</v>
      </c>
      <c r="B712" s="86" t="str">
        <f>IFERROR(__xludf.DUMMYFUNCTION("IF(ISBLANK(A712),,FILTER('Leetcode List'!B:C,'Leetcode List'!A:A = A712))"),"Decoded String at Index")</f>
        <v>Decoded String at Index</v>
      </c>
      <c r="C712" s="85" t="str">
        <f>IFERROR(__xludf.DUMMYFUNCTION("""COMPUTED_VALUE"""),"Medium")</f>
        <v>Medium</v>
      </c>
      <c r="D712" s="47" t="s">
        <v>1396</v>
      </c>
      <c r="E712" s="90" t="str">
        <f>IFERROR(__xludf.DUMMYFUNCTION("IF(ISBLANK(A712),,FILTER('Leetcode List'!E:J,'Leetcode List'!A:A = A712))"),"Amazon,National Instruments")</f>
        <v>Amazon,National Instruments</v>
      </c>
      <c r="F712" s="85"/>
      <c r="G712" s="85" t="str">
        <f>IFERROR(__xludf.DUMMYFUNCTION("""COMPUTED_VALUE"""),"Amazon")</f>
        <v>Amazon</v>
      </c>
      <c r="H712" s="85" t="str">
        <f>IFERROR(__xludf.DUMMYFUNCTION("""COMPUTED_VALUE"""),"National Instruments,Amazon")</f>
        <v>National Instruments,Amazon</v>
      </c>
      <c r="I712" s="85">
        <f>IFERROR(__xludf.DUMMYFUNCTION("""COMPUTED_VALUE"""),28.19)</f>
        <v>28.19</v>
      </c>
      <c r="J712" s="85" t="str">
        <f>IFERROR(__xludf.DUMMYFUNCTION("""COMPUTED_VALUE"""),"算法")</f>
        <v>算法</v>
      </c>
    </row>
    <row r="713">
      <c r="A713" s="47">
        <v>902.0</v>
      </c>
      <c r="B713" s="86" t="str">
        <f>IFERROR(__xludf.DUMMYFUNCTION("IF(ISBLANK(A713),,FILTER('Leetcode List'!B:C,'Leetcode List'!A:A = A713))"),"Numbers At Most N Given Digit Set")</f>
        <v>Numbers At Most N Given Digit Set</v>
      </c>
      <c r="C713" s="85" t="str">
        <f>IFERROR(__xludf.DUMMYFUNCTION("""COMPUTED_VALUE"""),"Hard")</f>
        <v>Hard</v>
      </c>
      <c r="D713" s="47" t="s">
        <v>1396</v>
      </c>
      <c r="E713" s="90" t="str">
        <f>IFERROR(__xludf.DUMMYFUNCTION("IF(ISBLANK(A713),,FILTER('Leetcode List'!E:J,'Leetcode List'!A:A = A713))"),"Amazon")</f>
        <v>Amazon</v>
      </c>
      <c r="F713" s="85"/>
      <c r="G713" s="85"/>
      <c r="H713" s="85" t="str">
        <f>IFERROR(__xludf.DUMMYFUNCTION("""COMPUTED_VALUE"""),"Amazon")</f>
        <v>Amazon</v>
      </c>
      <c r="I713" s="85">
        <f>IFERROR(__xludf.DUMMYFUNCTION("""COMPUTED_VALUE"""),36.11)</f>
        <v>36.11</v>
      </c>
      <c r="J713" s="85" t="str">
        <f>IFERROR(__xludf.DUMMYFUNCTION("""COMPUTED_VALUE"""),"算法")</f>
        <v>算法</v>
      </c>
    </row>
    <row r="714">
      <c r="A714" s="47">
        <v>932.0</v>
      </c>
      <c r="B714" s="86" t="str">
        <f>IFERROR(__xludf.DUMMYFUNCTION("IF(ISBLANK(A714),,FILTER('Leetcode List'!B:C,'Leetcode List'!A:A = A714))"),"Beautiful Array")</f>
        <v>Beautiful Array</v>
      </c>
      <c r="C714" s="85" t="str">
        <f>IFERROR(__xludf.DUMMYFUNCTION("""COMPUTED_VALUE"""),"Medium")</f>
        <v>Medium</v>
      </c>
      <c r="D714" s="47" t="s">
        <v>1396</v>
      </c>
      <c r="E714" s="90" t="str">
        <f>IFERROR(__xludf.DUMMYFUNCTION("IF(ISBLANK(A714),,FILTER('Leetcode List'!E:J,'Leetcode List'!A:A = A714))"),"Google")</f>
        <v>Google</v>
      </c>
      <c r="F714" s="85"/>
      <c r="G714" s="85"/>
      <c r="H714" s="85" t="str">
        <f>IFERROR(__xludf.DUMMYFUNCTION("""COMPUTED_VALUE"""),"Google")</f>
        <v>Google</v>
      </c>
      <c r="I714" s="85">
        <f>IFERROR(__xludf.DUMMYFUNCTION("""COMPUTED_VALUE"""),61.42)</f>
        <v>61.42</v>
      </c>
      <c r="J714" s="85" t="str">
        <f>IFERROR(__xludf.DUMMYFUNCTION("""COMPUTED_VALUE"""),"算法")</f>
        <v>算法</v>
      </c>
    </row>
    <row r="715">
      <c r="A715" s="47">
        <v>964.0</v>
      </c>
      <c r="B715" s="86" t="str">
        <f>IFERROR(__xludf.DUMMYFUNCTION("IF(ISBLANK(A715),,FILTER('Leetcode List'!B:C,'Leetcode List'!A:A = A715))"),"Least Operators to Express Number")</f>
        <v>Least Operators to Express Number</v>
      </c>
      <c r="C715" s="85" t="str">
        <f>IFERROR(__xludf.DUMMYFUNCTION("""COMPUTED_VALUE"""),"Hard")</f>
        <v>Hard</v>
      </c>
      <c r="D715" s="47" t="s">
        <v>1396</v>
      </c>
      <c r="E715" s="90" t="str">
        <f>IFERROR(__xludf.DUMMYFUNCTION("IF(ISBLANK(A715),,FILTER('Leetcode List'!E:J,'Leetcode List'!A:A = A715))"),"Snapchat")</f>
        <v>Snapchat</v>
      </c>
      <c r="F715" s="85"/>
      <c r="G715" s="85"/>
      <c r="H715" s="85" t="str">
        <f>IFERROR(__xludf.DUMMYFUNCTION("""COMPUTED_VALUE"""),"Snapchat")</f>
        <v>Snapchat</v>
      </c>
      <c r="I715" s="85">
        <f>IFERROR(__xludf.DUMMYFUNCTION("""COMPUTED_VALUE"""),45.08)</f>
        <v>45.08</v>
      </c>
      <c r="J715" s="85" t="str">
        <f>IFERROR(__xludf.DUMMYFUNCTION("""COMPUTED_VALUE"""),"算法")</f>
        <v>算法</v>
      </c>
    </row>
    <row r="716">
      <c r="A716" s="47">
        <v>991.0</v>
      </c>
      <c r="B716" s="86" t="str">
        <f>IFERROR(__xludf.DUMMYFUNCTION("IF(ISBLANK(A716),,FILTER('Leetcode List'!B:C,'Leetcode List'!A:A = A716))"),"Broken Calculator")</f>
        <v>Broken Calculator</v>
      </c>
      <c r="C716" s="85" t="str">
        <f>IFERROR(__xludf.DUMMYFUNCTION("""COMPUTED_VALUE"""),"Medium")</f>
        <v>Medium</v>
      </c>
      <c r="D716" s="47" t="s">
        <v>1396</v>
      </c>
      <c r="E716" s="90" t="str">
        <f>IFERROR(__xludf.DUMMYFUNCTION("IF(ISBLANK(A716),,FILTER('Leetcode List'!E:J,'Leetcode List'!A:A = A716))"),"Bloomberg,Nutanix")</f>
        <v>Bloomberg,Nutanix</v>
      </c>
      <c r="F716" s="85"/>
      <c r="G716" s="85" t="str">
        <f>IFERROR(__xludf.DUMMYFUNCTION("""COMPUTED_VALUE"""),"Nutanix,Bloomberg")</f>
        <v>Nutanix,Bloomberg</v>
      </c>
      <c r="H716" s="85" t="str">
        <f>IFERROR(__xludf.DUMMYFUNCTION("""COMPUTED_VALUE"""),"Nutanix,Bloomberg")</f>
        <v>Nutanix,Bloomberg</v>
      </c>
      <c r="I716" s="85">
        <f>IFERROR(__xludf.DUMMYFUNCTION("""COMPUTED_VALUE"""),49.75)</f>
        <v>49.75</v>
      </c>
      <c r="J716" s="85" t="str">
        <f>IFERROR(__xludf.DUMMYFUNCTION("""COMPUTED_VALUE"""),"算法")</f>
        <v>算法</v>
      </c>
    </row>
    <row r="717">
      <c r="A717" s="47">
        <v>1088.0</v>
      </c>
      <c r="B717" s="86" t="str">
        <f>IFERROR(__xludf.DUMMYFUNCTION("IF(ISBLANK(A717),,FILTER('Leetcode List'!B:C,'Leetcode List'!A:A = A717))"),"Confusing Number II")</f>
        <v>Confusing Number II</v>
      </c>
      <c r="C717" s="85" t="str">
        <f>IFERROR(__xludf.DUMMYFUNCTION("""COMPUTED_VALUE"""),"Hard")</f>
        <v>Hard</v>
      </c>
      <c r="D717" s="47" t="s">
        <v>1396</v>
      </c>
      <c r="E717" s="90" t="str">
        <f>IFERROR(__xludf.DUMMYFUNCTION("IF(ISBLANK(A717),,FILTER('Leetcode List'!E:J,'Leetcode List'!A:A = A717))"),"Google")</f>
        <v>Google</v>
      </c>
      <c r="F717" s="85" t="str">
        <f>IFERROR(__xludf.DUMMYFUNCTION("""COMPUTED_VALUE"""),"Google")</f>
        <v>Google</v>
      </c>
      <c r="G717" s="85" t="str">
        <f>IFERROR(__xludf.DUMMYFUNCTION("""COMPUTED_VALUE"""),"Google")</f>
        <v>Google</v>
      </c>
      <c r="H717" s="85" t="str">
        <f>IFERROR(__xludf.DUMMYFUNCTION("""COMPUTED_VALUE"""),"Google")</f>
        <v>Google</v>
      </c>
      <c r="I717" s="85">
        <f>IFERROR(__xludf.DUMMYFUNCTION("""COMPUTED_VALUE"""),45.56)</f>
        <v>45.56</v>
      </c>
      <c r="J717" s="85" t="str">
        <f>IFERROR(__xludf.DUMMYFUNCTION("""COMPUTED_VALUE"""),"算法")</f>
        <v>算法</v>
      </c>
    </row>
    <row r="718">
      <c r="A718" s="47">
        <v>1199.0</v>
      </c>
      <c r="B718" s="86" t="str">
        <f>IFERROR(__xludf.DUMMYFUNCTION("IF(ISBLANK(A718),,FILTER('Leetcode List'!B:C,'Leetcode List'!A:A = A718))"),"Minimum Time to Build Blocks")</f>
        <v>Minimum Time to Build Blocks</v>
      </c>
      <c r="C718" s="85" t="str">
        <f>IFERROR(__xludf.DUMMYFUNCTION("""COMPUTED_VALUE"""),"Hard")</f>
        <v>Hard</v>
      </c>
      <c r="D718" s="47" t="s">
        <v>1396</v>
      </c>
      <c r="E718" s="90" t="str">
        <f>IFERROR(__xludf.DUMMYFUNCTION("IF(ISBLANK(A718),,FILTER('Leetcode List'!E:J,'Leetcode List'!A:A = A718))"),"Google")</f>
        <v>Google</v>
      </c>
      <c r="F718" s="85"/>
      <c r="G718" s="85"/>
      <c r="H718" s="85" t="str">
        <f>IFERROR(__xludf.DUMMYFUNCTION("""COMPUTED_VALUE"""),"Google")</f>
        <v>Google</v>
      </c>
      <c r="I718" s="85">
        <f>IFERROR(__xludf.DUMMYFUNCTION("""COMPUTED_VALUE"""),38.75)</f>
        <v>38.75</v>
      </c>
      <c r="J718" s="85" t="str">
        <f>IFERROR(__xludf.DUMMYFUNCTION("""COMPUTED_VALUE"""),"算法")</f>
        <v>算法</v>
      </c>
    </row>
    <row r="719">
      <c r="A719" s="47">
        <v>1274.0</v>
      </c>
      <c r="B719" s="86" t="str">
        <f>IFERROR(__xludf.DUMMYFUNCTION("IF(ISBLANK(A719),,FILTER('Leetcode List'!B:C,'Leetcode List'!A:A = A719))"),"Number of Ships in a Rectangle")</f>
        <v>Number of Ships in a Rectangle</v>
      </c>
      <c r="C719" s="85" t="str">
        <f>IFERROR(__xludf.DUMMYFUNCTION("""COMPUTED_VALUE"""),"Hard")</f>
        <v>Hard</v>
      </c>
      <c r="D719" s="47" t="s">
        <v>1396</v>
      </c>
      <c r="E719" s="90" t="str">
        <f>IFERROR(__xludf.DUMMYFUNCTION("IF(ISBLANK(A719),,FILTER('Leetcode List'!E:J,'Leetcode List'!A:A = A719))"),"Bloomberg")</f>
        <v>Bloomberg</v>
      </c>
      <c r="F719" s="85" t="str">
        <f>IFERROR(__xludf.DUMMYFUNCTION("""COMPUTED_VALUE"""),"Bloomberg")</f>
        <v>Bloomberg</v>
      </c>
      <c r="G719" s="85" t="str">
        <f>IFERROR(__xludf.DUMMYFUNCTION("""COMPUTED_VALUE"""),"Bloomberg")</f>
        <v>Bloomberg</v>
      </c>
      <c r="H719" s="85" t="str">
        <f>IFERROR(__xludf.DUMMYFUNCTION("""COMPUTED_VALUE"""),"Bloomberg")</f>
        <v>Bloomberg</v>
      </c>
      <c r="I719" s="85">
        <f>IFERROR(__xludf.DUMMYFUNCTION("""COMPUTED_VALUE"""),65.93)</f>
        <v>65.93</v>
      </c>
      <c r="J719" s="85" t="str">
        <f>IFERROR(__xludf.DUMMYFUNCTION("""COMPUTED_VALUE"""),"算法")</f>
        <v>算法</v>
      </c>
    </row>
    <row r="720">
      <c r="A720" s="47">
        <v>1415.0</v>
      </c>
      <c r="B720" s="86" t="str">
        <f>IFERROR(__xludf.DUMMYFUNCTION("IF(ISBLANK(A720),,FILTER('Leetcode List'!B:C,'Leetcode List'!A:A = A720))"),"The k-th Lexicographical String of All Happy Strings of Length n")</f>
        <v>The k-th Lexicographical String of All Happy Strings of Length n</v>
      </c>
      <c r="C720" s="85" t="str">
        <f>IFERROR(__xludf.DUMMYFUNCTION("""COMPUTED_VALUE"""),"Medium")</f>
        <v>Medium</v>
      </c>
      <c r="D720" s="47" t="s">
        <v>1396</v>
      </c>
      <c r="E720" s="90" t="str">
        <f>IFERROR(__xludf.DUMMYFUNCTION("IF(ISBLANK(A720),,FILTER('Leetcode List'!E:J,'Leetcode List'!A:A = A720))"),"Microsoft")</f>
        <v>Microsoft</v>
      </c>
      <c r="F720" s="85"/>
      <c r="G720" s="85"/>
      <c r="H720" s="85" t="str">
        <f>IFERROR(__xludf.DUMMYFUNCTION("""COMPUTED_VALUE"""),"Microsoft")</f>
        <v>Microsoft</v>
      </c>
      <c r="I720" s="85">
        <f>IFERROR(__xludf.DUMMYFUNCTION("""COMPUTED_VALUE"""),69.9)</f>
        <v>69.9</v>
      </c>
      <c r="J720" s="85" t="str">
        <f>IFERROR(__xludf.DUMMYFUNCTION("""COMPUTED_VALUE"""),"算法")</f>
        <v>算法</v>
      </c>
    </row>
    <row r="721">
      <c r="A721" s="47">
        <v>1545.0</v>
      </c>
      <c r="B721" s="86" t="str">
        <f>IFERROR(__xludf.DUMMYFUNCTION("IF(ISBLANK(A721),,FILTER('Leetcode List'!B:C,'Leetcode List'!A:A = A721))"),"Find Kth Bit in Nth Binary String")</f>
        <v>Find Kth Bit in Nth Binary String</v>
      </c>
      <c r="C721" s="85" t="str">
        <f>IFERROR(__xludf.DUMMYFUNCTION("""COMPUTED_VALUE"""),"Medium")</f>
        <v>Medium</v>
      </c>
      <c r="D721" s="47" t="s">
        <v>1396</v>
      </c>
      <c r="E721" s="90" t="str">
        <f>IFERROR(__xludf.DUMMYFUNCTION("IF(ISBLANK(A721),,FILTER('Leetcode List'!E:J,'Leetcode List'!A:A = A721))"),"Rupeek")</f>
        <v>Rupeek</v>
      </c>
      <c r="F721" s="85"/>
      <c r="G721" s="85"/>
      <c r="H721" s="85" t="str">
        <f>IFERROR(__xludf.DUMMYFUNCTION("""COMPUTED_VALUE"""),"Rupeek")</f>
        <v>Rupeek</v>
      </c>
      <c r="I721" s="85">
        <f>IFERROR(__xludf.DUMMYFUNCTION("""COMPUTED_VALUE"""),57.49)</f>
        <v>57.49</v>
      </c>
      <c r="J721" s="85" t="str">
        <f>IFERROR(__xludf.DUMMYFUNCTION("""COMPUTED_VALUE"""),"算法")</f>
        <v>算法</v>
      </c>
    </row>
    <row r="722">
      <c r="A722" s="47">
        <v>1553.0</v>
      </c>
      <c r="B722" s="86" t="str">
        <f>IFERROR(__xludf.DUMMYFUNCTION("IF(ISBLANK(A722),,FILTER('Leetcode List'!B:C,'Leetcode List'!A:A = A722))"),"Minimum Number of Days to Eat N Oranges")</f>
        <v>Minimum Number of Days to Eat N Oranges</v>
      </c>
      <c r="C722" s="85" t="str">
        <f>IFERROR(__xludf.DUMMYFUNCTION("""COMPUTED_VALUE"""),"Hard")</f>
        <v>Hard</v>
      </c>
      <c r="D722" s="47" t="s">
        <v>1396</v>
      </c>
      <c r="E722" s="90" t="str">
        <f>IFERROR(__xludf.DUMMYFUNCTION("IF(ISBLANK(A722),,FILTER('Leetcode List'!E:J,'Leetcode List'!A:A = A722))"),"Google")</f>
        <v>Google</v>
      </c>
      <c r="F722" s="85"/>
      <c r="G722" s="85" t="str">
        <f>IFERROR(__xludf.DUMMYFUNCTION("""COMPUTED_VALUE"""),"Google")</f>
        <v>Google</v>
      </c>
      <c r="H722" s="85" t="str">
        <f>IFERROR(__xludf.DUMMYFUNCTION("""COMPUTED_VALUE"""),"Google")</f>
        <v>Google</v>
      </c>
      <c r="I722" s="85">
        <f>IFERROR(__xludf.DUMMYFUNCTION("""COMPUTED_VALUE"""),29.81)</f>
        <v>29.81</v>
      </c>
      <c r="J722" s="85" t="str">
        <f>IFERROR(__xludf.DUMMYFUNCTION("""COMPUTED_VALUE"""),"算法")</f>
        <v>算法</v>
      </c>
    </row>
    <row r="723">
      <c r="A723" s="47">
        <v>1611.0</v>
      </c>
      <c r="B723" s="86" t="str">
        <f>IFERROR(__xludf.DUMMYFUNCTION("IF(ISBLANK(A723),,FILTER('Leetcode List'!B:C,'Leetcode List'!A:A = A723))"),"Minimum One Bit Operations to Make Integers Zero")</f>
        <v>Minimum One Bit Operations to Make Integers Zero</v>
      </c>
      <c r="C723" s="85" t="str">
        <f>IFERROR(__xludf.DUMMYFUNCTION("""COMPUTED_VALUE"""),"Hard")</f>
        <v>Hard</v>
      </c>
      <c r="D723" s="47" t="s">
        <v>1396</v>
      </c>
      <c r="E723" s="90" t="str">
        <f>IFERROR(__xludf.DUMMYFUNCTION("IF(ISBLANK(A723),,FILTER('Leetcode List'!E:J,'Leetcode List'!A:A = A723))"),"Expedia")</f>
        <v>Expedia</v>
      </c>
      <c r="F723" s="85"/>
      <c r="G723" s="85"/>
      <c r="H723" s="85" t="str">
        <f>IFERROR(__xludf.DUMMYFUNCTION("""COMPUTED_VALUE"""),"Expedia")</f>
        <v>Expedia</v>
      </c>
      <c r="I723" s="85">
        <f>IFERROR(__xludf.DUMMYFUNCTION("""COMPUTED_VALUE"""),57.29)</f>
        <v>57.29</v>
      </c>
      <c r="J723" s="85" t="str">
        <f>IFERROR(__xludf.DUMMYFUNCTION("""COMPUTED_VALUE"""),"算法")</f>
        <v>算法</v>
      </c>
    </row>
    <row r="724">
      <c r="A724" s="47">
        <v>877.0</v>
      </c>
      <c r="B724" s="86" t="str">
        <f>IFERROR(__xludf.DUMMYFUNCTION("IF(ISBLANK(A724),,FILTER('Leetcode List'!B:C,'Leetcode List'!A:A = A724))"),"Stone Game")</f>
        <v>Stone Game</v>
      </c>
      <c r="C724" s="85" t="str">
        <f>IFERROR(__xludf.DUMMYFUNCTION("""COMPUTED_VALUE"""),"Medium")</f>
        <v>Medium</v>
      </c>
      <c r="D724" s="47" t="s">
        <v>1396</v>
      </c>
      <c r="E724" s="90" t="str">
        <f>IFERROR(__xludf.DUMMYFUNCTION("IF(ISBLANK(A724),,FILTER('Leetcode List'!E:J,'Leetcode List'!A:A = A724))"),"Apple,Adobe,Google")</f>
        <v>Apple,Adobe,Google</v>
      </c>
      <c r="F724" s="85"/>
      <c r="G724" s="85"/>
      <c r="H724" s="85" t="str">
        <f>IFERROR(__xludf.DUMMYFUNCTION("""COMPUTED_VALUE"""),"Adobe,Apple")</f>
        <v>Adobe,Apple</v>
      </c>
      <c r="I724" s="85">
        <f>IFERROR(__xludf.DUMMYFUNCTION("""COMPUTED_VALUE"""),66.97)</f>
        <v>66.97</v>
      </c>
      <c r="J724" s="85" t="str">
        <f>IFERROR(__xludf.DUMMYFUNCTION("""COMPUTED_VALUE"""),"算法")</f>
        <v>算法</v>
      </c>
      <c r="K724" s="2" t="s">
        <v>5021</v>
      </c>
    </row>
    <row r="725">
      <c r="A725" s="47">
        <v>1140.0</v>
      </c>
      <c r="B725" s="86" t="str">
        <f>IFERROR(__xludf.DUMMYFUNCTION("IF(ISBLANK(A725),,FILTER('Leetcode List'!B:C,'Leetcode List'!A:A = A725))"),"Stone Game II")</f>
        <v>Stone Game II</v>
      </c>
      <c r="C725" s="85" t="str">
        <f>IFERROR(__xludf.DUMMYFUNCTION("""COMPUTED_VALUE"""),"Medium")</f>
        <v>Medium</v>
      </c>
      <c r="D725" s="47" t="s">
        <v>1396</v>
      </c>
      <c r="E725" s="90" t="str">
        <f>IFERROR(__xludf.DUMMYFUNCTION("IF(ISBLANK(A725),,FILTER('Leetcode List'!E:J,'Leetcode List'!A:A = A725))"),"ByteDance(Toutiao),Google")</f>
        <v>ByteDance(Toutiao),Google</v>
      </c>
      <c r="F725" s="85" t="str">
        <f>IFERROR(__xludf.DUMMYFUNCTION("""COMPUTED_VALUE"""),"Google")</f>
        <v>Google</v>
      </c>
      <c r="G725" s="85" t="str">
        <f>IFERROR(__xludf.DUMMYFUNCTION("""COMPUTED_VALUE"""),"Google")</f>
        <v>Google</v>
      </c>
      <c r="H725" s="85" t="str">
        <f>IFERROR(__xludf.DUMMYFUNCTION("""COMPUTED_VALUE"""),"ByteDance(Toutiao),Google")</f>
        <v>ByteDance(Toutiao),Google</v>
      </c>
      <c r="I725" s="85">
        <f>IFERROR(__xludf.DUMMYFUNCTION("""COMPUTED_VALUE"""),64.65)</f>
        <v>64.65</v>
      </c>
      <c r="J725" s="85" t="str">
        <f>IFERROR(__xludf.DUMMYFUNCTION("""COMPUTED_VALUE"""),"算法")</f>
        <v>算法</v>
      </c>
      <c r="K725" s="2" t="s">
        <v>5021</v>
      </c>
    </row>
    <row r="726">
      <c r="A726" s="47">
        <v>1406.0</v>
      </c>
      <c r="B726" s="86" t="str">
        <f>IFERROR(__xludf.DUMMYFUNCTION("IF(ISBLANK(A726),,FILTER('Leetcode List'!B:C,'Leetcode List'!A:A = A726))"),"Stone Game III")</f>
        <v>Stone Game III</v>
      </c>
      <c r="C726" s="85" t="str">
        <f>IFERROR(__xludf.DUMMYFUNCTION("""COMPUTED_VALUE"""),"Hard")</f>
        <v>Hard</v>
      </c>
      <c r="D726" s="47" t="s">
        <v>1396</v>
      </c>
      <c r="E726" s="90" t="str">
        <f>IFERROR(__xludf.DUMMYFUNCTION("IF(ISBLANK(A726),,FILTER('Leetcode List'!E:J,'Leetcode List'!A:A = A726))"),"Google")</f>
        <v>Google</v>
      </c>
      <c r="F726" s="85" t="str">
        <f>IFERROR(__xludf.DUMMYFUNCTION("""COMPUTED_VALUE"""),"Google")</f>
        <v>Google</v>
      </c>
      <c r="G726" s="85" t="str">
        <f>IFERROR(__xludf.DUMMYFUNCTION("""COMPUTED_VALUE"""),"Google")</f>
        <v>Google</v>
      </c>
      <c r="H726" s="85" t="str">
        <f>IFERROR(__xludf.DUMMYFUNCTION("""COMPUTED_VALUE"""),"Google")</f>
        <v>Google</v>
      </c>
      <c r="I726" s="85">
        <f>IFERROR(__xludf.DUMMYFUNCTION("""COMPUTED_VALUE"""),57.55)</f>
        <v>57.55</v>
      </c>
      <c r="J726" s="85" t="str">
        <f>IFERROR(__xludf.DUMMYFUNCTION("""COMPUTED_VALUE"""),"算法")</f>
        <v>算法</v>
      </c>
      <c r="K726" s="2" t="s">
        <v>5021</v>
      </c>
    </row>
    <row r="727">
      <c r="A727" s="47">
        <v>1510.0</v>
      </c>
      <c r="B727" s="86" t="str">
        <f>IFERROR(__xludf.DUMMYFUNCTION("IF(ISBLANK(A727),,FILTER('Leetcode List'!B:C,'Leetcode List'!A:A = A727))"),"Stone Game IV")</f>
        <v>Stone Game IV</v>
      </c>
      <c r="C727" s="85" t="str">
        <f>IFERROR(__xludf.DUMMYFUNCTION("""COMPUTED_VALUE"""),"Hard")</f>
        <v>Hard</v>
      </c>
      <c r="D727" s="47" t="s">
        <v>1396</v>
      </c>
      <c r="E727" s="90" t="str">
        <f>IFERROR(__xludf.DUMMYFUNCTION("IF(ISBLANK(A727),,FILTER('Leetcode List'!E:J,'Leetcode List'!A:A = A727))"),"Microsoft")</f>
        <v>Microsoft</v>
      </c>
      <c r="F727" s="85"/>
      <c r="G727" s="85"/>
      <c r="H727" s="85" t="str">
        <f>IFERROR(__xludf.DUMMYFUNCTION("""COMPUTED_VALUE"""),"Microsoft")</f>
        <v>Microsoft</v>
      </c>
      <c r="I727" s="85">
        <f>IFERROR(__xludf.DUMMYFUNCTION("""COMPUTED_VALUE"""),58.88)</f>
        <v>58.88</v>
      </c>
      <c r="J727" s="85" t="str">
        <f>IFERROR(__xludf.DUMMYFUNCTION("""COMPUTED_VALUE"""),"算法")</f>
        <v>算法</v>
      </c>
      <c r="K727" s="2" t="s">
        <v>5021</v>
      </c>
    </row>
    <row r="728">
      <c r="A728" s="47">
        <v>1563.0</v>
      </c>
      <c r="B728" s="86" t="str">
        <f>IFERROR(__xludf.DUMMYFUNCTION("IF(ISBLANK(A728),,FILTER('Leetcode List'!B:C,'Leetcode List'!A:A = A728))"),"Stone Game V")</f>
        <v>Stone Game V</v>
      </c>
      <c r="C728" s="85" t="str">
        <f>IFERROR(__xludf.DUMMYFUNCTION("""COMPUTED_VALUE"""),"Hard")</f>
        <v>Hard</v>
      </c>
      <c r="D728" s="47" t="s">
        <v>1396</v>
      </c>
      <c r="E728" s="90" t="str">
        <f>IFERROR(__xludf.DUMMYFUNCTION("IF(ISBLANK(A728),,FILTER('Leetcode List'!E:J,'Leetcode List'!A:A = A728))"),"")</f>
        <v/>
      </c>
      <c r="F728" s="85"/>
      <c r="G728" s="85"/>
      <c r="H728" s="85"/>
      <c r="I728" s="85">
        <f>IFERROR(__xludf.DUMMYFUNCTION("""COMPUTED_VALUE"""),39.93)</f>
        <v>39.93</v>
      </c>
      <c r="J728" s="85" t="str">
        <f>IFERROR(__xludf.DUMMYFUNCTION("""COMPUTED_VALUE"""),"算法")</f>
        <v>算法</v>
      </c>
      <c r="K728" s="2" t="s">
        <v>5021</v>
      </c>
    </row>
    <row r="729">
      <c r="A729" s="47">
        <v>332.0</v>
      </c>
      <c r="B729" s="86" t="str">
        <f>IFERROR(__xludf.DUMMYFUNCTION("IF(ISBLANK(A729),,FILTER('Leetcode List'!B:C,'Leetcode List'!A:A = A729))"),"Reconstruct Itinerary")</f>
        <v>Reconstruct Itinerary</v>
      </c>
      <c r="C729" s="85" t="str">
        <f>IFERROR(__xludf.DUMMYFUNCTION("""COMPUTED_VALUE"""),"Medium")</f>
        <v>Medium</v>
      </c>
      <c r="D729" s="47" t="s">
        <v>66</v>
      </c>
      <c r="E729" s="90" t="str">
        <f>IFERROR(__xludf.DUMMYFUNCTION("IF(ISBLANK(A729),,FILTER('Leetcode List'!E:J,'Leetcode List'!A:A = A729))"),"Akuna Capital,Square,VMware,Twitter,Expedia,Intuit,EBay,Qualtrics,Twilio,Citadel,Snapchat,Yelp,Yandex,Apple,Uber,Bloomberg,Facebook,Amazon,Microsoft,Goldman Sachs,Google")</f>
        <v>Akuna Capital,Square,VMware,Twitter,Expedia,Intuit,EBay,Qualtrics,Twilio,Citadel,Snapchat,Yelp,Yandex,Apple,Uber,Bloomberg,Facebook,Amazon,Microsoft,Goldman Sachs,Google</v>
      </c>
      <c r="F729" s="85" t="str">
        <f>IFERROR(__xludf.DUMMYFUNCTION("""COMPUTED_VALUE"""),"Uber,Amazon,Twilio,Bloomberg,Facebook,Intuit,Microsoft,Twitter,Google,eBay,Expedia,Qualtrics,VMware")</f>
        <v>Uber,Amazon,Twilio,Bloomberg,Facebook,Intuit,Microsoft,Twitter,Google,eBay,Expedia,Qualtrics,VMware</v>
      </c>
      <c r="G729" s="85" t="str">
        <f>IFERROR(__xludf.DUMMYFUNCTION("""COMPUTED_VALUE"""),"Apple,Akuna Capital,Uber,Amazon,Twilio,Bloomberg,Facebook,Intuit,Microsoft,Twitter,Google,eBay,Expedia,Qualtrics,VMware")</f>
        <v>Apple,Akuna Capital,Uber,Amazon,Twilio,Bloomberg,Facebook,Intuit,Microsoft,Twitter,Google,eBay,Expedia,Qualtrics,VMware</v>
      </c>
      <c r="H729" s="85" t="str">
        <f>IFERROR(__xludf.DUMMYFUNCTION("""COMPUTED_VALUE"""),"Goldman Sachs,Yelp,Snapchat,Yandex,Citadel,Square,Apple,Akuna Capital,Uber,Amazon,Twilio,Bloomberg,Facebook,Intuit,Microsoft,Twitter,Google,eBay,Expedia,Qualtrics,VMware")</f>
        <v>Goldman Sachs,Yelp,Snapchat,Yandex,Citadel,Square,Apple,Akuna Capital,Uber,Amazon,Twilio,Bloomberg,Facebook,Intuit,Microsoft,Twitter,Google,eBay,Expedia,Qualtrics,VMware</v>
      </c>
      <c r="I729" s="85">
        <f>IFERROR(__xludf.DUMMYFUNCTION("""COMPUTED_VALUE"""),37.99)</f>
        <v>37.99</v>
      </c>
      <c r="J729" s="85" t="str">
        <f>IFERROR(__xludf.DUMMYFUNCTION("""COMPUTED_VALUE"""),"算法")</f>
        <v>算法</v>
      </c>
    </row>
    <row r="730">
      <c r="A730" s="47">
        <v>753.0</v>
      </c>
      <c r="B730" s="86" t="str">
        <f>IFERROR(__xludf.DUMMYFUNCTION("IF(ISBLANK(A730),,FILTER('Leetcode List'!B:C,'Leetcode List'!A:A = A730))"),"Cracking the Safe")</f>
        <v>Cracking the Safe</v>
      </c>
      <c r="C730" s="85" t="str">
        <f>IFERROR(__xludf.DUMMYFUNCTION("""COMPUTED_VALUE"""),"Hard")</f>
        <v>Hard</v>
      </c>
      <c r="D730" s="47" t="s">
        <v>66</v>
      </c>
      <c r="E730" s="90" t="str">
        <f>IFERROR(__xludf.DUMMYFUNCTION("IF(ISBLANK(A730),,FILTER('Leetcode List'!E:J,'Leetcode List'!A:A = A730))"),"Google")</f>
        <v>Google</v>
      </c>
      <c r="F730" s="85" t="str">
        <f>IFERROR(__xludf.DUMMYFUNCTION("""COMPUTED_VALUE"""),"Google")</f>
        <v>Google</v>
      </c>
      <c r="G730" s="85" t="str">
        <f>IFERROR(__xludf.DUMMYFUNCTION("""COMPUTED_VALUE"""),"Google")</f>
        <v>Google</v>
      </c>
      <c r="H730" s="85" t="str">
        <f>IFERROR(__xludf.DUMMYFUNCTION("""COMPUTED_VALUE"""),"Google")</f>
        <v>Google</v>
      </c>
      <c r="I730" s="85">
        <f>IFERROR(__xludf.DUMMYFUNCTION("""COMPUTED_VALUE"""),52.43)</f>
        <v>52.43</v>
      </c>
      <c r="J730" s="85" t="str">
        <f>IFERROR(__xludf.DUMMYFUNCTION("""COMPUTED_VALUE"""),"算法")</f>
        <v>算法</v>
      </c>
    </row>
    <row r="731">
      <c r="A731" s="47">
        <v>1059.0</v>
      </c>
      <c r="B731" s="86" t="str">
        <f>IFERROR(__xludf.DUMMYFUNCTION("IF(ISBLANK(A731),,FILTER('Leetcode List'!B:C,'Leetcode List'!A:A = A731))"),"All Paths from Source Lead to Destination")</f>
        <v>All Paths from Source Lead to Destination</v>
      </c>
      <c r="C731" s="85" t="str">
        <f>IFERROR(__xludf.DUMMYFUNCTION("""COMPUTED_VALUE"""),"Medium")</f>
        <v>Medium</v>
      </c>
      <c r="D731" s="47" t="s">
        <v>66</v>
      </c>
      <c r="E731" s="90" t="str">
        <f>IFERROR(__xludf.DUMMYFUNCTION("IF(ISBLANK(A731),,FILTER('Leetcode List'!E:J,'Leetcode List'!A:A = A731))"),"Bloomberg,Amazon,Google")</f>
        <v>Bloomberg,Amazon,Google</v>
      </c>
      <c r="F731" s="85" t="str">
        <f>IFERROR(__xludf.DUMMYFUNCTION("""COMPUTED_VALUE"""),"Bloomberg")</f>
        <v>Bloomberg</v>
      </c>
      <c r="G731" s="85" t="str">
        <f>IFERROR(__xludf.DUMMYFUNCTION("""COMPUTED_VALUE"""),"Amazon,Bloomberg")</f>
        <v>Amazon,Bloomberg</v>
      </c>
      <c r="H731" s="85" t="str">
        <f>IFERROR(__xludf.DUMMYFUNCTION("""COMPUTED_VALUE"""),"Google,Amazon,Bloomberg")</f>
        <v>Google,Amazon,Bloomberg</v>
      </c>
      <c r="I731" s="85">
        <f>IFERROR(__xludf.DUMMYFUNCTION("""COMPUTED_VALUE"""),42.93)</f>
        <v>42.93</v>
      </c>
      <c r="J731" s="85" t="str">
        <f>IFERROR(__xludf.DUMMYFUNCTION("""COMPUTED_VALUE"""),"算法")</f>
        <v>算法</v>
      </c>
    </row>
    <row r="732">
      <c r="A732" s="47">
        <v>1192.0</v>
      </c>
      <c r="B732" s="86" t="str">
        <f>IFERROR(__xludf.DUMMYFUNCTION("IF(ISBLANK(A732),,FILTER('Leetcode List'!B:C,'Leetcode List'!A:A = A732))"),"Critical Connections in a Network")</f>
        <v>Critical Connections in a Network</v>
      </c>
      <c r="C732" s="85" t="str">
        <f>IFERROR(__xludf.DUMMYFUNCTION("""COMPUTED_VALUE"""),"Hard")</f>
        <v>Hard</v>
      </c>
      <c r="D732" s="47" t="s">
        <v>66</v>
      </c>
      <c r="E732" s="90" t="str">
        <f>IFERROR(__xludf.DUMMYFUNCTION("IF(ISBLANK(A732),,FILTER('Leetcode List'!E:J,'Leetcode List'!A:A = A732))"),"VMware,Adobe,Amazon,Microsoft,Google")</f>
        <v>VMware,Adobe,Amazon,Microsoft,Google</v>
      </c>
      <c r="F732" s="85" t="str">
        <f>IFERROR(__xludf.DUMMYFUNCTION("""COMPUTED_VALUE"""),"Amazon,Adobe")</f>
        <v>Amazon,Adobe</v>
      </c>
      <c r="G732" s="85" t="str">
        <f>IFERROR(__xludf.DUMMYFUNCTION("""COMPUTED_VALUE"""),"Google,VMware,Amazon,Adobe")</f>
        <v>Google,VMware,Amazon,Adobe</v>
      </c>
      <c r="H732" s="85" t="str">
        <f>IFERROR(__xludf.DUMMYFUNCTION("""COMPUTED_VALUE"""),"Microsoft,Google,VMware,Amazon,Adobe")</f>
        <v>Microsoft,Google,VMware,Amazon,Adobe</v>
      </c>
      <c r="I732" s="85">
        <f>IFERROR(__xludf.DUMMYFUNCTION("""COMPUTED_VALUE"""),50.2)</f>
        <v>50.2</v>
      </c>
      <c r="J732" s="85" t="str">
        <f>IFERROR(__xludf.DUMMYFUNCTION("""COMPUTED_VALUE"""),"算法")</f>
        <v>算法</v>
      </c>
    </row>
    <row r="733">
      <c r="A733" s="47">
        <v>1334.0</v>
      </c>
      <c r="B733" s="86" t="str">
        <f>IFERROR(__xludf.DUMMYFUNCTION("IF(ISBLANK(A733),,FILTER('Leetcode List'!B:C,'Leetcode List'!A:A = A733))"),"Find the City With the Smallest Number of Neighbors at a Threshold Distance")</f>
        <v>Find the City With the Smallest Number of Neighbors at a Threshold Distance</v>
      </c>
      <c r="C733" s="85" t="str">
        <f>IFERROR(__xludf.DUMMYFUNCTION("""COMPUTED_VALUE"""),"Medium")</f>
        <v>Medium</v>
      </c>
      <c r="D733" s="47" t="s">
        <v>66</v>
      </c>
      <c r="E733" s="90" t="str">
        <f>IFERROR(__xludf.DUMMYFUNCTION("IF(ISBLANK(A733),,FILTER('Leetcode List'!E:J,'Leetcode List'!A:A = A733))"),"Citrix,Uber")</f>
        <v>Citrix,Uber</v>
      </c>
      <c r="F733" s="85" t="str">
        <f>IFERROR(__xludf.DUMMYFUNCTION("""COMPUTED_VALUE"""),"Citrix")</f>
        <v>Citrix</v>
      </c>
      <c r="G733" s="85" t="str">
        <f>IFERROR(__xludf.DUMMYFUNCTION("""COMPUTED_VALUE"""),"Citrix")</f>
        <v>Citrix</v>
      </c>
      <c r="H733" s="85" t="str">
        <f>IFERROR(__xludf.DUMMYFUNCTION("""COMPUTED_VALUE"""),"Uber,Citrix")</f>
        <v>Uber,Citrix</v>
      </c>
      <c r="I733" s="85">
        <f>IFERROR(__xludf.DUMMYFUNCTION("""COMPUTED_VALUE"""),47.14)</f>
        <v>47.14</v>
      </c>
      <c r="J733" s="85" t="str">
        <f>IFERROR(__xludf.DUMMYFUNCTION("""COMPUTED_VALUE"""),"算法")</f>
        <v>算法</v>
      </c>
    </row>
    <row r="734">
      <c r="A734" s="47">
        <v>1361.0</v>
      </c>
      <c r="B734" s="86" t="str">
        <f>IFERROR(__xludf.DUMMYFUNCTION("IF(ISBLANK(A734),,FILTER('Leetcode List'!B:C,'Leetcode List'!A:A = A734))"),"Validate Binary Tree Nodes")</f>
        <v>Validate Binary Tree Nodes</v>
      </c>
      <c r="C734" s="85" t="str">
        <f>IFERROR(__xludf.DUMMYFUNCTION("""COMPUTED_VALUE"""),"Medium")</f>
        <v>Medium</v>
      </c>
      <c r="D734" s="47" t="s">
        <v>66</v>
      </c>
      <c r="E734" s="90" t="str">
        <f>IFERROR(__xludf.DUMMYFUNCTION("IF(ISBLANK(A734),,FILTER('Leetcode List'!E:J,'Leetcode List'!A:A = A734))"),"Facebook")</f>
        <v>Facebook</v>
      </c>
      <c r="F734" s="85" t="str">
        <f>IFERROR(__xludf.DUMMYFUNCTION("""COMPUTED_VALUE"""),"Facebook")</f>
        <v>Facebook</v>
      </c>
      <c r="G734" s="85" t="str">
        <f>IFERROR(__xludf.DUMMYFUNCTION("""COMPUTED_VALUE"""),"Facebook")</f>
        <v>Facebook</v>
      </c>
      <c r="H734" s="85" t="str">
        <f>IFERROR(__xludf.DUMMYFUNCTION("""COMPUTED_VALUE"""),"Facebook")</f>
        <v>Facebook</v>
      </c>
      <c r="I734" s="85">
        <f>IFERROR(__xludf.DUMMYFUNCTION("""COMPUTED_VALUE"""),43.58)</f>
        <v>43.58</v>
      </c>
      <c r="J734" s="85" t="str">
        <f>IFERROR(__xludf.DUMMYFUNCTION("""COMPUTED_VALUE"""),"算法")</f>
        <v>算法</v>
      </c>
    </row>
    <row r="735">
      <c r="A735" s="47">
        <v>1719.0</v>
      </c>
      <c r="B735" s="86" t="str">
        <f>IFERROR(__xludf.DUMMYFUNCTION("IF(ISBLANK(A735),,FILTER('Leetcode List'!B:C,'Leetcode List'!A:A = A735))"),"Number Of Ways To Reconstruct A Tree")</f>
        <v>Number Of Ways To Reconstruct A Tree</v>
      </c>
      <c r="C735" s="85" t="str">
        <f>IFERROR(__xludf.DUMMYFUNCTION("""COMPUTED_VALUE"""),"Hard")</f>
        <v>Hard</v>
      </c>
      <c r="D735" s="47" t="s">
        <v>66</v>
      </c>
      <c r="E735" s="90" t="str">
        <f>IFERROR(__xludf.DUMMYFUNCTION("IF(ISBLANK(A735),,FILTER('Leetcode List'!E:J,'Leetcode List'!A:A = A735))"),"Uber")</f>
        <v>Uber</v>
      </c>
      <c r="F735" s="85"/>
      <c r="G735" s="85"/>
      <c r="H735" s="85" t="str">
        <f>IFERROR(__xludf.DUMMYFUNCTION("""COMPUTED_VALUE"""),"Uber")</f>
        <v>Uber</v>
      </c>
      <c r="I735" s="85">
        <f>IFERROR(__xludf.DUMMYFUNCTION("""COMPUTED_VALUE"""),39.52)</f>
        <v>39.52</v>
      </c>
      <c r="J735" s="85" t="str">
        <f>IFERROR(__xludf.DUMMYFUNCTION("""COMPUTED_VALUE"""),"算法")</f>
        <v>算法</v>
      </c>
    </row>
    <row r="736">
      <c r="A736" s="47">
        <v>1761.0</v>
      </c>
      <c r="B736" s="86" t="str">
        <f>IFERROR(__xludf.DUMMYFUNCTION("IF(ISBLANK(A736),,FILTER('Leetcode List'!B:C,'Leetcode List'!A:A = A736))"),"Minimum Degree of a Connected Trio in a Graph")</f>
        <v>Minimum Degree of a Connected Trio in a Graph</v>
      </c>
      <c r="C736" s="85" t="str">
        <f>IFERROR(__xludf.DUMMYFUNCTION("""COMPUTED_VALUE"""),"Hard")</f>
        <v>Hard</v>
      </c>
      <c r="D736" s="47" t="s">
        <v>66</v>
      </c>
      <c r="E736" s="90" t="str">
        <f>IFERROR(__xludf.DUMMYFUNCTION("IF(ISBLANK(A736),,FILTER('Leetcode List'!E:J,'Leetcode List'!A:A = A736))"),"Amazon")</f>
        <v>Amazon</v>
      </c>
      <c r="F736" s="85" t="str">
        <f>IFERROR(__xludf.DUMMYFUNCTION("""COMPUTED_VALUE"""),"Amazon")</f>
        <v>Amazon</v>
      </c>
      <c r="G736" s="85" t="str">
        <f>IFERROR(__xludf.DUMMYFUNCTION("""COMPUTED_VALUE"""),"Amazon")</f>
        <v>Amazon</v>
      </c>
      <c r="H736" s="85" t="str">
        <f>IFERROR(__xludf.DUMMYFUNCTION("""COMPUTED_VALUE"""),"Amazon")</f>
        <v>Amazon</v>
      </c>
      <c r="I736" s="85">
        <f>IFERROR(__xludf.DUMMYFUNCTION("""COMPUTED_VALUE"""),37.32)</f>
        <v>37.32</v>
      </c>
      <c r="J736" s="85" t="str">
        <f>IFERROR(__xludf.DUMMYFUNCTION("""COMPUTED_VALUE"""),"算法")</f>
        <v>算法</v>
      </c>
    </row>
    <row r="737">
      <c r="A737" s="47">
        <v>1782.0</v>
      </c>
      <c r="B737" s="86" t="str">
        <f>IFERROR(__xludf.DUMMYFUNCTION("IF(ISBLANK(A737),,FILTER('Leetcode List'!B:C,'Leetcode List'!A:A = A737))"),"Count Pairs Of Nodes")</f>
        <v>Count Pairs Of Nodes</v>
      </c>
      <c r="C737" s="85" t="str">
        <f>IFERROR(__xludf.DUMMYFUNCTION("""COMPUTED_VALUE"""),"Hard")</f>
        <v>Hard</v>
      </c>
      <c r="D737" s="47" t="s">
        <v>66</v>
      </c>
      <c r="E737" s="90" t="str">
        <f>IFERROR(__xludf.DUMMYFUNCTION("IF(ISBLANK(A737),,FILTER('Leetcode List'!E:J,'Leetcode List'!A:A = A737))"),"Amazon,Google")</f>
        <v>Amazon,Google</v>
      </c>
      <c r="F737" s="85" t="str">
        <f>IFERROR(__xludf.DUMMYFUNCTION("""COMPUTED_VALUE"""),"Google")</f>
        <v>Google</v>
      </c>
      <c r="G737" s="85" t="str">
        <f>IFERROR(__xludf.DUMMYFUNCTION("""COMPUTED_VALUE"""),"Google")</f>
        <v>Google</v>
      </c>
      <c r="H737" s="85" t="str">
        <f>IFERROR(__xludf.DUMMYFUNCTION("""COMPUTED_VALUE"""),"Amazon,Google")</f>
        <v>Amazon,Google</v>
      </c>
      <c r="I737" s="85">
        <f>IFERROR(__xludf.DUMMYFUNCTION("""COMPUTED_VALUE"""),31.49)</f>
        <v>31.49</v>
      </c>
      <c r="J737" s="85" t="str">
        <f>IFERROR(__xludf.DUMMYFUNCTION("""COMPUTED_VALUE"""),"算法")</f>
        <v>算法</v>
      </c>
    </row>
    <row r="738">
      <c r="A738" s="47">
        <v>89.0</v>
      </c>
      <c r="B738" s="86" t="str">
        <f>IFERROR(__xludf.DUMMYFUNCTION("IF(ISBLANK(A738),,FILTER('Leetcode List'!B:C,'Leetcode List'!A:A = A738))"),"Gray Code")</f>
        <v>Gray Code</v>
      </c>
      <c r="C738" s="85" t="str">
        <f>IFERROR(__xludf.DUMMYFUNCTION("""COMPUTED_VALUE"""),"Medium")</f>
        <v>Medium</v>
      </c>
      <c r="D738" s="47" t="s">
        <v>99</v>
      </c>
      <c r="E738" s="90" t="str">
        <f>IFERROR(__xludf.DUMMYFUNCTION("IF(ISBLANK(A738),,FILTER('Leetcode List'!E:J,'Leetcode List'!A:A = A738))"),"Amazon,Microsoft")</f>
        <v>Amazon,Microsoft</v>
      </c>
      <c r="F738" s="85"/>
      <c r="G738" s="85" t="str">
        <f>IFERROR(__xludf.DUMMYFUNCTION("""COMPUTED_VALUE"""),"Microsoft")</f>
        <v>Microsoft</v>
      </c>
      <c r="H738" s="85" t="str">
        <f>IFERROR(__xludf.DUMMYFUNCTION("""COMPUTED_VALUE"""),"Amazon,Microsoft")</f>
        <v>Amazon,Microsoft</v>
      </c>
      <c r="I738" s="85">
        <f>IFERROR(__xludf.DUMMYFUNCTION("""COMPUTED_VALUE"""),50.54)</f>
        <v>50.54</v>
      </c>
      <c r="J738" s="85" t="str">
        <f>IFERROR(__xludf.DUMMYFUNCTION("""COMPUTED_VALUE"""),"算法")</f>
        <v>算法</v>
      </c>
    </row>
    <row r="739">
      <c r="A739" s="47">
        <v>233.0</v>
      </c>
      <c r="B739" s="86" t="str">
        <f>IFERROR(__xludf.DUMMYFUNCTION("IF(ISBLANK(A739),,FILTER('Leetcode List'!B:C,'Leetcode List'!A:A = A739))"),"Number of Digit One")</f>
        <v>Number of Digit One</v>
      </c>
      <c r="C739" s="85" t="str">
        <f>IFERROR(__xludf.DUMMYFUNCTION("""COMPUTED_VALUE"""),"Hard")</f>
        <v>Hard</v>
      </c>
      <c r="D739" s="47" t="s">
        <v>99</v>
      </c>
      <c r="E739" s="90" t="str">
        <f>IFERROR(__xludf.DUMMYFUNCTION("IF(ISBLANK(A739),,FILTER('Leetcode List'!E:J,'Leetcode List'!A:A = A739))"),"Apple,Amazon")</f>
        <v>Apple,Amazon</v>
      </c>
      <c r="F739" s="85"/>
      <c r="G739" s="85" t="str">
        <f>IFERROR(__xludf.DUMMYFUNCTION("""COMPUTED_VALUE"""),"Amazon")</f>
        <v>Amazon</v>
      </c>
      <c r="H739" s="85" t="str">
        <f>IFERROR(__xludf.DUMMYFUNCTION("""COMPUTED_VALUE"""),"Amazon")</f>
        <v>Amazon</v>
      </c>
      <c r="I739" s="85">
        <f>IFERROR(__xludf.DUMMYFUNCTION("""COMPUTED_VALUE"""),31.81)</f>
        <v>31.81</v>
      </c>
      <c r="J739" s="85" t="str">
        <f>IFERROR(__xludf.DUMMYFUNCTION("""COMPUTED_VALUE"""),"算法")</f>
        <v>算法</v>
      </c>
    </row>
    <row r="740">
      <c r="A740" s="47">
        <v>335.0</v>
      </c>
      <c r="B740" s="86" t="str">
        <f>IFERROR(__xludf.DUMMYFUNCTION("IF(ISBLANK(A740),,FILTER('Leetcode List'!B:C,'Leetcode List'!A:A = A740))"),"Self Crossing")</f>
        <v>Self Crossing</v>
      </c>
      <c r="C740" s="85" t="str">
        <f>IFERROR(__xludf.DUMMYFUNCTION("""COMPUTED_VALUE"""),"Hard")</f>
        <v>Hard</v>
      </c>
      <c r="D740" s="47" t="s">
        <v>99</v>
      </c>
      <c r="E740" s="90" t="str">
        <f>IFERROR(__xludf.DUMMYFUNCTION("IF(ISBLANK(A740),,FILTER('Leetcode List'!E:J,'Leetcode List'!A:A = A740))"),"Amazon,Google")</f>
        <v>Amazon,Google</v>
      </c>
      <c r="F740" s="85"/>
      <c r="G740" s="85" t="str">
        <f>IFERROR(__xludf.DUMMYFUNCTION("""COMPUTED_VALUE"""),"Google,Amazon")</f>
        <v>Google,Amazon</v>
      </c>
      <c r="H740" s="85" t="str">
        <f>IFERROR(__xludf.DUMMYFUNCTION("""COMPUTED_VALUE"""),"Google,Amazon")</f>
        <v>Google,Amazon</v>
      </c>
      <c r="I740" s="85">
        <f>IFERROR(__xludf.DUMMYFUNCTION("""COMPUTED_VALUE"""),28.69)</f>
        <v>28.69</v>
      </c>
      <c r="J740" s="85" t="str">
        <f>IFERROR(__xludf.DUMMYFUNCTION("""COMPUTED_VALUE"""),"算法")</f>
        <v>算法</v>
      </c>
    </row>
    <row r="741">
      <c r="A741" s="47">
        <v>365.0</v>
      </c>
      <c r="B741" s="86" t="str">
        <f>IFERROR(__xludf.DUMMYFUNCTION("IF(ISBLANK(A741),,FILTER('Leetcode List'!B:C,'Leetcode List'!A:A = A741))"),"Water and Jug Problem")</f>
        <v>Water and Jug Problem</v>
      </c>
      <c r="C741" s="85" t="str">
        <f>IFERROR(__xludf.DUMMYFUNCTION("""COMPUTED_VALUE"""),"Medium")</f>
        <v>Medium</v>
      </c>
      <c r="D741" s="47" t="s">
        <v>99</v>
      </c>
      <c r="E741" s="90" t="str">
        <f>IFERROR(__xludf.DUMMYFUNCTION("IF(ISBLANK(A741),,FILTER('Leetcode List'!E:J,'Leetcode List'!A:A = A741))"),"Lyft,Uber,Amazon,Microsoft,Google")</f>
        <v>Lyft,Uber,Amazon,Microsoft,Google</v>
      </c>
      <c r="F741" s="85" t="str">
        <f>IFERROR(__xludf.DUMMYFUNCTION("""COMPUTED_VALUE"""),"Lyft,Google")</f>
        <v>Lyft,Google</v>
      </c>
      <c r="G741" s="85" t="str">
        <f>IFERROR(__xludf.DUMMYFUNCTION("""COMPUTED_VALUE"""),"Lyft,Google")</f>
        <v>Lyft,Google</v>
      </c>
      <c r="H741" s="85" t="str">
        <f>IFERROR(__xludf.DUMMYFUNCTION("""COMPUTED_VALUE"""),"Uber,Microsoft,Lyft,Google")</f>
        <v>Uber,Microsoft,Lyft,Google</v>
      </c>
      <c r="I741" s="85">
        <f>IFERROR(__xludf.DUMMYFUNCTION("""COMPUTED_VALUE"""),31.16)</f>
        <v>31.16</v>
      </c>
      <c r="J741" s="85" t="str">
        <f>IFERROR(__xludf.DUMMYFUNCTION("""COMPUTED_VALUE"""),"算法")</f>
        <v>算法</v>
      </c>
    </row>
    <row r="742">
      <c r="A742" s="47">
        <v>343.0</v>
      </c>
      <c r="B742" s="86" t="str">
        <f>IFERROR(__xludf.DUMMYFUNCTION("IF(ISBLANK(A742),,FILTER('Leetcode List'!B:C,'Leetcode List'!A:A = A742))"),"Integer Break")</f>
        <v>Integer Break</v>
      </c>
      <c r="C742" s="85" t="str">
        <f>IFERROR(__xludf.DUMMYFUNCTION("""COMPUTED_VALUE"""),"Medium")</f>
        <v>Medium</v>
      </c>
      <c r="D742" s="47" t="s">
        <v>99</v>
      </c>
      <c r="E742" s="90" t="str">
        <f>IFERROR(__xludf.DUMMYFUNCTION("IF(ISBLANK(A742),,FILTER('Leetcode List'!E:J,'Leetcode List'!A:A = A742))"),"Adobe,Amazon,Apple,Google")</f>
        <v>Adobe,Amazon,Apple,Google</v>
      </c>
      <c r="F742" s="85"/>
      <c r="G742" s="85" t="str">
        <f>IFERROR(__xludf.DUMMYFUNCTION("""COMPUTED_VALUE"""),"Google,Adobe")</f>
        <v>Google,Adobe</v>
      </c>
      <c r="H742" s="85" t="str">
        <f>IFERROR(__xludf.DUMMYFUNCTION("""COMPUTED_VALUE"""),"Apple,Amazon,Google,Adobe")</f>
        <v>Apple,Amazon,Google,Adobe</v>
      </c>
      <c r="I742" s="85">
        <f>IFERROR(__xludf.DUMMYFUNCTION("""COMPUTED_VALUE"""),51.27)</f>
        <v>51.27</v>
      </c>
      <c r="J742" s="85" t="str">
        <f>IFERROR(__xludf.DUMMYFUNCTION("""COMPUTED_VALUE"""),"算法")</f>
        <v>算法</v>
      </c>
    </row>
    <row r="743">
      <c r="A743" s="47">
        <v>458.0</v>
      </c>
      <c r="B743" s="86" t="str">
        <f>IFERROR(__xludf.DUMMYFUNCTION("IF(ISBLANK(A743),,FILTER('Leetcode List'!B:C,'Leetcode List'!A:A = A743))"),"Poor Pigs")</f>
        <v>Poor Pigs</v>
      </c>
      <c r="C743" s="85" t="str">
        <f>IFERROR(__xludf.DUMMYFUNCTION("""COMPUTED_VALUE"""),"Hard")</f>
        <v>Hard</v>
      </c>
      <c r="D743" s="47" t="s">
        <v>99</v>
      </c>
      <c r="E743" s="90" t="str">
        <f>IFERROR(__xludf.DUMMYFUNCTION("IF(ISBLANK(A743),,FILTER('Leetcode List'!E:J,'Leetcode List'!A:A = A743))"),"")</f>
        <v/>
      </c>
      <c r="F743" s="85"/>
      <c r="G743" s="85"/>
      <c r="H743" s="85"/>
      <c r="I743" s="85">
        <f>IFERROR(__xludf.DUMMYFUNCTION("""COMPUTED_VALUE"""),54.54)</f>
        <v>54.54</v>
      </c>
      <c r="J743" s="85" t="str">
        <f>IFERROR(__xludf.DUMMYFUNCTION("""COMPUTED_VALUE"""),"算法")</f>
        <v>算法</v>
      </c>
    </row>
    <row r="744">
      <c r="A744" s="47">
        <v>400.0</v>
      </c>
      <c r="B744" s="86" t="str">
        <f>IFERROR(__xludf.DUMMYFUNCTION("IF(ISBLANK(A744),,FILTER('Leetcode List'!B:C,'Leetcode List'!A:A = A744))"),"Nth Digit")</f>
        <v>Nth Digit</v>
      </c>
      <c r="C744" s="85" t="str">
        <f>IFERROR(__xludf.DUMMYFUNCTION("""COMPUTED_VALUE"""),"Medium")</f>
        <v>Medium</v>
      </c>
      <c r="D744" s="47" t="s">
        <v>99</v>
      </c>
      <c r="E744" s="90" t="str">
        <f>IFERROR(__xludf.DUMMYFUNCTION("IF(ISBLANK(A744),,FILTER('Leetcode List'!E:J,'Leetcode List'!A:A = A744))"),"Facebook,Google")</f>
        <v>Facebook,Google</v>
      </c>
      <c r="F744" s="85"/>
      <c r="G744" s="85" t="str">
        <f>IFERROR(__xludf.DUMMYFUNCTION("""COMPUTED_VALUE"""),"Facebook")</f>
        <v>Facebook</v>
      </c>
      <c r="H744" s="85" t="str">
        <f>IFERROR(__xludf.DUMMYFUNCTION("""COMPUTED_VALUE"""),"Google,Facebook")</f>
        <v>Google,Facebook</v>
      </c>
      <c r="I744" s="85">
        <f>IFERROR(__xludf.DUMMYFUNCTION("""COMPUTED_VALUE"""),32.4)</f>
        <v>32.4</v>
      </c>
      <c r="J744" s="85" t="str">
        <f>IFERROR(__xludf.DUMMYFUNCTION("""COMPUTED_VALUE"""),"算法")</f>
        <v>算法</v>
      </c>
    </row>
    <row r="745">
      <c r="A745" s="47">
        <v>441.0</v>
      </c>
      <c r="B745" s="86" t="str">
        <f>IFERROR(__xludf.DUMMYFUNCTION("IF(ISBLANK(A745),,FILTER('Leetcode List'!B:C,'Leetcode List'!A:A = A745))"),"Arranging Coins")</f>
        <v>Arranging Coins</v>
      </c>
      <c r="C745" s="85" t="str">
        <f>IFERROR(__xludf.DUMMYFUNCTION("""COMPUTED_VALUE"""),"Easy")</f>
        <v>Easy</v>
      </c>
      <c r="D745" s="47" t="s">
        <v>99</v>
      </c>
      <c r="E745" s="90" t="str">
        <f>IFERROR(__xludf.DUMMYFUNCTION("IF(ISBLANK(A745),,FILTER('Leetcode List'!E:J,'Leetcode List'!A:A = A745))"),"Bloomberg,GoDaddy")</f>
        <v>Bloomberg,GoDaddy</v>
      </c>
      <c r="F745" s="85"/>
      <c r="G745" s="85" t="str">
        <f>IFERROR(__xludf.DUMMYFUNCTION("""COMPUTED_VALUE"""),"Bloomberg")</f>
        <v>Bloomberg</v>
      </c>
      <c r="H745" s="85" t="str">
        <f>IFERROR(__xludf.DUMMYFUNCTION("""COMPUTED_VALUE"""),"GoDaddy,Bloomberg")</f>
        <v>GoDaddy,Bloomberg</v>
      </c>
      <c r="I745" s="85">
        <f>IFERROR(__xludf.DUMMYFUNCTION("""COMPUTED_VALUE"""),42.4)</f>
        <v>42.4</v>
      </c>
      <c r="J745" s="85" t="str">
        <f>IFERROR(__xludf.DUMMYFUNCTION("""COMPUTED_VALUE"""),"算法")</f>
        <v>算法</v>
      </c>
    </row>
    <row r="746">
      <c r="A746" s="47">
        <v>628.0</v>
      </c>
      <c r="B746" s="86" t="str">
        <f>IFERROR(__xludf.DUMMYFUNCTION("IF(ISBLANK(A746),,FILTER('Leetcode List'!B:C,'Leetcode List'!A:A = A746))"),"Maximum Product of Three Numbers")</f>
        <v>Maximum Product of Three Numbers</v>
      </c>
      <c r="C746" s="85" t="str">
        <f>IFERROR(__xludf.DUMMYFUNCTION("""COMPUTED_VALUE"""),"Easy")</f>
        <v>Easy</v>
      </c>
      <c r="D746" s="47" t="s">
        <v>99</v>
      </c>
      <c r="E746" s="90" t="str">
        <f>IFERROR(__xludf.DUMMYFUNCTION("IF(ISBLANK(A746),,FILTER('Leetcode List'!E:J,'Leetcode List'!A:A = A746))"),"Citadel,Uber,Symantec,Redfin,Intuit,Cisco,Apple,Bloomberg,Facebook,Amazon,Goldman Sachs")</f>
        <v>Citadel,Uber,Symantec,Redfin,Intuit,Cisco,Apple,Bloomberg,Facebook,Amazon,Goldman Sachs</v>
      </c>
      <c r="F746" s="85" t="str">
        <f>IFERROR(__xludf.DUMMYFUNCTION("""COMPUTED_VALUE"""),"Amazon")</f>
        <v>Amazon</v>
      </c>
      <c r="G746" s="85" t="str">
        <f>IFERROR(__xludf.DUMMYFUNCTION("""COMPUTED_VALUE"""),"Apple,Citadel,Uber,Intuit,Amazon")</f>
        <v>Apple,Citadel,Uber,Intuit,Amazon</v>
      </c>
      <c r="H746" s="85" t="str">
        <f>IFERROR(__xludf.DUMMYFUNCTION("""COMPUTED_VALUE"""),"Redfin,Facebook,Cisco,Apple,Citadel,Uber,Intuit,Amazon")</f>
        <v>Redfin,Facebook,Cisco,Apple,Citadel,Uber,Intuit,Amazon</v>
      </c>
      <c r="I746" s="85">
        <f>IFERROR(__xludf.DUMMYFUNCTION("""COMPUTED_VALUE"""),46.83)</f>
        <v>46.83</v>
      </c>
      <c r="J746" s="85" t="str">
        <f>IFERROR(__xludf.DUMMYFUNCTION("""COMPUTED_VALUE"""),"算法")</f>
        <v>算法</v>
      </c>
    </row>
    <row r="747">
      <c r="A747" s="47">
        <v>672.0</v>
      </c>
      <c r="B747" s="86" t="str">
        <f>IFERROR(__xludf.DUMMYFUNCTION("IF(ISBLANK(A747),,FILTER('Leetcode List'!B:C,'Leetcode List'!A:A = A747))"),"Bulb Switcher II")</f>
        <v>Bulb Switcher II</v>
      </c>
      <c r="C747" s="85" t="str">
        <f>IFERROR(__xludf.DUMMYFUNCTION("""COMPUTED_VALUE"""),"Medium")</f>
        <v>Medium</v>
      </c>
      <c r="D747" s="47" t="s">
        <v>99</v>
      </c>
      <c r="E747" s="90" t="str">
        <f>IFERROR(__xludf.DUMMYFUNCTION("IF(ISBLANK(A747),,FILTER('Leetcode List'!E:J,'Leetcode List'!A:A = A747))"),"Microsoft")</f>
        <v>Microsoft</v>
      </c>
      <c r="F747" s="85"/>
      <c r="G747" s="85"/>
      <c r="H747" s="85" t="str">
        <f>IFERROR(__xludf.DUMMYFUNCTION("""COMPUTED_VALUE"""),"Microsoft")</f>
        <v>Microsoft</v>
      </c>
      <c r="I747" s="85">
        <f>IFERROR(__xludf.DUMMYFUNCTION("""COMPUTED_VALUE"""),51.14)</f>
        <v>51.14</v>
      </c>
      <c r="J747" s="85" t="str">
        <f>IFERROR(__xludf.DUMMYFUNCTION("""COMPUTED_VALUE"""),"算法")</f>
        <v>算法</v>
      </c>
    </row>
    <row r="748">
      <c r="A748" s="47">
        <v>754.0</v>
      </c>
      <c r="B748" s="86" t="str">
        <f>IFERROR(__xludf.DUMMYFUNCTION("IF(ISBLANK(A748),,FILTER('Leetcode List'!B:C,'Leetcode List'!A:A = A748))"),"Reach a Number")</f>
        <v>Reach a Number</v>
      </c>
      <c r="C748" s="85" t="str">
        <f>IFERROR(__xludf.DUMMYFUNCTION("""COMPUTED_VALUE"""),"Medium")</f>
        <v>Medium</v>
      </c>
      <c r="D748" s="47" t="s">
        <v>99</v>
      </c>
      <c r="E748" s="90" t="str">
        <f>IFERROR(__xludf.DUMMYFUNCTION("IF(ISBLANK(A748),,FILTER('Leetcode List'!E:J,'Leetcode List'!A:A = A748))"),"InMobi")</f>
        <v>InMobi</v>
      </c>
      <c r="F748" s="85"/>
      <c r="G748" s="85"/>
      <c r="H748" s="85" t="str">
        <f>IFERROR(__xludf.DUMMYFUNCTION("""COMPUTED_VALUE"""),"InMobi")</f>
        <v>InMobi</v>
      </c>
      <c r="I748" s="85">
        <f>IFERROR(__xludf.DUMMYFUNCTION("""COMPUTED_VALUE"""),40.54)</f>
        <v>40.54</v>
      </c>
      <c r="J748" s="85" t="str">
        <f>IFERROR(__xludf.DUMMYFUNCTION("""COMPUTED_VALUE"""),"算法")</f>
        <v>算法</v>
      </c>
    </row>
    <row r="749">
      <c r="A749" s="47">
        <v>829.0</v>
      </c>
      <c r="B749" s="86" t="str">
        <f>IFERROR(__xludf.DUMMYFUNCTION("IF(ISBLANK(A749),,FILTER('Leetcode List'!B:C,'Leetcode List'!A:A = A749))"),"Consecutive Numbers Sum")</f>
        <v>Consecutive Numbers Sum</v>
      </c>
      <c r="C749" s="85" t="str">
        <f>IFERROR(__xludf.DUMMYFUNCTION("""COMPUTED_VALUE"""),"Hard")</f>
        <v>Hard</v>
      </c>
      <c r="D749" s="47" t="s">
        <v>99</v>
      </c>
      <c r="E749" s="90" t="str">
        <f>IFERROR(__xludf.DUMMYFUNCTION("IF(ISBLANK(A749),,FILTER('Leetcode List'!E:J,'Leetcode List'!A:A = A749))"),"Citadel,Nvidia,Citrix,Bloomberg,Amazon,Google,Roblox,Visa,VMware,Indeed,Uber")</f>
        <v>Citadel,Nvidia,Citrix,Bloomberg,Amazon,Google,Roblox,Visa,VMware,Indeed,Uber</v>
      </c>
      <c r="F749" s="85" t="str">
        <f>IFERROR(__xludf.DUMMYFUNCTION("""COMPUTED_VALUE"""),"Citadel,Visa,Amazon,Nvidia,Citrix")</f>
        <v>Citadel,Visa,Amazon,Nvidia,Citrix</v>
      </c>
      <c r="G749" s="85" t="str">
        <f>IFERROR(__xludf.DUMMYFUNCTION("""COMPUTED_VALUE"""),"Roblox,Bloomberg,Citadel,Visa,Amazon,Nvidia,Citrix")</f>
        <v>Roblox,Bloomberg,Citadel,Visa,Amazon,Nvidia,Citrix</v>
      </c>
      <c r="H749" s="85" t="str">
        <f>IFERROR(__xludf.DUMMYFUNCTION("""COMPUTED_VALUE"""),"Google,Roblox,Bloomberg,Citadel,Visa,Amazon,Nvidia,Citrix")</f>
        <v>Google,Roblox,Bloomberg,Citadel,Visa,Amazon,Nvidia,Citrix</v>
      </c>
      <c r="I749" s="85">
        <f>IFERROR(__xludf.DUMMYFUNCTION("""COMPUTED_VALUE"""),39.26)</f>
        <v>39.26</v>
      </c>
      <c r="J749" s="85" t="str">
        <f>IFERROR(__xludf.DUMMYFUNCTION("""COMPUTED_VALUE"""),"算法")</f>
        <v>算法</v>
      </c>
    </row>
    <row r="750">
      <c r="A750" s="47">
        <v>878.0</v>
      </c>
      <c r="B750" s="86" t="str">
        <f>IFERROR(__xludf.DUMMYFUNCTION("IF(ISBLANK(A750),,FILTER('Leetcode List'!B:C,'Leetcode List'!A:A = A750))"),"Nth Magical Number")</f>
        <v>Nth Magical Number</v>
      </c>
      <c r="C750" s="85" t="str">
        <f>IFERROR(__xludf.DUMMYFUNCTION("""COMPUTED_VALUE"""),"Hard")</f>
        <v>Hard</v>
      </c>
      <c r="D750" s="47" t="s">
        <v>99</v>
      </c>
      <c r="E750" s="90" t="str">
        <f>IFERROR(__xludf.DUMMYFUNCTION("IF(ISBLANK(A750),,FILTER('Leetcode List'!E:J,'Leetcode List'!A:A = A750))"),"")</f>
        <v/>
      </c>
      <c r="F750" s="85"/>
      <c r="G750" s="85"/>
      <c r="H750" s="85"/>
      <c r="I750" s="85">
        <f>IFERROR(__xludf.DUMMYFUNCTION("""COMPUTED_VALUE"""),28.8)</f>
        <v>28.8</v>
      </c>
      <c r="J750" s="85" t="str">
        <f>IFERROR(__xludf.DUMMYFUNCTION("""COMPUTED_VALUE"""),"算法")</f>
        <v>算法</v>
      </c>
    </row>
    <row r="751">
      <c r="A751" s="47">
        <v>883.0</v>
      </c>
      <c r="B751" s="86" t="str">
        <f>IFERROR(__xludf.DUMMYFUNCTION("IF(ISBLANK(A751),,FILTER('Leetcode List'!B:C,'Leetcode List'!A:A = A751))"),"Projection Area of 3D Shapes")</f>
        <v>Projection Area of 3D Shapes</v>
      </c>
      <c r="C751" s="85" t="str">
        <f>IFERROR(__xludf.DUMMYFUNCTION("""COMPUTED_VALUE"""),"Easy")</f>
        <v>Easy</v>
      </c>
      <c r="D751" s="47" t="s">
        <v>99</v>
      </c>
      <c r="E751" s="90" t="str">
        <f>IFERROR(__xludf.DUMMYFUNCTION("IF(ISBLANK(A751),,FILTER('Leetcode List'!E:J,'Leetcode List'!A:A = A751))"),"")</f>
        <v/>
      </c>
      <c r="F751" s="85"/>
      <c r="G751" s="85"/>
      <c r="H751" s="85"/>
      <c r="I751" s="85">
        <f>IFERROR(__xludf.DUMMYFUNCTION("""COMPUTED_VALUE"""),68.38)</f>
        <v>68.38</v>
      </c>
      <c r="J751" s="85" t="str">
        <f>IFERROR(__xludf.DUMMYFUNCTION("""COMPUTED_VALUE"""),"算法")</f>
        <v>算法</v>
      </c>
    </row>
    <row r="752">
      <c r="A752" s="47">
        <v>891.0</v>
      </c>
      <c r="B752" s="86" t="str">
        <f>IFERROR(__xludf.DUMMYFUNCTION("IF(ISBLANK(A752),,FILTER('Leetcode List'!B:C,'Leetcode List'!A:A = A752))"),"Sum of Subsequence Widths")</f>
        <v>Sum of Subsequence Widths</v>
      </c>
      <c r="C752" s="85" t="str">
        <f>IFERROR(__xludf.DUMMYFUNCTION("""COMPUTED_VALUE"""),"Hard")</f>
        <v>Hard</v>
      </c>
      <c r="D752" s="47" t="s">
        <v>99</v>
      </c>
      <c r="E752" s="90" t="str">
        <f>IFERROR(__xludf.DUMMYFUNCTION("IF(ISBLANK(A752),,FILTER('Leetcode List'!E:J,'Leetcode List'!A:A = A752))"),"Sapient")</f>
        <v>Sapient</v>
      </c>
      <c r="F752" s="85"/>
      <c r="G752" s="85"/>
      <c r="H752" s="85" t="str">
        <f>IFERROR(__xludf.DUMMYFUNCTION("""COMPUTED_VALUE"""),"Sapient")</f>
        <v>Sapient</v>
      </c>
      <c r="I752" s="85">
        <f>IFERROR(__xludf.DUMMYFUNCTION("""COMPUTED_VALUE"""),33.08)</f>
        <v>33.08</v>
      </c>
      <c r="J752" s="85" t="str">
        <f>IFERROR(__xludf.DUMMYFUNCTION("""COMPUTED_VALUE"""),"算法")</f>
        <v>算法</v>
      </c>
    </row>
    <row r="753">
      <c r="A753" s="47">
        <v>899.0</v>
      </c>
      <c r="B753" s="86" t="str">
        <f>IFERROR(__xludf.DUMMYFUNCTION("IF(ISBLANK(A753),,FILTER('Leetcode List'!B:C,'Leetcode List'!A:A = A753))"),"Orderly Queue")</f>
        <v>Orderly Queue</v>
      </c>
      <c r="C753" s="85" t="str">
        <f>IFERROR(__xludf.DUMMYFUNCTION("""COMPUTED_VALUE"""),"Hard")</f>
        <v>Hard</v>
      </c>
      <c r="D753" s="47" t="s">
        <v>99</v>
      </c>
      <c r="E753" s="90" t="str">
        <f>IFERROR(__xludf.DUMMYFUNCTION("IF(ISBLANK(A753),,FILTER('Leetcode List'!E:J,'Leetcode List'!A:A = A753))"),"Amazon")</f>
        <v>Amazon</v>
      </c>
      <c r="F753" s="85"/>
      <c r="G753" s="85"/>
      <c r="H753" s="85" t="str">
        <f>IFERROR(__xludf.DUMMYFUNCTION("""COMPUTED_VALUE"""),"Amazon")</f>
        <v>Amazon</v>
      </c>
      <c r="I753" s="85">
        <f>IFERROR(__xludf.DUMMYFUNCTION("""COMPUTED_VALUE"""),53.3)</f>
        <v>53.3</v>
      </c>
      <c r="J753" s="85" t="str">
        <f>IFERROR(__xludf.DUMMYFUNCTION("""COMPUTED_VALUE"""),"算法")</f>
        <v>算法</v>
      </c>
    </row>
    <row r="754">
      <c r="A754" s="47">
        <v>963.0</v>
      </c>
      <c r="B754" s="86" t="str">
        <f>IFERROR(__xludf.DUMMYFUNCTION("IF(ISBLANK(A754),,FILTER('Leetcode List'!B:C,'Leetcode List'!A:A = A754))"),"Minimum Area Rectangle II")</f>
        <v>Minimum Area Rectangle II</v>
      </c>
      <c r="C754" s="85" t="str">
        <f>IFERROR(__xludf.DUMMYFUNCTION("""COMPUTED_VALUE"""),"Medium")</f>
        <v>Medium</v>
      </c>
      <c r="D754" s="47" t="s">
        <v>99</v>
      </c>
      <c r="E754" s="90" t="str">
        <f>IFERROR(__xludf.DUMMYFUNCTION("IF(ISBLANK(A754),,FILTER('Leetcode List'!E:J,'Leetcode List'!A:A = A754))"),"Facebook,Amazon,Google")</f>
        <v>Facebook,Amazon,Google</v>
      </c>
      <c r="F754" s="85" t="str">
        <f>IFERROR(__xludf.DUMMYFUNCTION("""COMPUTED_VALUE"""),"Google")</f>
        <v>Google</v>
      </c>
      <c r="G754" s="85" t="str">
        <f>IFERROR(__xludf.DUMMYFUNCTION("""COMPUTED_VALUE"""),"Facebook,Google")</f>
        <v>Facebook,Google</v>
      </c>
      <c r="H754" s="85" t="str">
        <f>IFERROR(__xludf.DUMMYFUNCTION("""COMPUTED_VALUE"""),"Amazon,Facebook,Google")</f>
        <v>Amazon,Facebook,Google</v>
      </c>
      <c r="I754" s="85">
        <f>IFERROR(__xludf.DUMMYFUNCTION("""COMPUTED_VALUE"""),52.06)</f>
        <v>52.06</v>
      </c>
      <c r="J754" s="85" t="str">
        <f>IFERROR(__xludf.DUMMYFUNCTION("""COMPUTED_VALUE"""),"算法")</f>
        <v>算法</v>
      </c>
    </row>
    <row r="755">
      <c r="A755" s="47">
        <v>964.0</v>
      </c>
      <c r="B755" s="86" t="str">
        <f>IFERROR(__xludf.DUMMYFUNCTION("IF(ISBLANK(A755),,FILTER('Leetcode List'!B:C,'Leetcode List'!A:A = A755))"),"Least Operators to Express Number")</f>
        <v>Least Operators to Express Number</v>
      </c>
      <c r="C755" s="85" t="str">
        <f>IFERROR(__xludf.DUMMYFUNCTION("""COMPUTED_VALUE"""),"Hard")</f>
        <v>Hard</v>
      </c>
      <c r="D755" s="47" t="s">
        <v>99</v>
      </c>
      <c r="E755" s="90" t="str">
        <f>IFERROR(__xludf.DUMMYFUNCTION("IF(ISBLANK(A755),,FILTER('Leetcode List'!E:J,'Leetcode List'!A:A = A755))"),"Snapchat")</f>
        <v>Snapchat</v>
      </c>
      <c r="F755" s="85"/>
      <c r="G755" s="85"/>
      <c r="H755" s="85" t="str">
        <f>IFERROR(__xludf.DUMMYFUNCTION("""COMPUTED_VALUE"""),"Snapchat")</f>
        <v>Snapchat</v>
      </c>
      <c r="I755" s="85">
        <f>IFERROR(__xludf.DUMMYFUNCTION("""COMPUTED_VALUE"""),45.08)</f>
        <v>45.08</v>
      </c>
      <c r="J755" s="85" t="str">
        <f>IFERROR(__xludf.DUMMYFUNCTION("""COMPUTED_VALUE"""),"算法")</f>
        <v>算法</v>
      </c>
    </row>
    <row r="756">
      <c r="A756" s="47">
        <v>972.0</v>
      </c>
      <c r="B756" s="86" t="str">
        <f>IFERROR(__xludf.DUMMYFUNCTION("IF(ISBLANK(A756),,FILTER('Leetcode List'!B:C,'Leetcode List'!A:A = A756))"),"Equal Rational Numbers")</f>
        <v>Equal Rational Numbers</v>
      </c>
      <c r="C756" s="85" t="str">
        <f>IFERROR(__xludf.DUMMYFUNCTION("""COMPUTED_VALUE"""),"Hard")</f>
        <v>Hard</v>
      </c>
      <c r="D756" s="47" t="s">
        <v>99</v>
      </c>
      <c r="E756" s="90" t="str">
        <f>IFERROR(__xludf.DUMMYFUNCTION("IF(ISBLANK(A756),,FILTER('Leetcode List'!E:J,'Leetcode List'!A:A = A756))"),"Microsoft")</f>
        <v>Microsoft</v>
      </c>
      <c r="F756" s="85"/>
      <c r="G756" s="85"/>
      <c r="H756" s="85" t="str">
        <f>IFERROR(__xludf.DUMMYFUNCTION("""COMPUTED_VALUE"""),"Microsoft")</f>
        <v>Microsoft</v>
      </c>
      <c r="I756" s="85">
        <f>IFERROR(__xludf.DUMMYFUNCTION("""COMPUTED_VALUE"""),42.05)</f>
        <v>42.05</v>
      </c>
      <c r="J756" s="85" t="str">
        <f>IFERROR(__xludf.DUMMYFUNCTION("""COMPUTED_VALUE"""),"算法")</f>
        <v>算法</v>
      </c>
    </row>
    <row r="757">
      <c r="A757" s="47">
        <v>1012.0</v>
      </c>
      <c r="B757" s="86" t="str">
        <f>IFERROR(__xludf.DUMMYFUNCTION("IF(ISBLANK(A757),,FILTER('Leetcode List'!B:C,'Leetcode List'!A:A = A757))"),"Numbers With Repeated Digits")</f>
        <v>Numbers With Repeated Digits</v>
      </c>
      <c r="C757" s="85" t="str">
        <f>IFERROR(__xludf.DUMMYFUNCTION("""COMPUTED_VALUE"""),"Hard")</f>
        <v>Hard</v>
      </c>
      <c r="D757" s="47" t="s">
        <v>99</v>
      </c>
      <c r="E757" s="90" t="str">
        <f>IFERROR(__xludf.DUMMYFUNCTION("IF(ISBLANK(A757),,FILTER('Leetcode List'!E:J,'Leetcode List'!A:A = A757))"),"Akuna Capital,IBM,Google")</f>
        <v>Akuna Capital,IBM,Google</v>
      </c>
      <c r="F757" s="85"/>
      <c r="G757" s="85" t="str">
        <f>IFERROR(__xludf.DUMMYFUNCTION("""COMPUTED_VALUE"""),"Akuna Capital,IBM")</f>
        <v>Akuna Capital,IBM</v>
      </c>
      <c r="H757" s="85" t="str">
        <f>IFERROR(__xludf.DUMMYFUNCTION("""COMPUTED_VALUE"""),"Google,Akuna Capital,IBM")</f>
        <v>Google,Akuna Capital,IBM</v>
      </c>
      <c r="I757" s="85">
        <f>IFERROR(__xludf.DUMMYFUNCTION("""COMPUTED_VALUE"""),37.82)</f>
        <v>37.82</v>
      </c>
      <c r="J757" s="85" t="str">
        <f>IFERROR(__xludf.DUMMYFUNCTION("""COMPUTED_VALUE"""),"算法")</f>
        <v>算法</v>
      </c>
    </row>
    <row r="758">
      <c r="A758" s="47">
        <v>1017.0</v>
      </c>
      <c r="B758" s="86" t="str">
        <f>IFERROR(__xludf.DUMMYFUNCTION("IF(ISBLANK(A758),,FILTER('Leetcode List'!B:C,'Leetcode List'!A:A = A758))"),"Convert to Base -2")</f>
        <v>Convert to Base -2</v>
      </c>
      <c r="C758" s="85" t="str">
        <f>IFERROR(__xludf.DUMMYFUNCTION("""COMPUTED_VALUE"""),"Medium")</f>
        <v>Medium</v>
      </c>
      <c r="D758" s="47" t="s">
        <v>99</v>
      </c>
      <c r="E758" s="90" t="str">
        <f>IFERROR(__xludf.DUMMYFUNCTION("IF(ISBLANK(A758),,FILTER('Leetcode List'!E:J,'Leetcode List'!A:A = A758))"),"Grab,Airbnb")</f>
        <v>Grab,Airbnb</v>
      </c>
      <c r="F758" s="85" t="str">
        <f>IFERROR(__xludf.DUMMYFUNCTION("""COMPUTED_VALUE"""),"Grab")</f>
        <v>Grab</v>
      </c>
      <c r="G758" s="85" t="str">
        <f>IFERROR(__xludf.DUMMYFUNCTION("""COMPUTED_VALUE"""),"Grab")</f>
        <v>Grab</v>
      </c>
      <c r="H758" s="85" t="str">
        <f>IFERROR(__xludf.DUMMYFUNCTION("""COMPUTED_VALUE"""),"Airbnb,Grab")</f>
        <v>Airbnb,Grab</v>
      </c>
      <c r="I758" s="85">
        <f>IFERROR(__xludf.DUMMYFUNCTION("""COMPUTED_VALUE"""),59.8)</f>
        <v>59.8</v>
      </c>
      <c r="J758" s="85" t="str">
        <f>IFERROR(__xludf.DUMMYFUNCTION("""COMPUTED_VALUE"""),"算法")</f>
        <v>算法</v>
      </c>
    </row>
    <row r="759">
      <c r="A759" s="47">
        <v>1073.0</v>
      </c>
      <c r="B759" s="86" t="str">
        <f>IFERROR(__xludf.DUMMYFUNCTION("IF(ISBLANK(A759),,FILTER('Leetcode List'!B:C,'Leetcode List'!A:A = A759))"),"Adding Two Negabinary Numbers")</f>
        <v>Adding Two Negabinary Numbers</v>
      </c>
      <c r="C759" s="85" t="str">
        <f>IFERROR(__xludf.DUMMYFUNCTION("""COMPUTED_VALUE"""),"Medium")</f>
        <v>Medium</v>
      </c>
      <c r="D759" s="47" t="s">
        <v>99</v>
      </c>
      <c r="E759" s="90" t="str">
        <f>IFERROR(__xludf.DUMMYFUNCTION("IF(ISBLANK(A759),,FILTER('Leetcode List'!E:J,'Leetcode List'!A:A = A759))"),"Grab")</f>
        <v>Grab</v>
      </c>
      <c r="F759" s="85"/>
      <c r="G759" s="85"/>
      <c r="H759" s="85" t="str">
        <f>IFERROR(__xludf.DUMMYFUNCTION("""COMPUTED_VALUE"""),"Grab")</f>
        <v>Grab</v>
      </c>
      <c r="I759" s="85">
        <f>IFERROR(__xludf.DUMMYFUNCTION("""COMPUTED_VALUE"""),34.78)</f>
        <v>34.78</v>
      </c>
      <c r="J759" s="85" t="str">
        <f>IFERROR(__xludf.DUMMYFUNCTION("""COMPUTED_VALUE"""),"算法")</f>
        <v>算法</v>
      </c>
    </row>
    <row r="760">
      <c r="A760" s="47">
        <v>1025.0</v>
      </c>
      <c r="B760" s="86" t="str">
        <f>IFERROR(__xludf.DUMMYFUNCTION("IF(ISBLANK(A760),,FILTER('Leetcode List'!B:C,'Leetcode List'!A:A = A760))"),"Divisor Game")</f>
        <v>Divisor Game</v>
      </c>
      <c r="C760" s="85" t="str">
        <f>IFERROR(__xludf.DUMMYFUNCTION("""COMPUTED_VALUE"""),"Easy")</f>
        <v>Easy</v>
      </c>
      <c r="D760" s="47" t="s">
        <v>99</v>
      </c>
      <c r="E760" s="90" t="str">
        <f>IFERROR(__xludf.DUMMYFUNCTION("IF(ISBLANK(A760),,FILTER('Leetcode List'!E:J,'Leetcode List'!A:A = A760))"),"Yahoo,Bloomberg,Adobe,Amazon,Visa,Google")</f>
        <v>Yahoo,Bloomberg,Adobe,Amazon,Visa,Google</v>
      </c>
      <c r="F760" s="85" t="str">
        <f>IFERROR(__xludf.DUMMYFUNCTION("""COMPUTED_VALUE"""),"Amazon,Adobe,Bloomberg")</f>
        <v>Amazon,Adobe,Bloomberg</v>
      </c>
      <c r="G760" s="85" t="str">
        <f>IFERROR(__xludf.DUMMYFUNCTION("""COMPUTED_VALUE"""),"Amazon,Adobe,Bloomberg")</f>
        <v>Amazon,Adobe,Bloomberg</v>
      </c>
      <c r="H760" s="85" t="str">
        <f>IFERROR(__xludf.DUMMYFUNCTION("""COMPUTED_VALUE"""),"Yahoo,Google,Visa,Amazon,Adobe,Bloomberg")</f>
        <v>Yahoo,Google,Visa,Amazon,Adobe,Bloomberg</v>
      </c>
      <c r="I760" s="85">
        <f>IFERROR(__xludf.DUMMYFUNCTION("""COMPUTED_VALUE"""),66.1)</f>
        <v>66.1</v>
      </c>
      <c r="J760" s="85" t="str">
        <f>IFERROR(__xludf.DUMMYFUNCTION("""COMPUTED_VALUE"""),"算法")</f>
        <v>算法</v>
      </c>
    </row>
    <row r="761">
      <c r="A761" s="47">
        <v>1040.0</v>
      </c>
      <c r="B761" s="86" t="str">
        <f>IFERROR(__xludf.DUMMYFUNCTION("IF(ISBLANK(A761),,FILTER('Leetcode List'!B:C,'Leetcode List'!A:A = A761))"),"Moving Stones Until Consecutive II")</f>
        <v>Moving Stones Until Consecutive II</v>
      </c>
      <c r="C761" s="85" t="str">
        <f>IFERROR(__xludf.DUMMYFUNCTION("""COMPUTED_VALUE"""),"Medium")</f>
        <v>Medium</v>
      </c>
      <c r="D761" s="47" t="s">
        <v>99</v>
      </c>
      <c r="E761" s="90" t="str">
        <f>IFERROR(__xludf.DUMMYFUNCTION("IF(ISBLANK(A761),,FILTER('Leetcode List'!E:J,'Leetcode List'!A:A = A761))"),"Facebook")</f>
        <v>Facebook</v>
      </c>
      <c r="F761" s="85"/>
      <c r="G761" s="85"/>
      <c r="H761" s="85" t="str">
        <f>IFERROR(__xludf.DUMMYFUNCTION("""COMPUTED_VALUE"""),"Facebook")</f>
        <v>Facebook</v>
      </c>
      <c r="I761" s="85">
        <f>IFERROR(__xludf.DUMMYFUNCTION("""COMPUTED_VALUE"""),54.06)</f>
        <v>54.06</v>
      </c>
      <c r="J761" s="85" t="str">
        <f>IFERROR(__xludf.DUMMYFUNCTION("""COMPUTED_VALUE"""),"算法")</f>
        <v>算法</v>
      </c>
    </row>
    <row r="762">
      <c r="A762" s="47">
        <v>1015.0</v>
      </c>
      <c r="B762" s="86" t="str">
        <f>IFERROR(__xludf.DUMMYFUNCTION("IF(ISBLANK(A762),,FILTER('Leetcode List'!B:C,'Leetcode List'!A:A = A762))"),"Smallest Integer Divisible by K")</f>
        <v>Smallest Integer Divisible by K</v>
      </c>
      <c r="C762" s="85" t="str">
        <f>IFERROR(__xludf.DUMMYFUNCTION("""COMPUTED_VALUE"""),"Medium")</f>
        <v>Medium</v>
      </c>
      <c r="D762" s="47" t="s">
        <v>99</v>
      </c>
      <c r="E762" s="90" t="str">
        <f>IFERROR(__xludf.DUMMYFUNCTION("IF(ISBLANK(A762),,FILTER('Leetcode List'!E:J,'Leetcode List'!A:A = A762))"),"Google")</f>
        <v>Google</v>
      </c>
      <c r="F762" s="85"/>
      <c r="G762" s="85"/>
      <c r="H762" s="85" t="str">
        <f>IFERROR(__xludf.DUMMYFUNCTION("""COMPUTED_VALUE"""),"Google")</f>
        <v>Google</v>
      </c>
      <c r="I762" s="85">
        <f>IFERROR(__xludf.DUMMYFUNCTION("""COMPUTED_VALUE"""),41.87)</f>
        <v>41.87</v>
      </c>
      <c r="J762" s="85" t="str">
        <f>IFERROR(__xludf.DUMMYFUNCTION("""COMPUTED_VALUE"""),"算法")</f>
        <v>算法</v>
      </c>
    </row>
    <row r="763">
      <c r="A763" s="47">
        <v>1103.0</v>
      </c>
      <c r="B763" s="86" t="str">
        <f>IFERROR(__xludf.DUMMYFUNCTION("IF(ISBLANK(A763),,FILTER('Leetcode List'!B:C,'Leetcode List'!A:A = A763))"),"Distribute Candies to People")</f>
        <v>Distribute Candies to People</v>
      </c>
      <c r="C763" s="85" t="str">
        <f>IFERROR(__xludf.DUMMYFUNCTION("""COMPUTED_VALUE"""),"Easy")</f>
        <v>Easy</v>
      </c>
      <c r="D763" s="47" t="s">
        <v>99</v>
      </c>
      <c r="E763" s="90" t="str">
        <f>IFERROR(__xludf.DUMMYFUNCTION("IF(ISBLANK(A763),,FILTER('Leetcode List'!E:J,'Leetcode List'!A:A = A763))"),"")</f>
        <v/>
      </c>
      <c r="F763" s="85"/>
      <c r="G763" s="85"/>
      <c r="H763" s="85"/>
      <c r="I763" s="85">
        <f>IFERROR(__xludf.DUMMYFUNCTION("""COMPUTED_VALUE"""),63.47)</f>
        <v>63.47</v>
      </c>
      <c r="J763" s="85" t="str">
        <f>IFERROR(__xludf.DUMMYFUNCTION("""COMPUTED_VALUE"""),"算法")</f>
        <v>算法</v>
      </c>
    </row>
    <row r="764">
      <c r="A764" s="47">
        <v>1330.0</v>
      </c>
      <c r="B764" s="86" t="str">
        <f>IFERROR(__xludf.DUMMYFUNCTION("IF(ISBLANK(A764),,FILTER('Leetcode List'!B:C,'Leetcode List'!A:A = A764))"),"Reverse Subarray To Maximize Array Value")</f>
        <v>Reverse Subarray To Maximize Array Value</v>
      </c>
      <c r="C764" s="85" t="str">
        <f>IFERROR(__xludf.DUMMYFUNCTION("""COMPUTED_VALUE"""),"Hard")</f>
        <v>Hard</v>
      </c>
      <c r="D764" s="47" t="s">
        <v>99</v>
      </c>
      <c r="E764" s="90" t="str">
        <f>IFERROR(__xludf.DUMMYFUNCTION("IF(ISBLANK(A764),,FILTER('Leetcode List'!E:J,'Leetcode List'!A:A = A764))"),"Codenation")</f>
        <v>Codenation</v>
      </c>
      <c r="F764" s="85"/>
      <c r="G764" s="85"/>
      <c r="H764" s="85" t="str">
        <f>IFERROR(__xludf.DUMMYFUNCTION("""COMPUTED_VALUE"""),"Codenation")</f>
        <v>Codenation</v>
      </c>
      <c r="I764" s="85">
        <f>IFERROR(__xludf.DUMMYFUNCTION("""COMPUTED_VALUE"""),36.74)</f>
        <v>36.74</v>
      </c>
      <c r="J764" s="85" t="str">
        <f>IFERROR(__xludf.DUMMYFUNCTION("""COMPUTED_VALUE"""),"算法")</f>
        <v>算法</v>
      </c>
    </row>
    <row r="765">
      <c r="A765" s="47">
        <v>1250.0</v>
      </c>
      <c r="B765" s="86" t="str">
        <f>IFERROR(__xludf.DUMMYFUNCTION("IF(ISBLANK(A765),,FILTER('Leetcode List'!B:C,'Leetcode List'!A:A = A765))"),"Check If It Is a Good Array")</f>
        <v>Check If It Is a Good Array</v>
      </c>
      <c r="C765" s="85" t="str">
        <f>IFERROR(__xludf.DUMMYFUNCTION("""COMPUTED_VALUE"""),"Hard")</f>
        <v>Hard</v>
      </c>
      <c r="D765" s="47" t="s">
        <v>99</v>
      </c>
      <c r="E765" s="90" t="str">
        <f>IFERROR(__xludf.DUMMYFUNCTION("IF(ISBLANK(A765),,FILTER('Leetcode List'!E:J,'Leetcode List'!A:A = A765))"),"Dropbox")</f>
        <v>Dropbox</v>
      </c>
      <c r="F765" s="85"/>
      <c r="G765" s="85"/>
      <c r="H765" s="85" t="str">
        <f>IFERROR(__xludf.DUMMYFUNCTION("""COMPUTED_VALUE"""),"Dropbox")</f>
        <v>Dropbox</v>
      </c>
      <c r="I765" s="85">
        <f>IFERROR(__xludf.DUMMYFUNCTION("""COMPUTED_VALUE"""),56.22)</f>
        <v>56.22</v>
      </c>
      <c r="J765" s="85" t="str">
        <f>IFERROR(__xludf.DUMMYFUNCTION("""COMPUTED_VALUE"""),"算法")</f>
        <v>算法</v>
      </c>
    </row>
    <row r="766">
      <c r="A766" s="47">
        <v>1605.0</v>
      </c>
      <c r="B766" s="86" t="str">
        <f>IFERROR(__xludf.DUMMYFUNCTION("IF(ISBLANK(A766),,FILTER('Leetcode List'!B:C,'Leetcode List'!A:A = A766))"),"Find Valid Matrix Given Row and Column Sums")</f>
        <v>Find Valid Matrix Given Row and Column Sums</v>
      </c>
      <c r="C766" s="85" t="str">
        <f>IFERROR(__xludf.DUMMYFUNCTION("""COMPUTED_VALUE"""),"Medium")</f>
        <v>Medium</v>
      </c>
      <c r="D766" s="47" t="s">
        <v>99</v>
      </c>
      <c r="E766" s="90" t="str">
        <f>IFERROR(__xludf.DUMMYFUNCTION("IF(ISBLANK(A766),,FILTER('Leetcode List'!E:J,'Leetcode List'!A:A = A766))"),"Google")</f>
        <v>Google</v>
      </c>
      <c r="F766" s="85"/>
      <c r="G766" s="85"/>
      <c r="H766" s="85" t="str">
        <f>IFERROR(__xludf.DUMMYFUNCTION("""COMPUTED_VALUE"""),"Google")</f>
        <v>Google</v>
      </c>
      <c r="I766" s="85">
        <f>IFERROR(__xludf.DUMMYFUNCTION("""COMPUTED_VALUE"""),77.25)</f>
        <v>77.25</v>
      </c>
      <c r="J766" s="85" t="str">
        <f>IFERROR(__xludf.DUMMYFUNCTION("""COMPUTED_VALUE"""),"算法")</f>
        <v>算法</v>
      </c>
    </row>
    <row r="767">
      <c r="A767" s="47">
        <v>1680.0</v>
      </c>
      <c r="B767" s="86" t="str">
        <f>IFERROR(__xludf.DUMMYFUNCTION("IF(ISBLANK(A767),,FILTER('Leetcode List'!B:C,'Leetcode List'!A:A = A767))"),"Concatenation of Consecutive Binary Numbers")</f>
        <v>Concatenation of Consecutive Binary Numbers</v>
      </c>
      <c r="C767" s="85" t="str">
        <f>IFERROR(__xludf.DUMMYFUNCTION("""COMPUTED_VALUE"""),"Medium")</f>
        <v>Medium</v>
      </c>
      <c r="D767" s="47" t="s">
        <v>99</v>
      </c>
      <c r="E767" s="90" t="str">
        <f>IFERROR(__xludf.DUMMYFUNCTION("IF(ISBLANK(A767),,FILTER('Leetcode List'!E:J,'Leetcode List'!A:A = A767))"),"Amazon")</f>
        <v>Amazon</v>
      </c>
      <c r="F767" s="85"/>
      <c r="G767" s="85"/>
      <c r="H767" s="85" t="str">
        <f>IFERROR(__xludf.DUMMYFUNCTION("""COMPUTED_VALUE"""),"Amazon")</f>
        <v>Amazon</v>
      </c>
      <c r="I767" s="85">
        <f>IFERROR(__xludf.DUMMYFUNCTION("""COMPUTED_VALUE"""),52.26)</f>
        <v>52.26</v>
      </c>
      <c r="J767" s="85" t="str">
        <f>IFERROR(__xludf.DUMMYFUNCTION("""COMPUTED_VALUE"""),"算法")</f>
        <v>算法</v>
      </c>
    </row>
    <row r="768">
      <c r="A768" s="47">
        <v>1739.0</v>
      </c>
      <c r="B768" s="86" t="str">
        <f>IFERROR(__xludf.DUMMYFUNCTION("IF(ISBLANK(A768),,FILTER('Leetcode List'!B:C,'Leetcode List'!A:A = A768))"),"Building Boxes")</f>
        <v>Building Boxes</v>
      </c>
      <c r="C768" s="85" t="str">
        <f>IFERROR(__xludf.DUMMYFUNCTION("""COMPUTED_VALUE"""),"Hard")</f>
        <v>Hard</v>
      </c>
      <c r="D768" s="47" t="s">
        <v>99</v>
      </c>
      <c r="E768" s="90" t="str">
        <f>IFERROR(__xludf.DUMMYFUNCTION("IF(ISBLANK(A768),,FILTER('Leetcode List'!E:J,'Leetcode List'!A:A = A768))"),"Codenation")</f>
        <v>Codenation</v>
      </c>
      <c r="F768" s="85" t="str">
        <f>IFERROR(__xludf.DUMMYFUNCTION("""COMPUTED_VALUE"""),"Codenation")</f>
        <v>Codenation</v>
      </c>
      <c r="G768" s="85" t="str">
        <f>IFERROR(__xludf.DUMMYFUNCTION("""COMPUTED_VALUE"""),"Codenation")</f>
        <v>Codenation</v>
      </c>
      <c r="H768" s="85" t="str">
        <f>IFERROR(__xludf.DUMMYFUNCTION("""COMPUTED_VALUE"""),"Codenation")</f>
        <v>Codenation</v>
      </c>
      <c r="I768" s="85">
        <f>IFERROR(__xludf.DUMMYFUNCTION("""COMPUTED_VALUE"""),49.57)</f>
        <v>49.57</v>
      </c>
      <c r="J768" s="85" t="str">
        <f>IFERROR(__xludf.DUMMYFUNCTION("""COMPUTED_VALUE"""),"算法")</f>
        <v>算法</v>
      </c>
    </row>
    <row r="769">
      <c r="A769" s="47">
        <v>296.0</v>
      </c>
      <c r="B769" s="86" t="str">
        <f>IFERROR(__xludf.DUMMYFUNCTION("IF(ISBLANK(A769),,FILTER('Leetcode List'!B:C,'Leetcode List'!A:A = A769))"),"Best Meeting Point")</f>
        <v>Best Meeting Point</v>
      </c>
      <c r="C769" s="85" t="str">
        <f>IFERROR(__xludf.DUMMYFUNCTION("""COMPUTED_VALUE"""),"Hard")</f>
        <v>Hard</v>
      </c>
      <c r="D769" s="47" t="s">
        <v>99</v>
      </c>
      <c r="E769" s="90" t="str">
        <f>IFERROR(__xludf.DUMMYFUNCTION("IF(ISBLANK(A769),,FILTER('Leetcode List'!E:J,'Leetcode List'!A:A = A769))"),"Bloomberg,Microsoft,Snapchat,Twitter,Facebook,Amazon,LinkedIn,Google")</f>
        <v>Bloomberg,Microsoft,Snapchat,Twitter,Facebook,Amazon,LinkedIn,Google</v>
      </c>
      <c r="F769" s="85" t="str">
        <f>IFERROR(__xludf.DUMMYFUNCTION("""COMPUTED_VALUE"""),"Bloomberg,Microsoft")</f>
        <v>Bloomberg,Microsoft</v>
      </c>
      <c r="G769" s="85" t="str">
        <f>IFERROR(__xludf.DUMMYFUNCTION("""COMPUTED_VALUE"""),"Google,Amazon,Bloomberg,Microsoft")</f>
        <v>Google,Amazon,Bloomberg,Microsoft</v>
      </c>
      <c r="H769" s="85" t="str">
        <f>IFERROR(__xludf.DUMMYFUNCTION("""COMPUTED_VALUE"""),"Snapchat,LinkedIn,Twitter,Google,Amazon,Bloomberg,Microsoft")</f>
        <v>Snapchat,LinkedIn,Twitter,Google,Amazon,Bloomberg,Microsoft</v>
      </c>
      <c r="I769" s="85">
        <f>IFERROR(__xludf.DUMMYFUNCTION("""COMPUTED_VALUE"""),58.14)</f>
        <v>58.14</v>
      </c>
      <c r="J769" s="85" t="str">
        <f>IFERROR(__xludf.DUMMYFUNCTION("""COMPUTED_VALUE"""),"算法")</f>
        <v>算法</v>
      </c>
      <c r="K769" s="2" t="s">
        <v>5022</v>
      </c>
    </row>
    <row r="770">
      <c r="A770" s="47">
        <v>1131.0</v>
      </c>
      <c r="B770" s="86" t="str">
        <f>IFERROR(__xludf.DUMMYFUNCTION("IF(ISBLANK(A770),,FILTER('Leetcode List'!B:C,'Leetcode List'!A:A = A770))"),"Maximum of Absolute Value Expression")</f>
        <v>Maximum of Absolute Value Expression</v>
      </c>
      <c r="C770" s="85" t="str">
        <f>IFERROR(__xludf.DUMMYFUNCTION("""COMPUTED_VALUE"""),"Medium")</f>
        <v>Medium</v>
      </c>
      <c r="D770" s="47" t="s">
        <v>99</v>
      </c>
      <c r="E770" s="90" t="str">
        <f>IFERROR(__xludf.DUMMYFUNCTION("IF(ISBLANK(A770),,FILTER('Leetcode List'!E:J,'Leetcode List'!A:A = A770))"),"Microsoft,Google")</f>
        <v>Microsoft,Google</v>
      </c>
      <c r="F770" s="85" t="str">
        <f>IFERROR(__xludf.DUMMYFUNCTION("""COMPUTED_VALUE"""),"Google")</f>
        <v>Google</v>
      </c>
      <c r="G770" s="85" t="str">
        <f>IFERROR(__xludf.DUMMYFUNCTION("""COMPUTED_VALUE"""),"Google")</f>
        <v>Google</v>
      </c>
      <c r="H770" s="85" t="str">
        <f>IFERROR(__xludf.DUMMYFUNCTION("""COMPUTED_VALUE"""),"Microsoft,Google")</f>
        <v>Microsoft,Google</v>
      </c>
      <c r="I770" s="85">
        <f>IFERROR(__xludf.DUMMYFUNCTION("""COMPUTED_VALUE"""),51.7)</f>
        <v>51.7</v>
      </c>
      <c r="J770" s="85" t="str">
        <f>IFERROR(__xludf.DUMMYFUNCTION("""COMPUTED_VALUE"""),"算法")</f>
        <v>算法</v>
      </c>
      <c r="K770" s="2" t="s">
        <v>5022</v>
      </c>
    </row>
    <row r="771">
      <c r="A771" s="47">
        <v>1515.0</v>
      </c>
      <c r="B771" s="86" t="str">
        <f>IFERROR(__xludf.DUMMYFUNCTION("IF(ISBLANK(A771),,FILTER('Leetcode List'!B:C,'Leetcode List'!A:A = A771))"),"Best Position for a Service Centre")</f>
        <v>Best Position for a Service Centre</v>
      </c>
      <c r="C771" s="85" t="str">
        <f>IFERROR(__xludf.DUMMYFUNCTION("""COMPUTED_VALUE"""),"Hard")</f>
        <v>Hard</v>
      </c>
      <c r="D771" s="47" t="s">
        <v>99</v>
      </c>
      <c r="E771" s="90" t="str">
        <f>IFERROR(__xludf.DUMMYFUNCTION("IF(ISBLANK(A771),,FILTER('Leetcode List'!E:J,'Leetcode List'!A:A = A771))"),"Reddit,Citadel,Uber")</f>
        <v>Reddit,Citadel,Uber</v>
      </c>
      <c r="F771" s="85" t="str">
        <f>IFERROR(__xludf.DUMMYFUNCTION("""COMPUTED_VALUE"""),"Reddit,Uber")</f>
        <v>Reddit,Uber</v>
      </c>
      <c r="G771" s="85" t="str">
        <f>IFERROR(__xludf.DUMMYFUNCTION("""COMPUTED_VALUE"""),"Reddit,Uber")</f>
        <v>Reddit,Uber</v>
      </c>
      <c r="H771" s="85" t="str">
        <f>IFERROR(__xludf.DUMMYFUNCTION("""COMPUTED_VALUE"""),"Citadel,Reddit,Uber")</f>
        <v>Citadel,Reddit,Uber</v>
      </c>
      <c r="I771" s="85">
        <f>IFERROR(__xludf.DUMMYFUNCTION("""COMPUTED_VALUE"""),38.14)</f>
        <v>38.14</v>
      </c>
      <c r="J771" s="85" t="str">
        <f>IFERROR(__xludf.DUMMYFUNCTION("""COMPUTED_VALUE"""),"算法")</f>
        <v>算法</v>
      </c>
      <c r="K771" s="2" t="s">
        <v>5022</v>
      </c>
    </row>
    <row r="772">
      <c r="A772" s="47">
        <v>1703.0</v>
      </c>
      <c r="B772" s="86" t="str">
        <f>IFERROR(__xludf.DUMMYFUNCTION("IF(ISBLANK(A772),,FILTER('Leetcode List'!B:C,'Leetcode List'!A:A = A772))"),"Minimum Adjacent Swaps for K Consecutive Ones")</f>
        <v>Minimum Adjacent Swaps for K Consecutive Ones</v>
      </c>
      <c r="C772" s="85" t="str">
        <f>IFERROR(__xludf.DUMMYFUNCTION("""COMPUTED_VALUE"""),"Hard")</f>
        <v>Hard</v>
      </c>
      <c r="D772" s="47" t="s">
        <v>99</v>
      </c>
      <c r="E772" s="90" t="str">
        <f>IFERROR(__xludf.DUMMYFUNCTION("IF(ISBLANK(A772),,FILTER('Leetcode List'!E:J,'Leetcode List'!A:A = A772))"),"Microsoft,Google")</f>
        <v>Microsoft,Google</v>
      </c>
      <c r="F772" s="85" t="str">
        <f>IFERROR(__xludf.DUMMYFUNCTION("""COMPUTED_VALUE"""),"Microsoft")</f>
        <v>Microsoft</v>
      </c>
      <c r="G772" s="85" t="str">
        <f>IFERROR(__xludf.DUMMYFUNCTION("""COMPUTED_VALUE"""),"Microsoft")</f>
        <v>Microsoft</v>
      </c>
      <c r="H772" s="85" t="str">
        <f>IFERROR(__xludf.DUMMYFUNCTION("""COMPUTED_VALUE"""),"Google,Microsoft")</f>
        <v>Google,Microsoft</v>
      </c>
      <c r="I772" s="85">
        <f>IFERROR(__xludf.DUMMYFUNCTION("""COMPUTED_VALUE"""),39.84)</f>
        <v>39.84</v>
      </c>
      <c r="J772" s="85" t="str">
        <f>IFERROR(__xludf.DUMMYFUNCTION("""COMPUTED_VALUE"""),"算法")</f>
        <v>算法</v>
      </c>
      <c r="K772" s="2" t="s">
        <v>5022</v>
      </c>
    </row>
    <row r="773">
      <c r="A773" s="47">
        <v>223.0</v>
      </c>
      <c r="B773" s="86" t="str">
        <f>IFERROR(__xludf.DUMMYFUNCTION("IF(ISBLANK(A773),,FILTER('Leetcode List'!B:C,'Leetcode List'!A:A = A773))"),"Rectangle Area")</f>
        <v>Rectangle Area</v>
      </c>
      <c r="C773" s="85" t="str">
        <f>IFERROR(__xludf.DUMMYFUNCTION("""COMPUTED_VALUE"""),"Medium")</f>
        <v>Medium</v>
      </c>
      <c r="D773" s="47" t="s">
        <v>99</v>
      </c>
      <c r="E773" s="90" t="str">
        <f>IFERROR(__xludf.DUMMYFUNCTION("IF(ISBLANK(A773),,FILTER('Leetcode List'!E:J,'Leetcode List'!A:A = A773))"),"Zillow,Amazon,Nvidia,Apple,Facebook,Microsoft")</f>
        <v>Zillow,Amazon,Nvidia,Apple,Facebook,Microsoft</v>
      </c>
      <c r="F773" s="85" t="str">
        <f>IFERROR(__xludf.DUMMYFUNCTION("""COMPUTED_VALUE"""),"Zillow")</f>
        <v>Zillow</v>
      </c>
      <c r="G773" s="85" t="str">
        <f>IFERROR(__xludf.DUMMYFUNCTION("""COMPUTED_VALUE"""),"Apple,Zillow")</f>
        <v>Apple,Zillow</v>
      </c>
      <c r="H773" s="85" t="str">
        <f>IFERROR(__xludf.DUMMYFUNCTION("""COMPUTED_VALUE"""),"Facebook,Amazon,Apple,Zillow")</f>
        <v>Facebook,Amazon,Apple,Zillow</v>
      </c>
      <c r="I773" s="85">
        <f>IFERROR(__xludf.DUMMYFUNCTION("""COMPUTED_VALUE"""),38.28)</f>
        <v>38.28</v>
      </c>
      <c r="J773" s="85" t="str">
        <f>IFERROR(__xludf.DUMMYFUNCTION("""COMPUTED_VALUE"""),"算法")</f>
        <v>算法</v>
      </c>
      <c r="K773" s="2" t="s">
        <v>582</v>
      </c>
    </row>
    <row r="774">
      <c r="A774" s="47">
        <v>1401.0</v>
      </c>
      <c r="B774" s="86" t="str">
        <f>IFERROR(__xludf.DUMMYFUNCTION("IF(ISBLANK(A774),,FILTER('Leetcode List'!B:C,'Leetcode List'!A:A = A774))"),"Circle and Rectangle Overlapping")</f>
        <v>Circle and Rectangle Overlapping</v>
      </c>
      <c r="C774" s="85" t="str">
        <f>IFERROR(__xludf.DUMMYFUNCTION("""COMPUTED_VALUE"""),"Medium")</f>
        <v>Medium</v>
      </c>
      <c r="D774" s="47" t="s">
        <v>99</v>
      </c>
      <c r="E774" s="90" t="str">
        <f>IFERROR(__xludf.DUMMYFUNCTION("IF(ISBLANK(A774),,FILTER('Leetcode List'!E:J,'Leetcode List'!A:A = A774))"),"Google")</f>
        <v>Google</v>
      </c>
      <c r="F774" s="85"/>
      <c r="G774" s="85"/>
      <c r="H774" s="85" t="str">
        <f>IFERROR(__xludf.DUMMYFUNCTION("""COMPUTED_VALUE"""),"Google")</f>
        <v>Google</v>
      </c>
      <c r="I774" s="85">
        <f>IFERROR(__xludf.DUMMYFUNCTION("""COMPUTED_VALUE"""),42.44)</f>
        <v>42.44</v>
      </c>
      <c r="J774" s="85" t="str">
        <f>IFERROR(__xludf.DUMMYFUNCTION("""COMPUTED_VALUE"""),"算法")</f>
        <v>算法</v>
      </c>
      <c r="K774" s="2" t="s">
        <v>582</v>
      </c>
    </row>
    <row r="775">
      <c r="A775" s="47">
        <v>1453.0</v>
      </c>
      <c r="B775" s="86" t="str">
        <f>IFERROR(__xludf.DUMMYFUNCTION("IF(ISBLANK(A775),,FILTER('Leetcode List'!B:C,'Leetcode List'!A:A = A775))"),"Maximum Number of Darts Inside of a Circular Dartboard")</f>
        <v>Maximum Number of Darts Inside of a Circular Dartboard</v>
      </c>
      <c r="C775" s="85" t="str">
        <f>IFERROR(__xludf.DUMMYFUNCTION("""COMPUTED_VALUE"""),"Hard")</f>
        <v>Hard</v>
      </c>
      <c r="D775" s="47" t="s">
        <v>99</v>
      </c>
      <c r="E775" s="90" t="str">
        <f>IFERROR(__xludf.DUMMYFUNCTION("IF(ISBLANK(A775),,FILTER('Leetcode List'!E:J,'Leetcode List'!A:A = A775))"),"Facebook")</f>
        <v>Facebook</v>
      </c>
      <c r="F775" s="85"/>
      <c r="G775" s="85"/>
      <c r="H775" s="85" t="str">
        <f>IFERROR(__xludf.DUMMYFUNCTION("""COMPUTED_VALUE"""),"Facebook")</f>
        <v>Facebook</v>
      </c>
      <c r="I775" s="85">
        <f>IFERROR(__xludf.DUMMYFUNCTION("""COMPUTED_VALUE"""),35.38)</f>
        <v>35.38</v>
      </c>
      <c r="J775" s="85" t="str">
        <f>IFERROR(__xludf.DUMMYFUNCTION("""COMPUTED_VALUE"""),"算法")</f>
        <v>算法</v>
      </c>
      <c r="K775" s="2" t="s">
        <v>582</v>
      </c>
    </row>
    <row r="776">
      <c r="A776" s="47">
        <v>1610.0</v>
      </c>
      <c r="B776" s="86" t="str">
        <f>IFERROR(__xludf.DUMMYFUNCTION("IF(ISBLANK(A776),,FILTER('Leetcode List'!B:C,'Leetcode List'!A:A = A776))"),"Maximum Number of Visible Points")</f>
        <v>Maximum Number of Visible Points</v>
      </c>
      <c r="C776" s="85" t="str">
        <f>IFERROR(__xludf.DUMMYFUNCTION("""COMPUTED_VALUE"""),"Hard")</f>
        <v>Hard</v>
      </c>
      <c r="D776" s="47" t="s">
        <v>99</v>
      </c>
      <c r="E776" s="90" t="str">
        <f>IFERROR(__xludf.DUMMYFUNCTION("IF(ISBLANK(A776),,FILTER('Leetcode List'!E:J,'Leetcode List'!A:A = A776))"),"Nvidia,Amazon,Google")</f>
        <v>Nvidia,Amazon,Google</v>
      </c>
      <c r="F776" s="85" t="str">
        <f>IFERROR(__xludf.DUMMYFUNCTION("""COMPUTED_VALUE"""),"Google,Amazon")</f>
        <v>Google,Amazon</v>
      </c>
      <c r="G776" s="85" t="str">
        <f>IFERROR(__xludf.DUMMYFUNCTION("""COMPUTED_VALUE"""),"Google,Amazon")</f>
        <v>Google,Amazon</v>
      </c>
      <c r="H776" s="85" t="str">
        <f>IFERROR(__xludf.DUMMYFUNCTION("""COMPUTED_VALUE"""),"Nvidia,Google,Amazon")</f>
        <v>Nvidia,Google,Amazon</v>
      </c>
      <c r="I776" s="85">
        <f>IFERROR(__xludf.DUMMYFUNCTION("""COMPUTED_VALUE"""),30.2)</f>
        <v>30.2</v>
      </c>
      <c r="J776" s="85" t="str">
        <f>IFERROR(__xludf.DUMMYFUNCTION("""COMPUTED_VALUE"""),"算法")</f>
        <v>算法</v>
      </c>
      <c r="K776" s="2" t="s">
        <v>582</v>
      </c>
    </row>
    <row r="777">
      <c r="A777" s="47">
        <v>382.0</v>
      </c>
      <c r="B777" s="86" t="str">
        <f>IFERROR(__xludf.DUMMYFUNCTION("IF(ISBLANK(A777),,FILTER('Leetcode List'!B:C,'Leetcode List'!A:A = A777))"),"Linked List Random Node")</f>
        <v>Linked List Random Node</v>
      </c>
      <c r="C777" s="85" t="str">
        <f>IFERROR(__xludf.DUMMYFUNCTION("""COMPUTED_VALUE"""),"Medium")</f>
        <v>Medium</v>
      </c>
      <c r="D777" s="47" t="s">
        <v>99</v>
      </c>
      <c r="E777" s="90" t="str">
        <f>IFERROR(__xludf.DUMMYFUNCTION("IF(ISBLANK(A777),,FILTER('Leetcode List'!E:J,'Leetcode List'!A:A = A777))"),"Amazon,Apple,Facebook,Google")</f>
        <v>Amazon,Apple,Facebook,Google</v>
      </c>
      <c r="F777" s="85"/>
      <c r="G777" s="85" t="str">
        <f>IFERROR(__xludf.DUMMYFUNCTION("""COMPUTED_VALUE"""),"Amazon")</f>
        <v>Amazon</v>
      </c>
      <c r="H777" s="85" t="str">
        <f>IFERROR(__xludf.DUMMYFUNCTION("""COMPUTED_VALUE"""),"Google,Facebook,Amazon")</f>
        <v>Google,Facebook,Amazon</v>
      </c>
      <c r="I777" s="85">
        <f>IFERROR(__xludf.DUMMYFUNCTION("""COMPUTED_VALUE"""),54.2)</f>
        <v>54.2</v>
      </c>
      <c r="J777" s="85" t="str">
        <f>IFERROR(__xludf.DUMMYFUNCTION("""COMPUTED_VALUE"""),"算法")</f>
        <v>算法</v>
      </c>
      <c r="K777" s="2" t="s">
        <v>5023</v>
      </c>
    </row>
    <row r="778">
      <c r="A778" s="47">
        <v>470.0</v>
      </c>
      <c r="B778" s="86" t="str">
        <f>IFERROR(__xludf.DUMMYFUNCTION("IF(ISBLANK(A778),,FILTER('Leetcode List'!B:C,'Leetcode List'!A:A = A778))"),"Implement Rand10() Using Rand7()")</f>
        <v>Implement Rand10() Using Rand7()</v>
      </c>
      <c r="C778" s="85" t="str">
        <f>IFERROR(__xludf.DUMMYFUNCTION("""COMPUTED_VALUE"""),"Medium")</f>
        <v>Medium</v>
      </c>
      <c r="D778" s="47" t="s">
        <v>99</v>
      </c>
      <c r="E778" s="90" t="str">
        <f>IFERROR(__xludf.DUMMYFUNCTION("IF(ISBLANK(A778),,FILTER('Leetcode List'!E:J,'Leetcode List'!A:A = A778))"),"Yandex,ByteDance,Apple,Bloomberg,LinkedIn,Microsoft,Google")</f>
        <v>Yandex,ByteDance,Apple,Bloomberg,LinkedIn,Microsoft,Google</v>
      </c>
      <c r="F778" s="85"/>
      <c r="G778" s="85" t="str">
        <f>IFERROR(__xludf.DUMMYFUNCTION("""COMPUTED_VALUE"""),"Apple,Microsoft")</f>
        <v>Apple,Microsoft</v>
      </c>
      <c r="H778" s="85" t="str">
        <f>IFERROR(__xludf.DUMMYFUNCTION("""COMPUTED_VALUE"""),"LinkedIn,ByteDance,Yandex,Apple,Microsoft")</f>
        <v>LinkedIn,ByteDance,Yandex,Apple,Microsoft</v>
      </c>
      <c r="I778" s="85">
        <f>IFERROR(__xludf.DUMMYFUNCTION("""COMPUTED_VALUE"""),46.04)</f>
        <v>46.04</v>
      </c>
      <c r="J778" s="85" t="str">
        <f>IFERROR(__xludf.DUMMYFUNCTION("""COMPUTED_VALUE"""),"算法")</f>
        <v>算法</v>
      </c>
      <c r="K778" s="2" t="s">
        <v>5023</v>
      </c>
    </row>
    <row r="779">
      <c r="A779" s="47">
        <v>478.0</v>
      </c>
      <c r="B779" s="86" t="str">
        <f>IFERROR(__xludf.DUMMYFUNCTION("IF(ISBLANK(A779),,FILTER('Leetcode List'!B:C,'Leetcode List'!A:A = A779))"),"Generate Random Point in a Circle")</f>
        <v>Generate Random Point in a Circle</v>
      </c>
      <c r="C779" s="85" t="str">
        <f>IFERROR(__xludf.DUMMYFUNCTION("""COMPUTED_VALUE"""),"Medium")</f>
        <v>Medium</v>
      </c>
      <c r="D779" s="47" t="s">
        <v>99</v>
      </c>
      <c r="E779" s="90" t="str">
        <f>IFERROR(__xludf.DUMMYFUNCTION("IF(ISBLANK(A779),,FILTER('Leetcode List'!E:J,'Leetcode List'!A:A = A779))"),"Leap Motion,Facebook")</f>
        <v>Leap Motion,Facebook</v>
      </c>
      <c r="F779" s="85"/>
      <c r="G779" s="85"/>
      <c r="H779" s="85" t="str">
        <f>IFERROR(__xludf.DUMMYFUNCTION("""COMPUTED_VALUE"""),"Leap Motion")</f>
        <v>Leap Motion</v>
      </c>
      <c r="I779" s="85">
        <f>IFERROR(__xludf.DUMMYFUNCTION("""COMPUTED_VALUE"""),39.24)</f>
        <v>39.24</v>
      </c>
      <c r="J779" s="85" t="str">
        <f>IFERROR(__xludf.DUMMYFUNCTION("""COMPUTED_VALUE"""),"算法")</f>
        <v>算法</v>
      </c>
      <c r="K779" s="2" t="s">
        <v>5023</v>
      </c>
    </row>
    <row r="780">
      <c r="A780" s="47">
        <v>497.0</v>
      </c>
      <c r="B780" s="86" t="str">
        <f>IFERROR(__xludf.DUMMYFUNCTION("IF(ISBLANK(A780),,FILTER('Leetcode List'!B:C,'Leetcode List'!A:A = A780))"),"Random Point in Non-overlapping Rectangles")</f>
        <v>Random Point in Non-overlapping Rectangles</v>
      </c>
      <c r="C780" s="85" t="str">
        <f>IFERROR(__xludf.DUMMYFUNCTION("""COMPUTED_VALUE"""),"Medium")</f>
        <v>Medium</v>
      </c>
      <c r="D780" s="47" t="s">
        <v>99</v>
      </c>
      <c r="E780" s="90" t="str">
        <f>IFERROR(__xludf.DUMMYFUNCTION("IF(ISBLANK(A780),,FILTER('Leetcode List'!E:J,'Leetcode List'!A:A = A780))"),"Google")</f>
        <v>Google</v>
      </c>
      <c r="F780" s="85"/>
      <c r="G780" s="85"/>
      <c r="H780" s="85" t="str">
        <f>IFERROR(__xludf.DUMMYFUNCTION("""COMPUTED_VALUE"""),"Google")</f>
        <v>Google</v>
      </c>
      <c r="I780" s="85">
        <f>IFERROR(__xludf.DUMMYFUNCTION("""COMPUTED_VALUE"""),39.11)</f>
        <v>39.11</v>
      </c>
      <c r="J780" s="85" t="str">
        <f>IFERROR(__xludf.DUMMYFUNCTION("""COMPUTED_VALUE"""),"算法")</f>
        <v>算法</v>
      </c>
      <c r="K780" s="2" t="s">
        <v>5023</v>
      </c>
    </row>
    <row r="781">
      <c r="A781" s="47">
        <v>519.0</v>
      </c>
      <c r="B781" s="86" t="str">
        <f>IFERROR(__xludf.DUMMYFUNCTION("IF(ISBLANK(A781),,FILTER('Leetcode List'!B:C,'Leetcode List'!A:A = A781))"),"Random Flip Matrix")</f>
        <v>Random Flip Matrix</v>
      </c>
      <c r="C781" s="85" t="str">
        <f>IFERROR(__xludf.DUMMYFUNCTION("""COMPUTED_VALUE"""),"Medium")</f>
        <v>Medium</v>
      </c>
      <c r="D781" s="47" t="s">
        <v>99</v>
      </c>
      <c r="E781" s="90" t="str">
        <f>IFERROR(__xludf.DUMMYFUNCTION("IF(ISBLANK(A781),,FILTER('Leetcode List'!E:J,'Leetcode List'!A:A = A781))"),"Google")</f>
        <v>Google</v>
      </c>
      <c r="F781" s="85"/>
      <c r="G781" s="85"/>
      <c r="H781" s="85" t="str">
        <f>IFERROR(__xludf.DUMMYFUNCTION("""COMPUTED_VALUE"""),"Google")</f>
        <v>Google</v>
      </c>
      <c r="I781" s="85">
        <f>IFERROR(__xludf.DUMMYFUNCTION("""COMPUTED_VALUE"""),37.8)</f>
        <v>37.8</v>
      </c>
      <c r="J781" s="85" t="str">
        <f>IFERROR(__xludf.DUMMYFUNCTION("""COMPUTED_VALUE"""),"算法")</f>
        <v>算法</v>
      </c>
      <c r="K781" s="2" t="s">
        <v>5023</v>
      </c>
    </row>
    <row r="782">
      <c r="A782" s="47">
        <v>528.0</v>
      </c>
      <c r="B782" s="86" t="str">
        <f>IFERROR(__xludf.DUMMYFUNCTION("IF(ISBLANK(A782),,FILTER('Leetcode List'!B:C,'Leetcode List'!A:A = A782))"),"Random Pick with Weight")</f>
        <v>Random Pick with Weight</v>
      </c>
      <c r="C782" s="85" t="str">
        <f>IFERROR(__xludf.DUMMYFUNCTION("""COMPUTED_VALUE"""),"Medium")</f>
        <v>Medium</v>
      </c>
      <c r="D782" s="47" t="s">
        <v>99</v>
      </c>
      <c r="E782" s="90" t="str">
        <f>IFERROR(__xludf.DUMMYFUNCTION("IF(ISBLANK(A782),,FILTER('Leetcode List'!E:J,'Leetcode List'!A:A = A782))"),"Snapchat,Atlassian,Roblox,ByteDance,Zillow,Expedia,Bloomberg,TripAdvisor,DoorDash,Rubrik,Two Sigma,Twitter,Wish,Yelp,Apple,Uber,Facebook,Amazon,LinkedIn,Microsoft,Google")</f>
        <v>Snapchat,Atlassian,Roblox,ByteDance,Zillow,Expedia,Bloomberg,TripAdvisor,DoorDash,Rubrik,Two Sigma,Twitter,Wish,Yelp,Apple,Uber,Facebook,Amazon,LinkedIn,Microsoft,Google</v>
      </c>
      <c r="F782" s="85" t="str">
        <f>IFERROR(__xludf.DUMMYFUNCTION("""COMPUTED_VALUE"""),"Facebook,Google,ByteDance,Apple,Roblox,Bloomberg,LinkedIn,Amazon,Expedia,Yelp,Snapchat")</f>
        <v>Facebook,Google,ByteDance,Apple,Roblox,Bloomberg,LinkedIn,Amazon,Expedia,Yelp,Snapchat</v>
      </c>
      <c r="G782" s="85" t="str">
        <f>IFERROR(__xludf.DUMMYFUNCTION("""COMPUTED_VALUE"""),"Microsoft,Zillow,Wish,Facebook,Google,ByteDance,Apple,Roblox,Bloomberg,LinkedIn,Amazon,Expedia,Yelp,Snapchat")</f>
        <v>Microsoft,Zillow,Wish,Facebook,Google,ByteDance,Apple,Roblox,Bloomberg,LinkedIn,Amazon,Expedia,Yelp,Snapchat</v>
      </c>
      <c r="H782" s="85" t="str">
        <f>IFERROR(__xludf.DUMMYFUNCTION("""COMPUTED_VALUE"""),"Uber,Two Sigma,Twitter,Atlassian,Rubrik,Microsoft,Zillow,Wish,Facebook,Google,ByteDance,Apple,Roblox,Bloomberg,LinkedIn,Amazon,Expedia,Yelp,Snapchat")</f>
        <v>Uber,Two Sigma,Twitter,Atlassian,Rubrik,Microsoft,Zillow,Wish,Facebook,Google,ByteDance,Apple,Roblox,Bloomberg,LinkedIn,Amazon,Expedia,Yelp,Snapchat</v>
      </c>
      <c r="I782" s="85">
        <f>IFERROR(__xludf.DUMMYFUNCTION("""COMPUTED_VALUE"""),44.67)</f>
        <v>44.67</v>
      </c>
      <c r="J782" s="85" t="str">
        <f>IFERROR(__xludf.DUMMYFUNCTION("""COMPUTED_VALUE"""),"算法")</f>
        <v>算法</v>
      </c>
      <c r="K782" s="2" t="s">
        <v>5023</v>
      </c>
    </row>
    <row r="783">
      <c r="A783" s="47">
        <v>710.0</v>
      </c>
      <c r="B783" s="86" t="str">
        <f>IFERROR(__xludf.DUMMYFUNCTION("IF(ISBLANK(A783),,FILTER('Leetcode List'!B:C,'Leetcode List'!A:A = A783))"),"Random Pick with Blacklist")</f>
        <v>Random Pick with Blacklist</v>
      </c>
      <c r="C783" s="85" t="str">
        <f>IFERROR(__xludf.DUMMYFUNCTION("""COMPUTED_VALUE"""),"Hard")</f>
        <v>Hard</v>
      </c>
      <c r="D783" s="47" t="s">
        <v>99</v>
      </c>
      <c r="E783" s="90" t="str">
        <f>IFERROR(__xludf.DUMMYFUNCTION("IF(ISBLANK(A783),,FILTER('Leetcode List'!E:J,'Leetcode List'!A:A = A783))"),"Two Sigma,Uber,Facebook,Amazon,Google")</f>
        <v>Two Sigma,Uber,Facebook,Amazon,Google</v>
      </c>
      <c r="F783" s="85" t="str">
        <f>IFERROR(__xludf.DUMMYFUNCTION("""COMPUTED_VALUE"""),"Two Sigma")</f>
        <v>Two Sigma</v>
      </c>
      <c r="G783" s="85" t="str">
        <f>IFERROR(__xludf.DUMMYFUNCTION("""COMPUTED_VALUE"""),"Two Sigma")</f>
        <v>Two Sigma</v>
      </c>
      <c r="H783" s="85" t="str">
        <f>IFERROR(__xludf.DUMMYFUNCTION("""COMPUTED_VALUE"""),"Google,Amazon,Uber,Two Sigma")</f>
        <v>Google,Amazon,Uber,Two Sigma</v>
      </c>
      <c r="I783" s="85">
        <f>IFERROR(__xludf.DUMMYFUNCTION("""COMPUTED_VALUE"""),32.96)</f>
        <v>32.96</v>
      </c>
      <c r="J783" s="85" t="str">
        <f>IFERROR(__xludf.DUMMYFUNCTION("""COMPUTED_VALUE"""),"算法")</f>
        <v>算法</v>
      </c>
      <c r="K783" s="2" t="s">
        <v>5023</v>
      </c>
    </row>
    <row r="784">
      <c r="A784" s="47">
        <v>1227.0</v>
      </c>
      <c r="B784" s="86" t="str">
        <f>IFERROR(__xludf.DUMMYFUNCTION("IF(ISBLANK(A784),,FILTER('Leetcode List'!B:C,'Leetcode List'!A:A = A784))"),"Airplane Seat Assignment Probability")</f>
        <v>Airplane Seat Assignment Probability</v>
      </c>
      <c r="C784" s="85" t="str">
        <f>IFERROR(__xludf.DUMMYFUNCTION("""COMPUTED_VALUE"""),"Medium")</f>
        <v>Medium</v>
      </c>
      <c r="D784" s="47" t="s">
        <v>99</v>
      </c>
      <c r="E784" s="90" t="str">
        <f>IFERROR(__xludf.DUMMYFUNCTION("IF(ISBLANK(A784),,FILTER('Leetcode List'!E:J,'Leetcode List'!A:A = A784))"),"Uber,Microstrategy")</f>
        <v>Uber,Microstrategy</v>
      </c>
      <c r="F784" s="85"/>
      <c r="G784" s="85"/>
      <c r="H784" s="85" t="str">
        <f>IFERROR(__xludf.DUMMYFUNCTION("""COMPUTED_VALUE"""),"Uber,Microstrategy")</f>
        <v>Uber,Microstrategy</v>
      </c>
      <c r="I784" s="85">
        <f>IFERROR(__xludf.DUMMYFUNCTION("""COMPUTED_VALUE"""),62.17)</f>
        <v>62.17</v>
      </c>
      <c r="J784" s="85" t="str">
        <f>IFERROR(__xludf.DUMMYFUNCTION("""COMPUTED_VALUE"""),"算法")</f>
        <v>算法</v>
      </c>
      <c r="K784" s="2" t="s">
        <v>5023</v>
      </c>
    </row>
    <row r="785">
      <c r="A785" s="47">
        <v>46.0</v>
      </c>
      <c r="B785" s="86" t="str">
        <f>IFERROR(__xludf.DUMMYFUNCTION("IF(ISBLANK(A785),,FILTER('Leetcode List'!B:C,'Leetcode List'!A:A = A785))"),"Permutations")</f>
        <v>Permutations</v>
      </c>
      <c r="C785" s="85" t="str">
        <f>IFERROR(__xludf.DUMMYFUNCTION("""COMPUTED_VALUE"""),"Medium")</f>
        <v>Medium</v>
      </c>
      <c r="D785" s="47" t="s">
        <v>99</v>
      </c>
      <c r="E785" s="90" t="str">
        <f>IFERROR(__xludf.DUMMYFUNCTION("IF(ISBLANK(A785),,FILTER('Leetcode List'!E:J,'Leetcode List'!A:A = A785))"),"Garena,Atlassian,ByteDance,Salesforce,VMware,Walmart Labs,GoDaddy,Paypal,Oracle,NetEase,Cisco,EBay,Apple,Uber,Yahoo,Bloomberg,Adobe,Facebook,Amazon,LinkedIn,Microsoft,Goldman Sachs,Google")</f>
        <v>Garena,Atlassian,ByteDance,Salesforce,VMware,Walmart Labs,GoDaddy,Paypal,Oracle,NetEase,Cisco,EBay,Apple,Uber,Yahoo,Bloomberg,Adobe,Facebook,Amazon,LinkedIn,Microsoft,Goldman Sachs,Google</v>
      </c>
      <c r="F785" s="85" t="str">
        <f>IFERROR(__xludf.DUMMYFUNCTION("""COMPUTED_VALUE"""),"Amazon,Facebook,Apple,eBay,ByteDance,Microsoft,Paypal,LinkedIn,Oracle")</f>
        <v>Amazon,Facebook,Apple,eBay,ByteDance,Microsoft,Paypal,LinkedIn,Oracle</v>
      </c>
      <c r="G785" s="85" t="str">
        <f>IFERROR(__xludf.DUMMYFUNCTION("""COMPUTED_VALUE"""),"Google,Bloomberg,Adobe,Uber,Amazon,Facebook,Apple,eBay,ByteDance,Microsoft,Paypal,LinkedIn,Oracle")</f>
        <v>Google,Bloomberg,Adobe,Uber,Amazon,Facebook,Apple,eBay,ByteDance,Microsoft,Paypal,LinkedIn,Oracle</v>
      </c>
      <c r="H785" s="85" t="str">
        <f>IFERROR(__xludf.DUMMYFUNCTION("""COMPUTED_VALUE"""),"Atlassian,Yahoo,Goldman Sachs,Garena,Google,Bloomberg,Adobe,Uber,Amazon,Facebook,Apple,eBay,ByteDance,Microsoft,Paypal,LinkedIn,Oracle")</f>
        <v>Atlassian,Yahoo,Goldman Sachs,Garena,Google,Bloomberg,Adobe,Uber,Amazon,Facebook,Apple,eBay,ByteDance,Microsoft,Paypal,LinkedIn,Oracle</v>
      </c>
      <c r="I785" s="85">
        <f>IFERROR(__xludf.DUMMYFUNCTION("""COMPUTED_VALUE"""),66.84)</f>
        <v>66.84</v>
      </c>
      <c r="J785" s="85" t="str">
        <f>IFERROR(__xludf.DUMMYFUNCTION("""COMPUTED_VALUE"""),"算法")</f>
        <v>算法</v>
      </c>
      <c r="K785" s="2" t="s">
        <v>5024</v>
      </c>
    </row>
    <row r="786">
      <c r="A786" s="47">
        <v>47.0</v>
      </c>
      <c r="B786" s="86" t="str">
        <f>IFERROR(__xludf.DUMMYFUNCTION("IF(ISBLANK(A786),,FILTER('Leetcode List'!B:C,'Leetcode List'!A:A = A786))"),"Permutations II")</f>
        <v>Permutations II</v>
      </c>
      <c r="C786" s="85" t="str">
        <f>IFERROR(__xludf.DUMMYFUNCTION("""COMPUTED_VALUE"""),"Medium")</f>
        <v>Medium</v>
      </c>
      <c r="D786" s="47" t="s">
        <v>99</v>
      </c>
      <c r="E786" s="90" t="str">
        <f>IFERROR(__xludf.DUMMYFUNCTION("IF(ISBLANK(A786),,FILTER('Leetcode List'!E:J,'Leetcode List'!A:A = A786))"),"Walmart Labs,VMware,Apple,Uber,Bloomberg,Adobe,Facebook,Amazon,LinkedIn,Microsoft")</f>
        <v>Walmart Labs,VMware,Apple,Uber,Bloomberg,Adobe,Facebook,Amazon,LinkedIn,Microsoft</v>
      </c>
      <c r="F786" s="85" t="str">
        <f>IFERROR(__xludf.DUMMYFUNCTION("""COMPUTED_VALUE"""),"Facebook,Amazon,Microsoft,Adobe,Apple")</f>
        <v>Facebook,Amazon,Microsoft,Adobe,Apple</v>
      </c>
      <c r="G786" s="85" t="str">
        <f>IFERROR(__xludf.DUMMYFUNCTION("""COMPUTED_VALUE"""),"Walmart Labs,Facebook,Amazon,Microsoft,Adobe,Apple")</f>
        <v>Walmart Labs,Facebook,Amazon,Microsoft,Adobe,Apple</v>
      </c>
      <c r="H786" s="85" t="str">
        <f>IFERROR(__xludf.DUMMYFUNCTION("""COMPUTED_VALUE"""),"LinkedIn,Bloomberg,Uber,Walmart Labs,Facebook,Amazon,Microsoft,Adobe,Apple")</f>
        <v>LinkedIn,Bloomberg,Uber,Walmart Labs,Facebook,Amazon,Microsoft,Adobe,Apple</v>
      </c>
      <c r="I786" s="85">
        <f>IFERROR(__xludf.DUMMYFUNCTION("""COMPUTED_VALUE"""),49.6)</f>
        <v>49.6</v>
      </c>
      <c r="J786" s="85" t="str">
        <f>IFERROR(__xludf.DUMMYFUNCTION("""COMPUTED_VALUE"""),"算法")</f>
        <v>算法</v>
      </c>
      <c r="K786" s="2" t="s">
        <v>5024</v>
      </c>
    </row>
    <row r="787">
      <c r="A787" s="47">
        <v>60.0</v>
      </c>
      <c r="B787" s="86" t="str">
        <f>IFERROR(__xludf.DUMMYFUNCTION("IF(ISBLANK(A787),,FILTER('Leetcode List'!B:C,'Leetcode List'!A:A = A787))"),"Permutation Sequence")</f>
        <v>Permutation Sequence</v>
      </c>
      <c r="C787" s="85" t="str">
        <f>IFERROR(__xludf.DUMMYFUNCTION("""COMPUTED_VALUE"""),"Hard")</f>
        <v>Hard</v>
      </c>
      <c r="D787" s="47" t="s">
        <v>99</v>
      </c>
      <c r="E787" s="90" t="str">
        <f>IFERROR(__xludf.DUMMYFUNCTION("IF(ISBLANK(A787),,FILTER('Leetcode List'!E:J,'Leetcode List'!A:A = A787))"),"Jump Trading,Apple,Yahoo,Twitter,Facebook,Amazon,Microsoft,Google")</f>
        <v>Jump Trading,Apple,Yahoo,Twitter,Facebook,Amazon,Microsoft,Google</v>
      </c>
      <c r="F787" s="85" t="str">
        <f>IFERROR(__xludf.DUMMYFUNCTION("""COMPUTED_VALUE"""),"Amazon")</f>
        <v>Amazon</v>
      </c>
      <c r="G787" s="85" t="str">
        <f>IFERROR(__xludf.DUMMYFUNCTION("""COMPUTED_VALUE"""),"Facebook,Google,Jump Trading,Amazon")</f>
        <v>Facebook,Google,Jump Trading,Amazon</v>
      </c>
      <c r="H787" s="85" t="str">
        <f>IFERROR(__xludf.DUMMYFUNCTION("""COMPUTED_VALUE"""),"Microsoft,Apple,Yahoo,Twitter,Facebook,Google,Jump Trading,Amazon")</f>
        <v>Microsoft,Apple,Yahoo,Twitter,Facebook,Google,Jump Trading,Amazon</v>
      </c>
      <c r="I787" s="85">
        <f>IFERROR(__xludf.DUMMYFUNCTION("""COMPUTED_VALUE"""),39.47)</f>
        <v>39.47</v>
      </c>
      <c r="J787" s="85" t="str">
        <f>IFERROR(__xludf.DUMMYFUNCTION("""COMPUTED_VALUE"""),"算法")</f>
        <v>算法</v>
      </c>
      <c r="K787" s="2" t="s">
        <v>5024</v>
      </c>
    </row>
    <row r="788">
      <c r="A788" s="47">
        <v>77.0</v>
      </c>
      <c r="B788" s="86" t="str">
        <f>IFERROR(__xludf.DUMMYFUNCTION("IF(ISBLANK(A788),,FILTER('Leetcode List'!B:C,'Leetcode List'!A:A = A788))"),"Combinations")</f>
        <v>Combinations</v>
      </c>
      <c r="C788" s="85" t="str">
        <f>IFERROR(__xludf.DUMMYFUNCTION("""COMPUTED_VALUE"""),"Medium")</f>
        <v>Medium</v>
      </c>
      <c r="D788" s="47" t="s">
        <v>99</v>
      </c>
      <c r="E788" s="90" t="str">
        <f>IFERROR(__xludf.DUMMYFUNCTION("IF(ISBLANK(A788),,FILTER('Leetcode List'!E:J,'Leetcode List'!A:A = A788))"),"Yahoo,Bloomberg,Apple,Adobe,Facebook,Amazon,Microsoft,Google")</f>
        <v>Yahoo,Bloomberg,Apple,Adobe,Facebook,Amazon,Microsoft,Google</v>
      </c>
      <c r="F788" s="85" t="str">
        <f>IFERROR(__xludf.DUMMYFUNCTION("""COMPUTED_VALUE"""),"Facebook")</f>
        <v>Facebook</v>
      </c>
      <c r="G788" s="85" t="str">
        <f>IFERROR(__xludf.DUMMYFUNCTION("""COMPUTED_VALUE"""),"Amazon,Apple,Google,Microsoft,Yahoo,Facebook")</f>
        <v>Amazon,Apple,Google,Microsoft,Yahoo,Facebook</v>
      </c>
      <c r="H788" s="85" t="str">
        <f>IFERROR(__xludf.DUMMYFUNCTION("""COMPUTED_VALUE"""),"Adobe,Bloomberg,Amazon,Apple,Google,Microsoft,Yahoo,Facebook")</f>
        <v>Adobe,Bloomberg,Amazon,Apple,Google,Microsoft,Yahoo,Facebook</v>
      </c>
      <c r="I788" s="85">
        <f>IFERROR(__xludf.DUMMYFUNCTION("""COMPUTED_VALUE"""),57.72)</f>
        <v>57.72</v>
      </c>
      <c r="J788" s="85" t="str">
        <f>IFERROR(__xludf.DUMMYFUNCTION("""COMPUTED_VALUE"""),"算法")</f>
        <v>算法</v>
      </c>
      <c r="K788" s="2" t="s">
        <v>5024</v>
      </c>
    </row>
    <row r="789">
      <c r="A789" s="47">
        <v>1286.0</v>
      </c>
      <c r="B789" s="86" t="str">
        <f>IFERROR(__xludf.DUMMYFUNCTION("IF(ISBLANK(A789),,FILTER('Leetcode List'!B:C,'Leetcode List'!A:A = A789))"),"Iterator for Combination")</f>
        <v>Iterator for Combination</v>
      </c>
      <c r="C789" s="85" t="str">
        <f>IFERROR(__xludf.DUMMYFUNCTION("""COMPUTED_VALUE"""),"Medium")</f>
        <v>Medium</v>
      </c>
      <c r="D789" s="47" t="s">
        <v>99</v>
      </c>
      <c r="E789" s="90" t="str">
        <f>IFERROR(__xludf.DUMMYFUNCTION("IF(ISBLANK(A789),,FILTER('Leetcode List'!E:J,'Leetcode List'!A:A = A789))"),"Amazon,Google")</f>
        <v>Amazon,Google</v>
      </c>
      <c r="F789" s="85"/>
      <c r="G789" s="85"/>
      <c r="H789" s="85" t="str">
        <f>IFERROR(__xludf.DUMMYFUNCTION("""COMPUTED_VALUE"""),"Amazon,Google")</f>
        <v>Amazon,Google</v>
      </c>
      <c r="I789" s="85">
        <f>IFERROR(__xludf.DUMMYFUNCTION("""COMPUTED_VALUE"""),70.92)</f>
        <v>70.92</v>
      </c>
      <c r="J789" s="85" t="str">
        <f>IFERROR(__xludf.DUMMYFUNCTION("""COMPUTED_VALUE"""),"算法")</f>
        <v>算法</v>
      </c>
      <c r="K789" s="2" t="s">
        <v>5024</v>
      </c>
    </row>
    <row r="790">
      <c r="A790" s="47">
        <v>1359.0</v>
      </c>
      <c r="B790" s="86" t="str">
        <f>IFERROR(__xludf.DUMMYFUNCTION("IF(ISBLANK(A790),,FILTER('Leetcode List'!B:C,'Leetcode List'!A:A = A790))"),"Count All Valid Pickup and Delivery Options")</f>
        <v>Count All Valid Pickup and Delivery Options</v>
      </c>
      <c r="C790" s="85" t="str">
        <f>IFERROR(__xludf.DUMMYFUNCTION("""COMPUTED_VALUE"""),"Hard")</f>
        <v>Hard</v>
      </c>
      <c r="D790" s="47" t="s">
        <v>99</v>
      </c>
      <c r="E790" s="90" t="str">
        <f>IFERROR(__xludf.DUMMYFUNCTION("IF(ISBLANK(A790),,FILTER('Leetcode List'!E:J,'Leetcode List'!A:A = A790))"),"DoorDash")</f>
        <v>DoorDash</v>
      </c>
      <c r="F790" s="85" t="str">
        <f>IFERROR(__xludf.DUMMYFUNCTION("""COMPUTED_VALUE"""),"DoorDash")</f>
        <v>DoorDash</v>
      </c>
      <c r="G790" s="85" t="str">
        <f>IFERROR(__xludf.DUMMYFUNCTION("""COMPUTED_VALUE"""),"DoorDash")</f>
        <v>DoorDash</v>
      </c>
      <c r="H790" s="85" t="str">
        <f>IFERROR(__xludf.DUMMYFUNCTION("""COMPUTED_VALUE"""),"DoorDash")</f>
        <v>DoorDash</v>
      </c>
      <c r="I790" s="85">
        <f>IFERROR(__xludf.DUMMYFUNCTION("""COMPUTED_VALUE"""),56.27)</f>
        <v>56.27</v>
      </c>
      <c r="J790" s="85" t="str">
        <f>IFERROR(__xludf.DUMMYFUNCTION("""COMPUTED_VALUE"""),"算法")</f>
        <v>算法</v>
      </c>
      <c r="K790" s="2" t="s">
        <v>5024</v>
      </c>
    </row>
    <row r="791">
      <c r="A791" s="47">
        <v>1467.0</v>
      </c>
      <c r="B791" s="86" t="str">
        <f>IFERROR(__xludf.DUMMYFUNCTION("IF(ISBLANK(A791),,FILTER('Leetcode List'!B:C,'Leetcode List'!A:A = A791))"),"Probability of a Two Boxes Having The Same Number of Distinct Balls")</f>
        <v>Probability of a Two Boxes Having The Same Number of Distinct Balls</v>
      </c>
      <c r="C791" s="85" t="str">
        <f>IFERROR(__xludf.DUMMYFUNCTION("""COMPUTED_VALUE"""),"Hard")</f>
        <v>Hard</v>
      </c>
      <c r="D791" s="47" t="s">
        <v>99</v>
      </c>
      <c r="E791" s="90" t="str">
        <f>IFERROR(__xludf.DUMMYFUNCTION("IF(ISBLANK(A791),,FILTER('Leetcode List'!E:J,'Leetcode List'!A:A = A791))"),"")</f>
        <v/>
      </c>
      <c r="F791" s="85"/>
      <c r="G791" s="85"/>
      <c r="H791" s="85"/>
      <c r="I791" s="85">
        <f>IFERROR(__xludf.DUMMYFUNCTION("""COMPUTED_VALUE"""),60.89)</f>
        <v>60.89</v>
      </c>
      <c r="J791" s="85" t="str">
        <f>IFERROR(__xludf.DUMMYFUNCTION("""COMPUTED_VALUE"""),"算法")</f>
        <v>算法</v>
      </c>
      <c r="K791" s="2" t="s">
        <v>5024</v>
      </c>
    </row>
    <row r="792">
      <c r="A792" s="47">
        <v>1641.0</v>
      </c>
      <c r="B792" s="86" t="str">
        <f>IFERROR(__xludf.DUMMYFUNCTION("IF(ISBLANK(A792),,FILTER('Leetcode List'!B:C,'Leetcode List'!A:A = A792))"),"Count Sorted Vowel Strings")</f>
        <v>Count Sorted Vowel Strings</v>
      </c>
      <c r="C792" s="85" t="str">
        <f>IFERROR(__xludf.DUMMYFUNCTION("""COMPUTED_VALUE"""),"Medium")</f>
        <v>Medium</v>
      </c>
      <c r="D792" s="47" t="s">
        <v>99</v>
      </c>
      <c r="E792" s="90" t="str">
        <f>IFERROR(__xludf.DUMMYFUNCTION("IF(ISBLANK(A792),,FILTER('Leetcode List'!E:J,'Leetcode List'!A:A = A792))"),"Nira Finance")</f>
        <v>Nira Finance</v>
      </c>
      <c r="F792" s="85"/>
      <c r="G792" s="85"/>
      <c r="H792" s="85" t="str">
        <f>IFERROR(__xludf.DUMMYFUNCTION("""COMPUTED_VALUE"""),"Nira Finance")</f>
        <v>Nira Finance</v>
      </c>
      <c r="I792" s="85">
        <f>IFERROR(__xludf.DUMMYFUNCTION("""COMPUTED_VALUE"""),76.07)</f>
        <v>76.07</v>
      </c>
      <c r="J792" s="85" t="str">
        <f>IFERROR(__xludf.DUMMYFUNCTION("""COMPUTED_VALUE"""),"算法")</f>
        <v>算法</v>
      </c>
      <c r="K792" s="2" t="s">
        <v>5024</v>
      </c>
    </row>
    <row r="793">
      <c r="A793" s="47">
        <v>1643.0</v>
      </c>
      <c r="B793" s="86" t="str">
        <f>IFERROR(__xludf.DUMMYFUNCTION("IF(ISBLANK(A793),,FILTER('Leetcode List'!B:C,'Leetcode List'!A:A = A793))"),"Kth Smallest Instructions")</f>
        <v>Kth Smallest Instructions</v>
      </c>
      <c r="C793" s="85" t="str">
        <f>IFERROR(__xludf.DUMMYFUNCTION("""COMPUTED_VALUE"""),"Hard")</f>
        <v>Hard</v>
      </c>
      <c r="D793" s="47" t="s">
        <v>99</v>
      </c>
      <c r="E793" s="90" t="str">
        <f>IFERROR(__xludf.DUMMYFUNCTION("IF(ISBLANK(A793),,FILTER('Leetcode List'!E:J,'Leetcode List'!A:A = A793))"),"HeavyWater")</f>
        <v>HeavyWater</v>
      </c>
      <c r="F793" s="85"/>
      <c r="G793" s="85"/>
      <c r="H793" s="85" t="str">
        <f>IFERROR(__xludf.DUMMYFUNCTION("""COMPUTED_VALUE"""),"HeavyWater")</f>
        <v>HeavyWater</v>
      </c>
      <c r="I793" s="85">
        <f>IFERROR(__xludf.DUMMYFUNCTION("""COMPUTED_VALUE"""),44.15)</f>
        <v>44.15</v>
      </c>
      <c r="J793" s="85" t="str">
        <f>IFERROR(__xludf.DUMMYFUNCTION("""COMPUTED_VALUE"""),"算法")</f>
        <v>算法</v>
      </c>
      <c r="K793" s="2" t="s">
        <v>5024</v>
      </c>
    </row>
    <row r="794">
      <c r="A794" s="47">
        <v>1735.0</v>
      </c>
      <c r="B794" s="86" t="str">
        <f>IFERROR(__xludf.DUMMYFUNCTION("IF(ISBLANK(A794),,FILTER('Leetcode List'!B:C,'Leetcode List'!A:A = A794))"),"Count Ways to Make Array With Product")</f>
        <v>Count Ways to Make Array With Product</v>
      </c>
      <c r="C794" s="85" t="str">
        <f>IFERROR(__xludf.DUMMYFUNCTION("""COMPUTED_VALUE"""),"Hard")</f>
        <v>Hard</v>
      </c>
      <c r="D794" s="47" t="s">
        <v>99</v>
      </c>
      <c r="E794" s="90" t="str">
        <f>IFERROR(__xludf.DUMMYFUNCTION("IF(ISBLANK(A794),,FILTER('Leetcode List'!E:J,'Leetcode List'!A:A = A794))"),"Amazon")</f>
        <v>Amazon</v>
      </c>
      <c r="F794" s="85"/>
      <c r="G794" s="85"/>
      <c r="H794" s="85" t="str">
        <f>IFERROR(__xludf.DUMMYFUNCTION("""COMPUTED_VALUE"""),"Amazon")</f>
        <v>Amazon</v>
      </c>
      <c r="I794" s="85">
        <f>IFERROR(__xludf.DUMMYFUNCTION("""COMPUTED_VALUE"""),48.04)</f>
        <v>48.04</v>
      </c>
      <c r="J794" s="85" t="str">
        <f>IFERROR(__xludf.DUMMYFUNCTION("""COMPUTED_VALUE"""),"算法")</f>
        <v>算法</v>
      </c>
      <c r="K794" s="2" t="s">
        <v>5024</v>
      </c>
    </row>
    <row r="795">
      <c r="A795" s="47">
        <v>7.0</v>
      </c>
      <c r="B795" s="86" t="str">
        <f>IFERROR(__xludf.DUMMYFUNCTION("IF(ISBLANK(A795),,FILTER('Leetcode List'!B:C,'Leetcode List'!A:A = A795))"),"Reverse Integer")</f>
        <v>Reverse Integer</v>
      </c>
      <c r="C795" s="85" t="str">
        <f>IFERROR(__xludf.DUMMYFUNCTION("""COMPUTED_VALUE"""),"Easy")</f>
        <v>Easy</v>
      </c>
      <c r="D795" s="47" t="s">
        <v>5025</v>
      </c>
      <c r="E795" s="90" t="str">
        <f>IFERROR(__xludf.DUMMYFUNCTION("IF(ISBLANK(A795),,FILTER('Leetcode List'!E:J,'Leetcode List'!A:A = A795))"),"American Express,ByteDance,EBay,Barclays,JPMorgan,Oracle,NetEase,Lyft,Cisco,Apple,Uber,Yahoo,Bloomberg,Adobe,Facebook,Amazon,Microsoft,Google")</f>
        <v>American Express,ByteDance,EBay,Barclays,JPMorgan,Oracle,NetEase,Lyft,Cisco,Apple,Uber,Yahoo,Bloomberg,Adobe,Facebook,Amazon,Microsoft,Google</v>
      </c>
      <c r="F795" s="85" t="str">
        <f>IFERROR(__xludf.DUMMYFUNCTION("""COMPUTED_VALUE"""),"Amazon,Google,Facebook,Apple,American Express,Microsoft,Adobe,Uber,Bloomberg")</f>
        <v>Amazon,Google,Facebook,Apple,American Express,Microsoft,Adobe,Uber,Bloomberg</v>
      </c>
      <c r="G795" s="85" t="str">
        <f>IFERROR(__xludf.DUMMYFUNCTION("""COMPUTED_VALUE"""),"Yahoo,ByteDance,Amazon,Google,Facebook,Apple,American Express,Microsoft,Adobe,Uber,Bloomberg")</f>
        <v>Yahoo,ByteDance,Amazon,Google,Facebook,Apple,American Express,Microsoft,Adobe,Uber,Bloomberg</v>
      </c>
      <c r="H795" s="85" t="str">
        <f>IFERROR(__xludf.DUMMYFUNCTION("""COMPUTED_VALUE"""),"Oracle,eBay,Lyft,Cisco,Yahoo,ByteDance,Amazon,Google,Facebook,Apple,American Express,Microsoft,Adobe,Uber,Bloomberg")</f>
        <v>Oracle,eBay,Lyft,Cisco,Yahoo,ByteDance,Amazon,Google,Facebook,Apple,American Express,Microsoft,Adobe,Uber,Bloomberg</v>
      </c>
      <c r="I795" s="85">
        <f>IFERROR(__xludf.DUMMYFUNCTION("""COMPUTED_VALUE"""),25.93)</f>
        <v>25.93</v>
      </c>
      <c r="J795" s="85" t="str">
        <f>IFERROR(__xludf.DUMMYFUNCTION("""COMPUTED_VALUE"""),"算法")</f>
        <v>算法</v>
      </c>
    </row>
    <row r="796">
      <c r="A796" s="47">
        <v>48.0</v>
      </c>
      <c r="B796" s="86" t="str">
        <f>IFERROR(__xludf.DUMMYFUNCTION("IF(ISBLANK(A796),,FILTER('Leetcode List'!B:C,'Leetcode List'!A:A = A796))"),"Rotate Image")</f>
        <v>Rotate Image</v>
      </c>
      <c r="C796" s="85" t="str">
        <f>IFERROR(__xludf.DUMMYFUNCTION("""COMPUTED_VALUE"""),"Medium")</f>
        <v>Medium</v>
      </c>
      <c r="D796" s="47" t="s">
        <v>5025</v>
      </c>
      <c r="E796" s="90" t="str">
        <f>IFERROR(__xludf.DUMMYFUNCTION("IF(ISBLANK(A796),,FILTER('Leetcode List'!E:J,'Leetcode List'!A:A = A796))"),"Garena,Rubrik,Databricks,Robinhood,PayTM,Walmart Labs,EBay,Uber,Akuna Capital,Palantir Technologies,Houzz,Salesforce,Groupon,Quora,Wish,Nvidia,Lyft,Cisco,Yandex,Apple,Samsung,Bloomberg,Adobe,Facebook,Amazon,Microsoft,Google")</f>
        <v>Garena,Rubrik,Databricks,Robinhood,PayTM,Walmart Labs,EBay,Uber,Akuna Capital,Palantir Technologies,Houzz,Salesforce,Groupon,Quora,Wish,Nvidia,Lyft,Cisco,Yandex,Apple,Samsung,Bloomberg,Adobe,Facebook,Amazon,Microsoft,Google</v>
      </c>
      <c r="F796" s="85" t="str">
        <f>IFERROR(__xludf.DUMMYFUNCTION("""COMPUTED_VALUE"""),"Amazon,Microsoft,Apple,Uber,Cisco,Facebook,Rubrik,Adobe,Nvidia,Quora,eBay,PayTM")</f>
        <v>Amazon,Microsoft,Apple,Uber,Cisco,Facebook,Rubrik,Adobe,Nvidia,Quora,eBay,PayTM</v>
      </c>
      <c r="G796" s="85" t="str">
        <f>IFERROR(__xludf.DUMMYFUNCTION("""COMPUTED_VALUE"""),"Google,Bloomberg,Akuna Capital,Databricks,Robinhood,Amazon,Microsoft,Apple,Uber,Cisco,Facebook,Rubrik,Adobe,Nvidia,Quora,eBay,PayTM")</f>
        <v>Google,Bloomberg,Akuna Capital,Databricks,Robinhood,Amazon,Microsoft,Apple,Uber,Cisco,Facebook,Rubrik,Adobe,Nvidia,Quora,eBay,PayTM</v>
      </c>
      <c r="H796" s="85" t="str">
        <f>IFERROR(__xludf.DUMMYFUNCTION("""COMPUTED_VALUE"""),"Lyft,Groupon,Salesforce,Yandex,Garena,Walmart Labs,Palantir Technologies,Google,Bloomberg,Akuna Capital,Databricks,Robinhood,Amazon,Microsoft,Apple,Uber,Cisco,Facebook,Rubrik,Adobe,Nvidia,Quora,eBay,PayTM")</f>
        <v>Lyft,Groupon,Salesforce,Yandex,Garena,Walmart Labs,Palantir Technologies,Google,Bloomberg,Akuna Capital,Databricks,Robinhood,Amazon,Microsoft,Apple,Uber,Cisco,Facebook,Rubrik,Adobe,Nvidia,Quora,eBay,PayTM</v>
      </c>
      <c r="I796" s="85">
        <f>IFERROR(__xludf.DUMMYFUNCTION("""COMPUTED_VALUE"""),60.22)</f>
        <v>60.22</v>
      </c>
      <c r="J796" s="85" t="str">
        <f>IFERROR(__xludf.DUMMYFUNCTION("""COMPUTED_VALUE"""),"算法")</f>
        <v>算法</v>
      </c>
    </row>
    <row r="797">
      <c r="A797" s="47">
        <v>65.0</v>
      </c>
      <c r="B797" s="86" t="str">
        <f>IFERROR(__xludf.DUMMYFUNCTION("IF(ISBLANK(A797),,FILTER('Leetcode List'!B:C,'Leetcode List'!A:A = A797))"),"Valid Number")</f>
        <v>Valid Number</v>
      </c>
      <c r="C797" s="85" t="str">
        <f>IFERROR(__xludf.DUMMYFUNCTION("""COMPUTED_VALUE"""),"Hard")</f>
        <v>Hard</v>
      </c>
      <c r="D797" s="47" t="s">
        <v>5025</v>
      </c>
      <c r="E797" s="90" t="str">
        <f>IFERROR(__xludf.DUMMYFUNCTION("IF(ISBLANK(A797),,FILTER('Leetcode List'!E:J,'Leetcode List'!A:A = A797))"),"Twitch,Oracle,TripAdvisor,Apple,Adobe,Facebook,Amazon,LinkedIn,Microsoft,Google")</f>
        <v>Twitch,Oracle,TripAdvisor,Apple,Adobe,Facebook,Amazon,LinkedIn,Microsoft,Google</v>
      </c>
      <c r="F797" s="85" t="str">
        <f>IFERROR(__xludf.DUMMYFUNCTION("""COMPUTED_VALUE"""),"Facebook,LinkedIn,Oracle")</f>
        <v>Facebook,LinkedIn,Oracle</v>
      </c>
      <c r="G797" s="85" t="str">
        <f>IFERROR(__xludf.DUMMYFUNCTION("""COMPUTED_VALUE"""),"Amazon,Google,Facebook,LinkedIn,Oracle")</f>
        <v>Amazon,Google,Facebook,LinkedIn,Oracle</v>
      </c>
      <c r="H797" s="85" t="str">
        <f>IFERROR(__xludf.DUMMYFUNCTION("""COMPUTED_VALUE"""),"Adobe,Microsoft,TripAdvisor,Twitch,Amazon,Google,Facebook,LinkedIn,Oracle")</f>
        <v>Adobe,Microsoft,TripAdvisor,Twitch,Amazon,Google,Facebook,LinkedIn,Oracle</v>
      </c>
      <c r="I797" s="85">
        <f>IFERROR(__xludf.DUMMYFUNCTION("""COMPUTED_VALUE"""),15.96)</f>
        <v>15.96</v>
      </c>
      <c r="J797" s="85" t="str">
        <f>IFERROR(__xludf.DUMMYFUNCTION("""COMPUTED_VALUE"""),"算法")</f>
        <v>算法</v>
      </c>
    </row>
    <row r="798">
      <c r="A798" s="47">
        <v>158.0</v>
      </c>
      <c r="B798" s="86" t="str">
        <f>IFERROR(__xludf.DUMMYFUNCTION("IF(ISBLANK(A798),,FILTER('Leetcode List'!B:C,'Leetcode List'!A:A = A798))"),"Read N Characters Given Read4 II - Call multiple times")</f>
        <v>Read N Characters Given Read4 II - Call multiple times</v>
      </c>
      <c r="C798" s="85" t="str">
        <f>IFERROR(__xludf.DUMMYFUNCTION("""COMPUTED_VALUE"""),"Hard")</f>
        <v>Hard</v>
      </c>
      <c r="D798" s="47" t="s">
        <v>5025</v>
      </c>
      <c r="E798" s="90" t="str">
        <f>IFERROR(__xludf.DUMMYFUNCTION("IF(ISBLANK(A798),,FILTER('Leetcode List'!E:J,'Leetcode List'!A:A = A798))"),"Oracle,Apple,Pinterest,Lyft,Uber,Bloomberg,Facebook,Amazon,Microsoft,Google")</f>
        <v>Oracle,Apple,Pinterest,Lyft,Uber,Bloomberg,Facebook,Amazon,Microsoft,Google</v>
      </c>
      <c r="F798" s="85" t="str">
        <f>IFERROR(__xludf.DUMMYFUNCTION("""COMPUTED_VALUE"""),"Facebook,Lyft,Google,Oracle")</f>
        <v>Facebook,Lyft,Google,Oracle</v>
      </c>
      <c r="G798" s="85" t="str">
        <f>IFERROR(__xludf.DUMMYFUNCTION("""COMPUTED_VALUE"""),"Amazon,Facebook,Lyft,Google,Oracle")</f>
        <v>Amazon,Facebook,Lyft,Google,Oracle</v>
      </c>
      <c r="H798" s="85" t="str">
        <f>IFERROR(__xludf.DUMMYFUNCTION("""COMPUTED_VALUE"""),"Microsoft,Uber,Pinterest,Apple,Bloomberg,Amazon,Facebook,Lyft,Google,Oracle")</f>
        <v>Microsoft,Uber,Pinterest,Apple,Bloomberg,Amazon,Facebook,Lyft,Google,Oracle</v>
      </c>
      <c r="I798" s="85">
        <f>IFERROR(__xludf.DUMMYFUNCTION("""COMPUTED_VALUE"""),37.11)</f>
        <v>37.11</v>
      </c>
      <c r="J798" s="85" t="str">
        <f>IFERROR(__xludf.DUMMYFUNCTION("""COMPUTED_VALUE"""),"算法")</f>
        <v>算法</v>
      </c>
    </row>
    <row r="799">
      <c r="A799" s="47">
        <v>240.0</v>
      </c>
      <c r="B799" s="86" t="str">
        <f>IFERROR(__xludf.DUMMYFUNCTION("IF(ISBLANK(A799),,FILTER('Leetcode List'!B:C,'Leetcode List'!A:A = A799))"),"Search a 2D Matrix II")</f>
        <v>Search a 2D Matrix II</v>
      </c>
      <c r="C799" s="85" t="str">
        <f>IFERROR(__xludf.DUMMYFUNCTION("""COMPUTED_VALUE"""),"Medium")</f>
        <v>Medium</v>
      </c>
      <c r="D799" s="47" t="s">
        <v>5025</v>
      </c>
      <c r="E799" s="90" t="str">
        <f>IFERROR(__xludf.DUMMYFUNCTION("IF(ISBLANK(A799),,FILTER('Leetcode List'!E:J,'Leetcode List'!A:A = A799))"),"Nvidia,Oracle,ByteDance,Salesforce,Citadel,Walmart Labs,Paypal,Expedia,EBay,Baidu,Apple,Yahoo,Tencent,SAP,Bloomberg,Adobe,Facebook,Amazon,LinkedIn,Microsoft,Goldman Sachs,Google")</f>
        <v>Nvidia,Oracle,ByteDance,Salesforce,Citadel,Walmart Labs,Paypal,Expedia,EBay,Baidu,Apple,Yahoo,Tencent,SAP,Bloomberg,Adobe,Facebook,Amazon,LinkedIn,Microsoft,Goldman Sachs,Google</v>
      </c>
      <c r="F799" s="85" t="str">
        <f>IFERROR(__xludf.DUMMYFUNCTION("""COMPUTED_VALUE"""),"Amazon,Microsoft,ByteDance,Bloomberg,Facebook,Nvidia")</f>
        <v>Amazon,Microsoft,ByteDance,Bloomberg,Facebook,Nvidia</v>
      </c>
      <c r="G799" s="85" t="str">
        <f>IFERROR(__xludf.DUMMYFUNCTION("""COMPUTED_VALUE"""),"eBay,Google,Apple,Adobe,Walmart Labs,Citadel,Amazon,Microsoft,ByteDance,Bloomberg,Facebook,Nvidia")</f>
        <v>eBay,Google,Apple,Adobe,Walmart Labs,Citadel,Amazon,Microsoft,ByteDance,Bloomberg,Facebook,Nvidia</v>
      </c>
      <c r="H799" s="85" t="str">
        <f>IFERROR(__xludf.DUMMYFUNCTION("""COMPUTED_VALUE"""),"Paypal,Salesforce,SAP,Expedia,Oracle,eBay,Google,Apple,Adobe,Walmart Labs,Citadel,Amazon,Microsoft,ByteDance,Bloomberg,Facebook,Nvidia")</f>
        <v>Paypal,Salesforce,SAP,Expedia,Oracle,eBay,Google,Apple,Adobe,Walmart Labs,Citadel,Amazon,Microsoft,ByteDance,Bloomberg,Facebook,Nvidia</v>
      </c>
      <c r="I799" s="85">
        <f>IFERROR(__xludf.DUMMYFUNCTION("""COMPUTED_VALUE"""),45.22)</f>
        <v>45.22</v>
      </c>
      <c r="J799" s="85" t="str">
        <f>IFERROR(__xludf.DUMMYFUNCTION("""COMPUTED_VALUE"""),"算法")</f>
        <v>算法</v>
      </c>
    </row>
    <row r="800">
      <c r="A800" s="47">
        <v>277.0</v>
      </c>
      <c r="B800" s="86" t="str">
        <f>IFERROR(__xludf.DUMMYFUNCTION("IF(ISBLANK(A800),,FILTER('Leetcode List'!B:C,'Leetcode List'!A:A = A800))"),"Find the Celebrity")</f>
        <v>Find the Celebrity</v>
      </c>
      <c r="C800" s="85" t="str">
        <f>IFERROR(__xludf.DUMMYFUNCTION("""COMPUTED_VALUE"""),"Medium")</f>
        <v>Medium</v>
      </c>
      <c r="D800" s="47" t="s">
        <v>5025</v>
      </c>
      <c r="E800" s="90" t="str">
        <f>IFERROR(__xludf.DUMMYFUNCTION("IF(ISBLANK(A800),,FILTER('Leetcode List'!E:J,'Leetcode List'!A:A = A800))"),"Snapchat,Nvidia,Square,Pinterest,Palantir Technologies,VMware,Apple,Uber,Facebook,Amazon,LinkedIn,Microsoft,Google")</f>
        <v>Snapchat,Nvidia,Square,Pinterest,Palantir Technologies,VMware,Apple,Uber,Facebook,Amazon,LinkedIn,Microsoft,Google</v>
      </c>
      <c r="F800" s="85" t="str">
        <f>IFERROR(__xludf.DUMMYFUNCTION("""COMPUTED_VALUE"""),"Microsoft,Amazon,Facebook,Apple,LinkedIn,Snapchat")</f>
        <v>Microsoft,Amazon,Facebook,Apple,LinkedIn,Snapchat</v>
      </c>
      <c r="G800" s="85" t="str">
        <f>IFERROR(__xludf.DUMMYFUNCTION("""COMPUTED_VALUE"""),"VMware,Nvidia,Microsoft,Amazon,Facebook,Apple,LinkedIn,Snapchat")</f>
        <v>VMware,Nvidia,Microsoft,Amazon,Facebook,Apple,LinkedIn,Snapchat</v>
      </c>
      <c r="H800" s="85" t="str">
        <f>IFERROR(__xludf.DUMMYFUNCTION("""COMPUTED_VALUE"""),"Pinterest,Palantir Technologies,Google,Uber,VMware,Nvidia,Microsoft,Amazon,Facebook,Apple,LinkedIn,Snapchat")</f>
        <v>Pinterest,Palantir Technologies,Google,Uber,VMware,Nvidia,Microsoft,Amazon,Facebook,Apple,LinkedIn,Snapchat</v>
      </c>
      <c r="I800" s="85">
        <f>IFERROR(__xludf.DUMMYFUNCTION("""COMPUTED_VALUE"""),43.85)</f>
        <v>43.85</v>
      </c>
      <c r="J800" s="85" t="str">
        <f>IFERROR(__xludf.DUMMYFUNCTION("""COMPUTED_VALUE"""),"算法")</f>
        <v>算法</v>
      </c>
    </row>
    <row r="801">
      <c r="A801" s="47">
        <v>311.0</v>
      </c>
      <c r="B801" s="86" t="str">
        <f>IFERROR(__xludf.DUMMYFUNCTION("IF(ISBLANK(A801),,FILTER('Leetcode List'!B:C,'Leetcode List'!A:A = A801))"),"Sparse Matrix Multiplication")</f>
        <v>Sparse Matrix Multiplication</v>
      </c>
      <c r="C801" s="85" t="str">
        <f>IFERROR(__xludf.DUMMYFUNCTION("""COMPUTED_VALUE"""),"Medium")</f>
        <v>Medium</v>
      </c>
      <c r="D801" s="47" t="s">
        <v>5025</v>
      </c>
      <c r="E801" s="90" t="str">
        <f>IFERROR(__xludf.DUMMYFUNCTION("IF(ISBLANK(A801),,FILTER('Leetcode List'!E:J,'Leetcode List'!A:A = A801))"),"Wish,Snapchat,Apple,Uber,Bloomberg,Facebook,Amazon,LinkedIn,Microsoft,Google")</f>
        <v>Wish,Snapchat,Apple,Uber,Bloomberg,Facebook,Amazon,LinkedIn,Microsoft,Google</v>
      </c>
      <c r="F801" s="85" t="str">
        <f>IFERROR(__xludf.DUMMYFUNCTION("""COMPUTED_VALUE"""),"Facebook,Apple,Wish")</f>
        <v>Facebook,Apple,Wish</v>
      </c>
      <c r="G801" s="85" t="str">
        <f>IFERROR(__xludf.DUMMYFUNCTION("""COMPUTED_VALUE"""),"Google,Bloomberg,Amazon,Facebook,Apple,Wish")</f>
        <v>Google,Bloomberg,Amazon,Facebook,Apple,Wish</v>
      </c>
      <c r="H801" s="85" t="str">
        <f>IFERROR(__xludf.DUMMYFUNCTION("""COMPUTED_VALUE"""),"Snapchat,Uber,Microsoft,LinkedIn,Google,Bloomberg,Amazon,Facebook,Apple,Wish")</f>
        <v>Snapchat,Uber,Microsoft,LinkedIn,Google,Bloomberg,Amazon,Facebook,Apple,Wish</v>
      </c>
      <c r="I801" s="85">
        <f>IFERROR(__xludf.DUMMYFUNCTION("""COMPUTED_VALUE"""),64.05)</f>
        <v>64.05</v>
      </c>
      <c r="J801" s="85" t="str">
        <f>IFERROR(__xludf.DUMMYFUNCTION("""COMPUTED_VALUE"""),"算法")</f>
        <v>算法</v>
      </c>
    </row>
    <row r="802">
      <c r="A802" s="47">
        <v>324.0</v>
      </c>
      <c r="B802" s="86" t="str">
        <f>IFERROR(__xludf.DUMMYFUNCTION("IF(ISBLANK(A802),,FILTER('Leetcode List'!B:C,'Leetcode List'!A:A = A802))"),"Wiggle Sort II")</f>
        <v>Wiggle Sort II</v>
      </c>
      <c r="C802" s="85" t="str">
        <f>IFERROR(__xludf.DUMMYFUNCTION("""COMPUTED_VALUE"""),"Medium")</f>
        <v>Medium</v>
      </c>
      <c r="D802" s="47" t="s">
        <v>5025</v>
      </c>
      <c r="E802" s="90" t="str">
        <f>IFERROR(__xludf.DUMMYFUNCTION("IF(ISBLANK(A802),,FILTER('Leetcode List'!E:J,'Leetcode List'!A:A = A802))"),"Paypal,Amazon,Akuna Capital,Airbnb,Facebook,Google")</f>
        <v>Paypal,Amazon,Akuna Capital,Airbnb,Facebook,Google</v>
      </c>
      <c r="F802" s="85"/>
      <c r="G802" s="85" t="str">
        <f>IFERROR(__xludf.DUMMYFUNCTION("""COMPUTED_VALUE"""),"Paypal")</f>
        <v>Paypal</v>
      </c>
      <c r="H802" s="85" t="str">
        <f>IFERROR(__xludf.DUMMYFUNCTION("""COMPUTED_VALUE"""),"Airbnb,Facebook,Amazon,Google,Paypal")</f>
        <v>Airbnb,Facebook,Amazon,Google,Paypal</v>
      </c>
      <c r="I802" s="85">
        <f>IFERROR(__xludf.DUMMYFUNCTION("""COMPUTED_VALUE"""),30.75)</f>
        <v>30.75</v>
      </c>
      <c r="J802" s="85" t="str">
        <f>IFERROR(__xludf.DUMMYFUNCTION("""COMPUTED_VALUE"""),"算法")</f>
        <v>算法</v>
      </c>
    </row>
    <row r="803">
      <c r="A803" s="47">
        <v>593.0</v>
      </c>
      <c r="B803" s="86" t="str">
        <f>IFERROR(__xludf.DUMMYFUNCTION("IF(ISBLANK(A803),,FILTER('Leetcode List'!B:C,'Leetcode List'!A:A = A803))"),"Valid Square")</f>
        <v>Valid Square</v>
      </c>
      <c r="C803" s="85" t="str">
        <f>IFERROR(__xludf.DUMMYFUNCTION("""COMPUTED_VALUE"""),"Medium")</f>
        <v>Medium</v>
      </c>
      <c r="D803" s="47" t="s">
        <v>5025</v>
      </c>
      <c r="E803" s="90" t="str">
        <f>IFERROR(__xludf.DUMMYFUNCTION("IF(ISBLANK(A803),,FILTER('Leetcode List'!E:J,'Leetcode List'!A:A = A803))"),"Pure Storage,Facebook,Google")</f>
        <v>Pure Storage,Facebook,Google</v>
      </c>
      <c r="F803" s="85" t="str">
        <f>IFERROR(__xludf.DUMMYFUNCTION("""COMPUTED_VALUE"""),"Pure Storage,Google")</f>
        <v>Pure Storage,Google</v>
      </c>
      <c r="G803" s="85" t="str">
        <f>IFERROR(__xludf.DUMMYFUNCTION("""COMPUTED_VALUE"""),"Pure Storage,Google")</f>
        <v>Pure Storage,Google</v>
      </c>
      <c r="H803" s="85" t="str">
        <f>IFERROR(__xludf.DUMMYFUNCTION("""COMPUTED_VALUE"""),"Facebook,Pure Storage,Google")</f>
        <v>Facebook,Pure Storage,Google</v>
      </c>
      <c r="I803" s="85">
        <f>IFERROR(__xludf.DUMMYFUNCTION("""COMPUTED_VALUE"""),43.29)</f>
        <v>43.29</v>
      </c>
      <c r="J803" s="85" t="str">
        <f>IFERROR(__xludf.DUMMYFUNCTION("""COMPUTED_VALUE"""),"算法")</f>
        <v>算法</v>
      </c>
    </row>
    <row r="804">
      <c r="A804" s="47">
        <v>168.0</v>
      </c>
      <c r="B804" s="86" t="str">
        <f>IFERROR(__xludf.DUMMYFUNCTION("IF(ISBLANK(A804),,FILTER('Leetcode List'!B:C,'Leetcode List'!A:A = A804))"),"Excel Sheet Column Title")</f>
        <v>Excel Sheet Column Title</v>
      </c>
      <c r="C804" s="85" t="str">
        <f>IFERROR(__xludf.DUMMYFUNCTION("""COMPUTED_VALUE"""),"Easy")</f>
        <v>Easy</v>
      </c>
      <c r="D804" s="47" t="s">
        <v>5025</v>
      </c>
      <c r="E804" s="90" t="str">
        <f>IFERROR(__xludf.DUMMYFUNCTION("IF(ISBLANK(A804),,FILTER('Leetcode List'!E:J,'Leetcode List'!A:A = A804))"),"VMware,Paypal,Zenefits,Alation,FactSet,Apple,Yahoo,Adobe,Facebook,Microsoft,Google")</f>
        <v>VMware,Paypal,Zenefits,Alation,FactSet,Apple,Yahoo,Adobe,Facebook,Microsoft,Google</v>
      </c>
      <c r="F804" s="85" t="str">
        <f>IFERROR(__xludf.DUMMYFUNCTION("""COMPUTED_VALUE"""),"Microsoft,Facebook")</f>
        <v>Microsoft,Facebook</v>
      </c>
      <c r="G804" s="85" t="str">
        <f>IFERROR(__xludf.DUMMYFUNCTION("""COMPUTED_VALUE"""),"Google,Apple,Adobe,VMware,Microsoft,Facebook")</f>
        <v>Google,Apple,Adobe,VMware,Microsoft,Facebook</v>
      </c>
      <c r="H804" s="85" t="str">
        <f>IFERROR(__xludf.DUMMYFUNCTION("""COMPUTED_VALUE"""),"FactSet,Paypal,Zenefits,Google,Apple,Adobe,VMware,Microsoft,Facebook")</f>
        <v>FactSet,Paypal,Zenefits,Google,Apple,Adobe,VMware,Microsoft,Facebook</v>
      </c>
      <c r="I804" s="85">
        <f>IFERROR(__xludf.DUMMYFUNCTION("""COMPUTED_VALUE"""),31.82)</f>
        <v>31.82</v>
      </c>
      <c r="J804" s="85" t="str">
        <f>IFERROR(__xludf.DUMMYFUNCTION("""COMPUTED_VALUE"""),"算法")</f>
        <v>算法</v>
      </c>
    </row>
    <row r="805">
      <c r="A805" s="47">
        <v>453.0</v>
      </c>
      <c r="B805" s="86" t="str">
        <f>IFERROR(__xludf.DUMMYFUNCTION("IF(ISBLANK(A805),,FILTER('Leetcode List'!B:C,'Leetcode List'!A:A = A805))"),"Minimum Moves to Equal Array Elements")</f>
        <v>Minimum Moves to Equal Array Elements</v>
      </c>
      <c r="C805" s="85" t="str">
        <f>IFERROR(__xludf.DUMMYFUNCTION("""COMPUTED_VALUE"""),"Easy")</f>
        <v>Easy</v>
      </c>
      <c r="D805" s="47" t="s">
        <v>5025</v>
      </c>
      <c r="E805" s="90" t="str">
        <f>IFERROR(__xludf.DUMMYFUNCTION("IF(ISBLANK(A805),,FILTER('Leetcode List'!E:J,'Leetcode List'!A:A = A805))"),"Swiggy,FactSet,JPMorgan,Mathworks,Microsoft,Coursera,Drawbridge,Indeed,Apple,Amazon")</f>
        <v>Swiggy,FactSet,JPMorgan,Mathworks,Microsoft,Coursera,Drawbridge,Indeed,Apple,Amazon</v>
      </c>
      <c r="F805" s="85" t="str">
        <f>IFERROR(__xludf.DUMMYFUNCTION("""COMPUTED_VALUE"""),"JPMorgan,Microsoft,Mathworks,Swiggy")</f>
        <v>JPMorgan,Microsoft,Mathworks,Swiggy</v>
      </c>
      <c r="G805" s="85" t="str">
        <f>IFERROR(__xludf.DUMMYFUNCTION("""COMPUTED_VALUE"""),"Apple,Amazon,FactSet,JPMorgan,Microsoft,Mathworks,Swiggy")</f>
        <v>Apple,Amazon,FactSet,JPMorgan,Microsoft,Mathworks,Swiggy</v>
      </c>
      <c r="H805" s="85" t="str">
        <f>IFERROR(__xludf.DUMMYFUNCTION("""COMPUTED_VALUE"""),"Drawbridge,Coursera,Indeed,Apple,Amazon,FactSet,JPMorgan,Microsoft,Mathworks,Swiggy")</f>
        <v>Drawbridge,Coursera,Indeed,Apple,Amazon,FactSet,JPMorgan,Microsoft,Mathworks,Swiggy</v>
      </c>
      <c r="I805" s="85">
        <f>IFERROR(__xludf.DUMMYFUNCTION("""COMPUTED_VALUE"""),50.84)</f>
        <v>50.84</v>
      </c>
      <c r="J805" s="85" t="str">
        <f>IFERROR(__xludf.DUMMYFUNCTION("""COMPUTED_VALUE"""),"算法")</f>
        <v>算法</v>
      </c>
    </row>
    <row r="806">
      <c r="A806" s="47">
        <v>587.0</v>
      </c>
      <c r="B806" s="86" t="str">
        <f>IFERROR(__xludf.DUMMYFUNCTION("IF(ISBLANK(A806),,FILTER('Leetcode List'!B:C,'Leetcode List'!A:A = A806))"),"Erect the Fence")</f>
        <v>Erect the Fence</v>
      </c>
      <c r="C806" s="85" t="str">
        <f>IFERROR(__xludf.DUMMYFUNCTION("""COMPUTED_VALUE"""),"Hard")</f>
        <v>Hard</v>
      </c>
      <c r="D806" s="47" t="s">
        <v>5025</v>
      </c>
      <c r="E806" s="90" t="str">
        <f>IFERROR(__xludf.DUMMYFUNCTION("IF(ISBLANK(A806),,FILTER('Leetcode List'!E:J,'Leetcode List'!A:A = A806))"),"Google")</f>
        <v>Google</v>
      </c>
      <c r="F806" s="85"/>
      <c r="G806" s="85"/>
      <c r="H806" s="85" t="str">
        <f>IFERROR(__xludf.DUMMYFUNCTION("""COMPUTED_VALUE"""),"Google")</f>
        <v>Google</v>
      </c>
      <c r="I806" s="85">
        <f>IFERROR(__xludf.DUMMYFUNCTION("""COMPUTED_VALUE"""),36.49)</f>
        <v>36.49</v>
      </c>
      <c r="J806" s="85" t="str">
        <f>IFERROR(__xludf.DUMMYFUNCTION("""COMPUTED_VALUE"""),"算法")</f>
        <v>算法</v>
      </c>
    </row>
    <row r="807">
      <c r="A807" s="47">
        <v>87.0</v>
      </c>
      <c r="B807" s="86" t="str">
        <f>IFERROR(__xludf.DUMMYFUNCTION("IF(ISBLANK(A807),,FILTER('Leetcode List'!B:C,'Leetcode List'!A:A = A807))"),"Scramble String")</f>
        <v>Scramble String</v>
      </c>
      <c r="C807" s="85" t="str">
        <f>IFERROR(__xludf.DUMMYFUNCTION("""COMPUTED_VALUE"""),"Hard")</f>
        <v>Hard</v>
      </c>
      <c r="D807" s="47" t="s">
        <v>5025</v>
      </c>
      <c r="E807" s="90" t="str">
        <f>IFERROR(__xludf.DUMMYFUNCTION("IF(ISBLANK(A807),,FILTER('Leetcode List'!E:J,'Leetcode List'!A:A = A807))"),"Amazon,Apple,Facebook,Google")</f>
        <v>Amazon,Apple,Facebook,Google</v>
      </c>
      <c r="F807" s="85"/>
      <c r="G807" s="85" t="str">
        <f>IFERROR(__xludf.DUMMYFUNCTION("""COMPUTED_VALUE"""),"Apple")</f>
        <v>Apple</v>
      </c>
      <c r="H807" s="85" t="str">
        <f>IFERROR(__xludf.DUMMYFUNCTION("""COMPUTED_VALUE"""),"Amazon,Apple")</f>
        <v>Amazon,Apple</v>
      </c>
      <c r="I807" s="85">
        <f>IFERROR(__xludf.DUMMYFUNCTION("""COMPUTED_VALUE"""),34.77)</f>
        <v>34.77</v>
      </c>
      <c r="J807" s="85" t="str">
        <f>IFERROR(__xludf.DUMMYFUNCTION("""COMPUTED_VALUE"""),"算法")</f>
        <v>算法</v>
      </c>
    </row>
    <row r="808">
      <c r="A808" s="47">
        <v>391.0</v>
      </c>
      <c r="B808" s="86" t="str">
        <f>IFERROR(__xludf.DUMMYFUNCTION("IF(ISBLANK(A808),,FILTER('Leetcode List'!B:C,'Leetcode List'!A:A = A808))"),"Perfect Rectangle")</f>
        <v>Perfect Rectangle</v>
      </c>
      <c r="C808" s="85" t="str">
        <f>IFERROR(__xludf.DUMMYFUNCTION("""COMPUTED_VALUE"""),"Hard")</f>
        <v>Hard</v>
      </c>
      <c r="D808" s="47" t="s">
        <v>5025</v>
      </c>
      <c r="E808" s="90" t="str">
        <f>IFERROR(__xludf.DUMMYFUNCTION("IF(ISBLANK(A808),,FILTER('Leetcode List'!E:J,'Leetcode List'!A:A = A808))"),"Apple,Uber,Google")</f>
        <v>Apple,Uber,Google</v>
      </c>
      <c r="F808" s="85"/>
      <c r="G808" s="85" t="str">
        <f>IFERROR(__xludf.DUMMYFUNCTION("""COMPUTED_VALUE"""),"Apple")</f>
        <v>Apple</v>
      </c>
      <c r="H808" s="85" t="str">
        <f>IFERROR(__xludf.DUMMYFUNCTION("""COMPUTED_VALUE"""),"Uber,Google,Apple")</f>
        <v>Uber,Google,Apple</v>
      </c>
      <c r="I808" s="85">
        <f>IFERROR(__xludf.DUMMYFUNCTION("""COMPUTED_VALUE"""),31.23)</f>
        <v>31.23</v>
      </c>
      <c r="J808" s="85" t="str">
        <f>IFERROR(__xludf.DUMMYFUNCTION("""COMPUTED_VALUE"""),"算法")</f>
        <v>算法</v>
      </c>
    </row>
    <row r="809">
      <c r="A809" s="47">
        <v>423.0</v>
      </c>
      <c r="B809" s="86" t="str">
        <f>IFERROR(__xludf.DUMMYFUNCTION("IF(ISBLANK(A809),,FILTER('Leetcode List'!B:C,'Leetcode List'!A:A = A809))"),"Reconstruct Original Digits from English")</f>
        <v>Reconstruct Original Digits from English</v>
      </c>
      <c r="C809" s="85" t="str">
        <f>IFERROR(__xludf.DUMMYFUNCTION("""COMPUTED_VALUE"""),"Medium")</f>
        <v>Medium</v>
      </c>
      <c r="D809" s="47" t="s">
        <v>5025</v>
      </c>
      <c r="E809" s="90" t="str">
        <f>IFERROR(__xludf.DUMMYFUNCTION("IF(ISBLANK(A809),,FILTER('Leetcode List'!E:J,'Leetcode List'!A:A = A809))"),"Expedia")</f>
        <v>Expedia</v>
      </c>
      <c r="F809" s="85"/>
      <c r="G809" s="85" t="str">
        <f>IFERROR(__xludf.DUMMYFUNCTION("""COMPUTED_VALUE"""),"Expedia")</f>
        <v>Expedia</v>
      </c>
      <c r="H809" s="85" t="str">
        <f>IFERROR(__xludf.DUMMYFUNCTION("""COMPUTED_VALUE"""),"Expedia")</f>
        <v>Expedia</v>
      </c>
      <c r="I809" s="85">
        <f>IFERROR(__xludf.DUMMYFUNCTION("""COMPUTED_VALUE"""),47.52)</f>
        <v>47.52</v>
      </c>
      <c r="J809" s="85" t="str">
        <f>IFERROR(__xludf.DUMMYFUNCTION("""COMPUTED_VALUE"""),"算法")</f>
        <v>算法</v>
      </c>
    </row>
    <row r="810">
      <c r="A810" s="47">
        <v>335.0</v>
      </c>
      <c r="B810" s="86" t="str">
        <f>IFERROR(__xludf.DUMMYFUNCTION("IF(ISBLANK(A810),,FILTER('Leetcode List'!B:C,'Leetcode List'!A:A = A810))"),"Self Crossing")</f>
        <v>Self Crossing</v>
      </c>
      <c r="C810" s="85" t="str">
        <f>IFERROR(__xludf.DUMMYFUNCTION("""COMPUTED_VALUE"""),"Hard")</f>
        <v>Hard</v>
      </c>
      <c r="D810" s="47" t="s">
        <v>5025</v>
      </c>
      <c r="E810" s="90" t="str">
        <f>IFERROR(__xludf.DUMMYFUNCTION("IF(ISBLANK(A810),,FILTER('Leetcode List'!E:J,'Leetcode List'!A:A = A810))"),"Amazon,Google")</f>
        <v>Amazon,Google</v>
      </c>
      <c r="F810" s="85"/>
      <c r="G810" s="85" t="str">
        <f>IFERROR(__xludf.DUMMYFUNCTION("""COMPUTED_VALUE"""),"Google,Amazon")</f>
        <v>Google,Amazon</v>
      </c>
      <c r="H810" s="85" t="str">
        <f>IFERROR(__xludf.DUMMYFUNCTION("""COMPUTED_VALUE"""),"Google,Amazon")</f>
        <v>Google,Amazon</v>
      </c>
      <c r="I810" s="85">
        <f>IFERROR(__xludf.DUMMYFUNCTION("""COMPUTED_VALUE"""),28.69)</f>
        <v>28.69</v>
      </c>
      <c r="J810" s="85" t="str">
        <f>IFERROR(__xludf.DUMMYFUNCTION("""COMPUTED_VALUE"""),"算法")</f>
        <v>算法</v>
      </c>
    </row>
    <row r="811">
      <c r="A811" s="47">
        <v>479.0</v>
      </c>
      <c r="B811" s="86" t="str">
        <f>IFERROR(__xludf.DUMMYFUNCTION("IF(ISBLANK(A811),,FILTER('Leetcode List'!B:C,'Leetcode List'!A:A = A811))"),"Largest Palindrome Product")</f>
        <v>Largest Palindrome Product</v>
      </c>
      <c r="C811" s="85" t="str">
        <f>IFERROR(__xludf.DUMMYFUNCTION("""COMPUTED_VALUE"""),"Hard")</f>
        <v>Hard</v>
      </c>
      <c r="D811" s="47" t="s">
        <v>5025</v>
      </c>
      <c r="E811" s="90" t="str">
        <f>IFERROR(__xludf.DUMMYFUNCTION("IF(ISBLANK(A811),,FILTER('Leetcode List'!E:J,'Leetcode List'!A:A = A811))"),"Apple,Yahoo")</f>
        <v>Apple,Yahoo</v>
      </c>
      <c r="F811" s="85"/>
      <c r="G811" s="85"/>
      <c r="H811" s="85" t="str">
        <f>IFERROR(__xludf.DUMMYFUNCTION("""COMPUTED_VALUE"""),"Yahoo")</f>
        <v>Yahoo</v>
      </c>
      <c r="I811" s="85">
        <f>IFERROR(__xludf.DUMMYFUNCTION("""COMPUTED_VALUE"""),29.63)</f>
        <v>29.63</v>
      </c>
      <c r="J811" s="85" t="str">
        <f>IFERROR(__xludf.DUMMYFUNCTION("""COMPUTED_VALUE"""),"算法")</f>
        <v>算法</v>
      </c>
    </row>
    <row r="812">
      <c r="A812" s="47">
        <v>689.0</v>
      </c>
      <c r="B812" s="86" t="str">
        <f>IFERROR(__xludf.DUMMYFUNCTION("IF(ISBLANK(A812),,FILTER('Leetcode List'!B:C,'Leetcode List'!A:A = A812))"),"Maximum Sum of 3 Non-Overlapping Subarrays")</f>
        <v>Maximum Sum of 3 Non-Overlapping Subarrays</v>
      </c>
      <c r="C812" s="85" t="str">
        <f>IFERROR(__xludf.DUMMYFUNCTION("""COMPUTED_VALUE"""),"Hard")</f>
        <v>Hard</v>
      </c>
      <c r="D812" s="47" t="s">
        <v>5025</v>
      </c>
      <c r="E812" s="90" t="str">
        <f>IFERROR(__xludf.DUMMYFUNCTION("IF(ISBLANK(A812),,FILTER('Leetcode List'!E:J,'Leetcode List'!A:A = A812))"),"Facebook,Google")</f>
        <v>Facebook,Google</v>
      </c>
      <c r="F812" s="85" t="str">
        <f>IFERROR(__xludf.DUMMYFUNCTION("""COMPUTED_VALUE"""),"Facebook")</f>
        <v>Facebook</v>
      </c>
      <c r="G812" s="85" t="str">
        <f>IFERROR(__xludf.DUMMYFUNCTION("""COMPUTED_VALUE"""),"Google,Facebook")</f>
        <v>Google,Facebook</v>
      </c>
      <c r="H812" s="85" t="str">
        <f>IFERROR(__xludf.DUMMYFUNCTION("""COMPUTED_VALUE"""),"Google,Facebook")</f>
        <v>Google,Facebook</v>
      </c>
      <c r="I812" s="85">
        <f>IFERROR(__xludf.DUMMYFUNCTION("""COMPUTED_VALUE"""),47.24)</f>
        <v>47.24</v>
      </c>
      <c r="J812" s="85" t="str">
        <f>IFERROR(__xludf.DUMMYFUNCTION("""COMPUTED_VALUE"""),"算法")</f>
        <v>算法</v>
      </c>
    </row>
    <row r="813">
      <c r="A813" s="47">
        <v>782.0</v>
      </c>
      <c r="B813" s="86" t="str">
        <f>IFERROR(__xludf.DUMMYFUNCTION("IF(ISBLANK(A813),,FILTER('Leetcode List'!B:C,'Leetcode List'!A:A = A813))"),"Transform to Chessboard")</f>
        <v>Transform to Chessboard</v>
      </c>
      <c r="C813" s="85" t="str">
        <f>IFERROR(__xludf.DUMMYFUNCTION("""COMPUTED_VALUE"""),"Hard")</f>
        <v>Hard</v>
      </c>
      <c r="D813" s="47" t="s">
        <v>5025</v>
      </c>
      <c r="E813" s="90" t="str">
        <f>IFERROR(__xludf.DUMMYFUNCTION("IF(ISBLANK(A813),,FILTER('Leetcode List'!E:J,'Leetcode List'!A:A = A813))"),"Google")</f>
        <v>Google</v>
      </c>
      <c r="F813" s="85"/>
      <c r="G813" s="85"/>
      <c r="H813" s="85" t="str">
        <f>IFERROR(__xludf.DUMMYFUNCTION("""COMPUTED_VALUE"""),"Google")</f>
        <v>Google</v>
      </c>
      <c r="I813" s="85">
        <f>IFERROR(__xludf.DUMMYFUNCTION("""COMPUTED_VALUE"""),47.04)</f>
        <v>47.04</v>
      </c>
      <c r="J813" s="85" t="str">
        <f>IFERROR(__xludf.DUMMYFUNCTION("""COMPUTED_VALUE"""),"算法")</f>
        <v>算法</v>
      </c>
    </row>
    <row r="814">
      <c r="A814" s="47">
        <v>466.0</v>
      </c>
      <c r="B814" s="86" t="str">
        <f>IFERROR(__xludf.DUMMYFUNCTION("IF(ISBLANK(A814),,FILTER('Leetcode List'!B:C,'Leetcode List'!A:A = A814))"),"Count The Repetitions")</f>
        <v>Count The Repetitions</v>
      </c>
      <c r="C814" s="85" t="str">
        <f>IFERROR(__xludf.DUMMYFUNCTION("""COMPUTED_VALUE"""),"Hard")</f>
        <v>Hard</v>
      </c>
      <c r="D814" s="47" t="s">
        <v>5025</v>
      </c>
      <c r="E814" s="90" t="str">
        <f>IFERROR(__xludf.DUMMYFUNCTION("IF(ISBLANK(A814),,FILTER('Leetcode List'!E:J,'Leetcode List'!A:A = A814))"),"Apple,Amazon")</f>
        <v>Apple,Amazon</v>
      </c>
      <c r="F814" s="85"/>
      <c r="G814" s="85" t="str">
        <f>IFERROR(__xludf.DUMMYFUNCTION("""COMPUTED_VALUE"""),"Amazon")</f>
        <v>Amazon</v>
      </c>
      <c r="H814" s="85" t="str">
        <f>IFERROR(__xludf.DUMMYFUNCTION("""COMPUTED_VALUE"""),"Apple,Amazon")</f>
        <v>Apple,Amazon</v>
      </c>
      <c r="I814" s="85">
        <f>IFERROR(__xludf.DUMMYFUNCTION("""COMPUTED_VALUE"""),28.63)</f>
        <v>28.63</v>
      </c>
      <c r="J814" s="85" t="str">
        <f>IFERROR(__xludf.DUMMYFUNCTION("""COMPUTED_VALUE"""),"算法")</f>
        <v>算法</v>
      </c>
    </row>
    <row r="815">
      <c r="A815" s="47">
        <v>810.0</v>
      </c>
      <c r="B815" s="86" t="str">
        <f>IFERROR(__xludf.DUMMYFUNCTION("IF(ISBLANK(A815),,FILTER('Leetcode List'!B:C,'Leetcode List'!A:A = A815))"),"Chalkboard XOR Game")</f>
        <v>Chalkboard XOR Game</v>
      </c>
      <c r="C815" s="85" t="str">
        <f>IFERROR(__xludf.DUMMYFUNCTION("""COMPUTED_VALUE"""),"Hard")</f>
        <v>Hard</v>
      </c>
      <c r="D815" s="47" t="s">
        <v>5025</v>
      </c>
      <c r="E815" s="90" t="str">
        <f>IFERROR(__xludf.DUMMYFUNCTION("IF(ISBLANK(A815),,FILTER('Leetcode List'!E:J,'Leetcode List'!A:A = A815))"),"Garena")</f>
        <v>Garena</v>
      </c>
      <c r="F815" s="85"/>
      <c r="G815" s="85"/>
      <c r="H815" s="85" t="str">
        <f>IFERROR(__xludf.DUMMYFUNCTION("""COMPUTED_VALUE"""),"Garena")</f>
        <v>Garena</v>
      </c>
      <c r="I815" s="85">
        <f>IFERROR(__xludf.DUMMYFUNCTION("""COMPUTED_VALUE"""),49.81)</f>
        <v>49.81</v>
      </c>
      <c r="J815" s="85" t="str">
        <f>IFERROR(__xludf.DUMMYFUNCTION("""COMPUTED_VALUE"""),"算法")</f>
        <v>算法</v>
      </c>
    </row>
    <row r="816">
      <c r="A816" s="47">
        <v>420.0</v>
      </c>
      <c r="B816" s="86" t="str">
        <f>IFERROR(__xludf.DUMMYFUNCTION("IF(ISBLANK(A816),,FILTER('Leetcode List'!B:C,'Leetcode List'!A:A = A816))"),"Strong Password Checker")</f>
        <v>Strong Password Checker</v>
      </c>
      <c r="C816" s="85" t="str">
        <f>IFERROR(__xludf.DUMMYFUNCTION("""COMPUTED_VALUE"""),"Hard")</f>
        <v>Hard</v>
      </c>
      <c r="D816" s="47" t="s">
        <v>5025</v>
      </c>
      <c r="E816" s="90" t="str">
        <f>IFERROR(__xludf.DUMMYFUNCTION("IF(ISBLANK(A816),,FILTER('Leetcode List'!E:J,'Leetcode List'!A:A = A816))"),"Oracle,Apple,Yahoo,Facebook,Microsoft,Uber,Adobe,Amazon,Google")</f>
        <v>Oracle,Apple,Yahoo,Facebook,Microsoft,Uber,Adobe,Amazon,Google</v>
      </c>
      <c r="F816" s="85" t="str">
        <f>IFERROR(__xludf.DUMMYFUNCTION("""COMPUTED_VALUE"""),"Google,Oracle,Microsoft")</f>
        <v>Google,Oracle,Microsoft</v>
      </c>
      <c r="G816" s="85" t="str">
        <f>IFERROR(__xludf.DUMMYFUNCTION("""COMPUTED_VALUE"""),"Amazon,Adobe,Apple,Facebook,Yahoo,Google,Oracle,Microsoft")</f>
        <v>Amazon,Adobe,Apple,Facebook,Yahoo,Google,Oracle,Microsoft</v>
      </c>
      <c r="H816" s="85" t="str">
        <f>IFERROR(__xludf.DUMMYFUNCTION("""COMPUTED_VALUE"""),"Uber,Amazon,Adobe,Apple,Facebook,Yahoo,Google,Oracle,Microsoft")</f>
        <v>Uber,Amazon,Adobe,Apple,Facebook,Yahoo,Google,Oracle,Microsoft</v>
      </c>
      <c r="I816" s="85">
        <f>IFERROR(__xludf.DUMMYFUNCTION("""COMPUTED_VALUE"""),13.99)</f>
        <v>13.99</v>
      </c>
      <c r="J816" s="85" t="str">
        <f>IFERROR(__xludf.DUMMYFUNCTION("""COMPUTED_VALUE"""),"算法")</f>
        <v>算法</v>
      </c>
    </row>
    <row r="817">
      <c r="A817" s="47">
        <v>850.0</v>
      </c>
      <c r="B817" s="86" t="str">
        <f>IFERROR(__xludf.DUMMYFUNCTION("IF(ISBLANK(A817),,FILTER('Leetcode List'!B:C,'Leetcode List'!A:A = A817))"),"Rectangle Area II")</f>
        <v>Rectangle Area II</v>
      </c>
      <c r="C817" s="85" t="str">
        <f>IFERROR(__xludf.DUMMYFUNCTION("""COMPUTED_VALUE"""),"Hard")</f>
        <v>Hard</v>
      </c>
      <c r="D817" s="47" t="s">
        <v>5025</v>
      </c>
      <c r="E817" s="90" t="str">
        <f>IFERROR(__xludf.DUMMYFUNCTION("IF(ISBLANK(A817),,FILTER('Leetcode List'!E:J,'Leetcode List'!A:A = A817))"),"Sumologic,Google")</f>
        <v>Sumologic,Google</v>
      </c>
      <c r="F817" s="85" t="str">
        <f>IFERROR(__xludf.DUMMYFUNCTION("""COMPUTED_VALUE"""),"Sumologic")</f>
        <v>Sumologic</v>
      </c>
      <c r="G817" s="85" t="str">
        <f>IFERROR(__xludf.DUMMYFUNCTION("""COMPUTED_VALUE"""),"Google,Sumologic")</f>
        <v>Google,Sumologic</v>
      </c>
      <c r="H817" s="85" t="str">
        <f>IFERROR(__xludf.DUMMYFUNCTION("""COMPUTED_VALUE"""),"Google,Sumologic")</f>
        <v>Google,Sumologic</v>
      </c>
      <c r="I817" s="85">
        <f>IFERROR(__xludf.DUMMYFUNCTION("""COMPUTED_VALUE"""),48.3)</f>
        <v>48.3</v>
      </c>
      <c r="J817" s="85" t="str">
        <f>IFERROR(__xludf.DUMMYFUNCTION("""COMPUTED_VALUE"""),"算法")</f>
        <v>算法</v>
      </c>
    </row>
    <row r="818">
      <c r="A818" s="47">
        <v>775.0</v>
      </c>
      <c r="B818" s="86" t="str">
        <f>IFERROR(__xludf.DUMMYFUNCTION("IF(ISBLANK(A818),,FILTER('Leetcode List'!B:C,'Leetcode List'!A:A = A818))"),"Global and Local Inversions")</f>
        <v>Global and Local Inversions</v>
      </c>
      <c r="C818" s="85" t="str">
        <f>IFERROR(__xludf.DUMMYFUNCTION("""COMPUTED_VALUE"""),"Medium")</f>
        <v>Medium</v>
      </c>
      <c r="D818" s="47" t="s">
        <v>5025</v>
      </c>
      <c r="E818" s="90" t="str">
        <f>IFERROR(__xludf.DUMMYFUNCTION("IF(ISBLANK(A818),,FILTER('Leetcode List'!E:J,'Leetcode List'!A:A = A818))"),"Amazon")</f>
        <v>Amazon</v>
      </c>
      <c r="F818" s="85"/>
      <c r="G818" s="85" t="str">
        <f>IFERROR(__xludf.DUMMYFUNCTION("""COMPUTED_VALUE"""),"Amazon")</f>
        <v>Amazon</v>
      </c>
      <c r="H818" s="85" t="str">
        <f>IFERROR(__xludf.DUMMYFUNCTION("""COMPUTED_VALUE"""),"Amazon")</f>
        <v>Amazon</v>
      </c>
      <c r="I818" s="85">
        <f>IFERROR(__xludf.DUMMYFUNCTION("""COMPUTED_VALUE"""),42.62)</f>
        <v>42.62</v>
      </c>
      <c r="J818" s="85" t="str">
        <f>IFERROR(__xludf.DUMMYFUNCTION("""COMPUTED_VALUE"""),"算法")</f>
        <v>算法</v>
      </c>
    </row>
    <row r="819">
      <c r="A819" s="47">
        <v>794.0</v>
      </c>
      <c r="B819" s="86" t="str">
        <f>IFERROR(__xludf.DUMMYFUNCTION("IF(ISBLANK(A819),,FILTER('Leetcode List'!B:C,'Leetcode List'!A:A = A819))"),"Valid Tic-Tac-Toe State")</f>
        <v>Valid Tic-Tac-Toe State</v>
      </c>
      <c r="C819" s="85" t="str">
        <f>IFERROR(__xludf.DUMMYFUNCTION("""COMPUTED_VALUE"""),"Medium")</f>
        <v>Medium</v>
      </c>
      <c r="D819" s="47" t="s">
        <v>5025</v>
      </c>
      <c r="E819" s="90" t="str">
        <f>IFERROR(__xludf.DUMMYFUNCTION("IF(ISBLANK(A819),,FILTER('Leetcode List'!E:J,'Leetcode List'!A:A = A819))"),"Bloomberg,Oracle,Yahoo,Facebook,Amazon,Microsoft,Google")</f>
        <v>Bloomberg,Oracle,Yahoo,Facebook,Amazon,Microsoft,Google</v>
      </c>
      <c r="F819" s="85" t="str">
        <f>IFERROR(__xludf.DUMMYFUNCTION("""COMPUTED_VALUE"""),"Facebook,Bloomberg")</f>
        <v>Facebook,Bloomberg</v>
      </c>
      <c r="G819" s="85" t="str">
        <f>IFERROR(__xludf.DUMMYFUNCTION("""COMPUTED_VALUE"""),"Oracle,Facebook,Bloomberg")</f>
        <v>Oracle,Facebook,Bloomberg</v>
      </c>
      <c r="H819" s="85" t="str">
        <f>IFERROR(__xludf.DUMMYFUNCTION("""COMPUTED_VALUE"""),"Microsoft,Amazon,Google,Oracle,Facebook,Bloomberg")</f>
        <v>Microsoft,Amazon,Google,Oracle,Facebook,Bloomberg</v>
      </c>
      <c r="I819" s="85">
        <f>IFERROR(__xludf.DUMMYFUNCTION("""COMPUTED_VALUE"""),33.68)</f>
        <v>33.68</v>
      </c>
      <c r="J819" s="85" t="str">
        <f>IFERROR(__xludf.DUMMYFUNCTION("""COMPUTED_VALUE"""),"算法")</f>
        <v>算法</v>
      </c>
    </row>
    <row r="820">
      <c r="A820" s="47">
        <v>798.0</v>
      </c>
      <c r="B820" s="86" t="str">
        <f>IFERROR(__xludf.DUMMYFUNCTION("IF(ISBLANK(A820),,FILTER('Leetcode List'!B:C,'Leetcode List'!A:A = A820))"),"Smallest Rotation with Highest Score")</f>
        <v>Smallest Rotation with Highest Score</v>
      </c>
      <c r="C820" s="85" t="str">
        <f>IFERROR(__xludf.DUMMYFUNCTION("""COMPUTED_VALUE"""),"Hard")</f>
        <v>Hard</v>
      </c>
      <c r="D820" s="47" t="s">
        <v>5025</v>
      </c>
      <c r="E820" s="90" t="str">
        <f>IFERROR(__xludf.DUMMYFUNCTION("IF(ISBLANK(A820),,FILTER('Leetcode List'!E:J,'Leetcode List'!A:A = A820))"),"")</f>
        <v/>
      </c>
      <c r="F820" s="85"/>
      <c r="G820" s="85"/>
      <c r="H820" s="85"/>
      <c r="I820" s="85">
        <f>IFERROR(__xludf.DUMMYFUNCTION("""COMPUTED_VALUE"""),45.02)</f>
        <v>45.02</v>
      </c>
      <c r="J820" s="85" t="str">
        <f>IFERROR(__xludf.DUMMYFUNCTION("""COMPUTED_VALUE"""),"算法")</f>
        <v>算法</v>
      </c>
    </row>
    <row r="821">
      <c r="A821" s="47">
        <v>825.0</v>
      </c>
      <c r="B821" s="86" t="str">
        <f>IFERROR(__xludf.DUMMYFUNCTION("IF(ISBLANK(A821),,FILTER('Leetcode List'!B:C,'Leetcode List'!A:A = A821))"),"Friends Of Appropriate Ages")</f>
        <v>Friends Of Appropriate Ages</v>
      </c>
      <c r="C821" s="85" t="str">
        <f>IFERROR(__xludf.DUMMYFUNCTION("""COMPUTED_VALUE"""),"Medium")</f>
        <v>Medium</v>
      </c>
      <c r="D821" s="47" t="s">
        <v>5025</v>
      </c>
      <c r="E821" s="90" t="str">
        <f>IFERROR(__xludf.DUMMYFUNCTION("IF(ISBLANK(A821),,FILTER('Leetcode List'!E:J,'Leetcode List'!A:A = A821))"),"Facebook")</f>
        <v>Facebook</v>
      </c>
      <c r="F821" s="85" t="str">
        <f>IFERROR(__xludf.DUMMYFUNCTION("""COMPUTED_VALUE"""),"Facebook")</f>
        <v>Facebook</v>
      </c>
      <c r="G821" s="85" t="str">
        <f>IFERROR(__xludf.DUMMYFUNCTION("""COMPUTED_VALUE"""),"Facebook")</f>
        <v>Facebook</v>
      </c>
      <c r="H821" s="85" t="str">
        <f>IFERROR(__xludf.DUMMYFUNCTION("""COMPUTED_VALUE"""),"Facebook")</f>
        <v>Facebook</v>
      </c>
      <c r="I821" s="85">
        <f>IFERROR(__xludf.DUMMYFUNCTION("""COMPUTED_VALUE"""),44.22)</f>
        <v>44.22</v>
      </c>
      <c r="J821" s="85" t="str">
        <f>IFERROR(__xludf.DUMMYFUNCTION("""COMPUTED_VALUE"""),"算法")</f>
        <v>算法</v>
      </c>
    </row>
    <row r="822">
      <c r="A822" s="47">
        <v>835.0</v>
      </c>
      <c r="B822" s="86" t="str">
        <f>IFERROR(__xludf.DUMMYFUNCTION("IF(ISBLANK(A822),,FILTER('Leetcode List'!B:C,'Leetcode List'!A:A = A822))"),"Image Overlap")</f>
        <v>Image Overlap</v>
      </c>
      <c r="C822" s="85" t="str">
        <f>IFERROR(__xludf.DUMMYFUNCTION("""COMPUTED_VALUE"""),"Medium")</f>
        <v>Medium</v>
      </c>
      <c r="D822" s="47" t="s">
        <v>5025</v>
      </c>
      <c r="E822" s="90" t="str">
        <f>IFERROR(__xludf.DUMMYFUNCTION("IF(ISBLANK(A822),,FILTER('Leetcode List'!E:J,'Leetcode List'!A:A = A822))"),"Google")</f>
        <v>Google</v>
      </c>
      <c r="F822" s="85"/>
      <c r="G822" s="85"/>
      <c r="H822" s="85" t="str">
        <f>IFERROR(__xludf.DUMMYFUNCTION("""COMPUTED_VALUE"""),"Google")</f>
        <v>Google</v>
      </c>
      <c r="I822" s="85">
        <f>IFERROR(__xludf.DUMMYFUNCTION("""COMPUTED_VALUE"""),61.67)</f>
        <v>61.67</v>
      </c>
      <c r="J822" s="85" t="str">
        <f>IFERROR(__xludf.DUMMYFUNCTION("""COMPUTED_VALUE"""),"算法")</f>
        <v>算法</v>
      </c>
    </row>
    <row r="823">
      <c r="A823" s="47">
        <v>843.0</v>
      </c>
      <c r="B823" s="86" t="str">
        <f>IFERROR(__xludf.DUMMYFUNCTION("IF(ISBLANK(A823),,FILTER('Leetcode List'!B:C,'Leetcode List'!A:A = A823))"),"Guess the Word")</f>
        <v>Guess the Word</v>
      </c>
      <c r="C823" s="85" t="str">
        <f>IFERROR(__xludf.DUMMYFUNCTION("""COMPUTED_VALUE"""),"Hard")</f>
        <v>Hard</v>
      </c>
      <c r="D823" s="47" t="s">
        <v>5025</v>
      </c>
      <c r="E823" s="90" t="str">
        <f>IFERROR(__xludf.DUMMYFUNCTION("IF(ISBLANK(A823),,FILTER('Leetcode List'!E:J,'Leetcode List'!A:A = A823))"),"Airbnb,Facebook,Amazon,Microsoft,Google")</f>
        <v>Airbnb,Facebook,Amazon,Microsoft,Google</v>
      </c>
      <c r="F823" s="85" t="str">
        <f>IFERROR(__xludf.DUMMYFUNCTION("""COMPUTED_VALUE"""),"Google")</f>
        <v>Google</v>
      </c>
      <c r="G823" s="85" t="str">
        <f>IFERROR(__xludf.DUMMYFUNCTION("""COMPUTED_VALUE"""),"Amazon,Google")</f>
        <v>Amazon,Google</v>
      </c>
      <c r="H823" s="85" t="str">
        <f>IFERROR(__xludf.DUMMYFUNCTION("""COMPUTED_VALUE"""),"Microsoft,Facebook,Amazon,Google")</f>
        <v>Microsoft,Facebook,Amazon,Google</v>
      </c>
      <c r="I823" s="85">
        <f>IFERROR(__xludf.DUMMYFUNCTION("""COMPUTED_VALUE"""),46.45)</f>
        <v>46.45</v>
      </c>
      <c r="J823" s="85" t="str">
        <f>IFERROR(__xludf.DUMMYFUNCTION("""COMPUTED_VALUE"""),"算法")</f>
        <v>算法</v>
      </c>
    </row>
    <row r="824">
      <c r="A824" s="47">
        <v>855.0</v>
      </c>
      <c r="B824" s="86" t="str">
        <f>IFERROR(__xludf.DUMMYFUNCTION("IF(ISBLANK(A824),,FILTER('Leetcode List'!B:C,'Leetcode List'!A:A = A824))"),"Exam Room")</f>
        <v>Exam Room</v>
      </c>
      <c r="C824" s="85" t="str">
        <f>IFERROR(__xludf.DUMMYFUNCTION("""COMPUTED_VALUE"""),"Medium")</f>
        <v>Medium</v>
      </c>
      <c r="D824" s="47" t="s">
        <v>5025</v>
      </c>
      <c r="E824" s="90" t="str">
        <f>IFERROR(__xludf.DUMMYFUNCTION("IF(ISBLANK(A824),,FILTER('Leetcode List'!E:J,'Leetcode List'!A:A = A824))"),"Quip (Salesforce),Quora,Uber,Facebook,Amazon,Google")</f>
        <v>Quip (Salesforce),Quora,Uber,Facebook,Amazon,Google</v>
      </c>
      <c r="F824" s="85" t="str">
        <f>IFERROR(__xludf.DUMMYFUNCTION("""COMPUTED_VALUE"""),"Google")</f>
        <v>Google</v>
      </c>
      <c r="G824" s="85" t="str">
        <f>IFERROR(__xludf.DUMMYFUNCTION("""COMPUTED_VALUE"""),"Facebook,Google")</f>
        <v>Facebook,Google</v>
      </c>
      <c r="H824" s="85" t="str">
        <f>IFERROR(__xludf.DUMMYFUNCTION("""COMPUTED_VALUE"""),"Quora,Quip (Salesforce),Uber,Amazon,Facebook,Google")</f>
        <v>Quora,Quip (Salesforce),Uber,Amazon,Facebook,Google</v>
      </c>
      <c r="I824" s="85">
        <f>IFERROR(__xludf.DUMMYFUNCTION("""COMPUTED_VALUE"""),43.44)</f>
        <v>43.44</v>
      </c>
      <c r="J824" s="85" t="str">
        <f>IFERROR(__xludf.DUMMYFUNCTION("""COMPUTED_VALUE"""),"算法")</f>
        <v>算法</v>
      </c>
    </row>
    <row r="825">
      <c r="A825" s="47">
        <v>858.0</v>
      </c>
      <c r="B825" s="86" t="str">
        <f>IFERROR(__xludf.DUMMYFUNCTION("IF(ISBLANK(A825),,FILTER('Leetcode List'!B:C,'Leetcode List'!A:A = A825))"),"Mirror Reflection")</f>
        <v>Mirror Reflection</v>
      </c>
      <c r="C825" s="85" t="str">
        <f>IFERROR(__xludf.DUMMYFUNCTION("""COMPUTED_VALUE"""),"Medium")</f>
        <v>Medium</v>
      </c>
      <c r="D825" s="47" t="s">
        <v>5025</v>
      </c>
      <c r="E825" s="90" t="str">
        <f>IFERROR(__xludf.DUMMYFUNCTION("IF(ISBLANK(A825),,FILTER('Leetcode List'!E:J,'Leetcode List'!A:A = A825))"),"Facebook,Google")</f>
        <v>Facebook,Google</v>
      </c>
      <c r="F825" s="85"/>
      <c r="G825" s="85" t="str">
        <f>IFERROR(__xludf.DUMMYFUNCTION("""COMPUTED_VALUE"""),"Facebook")</f>
        <v>Facebook</v>
      </c>
      <c r="H825" s="85" t="str">
        <f>IFERROR(__xludf.DUMMYFUNCTION("""COMPUTED_VALUE"""),"Facebook")</f>
        <v>Facebook</v>
      </c>
      <c r="I825" s="85">
        <f>IFERROR(__xludf.DUMMYFUNCTION("""COMPUTED_VALUE"""),59.63)</f>
        <v>59.63</v>
      </c>
      <c r="J825" s="85" t="str">
        <f>IFERROR(__xludf.DUMMYFUNCTION("""COMPUTED_VALUE"""),"算法")</f>
        <v>算法</v>
      </c>
    </row>
    <row r="826">
      <c r="A826" s="47">
        <v>866.0</v>
      </c>
      <c r="B826" s="86" t="str">
        <f>IFERROR(__xludf.DUMMYFUNCTION("IF(ISBLANK(A826),,FILTER('Leetcode List'!B:C,'Leetcode List'!A:A = A826))"),"Prime Palindrome")</f>
        <v>Prime Palindrome</v>
      </c>
      <c r="C826" s="85" t="str">
        <f>IFERROR(__xludf.DUMMYFUNCTION("""COMPUTED_VALUE"""),"Medium")</f>
        <v>Medium</v>
      </c>
      <c r="D826" s="47" t="s">
        <v>5025</v>
      </c>
      <c r="E826" s="90" t="str">
        <f>IFERROR(__xludf.DUMMYFUNCTION("IF(ISBLANK(A826),,FILTER('Leetcode List'!E:J,'Leetcode List'!A:A = A826))"),"Amazon")</f>
        <v>Amazon</v>
      </c>
      <c r="F826" s="85"/>
      <c r="G826" s="85"/>
      <c r="H826" s="85" t="str">
        <f>IFERROR(__xludf.DUMMYFUNCTION("""COMPUTED_VALUE"""),"Amazon")</f>
        <v>Amazon</v>
      </c>
      <c r="I826" s="85">
        <f>IFERROR(__xludf.DUMMYFUNCTION("""COMPUTED_VALUE"""),25.06)</f>
        <v>25.06</v>
      </c>
      <c r="J826" s="85" t="str">
        <f>IFERROR(__xludf.DUMMYFUNCTION("""COMPUTED_VALUE"""),"算法")</f>
        <v>算法</v>
      </c>
    </row>
    <row r="827">
      <c r="A827" s="47">
        <v>918.0</v>
      </c>
      <c r="B827" s="86" t="str">
        <f>IFERROR(__xludf.DUMMYFUNCTION("IF(ISBLANK(A827),,FILTER('Leetcode List'!B:C,'Leetcode List'!A:A = A827))"),"Maximum Sum Circular Subarray")</f>
        <v>Maximum Sum Circular Subarray</v>
      </c>
      <c r="C827" s="85" t="str">
        <f>IFERROR(__xludf.DUMMYFUNCTION("""COMPUTED_VALUE"""),"Medium")</f>
        <v>Medium</v>
      </c>
      <c r="D827" s="47" t="s">
        <v>5025</v>
      </c>
      <c r="E827" s="90" t="str">
        <f>IFERROR(__xludf.DUMMYFUNCTION("IF(ISBLANK(A827),,FILTER('Leetcode List'!E:J,'Leetcode List'!A:A = A827))"),"Amazon,LinkedIn,Two Sigma,Uber,Facebook")</f>
        <v>Amazon,LinkedIn,Two Sigma,Uber,Facebook</v>
      </c>
      <c r="F827" s="85" t="str">
        <f>IFERROR(__xludf.DUMMYFUNCTION("""COMPUTED_VALUE"""),"Amazon")</f>
        <v>Amazon</v>
      </c>
      <c r="G827" s="85" t="str">
        <f>IFERROR(__xludf.DUMMYFUNCTION("""COMPUTED_VALUE"""),"Two Sigma,Facebook,LinkedIn,Amazon")</f>
        <v>Two Sigma,Facebook,LinkedIn,Amazon</v>
      </c>
      <c r="H827" s="85" t="str">
        <f>IFERROR(__xludf.DUMMYFUNCTION("""COMPUTED_VALUE"""),"Uber,Two Sigma,Facebook,LinkedIn,Amazon")</f>
        <v>Uber,Two Sigma,Facebook,LinkedIn,Amazon</v>
      </c>
      <c r="I827" s="85">
        <f>IFERROR(__xludf.DUMMYFUNCTION("""COMPUTED_VALUE"""),34.28)</f>
        <v>34.28</v>
      </c>
      <c r="J827" s="85" t="str">
        <f>IFERROR(__xludf.DUMMYFUNCTION("""COMPUTED_VALUE"""),"算法")</f>
        <v>算法</v>
      </c>
    </row>
    <row r="828">
      <c r="A828" s="47">
        <v>906.0</v>
      </c>
      <c r="B828" s="86" t="str">
        <f>IFERROR(__xludf.DUMMYFUNCTION("IF(ISBLANK(A828),,FILTER('Leetcode List'!B:C,'Leetcode List'!A:A = A828))"),"Super Palindromes")</f>
        <v>Super Palindromes</v>
      </c>
      <c r="C828" s="85" t="str">
        <f>IFERROR(__xludf.DUMMYFUNCTION("""COMPUTED_VALUE"""),"Hard")</f>
        <v>Hard</v>
      </c>
      <c r="D828" s="47" t="s">
        <v>5025</v>
      </c>
      <c r="E828" s="90" t="str">
        <f>IFERROR(__xludf.DUMMYFUNCTION("IF(ISBLANK(A828),,FILTER('Leetcode List'!E:J,'Leetcode List'!A:A = A828))"),"Google")</f>
        <v>Google</v>
      </c>
      <c r="F828" s="85"/>
      <c r="G828" s="85"/>
      <c r="H828" s="85" t="str">
        <f>IFERROR(__xludf.DUMMYFUNCTION("""COMPUTED_VALUE"""),"Google")</f>
        <v>Google</v>
      </c>
      <c r="I828" s="85">
        <f>IFERROR(__xludf.DUMMYFUNCTION("""COMPUTED_VALUE"""),32.74)</f>
        <v>32.74</v>
      </c>
      <c r="J828" s="85" t="str">
        <f>IFERROR(__xludf.DUMMYFUNCTION("""COMPUTED_VALUE"""),"算法")</f>
        <v>算法</v>
      </c>
    </row>
    <row r="829">
      <c r="A829" s="47">
        <v>927.0</v>
      </c>
      <c r="B829" s="86" t="str">
        <f>IFERROR(__xludf.DUMMYFUNCTION("IF(ISBLANK(A829),,FILTER('Leetcode List'!B:C,'Leetcode List'!A:A = A829))"),"Three Equal Parts")</f>
        <v>Three Equal Parts</v>
      </c>
      <c r="C829" s="85" t="str">
        <f>IFERROR(__xludf.DUMMYFUNCTION("""COMPUTED_VALUE"""),"Hard")</f>
        <v>Hard</v>
      </c>
      <c r="D829" s="47" t="s">
        <v>5025</v>
      </c>
      <c r="E829" s="90" t="str">
        <f>IFERROR(__xludf.DUMMYFUNCTION("IF(ISBLANK(A829),,FILTER('Leetcode List'!E:J,'Leetcode List'!A:A = A829))"),"Netflix,Hotstar")</f>
        <v>Netflix,Hotstar</v>
      </c>
      <c r="F829" s="85"/>
      <c r="G829" s="85"/>
      <c r="H829" s="85" t="str">
        <f>IFERROR(__xludf.DUMMYFUNCTION("""COMPUTED_VALUE"""),"Netflix,Hotstar")</f>
        <v>Netflix,Hotstar</v>
      </c>
      <c r="I829" s="85">
        <f>IFERROR(__xludf.DUMMYFUNCTION("""COMPUTED_VALUE"""),34.65)</f>
        <v>34.65</v>
      </c>
      <c r="J829" s="85" t="str">
        <f>IFERROR(__xludf.DUMMYFUNCTION("""COMPUTED_VALUE"""),"算法")</f>
        <v>算法</v>
      </c>
    </row>
    <row r="830">
      <c r="A830" s="47">
        <v>978.0</v>
      </c>
      <c r="B830" s="86" t="str">
        <f>IFERROR(__xludf.DUMMYFUNCTION("IF(ISBLANK(A830),,FILTER('Leetcode List'!B:C,'Leetcode List'!A:A = A830))"),"Longest Turbulent Subarray")</f>
        <v>Longest Turbulent Subarray</v>
      </c>
      <c r="C830" s="85" t="str">
        <f>IFERROR(__xludf.DUMMYFUNCTION("""COMPUTED_VALUE"""),"Medium")</f>
        <v>Medium</v>
      </c>
      <c r="D830" s="47" t="s">
        <v>5025</v>
      </c>
      <c r="E830" s="90" t="str">
        <f>IFERROR(__xludf.DUMMYFUNCTION("IF(ISBLANK(A830),,FILTER('Leetcode List'!E:J,'Leetcode List'!A:A = A830))"),"Bloomberg,Amazon")</f>
        <v>Bloomberg,Amazon</v>
      </c>
      <c r="F830" s="85"/>
      <c r="G830" s="85"/>
      <c r="H830" s="85" t="str">
        <f>IFERROR(__xludf.DUMMYFUNCTION("""COMPUTED_VALUE"""),"Amazon,Bloomberg")</f>
        <v>Amazon,Bloomberg</v>
      </c>
      <c r="I830" s="85">
        <f>IFERROR(__xludf.DUMMYFUNCTION("""COMPUTED_VALUE"""),46.65)</f>
        <v>46.65</v>
      </c>
      <c r="J830" s="85" t="str">
        <f>IFERROR(__xludf.DUMMYFUNCTION("""COMPUTED_VALUE"""),"算法")</f>
        <v>算法</v>
      </c>
    </row>
    <row r="831">
      <c r="A831" s="47">
        <v>1067.0</v>
      </c>
      <c r="B831" s="86" t="str">
        <f>IFERROR(__xludf.DUMMYFUNCTION("IF(ISBLANK(A831),,FILTER('Leetcode List'!B:C,'Leetcode List'!A:A = A831))"),"Digit Count in Range")</f>
        <v>Digit Count in Range</v>
      </c>
      <c r="C831" s="85" t="str">
        <f>IFERROR(__xludf.DUMMYFUNCTION("""COMPUTED_VALUE"""),"Hard")</f>
        <v>Hard</v>
      </c>
      <c r="D831" s="47" t="s">
        <v>5025</v>
      </c>
      <c r="E831" s="90" t="str">
        <f>IFERROR(__xludf.DUMMYFUNCTION("IF(ISBLANK(A831),,FILTER('Leetcode List'!E:J,'Leetcode List'!A:A = A831))"),"EBay,Amazon")</f>
        <v>EBay,Amazon</v>
      </c>
      <c r="F831" s="85"/>
      <c r="G831" s="85"/>
      <c r="H831" s="85" t="str">
        <f>IFERROR(__xludf.DUMMYFUNCTION("""COMPUTED_VALUE"""),"eBay,Amazon")</f>
        <v>eBay,Amazon</v>
      </c>
      <c r="I831" s="85">
        <f>IFERROR(__xludf.DUMMYFUNCTION("""COMPUTED_VALUE"""),41.65)</f>
        <v>41.65</v>
      </c>
      <c r="J831" s="85" t="str">
        <f>IFERROR(__xludf.DUMMYFUNCTION("""COMPUTED_VALUE"""),"算法")</f>
        <v>算法</v>
      </c>
    </row>
    <row r="832">
      <c r="A832" s="47">
        <v>1183.0</v>
      </c>
      <c r="B832" s="86" t="str">
        <f>IFERROR(__xludf.DUMMYFUNCTION("IF(ISBLANK(A832),,FILTER('Leetcode List'!B:C,'Leetcode List'!A:A = A832))"),"Maximum Number of Ones")</f>
        <v>Maximum Number of Ones</v>
      </c>
      <c r="C832" s="85" t="str">
        <f>IFERROR(__xludf.DUMMYFUNCTION("""COMPUTED_VALUE"""),"Hard")</f>
        <v>Hard</v>
      </c>
      <c r="D832" s="47" t="s">
        <v>5025</v>
      </c>
      <c r="E832" s="90" t="str">
        <f>IFERROR(__xludf.DUMMYFUNCTION("IF(ISBLANK(A832),,FILTER('Leetcode List'!E:J,'Leetcode List'!A:A = A832))"),"Qualcomm")</f>
        <v>Qualcomm</v>
      </c>
      <c r="F832" s="85"/>
      <c r="G832" s="85"/>
      <c r="H832" s="85" t="str">
        <f>IFERROR(__xludf.DUMMYFUNCTION("""COMPUTED_VALUE"""),"Qualcomm")</f>
        <v>Qualcomm</v>
      </c>
      <c r="I832" s="85">
        <f>IFERROR(__xludf.DUMMYFUNCTION("""COMPUTED_VALUE"""),57.57)</f>
        <v>57.57</v>
      </c>
      <c r="J832" s="85" t="str">
        <f>IFERROR(__xludf.DUMMYFUNCTION("""COMPUTED_VALUE"""),"算法")</f>
        <v>算法</v>
      </c>
    </row>
    <row r="833">
      <c r="A833" s="47">
        <v>1267.0</v>
      </c>
      <c r="B833" s="86" t="str">
        <f>IFERROR(__xludf.DUMMYFUNCTION("IF(ISBLANK(A833),,FILTER('Leetcode List'!B:C,'Leetcode List'!A:A = A833))"),"Count Servers that Communicate")</f>
        <v>Count Servers that Communicate</v>
      </c>
      <c r="C833" s="85" t="str">
        <f>IFERROR(__xludf.DUMMYFUNCTION("""COMPUTED_VALUE"""),"Medium")</f>
        <v>Medium</v>
      </c>
      <c r="D833" s="47" t="s">
        <v>5025</v>
      </c>
      <c r="E833" s="90" t="str">
        <f>IFERROR(__xludf.DUMMYFUNCTION("IF(ISBLANK(A833),,FILTER('Leetcode List'!E:J,'Leetcode List'!A:A = A833))"),"Amazon,Google")</f>
        <v>Amazon,Google</v>
      </c>
      <c r="F833" s="85"/>
      <c r="G833" s="85"/>
      <c r="H833" s="85" t="str">
        <f>IFERROR(__xludf.DUMMYFUNCTION("""COMPUTED_VALUE"""),"Google,Amazon")</f>
        <v>Google,Amazon</v>
      </c>
      <c r="I833" s="85">
        <f>IFERROR(__xludf.DUMMYFUNCTION("""COMPUTED_VALUE"""),57.76)</f>
        <v>57.76</v>
      </c>
      <c r="J833" s="85" t="str">
        <f>IFERROR(__xludf.DUMMYFUNCTION("""COMPUTED_VALUE"""),"算法")</f>
        <v>算法</v>
      </c>
    </row>
    <row r="834">
      <c r="A834" s="47">
        <v>1538.0</v>
      </c>
      <c r="B834" s="86" t="str">
        <f>IFERROR(__xludf.DUMMYFUNCTION("IF(ISBLANK(A834),,FILTER('Leetcode List'!B:C,'Leetcode List'!A:A = A834))"),"Guess the Majority in a Hidden Array")</f>
        <v>Guess the Majority in a Hidden Array</v>
      </c>
      <c r="C834" s="85" t="str">
        <f>IFERROR(__xludf.DUMMYFUNCTION("""COMPUTED_VALUE"""),"Medium")</f>
        <v>Medium</v>
      </c>
      <c r="D834" s="47" t="s">
        <v>5025</v>
      </c>
      <c r="E834" s="90" t="str">
        <f>IFERROR(__xludf.DUMMYFUNCTION("IF(ISBLANK(A834),,FILTER('Leetcode List'!E:J,'Leetcode List'!A:A = A834))"),"Google")</f>
        <v>Google</v>
      </c>
      <c r="F834" s="85"/>
      <c r="G834" s="85"/>
      <c r="H834" s="85" t="str">
        <f>IFERROR(__xludf.DUMMYFUNCTION("""COMPUTED_VALUE"""),"Google")</f>
        <v>Google</v>
      </c>
      <c r="I834" s="85">
        <f>IFERROR(__xludf.DUMMYFUNCTION("""COMPUTED_VALUE"""),61.14)</f>
        <v>61.14</v>
      </c>
      <c r="J834" s="85" t="str">
        <f>IFERROR(__xludf.DUMMYFUNCTION("""COMPUTED_VALUE"""),"算法")</f>
        <v>算法</v>
      </c>
    </row>
    <row r="835">
      <c r="A835" s="47">
        <v>1706.0</v>
      </c>
      <c r="B835" s="86" t="str">
        <f>IFERROR(__xludf.DUMMYFUNCTION("IF(ISBLANK(A835),,FILTER('Leetcode List'!B:C,'Leetcode List'!A:A = A835))"),"Where Will the Ball Fall")</f>
        <v>Where Will the Ball Fall</v>
      </c>
      <c r="C835" s="85" t="str">
        <f>IFERROR(__xludf.DUMMYFUNCTION("""COMPUTED_VALUE"""),"Medium")</f>
        <v>Medium</v>
      </c>
      <c r="D835" s="47" t="s">
        <v>5025</v>
      </c>
      <c r="E835" s="90" t="str">
        <f>IFERROR(__xludf.DUMMYFUNCTION("IF(ISBLANK(A835),,FILTER('Leetcode List'!E:J,'Leetcode List'!A:A = A835))"),"Google")</f>
        <v>Google</v>
      </c>
      <c r="F835" s="85"/>
      <c r="G835" s="85"/>
      <c r="H835" s="85" t="str">
        <f>IFERROR(__xludf.DUMMYFUNCTION("""COMPUTED_VALUE"""),"Google")</f>
        <v>Google</v>
      </c>
      <c r="I835" s="85">
        <f>IFERROR(__xludf.DUMMYFUNCTION("""COMPUTED_VALUE"""),60.04)</f>
        <v>60.04</v>
      </c>
      <c r="J835" s="85" t="str">
        <f>IFERROR(__xludf.DUMMYFUNCTION("""COMPUTED_VALUE"""),"算法")</f>
        <v>算法</v>
      </c>
    </row>
    <row r="836">
      <c r="A836" s="47">
        <v>1749.0</v>
      </c>
      <c r="B836" s="86" t="str">
        <f>IFERROR(__xludf.DUMMYFUNCTION("IF(ISBLANK(A836),,FILTER('Leetcode List'!B:C,'Leetcode List'!A:A = A836))"),"Maximum Absolute Sum of Any Subarray")</f>
        <v>Maximum Absolute Sum of Any Subarray</v>
      </c>
      <c r="C836" s="85" t="str">
        <f>IFERROR(__xludf.DUMMYFUNCTION("""COMPUTED_VALUE"""),"Medium")</f>
        <v>Medium</v>
      </c>
      <c r="D836" s="47" t="s">
        <v>5025</v>
      </c>
      <c r="E836" s="90" t="str">
        <f>IFERROR(__xludf.DUMMYFUNCTION("IF(ISBLANK(A836),,FILTER('Leetcode List'!E:J,'Leetcode List'!A:A = A836))"),"")</f>
        <v/>
      </c>
      <c r="F836" s="85"/>
      <c r="G836" s="85"/>
      <c r="H836" s="85"/>
      <c r="I836" s="85">
        <f>IFERROR(__xludf.DUMMYFUNCTION("""COMPUTED_VALUE"""),51.95)</f>
        <v>51.95</v>
      </c>
      <c r="J836" s="85" t="str">
        <f>IFERROR(__xludf.DUMMYFUNCTION("""COMPUTED_VALUE"""),"算法")</f>
        <v>算法</v>
      </c>
    </row>
    <row r="837">
      <c r="A837" s="47">
        <v>1752.0</v>
      </c>
      <c r="B837" s="86" t="str">
        <f>IFERROR(__xludf.DUMMYFUNCTION("IF(ISBLANK(A837),,FILTER('Leetcode List'!B:C,'Leetcode List'!A:A = A837))"),"Check if Array Is Sorted and Rotated")</f>
        <v>Check if Array Is Sorted and Rotated</v>
      </c>
      <c r="C837" s="85" t="str">
        <f>IFERROR(__xludf.DUMMYFUNCTION("""COMPUTED_VALUE"""),"Easy")</f>
        <v>Easy</v>
      </c>
      <c r="D837" s="47" t="s">
        <v>5025</v>
      </c>
      <c r="E837" s="90" t="str">
        <f>IFERROR(__xludf.DUMMYFUNCTION("IF(ISBLANK(A837),,FILTER('Leetcode List'!E:J,'Leetcode List'!A:A = A837))"),"SoundHound")</f>
        <v>SoundHound</v>
      </c>
      <c r="F837" s="85"/>
      <c r="G837" s="85"/>
      <c r="H837" s="85" t="str">
        <f>IFERROR(__xludf.DUMMYFUNCTION("""COMPUTED_VALUE"""),"SoundHound")</f>
        <v>SoundHound</v>
      </c>
      <c r="I837" s="85">
        <f>IFERROR(__xludf.DUMMYFUNCTION("""COMPUTED_VALUE"""),62.42)</f>
        <v>62.42</v>
      </c>
      <c r="J837" s="85" t="str">
        <f>IFERROR(__xludf.DUMMYFUNCTION("""COMPUTED_VALUE"""),"算法")</f>
        <v>算法</v>
      </c>
    </row>
    <row r="838">
      <c r="A838" s="47">
        <v>252.0</v>
      </c>
      <c r="B838" s="86" t="str">
        <f>IFERROR(__xludf.DUMMYFUNCTION("IF(ISBLANK(A838),,FILTER('Leetcode List'!B:C,'Leetcode List'!A:A = A838))"),"Meeting Rooms")</f>
        <v>Meeting Rooms</v>
      </c>
      <c r="C838" s="85" t="str">
        <f>IFERROR(__xludf.DUMMYFUNCTION("""COMPUTED_VALUE"""),"Easy")</f>
        <v>Easy</v>
      </c>
      <c r="D838" s="47" t="s">
        <v>5025</v>
      </c>
      <c r="E838" s="90" t="str">
        <f>IFERROR(__xludf.DUMMYFUNCTION("IF(ISBLANK(A838),,FILTER('Leetcode List'!E:J,'Leetcode List'!A:A = A838))"),"Karat,VMware,Intuit,EBay,Adobe,Bloomberg,Facebook,Amazon,Microsoft,Google")</f>
        <v>Karat,VMware,Intuit,EBay,Adobe,Bloomberg,Facebook,Amazon,Microsoft,Google</v>
      </c>
      <c r="F838" s="85" t="str">
        <f>IFERROR(__xludf.DUMMYFUNCTION("""COMPUTED_VALUE"""),"Microsoft,Facebook,Amazon,Adobe,Karat")</f>
        <v>Microsoft,Facebook,Amazon,Adobe,Karat</v>
      </c>
      <c r="G838" s="85" t="str">
        <f>IFERROR(__xludf.DUMMYFUNCTION("""COMPUTED_VALUE"""),"Google,Bloomberg,eBay,VMware,Microsoft,Facebook,Amazon,Adobe,Karat")</f>
        <v>Google,Bloomberg,eBay,VMware,Microsoft,Facebook,Amazon,Adobe,Karat</v>
      </c>
      <c r="H838" s="85" t="str">
        <f>IFERROR(__xludf.DUMMYFUNCTION("""COMPUTED_VALUE"""),"Intuit,Google,Bloomberg,eBay,VMware,Microsoft,Facebook,Amazon,Adobe,Karat")</f>
        <v>Intuit,Google,Bloomberg,eBay,VMware,Microsoft,Facebook,Amazon,Adobe,Karat</v>
      </c>
      <c r="I838" s="85">
        <f>IFERROR(__xludf.DUMMYFUNCTION("""COMPUTED_VALUE"""),55.47)</f>
        <v>55.47</v>
      </c>
      <c r="J838" s="85" t="str">
        <f>IFERROR(__xludf.DUMMYFUNCTION("""COMPUTED_VALUE"""),"算法")</f>
        <v>算法</v>
      </c>
      <c r="K838" s="2" t="s">
        <v>5026</v>
      </c>
    </row>
    <row r="839">
      <c r="A839" s="47">
        <v>253.0</v>
      </c>
      <c r="B839" s="86" t="str">
        <f>IFERROR(__xludf.DUMMYFUNCTION("IF(ISBLANK(A839),,FILTER('Leetcode List'!B:C,'Leetcode List'!A:A = A839))"),"Meeting Rooms II")</f>
        <v>Meeting Rooms II</v>
      </c>
      <c r="C839" s="85" t="str">
        <f>IFERROR(__xludf.DUMMYFUNCTION("""COMPUTED_VALUE"""),"Medium")</f>
        <v>Medium</v>
      </c>
      <c r="D839" s="47" t="s">
        <v>5025</v>
      </c>
      <c r="E839" s="90" t="str">
        <f>IFERROR(__xludf.DUMMYFUNCTION("IF(ISBLANK(A839),,FILTER('Leetcode List'!E:J,'Leetcode List'!A:A = A839))"),"Wish,Roblox,ByteDance,VMware,Citadel,Twitter,Yandex,Adobe,Nutanix,Postmates,Citrix,Atlassian,Booking.com,Drawbridge,Visa,Quora,Walmart Labs,GoDaddy,Snapchat,Paypal,Expedia,Yelp,Oracle,Lyft,Cisco,EBay,Baidu,Apple,Uber,Bloomberg,Facebook,Amazon,Microsoft,Go"&amp;"ldman Sachs,Google")</f>
        <v>Wish,Roblox,ByteDance,VMware,Citadel,Twitter,Yandex,Adobe,Nutanix,Postmates,Citrix,Atlassian,Booking.com,Drawbridge,Visa,Quora,Walmart Labs,GoDaddy,Snapchat,Paypal,Expedia,Yelp,Oracle,Lyft,Cisco,EBay,Baidu,Apple,Uber,Bloomberg,Facebook,Amazon,Microsoft,Goldman Sachs,Google</v>
      </c>
      <c r="F839" s="85" t="str">
        <f>IFERROR(__xludf.DUMMYFUNCTION("""COMPUTED_VALUE"""),"Amazon,Bloomberg,Facebook,Google,Oracle,Yandex,Microsoft,Uber,ByteDance,Twitter,eBay,Apple,Adobe,Walmart Labs,Expedia,Quora,Roblox")</f>
        <v>Amazon,Bloomberg,Facebook,Google,Oracle,Yandex,Microsoft,Uber,ByteDance,Twitter,eBay,Apple,Adobe,Walmart Labs,Expedia,Quora,Roblox</v>
      </c>
      <c r="G839" s="85" t="str">
        <f>IFERROR(__xludf.DUMMYFUNCTION("""COMPUTED_VALUE"""),"Snapchat,Paypal,Citadel,Amazon,Bloomberg,Facebook,Google,Oracle,Yandex,Microsoft,Uber,ByteDance,Twitter,eBay,Apple,Adobe,Walmart Labs,Expedia,Quora,Roblox")</f>
        <v>Snapchat,Paypal,Citadel,Amazon,Bloomberg,Facebook,Google,Oracle,Yandex,Microsoft,Uber,ByteDance,Twitter,eBay,Apple,Adobe,Walmart Labs,Expedia,Quora,Roblox</v>
      </c>
      <c r="H839" s="85" t="str">
        <f>IFERROR(__xludf.DUMMYFUNCTION("""COMPUTED_VALUE"""),"Lyft,Visa,GoDaddy,Citrix,Nutanix,Yelp,Booking.com,VMware,Drawbridge,Postmates,Goldman Sachs,Wish,Snapchat,Paypal,Citadel,Amazon,Bloomberg,Facebook,Google,Oracle,Yandex,Microsoft,Uber,ByteDance,Twitter,eBay,Apple,Adobe,Walmart Labs,Expedia,Quora,Roblox")</f>
        <v>Lyft,Visa,GoDaddy,Citrix,Nutanix,Yelp,Booking.com,VMware,Drawbridge,Postmates,Goldman Sachs,Wish,Snapchat,Paypal,Citadel,Amazon,Bloomberg,Facebook,Google,Oracle,Yandex,Microsoft,Uber,ByteDance,Twitter,eBay,Apple,Adobe,Walmart Labs,Expedia,Quora,Roblox</v>
      </c>
      <c r="I839" s="85">
        <f>IFERROR(__xludf.DUMMYFUNCTION("""COMPUTED_VALUE"""),46.98)</f>
        <v>46.98</v>
      </c>
      <c r="J839" s="85" t="str">
        <f>IFERROR(__xludf.DUMMYFUNCTION("""COMPUTED_VALUE"""),"算法")</f>
        <v>算法</v>
      </c>
      <c r="K839" s="2" t="s">
        <v>5026</v>
      </c>
    </row>
    <row r="840">
      <c r="A840" s="47">
        <v>56.0</v>
      </c>
      <c r="B840" s="86" t="str">
        <f>IFERROR(__xludf.DUMMYFUNCTION("IF(ISBLANK(A840),,FILTER('Leetcode List'!B:C,'Leetcode List'!A:A = A840))"),"Merge Intervals")</f>
        <v>Merge Intervals</v>
      </c>
      <c r="C840" s="85" t="str">
        <f>IFERROR(__xludf.DUMMYFUNCTION("""COMPUTED_VALUE"""),"Medium")</f>
        <v>Medium</v>
      </c>
      <c r="D840" s="47" t="s">
        <v>5025</v>
      </c>
      <c r="E840" s="90" t="str">
        <f>IFERROR(__xludf.DUMMYFUNCTION("IF(ISBLANK(A840),,FILTER('Leetcode List'!E:J,'Leetcode List'!A:A = A840))"),"Netflix,Square,IXL,Qualtrics,Nutanix,Grab,Splunk,JPMorgan,Morgan Stanley,Dataminr,Sumologic,Cohesity,DoorDash,Postmates,Pinterest,Palantir Technologies,Cruise Automation,Wayfair,Zulily,Two Sigma,Zenefits,Coupang,Atlassian,Twitch,ByteDance,Salesforce,Visa,"&amp;"VMware,Walmart Labs,GoDaddy,Snapchat,Paypal,Twitter,ServiceNow,Wish,Yelp,Oracle,Intuit,Cisco,Yandex,EBay,Apple,Uber,Yahoo,Tencent,SAP,Bloomberg,Adobe,Facebook,Amazon,LinkedIn,Microsoft,Alibaba,Goldman Sachs,Google")</f>
        <v>Netflix,Square,IXL,Qualtrics,Nutanix,Grab,Splunk,JPMorgan,Morgan Stanley,Dataminr,Sumologic,Cohesity,DoorDash,Postmates,Pinterest,Palantir Technologies,Cruise Automation,Wayfair,Zulily,Two Sigma,Zenefits,Coupang,Atlassian,Twitch,ByteDance,Salesforce,Visa,VMware,Walmart Labs,GoDaddy,Snapchat,Paypal,Twitter,ServiceNow,Wish,Yelp,Oracle,Intuit,Cisco,Yandex,EBay,Apple,Uber,Yahoo,Tencent,SAP,Bloomberg,Adobe,Facebook,Amazon,LinkedIn,Microsoft,Alibaba,Goldman Sachs,Google</v>
      </c>
      <c r="F840" s="85" t="str">
        <f>IFERROR(__xludf.DUMMYFUNCTION("""COMPUTED_VALUE"""),"Facebook,Bloomberg,JPMorgan,Amazon,Apple,Microsoft,Google,Adobe,Uber,Twitter,Oracle,eBay,Yandex,Paypal,Cisco,Palantir Technologies,Walmart Labs,Salesforce,Goldman Sachs,Yahoo,VMware,Splunk,Qualtrics")</f>
        <v>Facebook,Bloomberg,JPMorgan,Amazon,Apple,Microsoft,Google,Adobe,Uber,Twitter,Oracle,eBay,Yandex,Paypal,Cisco,Palantir Technologies,Walmart Labs,Salesforce,Goldman Sachs,Yahoo,VMware,Splunk,Qualtrics</v>
      </c>
      <c r="G840" s="85" t="str">
        <f>IFERROR(__xludf.DUMMYFUNCTION("""COMPUTED_VALUE"""),"ByteDance,Square,IXL,LinkedIn,Netflix,DoorDash,ServiceNow,Morgan Stanley,Facebook,Bloomberg,JPMorgan,Amazon,Apple,Microsoft,Google,Adobe,Uber,Twitter,Oracle,eBay,Yandex,Paypal,Cisco,Palantir Technologies,Walmart Labs,Salesforce,Goldman Sachs,Yahoo,VMware,"&amp;"Splunk,Qualtrics")</f>
        <v>ByteDance,Square,IXL,LinkedIn,Netflix,DoorDash,ServiceNow,Morgan Stanley,Facebook,Bloomberg,JPMorgan,Amazon,Apple,Microsoft,Google,Adobe,Uber,Twitter,Oracle,eBay,Yandex,Paypal,Cisco,Palantir Technologies,Walmart Labs,Salesforce,Goldman Sachs,Yahoo,VMware,Splunk,Qualtrics</v>
      </c>
      <c r="H840" s="85" t="str">
        <f>IFERROR(__xludf.DUMMYFUNCTION("""COMPUTED_VALUE"""),"Zulily,Wish,Postmates,Snapchat,Wayfair,SAP,Sumologic,Coupang,Twitch,Two Sigma,Intuit,Nutanix,Yelp,Grab,Alibaba,Visa,Cohesity,Cruise Automation,Atlassian,ByteDance,Square,IXL,LinkedIn,Netflix,DoorDash,ServiceNow,Morgan Stanley,Facebook,Bloomberg,JPMorgan,A"&amp;"mazon,Apple,Microsoft,Google,Adobe,Uber,Twitter,Oracle,eBay,Yandex,Paypal,Cisco,Palantir Technologies,Walmart Labs,Salesforce,Goldman Sachs,Yahoo,VMware,Splunk,Qualtrics")</f>
        <v>Zulily,Wish,Postmates,Snapchat,Wayfair,SAP,Sumologic,Coupang,Twitch,Two Sigma,Intuit,Nutanix,Yelp,Grab,Alibaba,Visa,Cohesity,Cruise Automation,Atlassian,ByteDance,Square,IXL,LinkedIn,Netflix,DoorDash,ServiceNow,Morgan Stanley,Facebook,Bloomberg,JPMorgan,Amazon,Apple,Microsoft,Google,Adobe,Uber,Twitter,Oracle,eBay,Yandex,Paypal,Cisco,Palantir Technologies,Walmart Labs,Salesforce,Goldman Sachs,Yahoo,VMware,Splunk,Qualtrics</v>
      </c>
      <c r="I840" s="85">
        <f>IFERROR(__xludf.DUMMYFUNCTION("""COMPUTED_VALUE"""),41.21)</f>
        <v>41.21</v>
      </c>
      <c r="J840" s="85" t="str">
        <f>IFERROR(__xludf.DUMMYFUNCTION("""COMPUTED_VALUE"""),"算法")</f>
        <v>算法</v>
      </c>
      <c r="K840" s="2" t="s">
        <v>5026</v>
      </c>
    </row>
    <row r="841">
      <c r="A841" s="47">
        <v>57.0</v>
      </c>
      <c r="B841" s="86" t="str">
        <f>IFERROR(__xludf.DUMMYFUNCTION("IF(ISBLANK(A841),,FILTER('Leetcode List'!B:C,'Leetcode List'!A:A = A841))"),"Insert Interval")</f>
        <v>Insert Interval</v>
      </c>
      <c r="C841" s="85" t="str">
        <f>IFERROR(__xludf.DUMMYFUNCTION("""COMPUTED_VALUE"""),"Medium")</f>
        <v>Medium</v>
      </c>
      <c r="D841" s="47" t="s">
        <v>5025</v>
      </c>
      <c r="E841" s="90" t="str">
        <f>IFERROR(__xludf.DUMMYFUNCTION("IF(ISBLANK(A841),,FILTER('Leetcode List'!E:J,'Leetcode List'!A:A = A841))"),"ServiceNow,Bloomberg,Dataminr,Tableau,Twitter,Oracle,Apple,Uber,Adobe,Facebook,Amazon,LinkedIn,Microsoft,Google")</f>
        <v>ServiceNow,Bloomberg,Dataminr,Tableau,Twitter,Oracle,Apple,Uber,Adobe,Facebook,Amazon,LinkedIn,Microsoft,Google</v>
      </c>
      <c r="F841" s="85" t="str">
        <f>IFERROR(__xludf.DUMMYFUNCTION("""COMPUTED_VALUE"""),"Google,Twitter,Facebook,Microsoft,Amazon,ServiceNow")</f>
        <v>Google,Twitter,Facebook,Microsoft,Amazon,ServiceNow</v>
      </c>
      <c r="G841" s="85" t="str">
        <f>IFERROR(__xludf.DUMMYFUNCTION("""COMPUTED_VALUE"""),"Google,Twitter,Facebook,Microsoft,Amazon,ServiceNow")</f>
        <v>Google,Twitter,Facebook,Microsoft,Amazon,ServiceNow</v>
      </c>
      <c r="H841" s="85" t="str">
        <f>IFERROR(__xludf.DUMMYFUNCTION("""COMPUTED_VALUE"""),"LinkedIn,Uber,Oracle,Dataminr,Apple,Bloomberg,Google,Twitter,Facebook,Microsoft,Amazon,ServiceNow")</f>
        <v>LinkedIn,Uber,Oracle,Dataminr,Apple,Bloomberg,Google,Twitter,Facebook,Microsoft,Amazon,ServiceNow</v>
      </c>
      <c r="I841" s="85">
        <f>IFERROR(__xludf.DUMMYFUNCTION("""COMPUTED_VALUE"""),35.2)</f>
        <v>35.2</v>
      </c>
      <c r="J841" s="85" t="str">
        <f>IFERROR(__xludf.DUMMYFUNCTION("""COMPUTED_VALUE"""),"算法")</f>
        <v>算法</v>
      </c>
      <c r="K841" s="2" t="s">
        <v>5026</v>
      </c>
    </row>
    <row r="842">
      <c r="A842" s="47">
        <v>732.0</v>
      </c>
      <c r="B842" s="86" t="str">
        <f>IFERROR(__xludf.DUMMYFUNCTION("IF(ISBLANK(A842),,FILTER('Leetcode List'!B:C,'Leetcode List'!A:A = A842))"),"My Calendar III")</f>
        <v>My Calendar III</v>
      </c>
      <c r="C842" s="85" t="str">
        <f>IFERROR(__xludf.DUMMYFUNCTION("""COMPUTED_VALUE"""),"Hard")</f>
        <v>Hard</v>
      </c>
      <c r="D842" s="47" t="s">
        <v>5025</v>
      </c>
      <c r="E842" s="90" t="str">
        <f>IFERROR(__xludf.DUMMYFUNCTION("IF(ISBLANK(A842),,FILTER('Leetcode List'!E:J,'Leetcode List'!A:A = A842))"),"Amazon,Google")</f>
        <v>Amazon,Google</v>
      </c>
      <c r="F842" s="85" t="str">
        <f>IFERROR(__xludf.DUMMYFUNCTION("""COMPUTED_VALUE"""),"Google")</f>
        <v>Google</v>
      </c>
      <c r="G842" s="85" t="str">
        <f>IFERROR(__xludf.DUMMYFUNCTION("""COMPUTED_VALUE"""),"Google")</f>
        <v>Google</v>
      </c>
      <c r="H842" s="85" t="str">
        <f>IFERROR(__xludf.DUMMYFUNCTION("""COMPUTED_VALUE"""),"Amazon,Google")</f>
        <v>Amazon,Google</v>
      </c>
      <c r="I842" s="85">
        <f>IFERROR(__xludf.DUMMYFUNCTION("""COMPUTED_VALUE"""),62.07)</f>
        <v>62.07</v>
      </c>
      <c r="J842" s="85" t="str">
        <f>IFERROR(__xludf.DUMMYFUNCTION("""COMPUTED_VALUE"""),"算法")</f>
        <v>算法</v>
      </c>
      <c r="K842" s="2" t="s">
        <v>5026</v>
      </c>
    </row>
    <row r="843">
      <c r="A843" s="47">
        <v>759.0</v>
      </c>
      <c r="B843" s="86" t="str">
        <f>IFERROR(__xludf.DUMMYFUNCTION("IF(ISBLANK(A843),,FILTER('Leetcode List'!B:C,'Leetcode List'!A:A = A843))"),"Employee Free Time")</f>
        <v>Employee Free Time</v>
      </c>
      <c r="C843" s="85" t="str">
        <f>IFERROR(__xludf.DUMMYFUNCTION("""COMPUTED_VALUE"""),"Hard")</f>
        <v>Hard</v>
      </c>
      <c r="D843" s="47" t="s">
        <v>5025</v>
      </c>
      <c r="E843" s="90" t="str">
        <f>IFERROR(__xludf.DUMMYFUNCTION("IF(ISBLANK(A843),,FILTER('Leetcode List'!E:J,'Leetcode List'!A:A = A843))"),"Oracle,Cisco,DoorDash,Postmates,Pinterest,Wayfair,Coupang,Intuit,Airbnb,Uber,Bloomberg,Facebook,Amazon,Microsoft,Google")</f>
        <v>Oracle,Cisco,DoorDash,Postmates,Pinterest,Wayfair,Coupang,Intuit,Airbnb,Uber,Bloomberg,Facebook,Amazon,Microsoft,Google</v>
      </c>
      <c r="F843" s="85" t="str">
        <f>IFERROR(__xludf.DUMMYFUNCTION("""COMPUTED_VALUE"""),"DoorDash,Amazon,Intuit,Pinterest,Bloomberg,Oracle")</f>
        <v>DoorDash,Amazon,Intuit,Pinterest,Bloomberg,Oracle</v>
      </c>
      <c r="G843" s="85" t="str">
        <f>IFERROR(__xludf.DUMMYFUNCTION("""COMPUTED_VALUE"""),"Microsoft,Facebook,Google,Wayfair,Coupang,DoorDash,Amazon,Intuit,Pinterest,Bloomberg,Oracle")</f>
        <v>Microsoft,Facebook,Google,Wayfair,Coupang,DoorDash,Amazon,Intuit,Pinterest,Bloomberg,Oracle</v>
      </c>
      <c r="H843" s="85" t="str">
        <f>IFERROR(__xludf.DUMMYFUNCTION("""COMPUTED_VALUE"""),"Airbnb,Uber,Cisco,Microsoft,Facebook,Google,Wayfair,Coupang,DoorDash,Amazon,Intuit,Pinterest,Bloomberg,Oracle")</f>
        <v>Airbnb,Uber,Cisco,Microsoft,Facebook,Google,Wayfair,Coupang,DoorDash,Amazon,Intuit,Pinterest,Bloomberg,Oracle</v>
      </c>
      <c r="I843" s="85">
        <f>IFERROR(__xludf.DUMMYFUNCTION("""COMPUTED_VALUE"""),68.29)</f>
        <v>68.29</v>
      </c>
      <c r="J843" s="85" t="str">
        <f>IFERROR(__xludf.DUMMYFUNCTION("""COMPUTED_VALUE"""),"算法")</f>
        <v>算法</v>
      </c>
      <c r="K843" s="2" t="s">
        <v>5026</v>
      </c>
    </row>
    <row r="844">
      <c r="A844" s="47">
        <v>995.0</v>
      </c>
      <c r="B844" s="86" t="str">
        <f>IFERROR(__xludf.DUMMYFUNCTION("IF(ISBLANK(A844),,FILTER('Leetcode List'!B:C,'Leetcode List'!A:A = A844))"),"Minimum Number of K Consecutive Bit Flips")</f>
        <v>Minimum Number of K Consecutive Bit Flips</v>
      </c>
      <c r="C844" s="85" t="str">
        <f>IFERROR(__xludf.DUMMYFUNCTION("""COMPUTED_VALUE"""),"Hard")</f>
        <v>Hard</v>
      </c>
      <c r="D844" s="47" t="s">
        <v>5025</v>
      </c>
      <c r="E844" s="90" t="str">
        <f>IFERROR(__xludf.DUMMYFUNCTION("IF(ISBLANK(A844),,FILTER('Leetcode List'!E:J,'Leetcode List'!A:A = A844))"),"Google,Akuna,Akuna Capital,Facebook,Amazon")</f>
        <v>Google,Akuna,Akuna Capital,Facebook,Amazon</v>
      </c>
      <c r="F844" s="85" t="str">
        <f>IFERROR(__xludf.DUMMYFUNCTION("""COMPUTED_VALUE"""),"Google,Amazon")</f>
        <v>Google,Amazon</v>
      </c>
      <c r="G844" s="85" t="str">
        <f>IFERROR(__xludf.DUMMYFUNCTION("""COMPUTED_VALUE"""),"Facebook,Google,Amazon")</f>
        <v>Facebook,Google,Amazon</v>
      </c>
      <c r="H844" s="85" t="str">
        <f>IFERROR(__xludf.DUMMYFUNCTION("""COMPUTED_VALUE"""),"Akuna,Facebook,Google,Amazon")</f>
        <v>Akuna,Facebook,Google,Amazon</v>
      </c>
      <c r="I844" s="85">
        <f>IFERROR(__xludf.DUMMYFUNCTION("""COMPUTED_VALUE"""),50.0)</f>
        <v>50</v>
      </c>
      <c r="J844" s="85" t="str">
        <f>IFERROR(__xludf.DUMMYFUNCTION("""COMPUTED_VALUE"""),"算法")</f>
        <v>算法</v>
      </c>
      <c r="K844" s="2" t="s">
        <v>5026</v>
      </c>
    </row>
    <row r="845">
      <c r="A845" s="47">
        <v>1094.0</v>
      </c>
      <c r="B845" s="86" t="str">
        <f>IFERROR(__xludf.DUMMYFUNCTION("IF(ISBLANK(A845),,FILTER('Leetcode List'!B:C,'Leetcode List'!A:A = A845))"),"Car Pooling")</f>
        <v>Car Pooling</v>
      </c>
      <c r="C845" s="85" t="str">
        <f>IFERROR(__xludf.DUMMYFUNCTION("""COMPUTED_VALUE"""),"Medium")</f>
        <v>Medium</v>
      </c>
      <c r="D845" s="47" t="s">
        <v>5025</v>
      </c>
      <c r="E845" s="90" t="str">
        <f>IFERROR(__xludf.DUMMYFUNCTION("IF(ISBLANK(A845),,FILTER('Leetcode List'!E:J,'Leetcode List'!A:A = A845))"),"Microsoft,Lyft,Facebook,Amazon")</f>
        <v>Microsoft,Lyft,Facebook,Amazon</v>
      </c>
      <c r="F845" s="85"/>
      <c r="G845" s="85" t="str">
        <f>IFERROR(__xludf.DUMMYFUNCTION("""COMPUTED_VALUE"""),"Facebook,Microsoft")</f>
        <v>Facebook,Microsoft</v>
      </c>
      <c r="H845" s="85" t="str">
        <f>IFERROR(__xludf.DUMMYFUNCTION("""COMPUTED_VALUE"""),"Amazon,Lyft,Facebook,Microsoft")</f>
        <v>Amazon,Lyft,Facebook,Microsoft</v>
      </c>
      <c r="I845" s="85">
        <f>IFERROR(__xludf.DUMMYFUNCTION("""COMPUTED_VALUE"""),59.67)</f>
        <v>59.67</v>
      </c>
      <c r="J845" s="85" t="str">
        <f>IFERROR(__xludf.DUMMYFUNCTION("""COMPUTED_VALUE"""),"算法")</f>
        <v>算法</v>
      </c>
      <c r="K845" s="2" t="s">
        <v>5026</v>
      </c>
    </row>
    <row r="846">
      <c r="A846" s="47">
        <v>1109.0</v>
      </c>
      <c r="B846" s="86" t="str">
        <f>IFERROR(__xludf.DUMMYFUNCTION("IF(ISBLANK(A846),,FILTER('Leetcode List'!B:C,'Leetcode List'!A:A = A846))"),"Corporate Flight Bookings")</f>
        <v>Corporate Flight Bookings</v>
      </c>
      <c r="C846" s="85" t="str">
        <f>IFERROR(__xludf.DUMMYFUNCTION("""COMPUTED_VALUE"""),"Medium")</f>
        <v>Medium</v>
      </c>
      <c r="D846" s="47" t="s">
        <v>5025</v>
      </c>
      <c r="E846" s="90" t="str">
        <f>IFERROR(__xludf.DUMMYFUNCTION("IF(ISBLANK(A846),,FILTER('Leetcode List'!E:J,'Leetcode List'!A:A = A846))"),"Goldman Sachs")</f>
        <v>Goldman Sachs</v>
      </c>
      <c r="F846" s="85"/>
      <c r="G846" s="85"/>
      <c r="H846" s="85" t="str">
        <f>IFERROR(__xludf.DUMMYFUNCTION("""COMPUTED_VALUE"""),"Goldman Sachs")</f>
        <v>Goldman Sachs</v>
      </c>
      <c r="I846" s="85">
        <f>IFERROR(__xludf.DUMMYFUNCTION("""COMPUTED_VALUE"""),54.27)</f>
        <v>54.27</v>
      </c>
      <c r="J846" s="85" t="str">
        <f>IFERROR(__xludf.DUMMYFUNCTION("""COMPUTED_VALUE"""),"算法")</f>
        <v>算法</v>
      </c>
      <c r="K846" s="2" t="s">
        <v>5026</v>
      </c>
    </row>
    <row r="847">
      <c r="A847" s="47">
        <v>1589.0</v>
      </c>
      <c r="B847" s="86" t="str">
        <f>IFERROR(__xludf.DUMMYFUNCTION("IF(ISBLANK(A847),,FILTER('Leetcode List'!B:C,'Leetcode List'!A:A = A847))"),"Maximum Sum Obtained of Any Permutation")</f>
        <v>Maximum Sum Obtained of Any Permutation</v>
      </c>
      <c r="C847" s="85" t="str">
        <f>IFERROR(__xludf.DUMMYFUNCTION("""COMPUTED_VALUE"""),"Medium")</f>
        <v>Medium</v>
      </c>
      <c r="D847" s="47" t="s">
        <v>5025</v>
      </c>
      <c r="E847" s="90" t="str">
        <f>IFERROR(__xludf.DUMMYFUNCTION("IF(ISBLANK(A847),,FILTER('Leetcode List'!E:J,'Leetcode List'!A:A = A847))"),"Paypal")</f>
        <v>Paypal</v>
      </c>
      <c r="F847" s="85"/>
      <c r="G847" s="85"/>
      <c r="H847" s="85" t="str">
        <f>IFERROR(__xludf.DUMMYFUNCTION("""COMPUTED_VALUE"""),"Paypal")</f>
        <v>Paypal</v>
      </c>
      <c r="I847" s="85">
        <f>IFERROR(__xludf.DUMMYFUNCTION("""COMPUTED_VALUE"""),34.88)</f>
        <v>34.88</v>
      </c>
      <c r="J847" s="85" t="str">
        <f>IFERROR(__xludf.DUMMYFUNCTION("""COMPUTED_VALUE"""),"算法")</f>
        <v>算法</v>
      </c>
      <c r="K847" s="2" t="s">
        <v>5026</v>
      </c>
    </row>
    <row r="848">
      <c r="A848" s="47">
        <v>1674.0</v>
      </c>
      <c r="B848" s="86" t="str">
        <f>IFERROR(__xludf.DUMMYFUNCTION("IF(ISBLANK(A848),,FILTER('Leetcode List'!B:C,'Leetcode List'!A:A = A848))"),"Minimum Moves to Make Array Complementary")</f>
        <v>Minimum Moves to Make Array Complementary</v>
      </c>
      <c r="C848" s="85" t="str">
        <f>IFERROR(__xludf.DUMMYFUNCTION("""COMPUTED_VALUE"""),"Medium")</f>
        <v>Medium</v>
      </c>
      <c r="D848" s="47" t="s">
        <v>5025</v>
      </c>
      <c r="E848" s="90" t="str">
        <f>IFERROR(__xludf.DUMMYFUNCTION("IF(ISBLANK(A848),,FILTER('Leetcode List'!E:J,'Leetcode List'!A:A = A848))"),"CureFit")</f>
        <v>CureFit</v>
      </c>
      <c r="F848" s="85"/>
      <c r="G848" s="85"/>
      <c r="H848" s="85" t="str">
        <f>IFERROR(__xludf.DUMMYFUNCTION("""COMPUTED_VALUE"""),"CureFit")</f>
        <v>CureFit</v>
      </c>
      <c r="I848" s="85">
        <f>IFERROR(__xludf.DUMMYFUNCTION("""COMPUTED_VALUE"""),34.77)</f>
        <v>34.77</v>
      </c>
      <c r="J848" s="85" t="str">
        <f>IFERROR(__xludf.DUMMYFUNCTION("""COMPUTED_VALUE"""),"算法")</f>
        <v>算法</v>
      </c>
      <c r="K848" s="2" t="s">
        <v>5026</v>
      </c>
    </row>
    <row r="849">
      <c r="A849" s="47">
        <v>1625.0</v>
      </c>
      <c r="B849" s="86" t="str">
        <f>IFERROR(__xludf.DUMMYFUNCTION("IF(ISBLANK(A849),,FILTER('Leetcode List'!B:C,'Leetcode List'!A:A = A849))"),"Lexicographically Smallest String After Applying Operations")</f>
        <v>Lexicographically Smallest String After Applying Operations</v>
      </c>
      <c r="C849" s="85" t="str">
        <f>IFERROR(__xludf.DUMMYFUNCTION("""COMPUTED_VALUE"""),"Medium")</f>
        <v>Medium</v>
      </c>
      <c r="D849" s="47" t="s">
        <v>5025</v>
      </c>
      <c r="E849" s="90" t="str">
        <f>IFERROR(__xludf.DUMMYFUNCTION("IF(ISBLANK(A849),,FILTER('Leetcode List'!E:J,'Leetcode List'!A:A = A849))"),"JP Morgan,JPMorgan")</f>
        <v>JP Morgan,JPMorgan</v>
      </c>
      <c r="F849" s="85"/>
      <c r="G849" s="85"/>
      <c r="H849" s="85" t="str">
        <f>IFERROR(__xludf.DUMMYFUNCTION("""COMPUTED_VALUE"""),"JP Morgan,JPMorgan")</f>
        <v>JP Morgan,JPMorgan</v>
      </c>
      <c r="I849" s="85">
        <f>IFERROR(__xludf.DUMMYFUNCTION("""COMPUTED_VALUE"""),64.4)</f>
        <v>64.4</v>
      </c>
      <c r="J849" s="85" t="str">
        <f>IFERROR(__xludf.DUMMYFUNCTION("""COMPUTED_VALUE"""),"算法")</f>
        <v>算法</v>
      </c>
      <c r="K849" s="2" t="s">
        <v>5027</v>
      </c>
    </row>
    <row r="850">
      <c r="A850" s="47">
        <v>1714.0</v>
      </c>
      <c r="B850" s="86" t="str">
        <f>IFERROR(__xludf.DUMMYFUNCTION("IF(ISBLANK(A850),,FILTER('Leetcode List'!B:C,'Leetcode List'!A:A = A850))"),"Sum Of Special Evenly-Spaced Elements In Array")</f>
        <v>Sum Of Special Evenly-Spaced Elements In Array</v>
      </c>
      <c r="C850" s="85" t="str">
        <f>IFERROR(__xludf.DUMMYFUNCTION("""COMPUTED_VALUE"""),"Hard")</f>
        <v>Hard</v>
      </c>
      <c r="D850" s="47" t="s">
        <v>5025</v>
      </c>
      <c r="E850" s="90" t="str">
        <f>IFERROR(__xludf.DUMMYFUNCTION("IF(ISBLANK(A850),,FILTER('Leetcode List'!E:J,'Leetcode List'!A:A = A850))"),"Sprinklr,MakeMyTrip")</f>
        <v>Sprinklr,MakeMyTrip</v>
      </c>
      <c r="F850" s="85"/>
      <c r="G850" s="85"/>
      <c r="H850" s="85" t="str">
        <f>IFERROR(__xludf.DUMMYFUNCTION("""COMPUTED_VALUE"""),"MakeMyTrip,Sprinklr")</f>
        <v>MakeMyTrip,Sprinklr</v>
      </c>
      <c r="I850" s="85">
        <f>IFERROR(__xludf.DUMMYFUNCTION("""COMPUTED_VALUE"""),48.4)</f>
        <v>48.4</v>
      </c>
      <c r="J850" s="85" t="str">
        <f>IFERROR(__xludf.DUMMYFUNCTION("""COMPUTED_VALUE"""),"算法")</f>
        <v>算法</v>
      </c>
      <c r="K850" s="2" t="s">
        <v>5027</v>
      </c>
    </row>
    <row r="851">
      <c r="A851" s="47">
        <v>1737.0</v>
      </c>
      <c r="B851" s="86" t="str">
        <f>IFERROR(__xludf.DUMMYFUNCTION("IF(ISBLANK(A851),,FILTER('Leetcode List'!B:C,'Leetcode List'!A:A = A851))"),"Change Minimum Characters to Satisfy One of Three Conditions")</f>
        <v>Change Minimum Characters to Satisfy One of Three Conditions</v>
      </c>
      <c r="C851" s="85" t="str">
        <f>IFERROR(__xludf.DUMMYFUNCTION("""COMPUTED_VALUE"""),"Medium")</f>
        <v>Medium</v>
      </c>
      <c r="D851" s="47" t="s">
        <v>5025</v>
      </c>
      <c r="E851" s="90" t="str">
        <f>IFERROR(__xludf.DUMMYFUNCTION("IF(ISBLANK(A851),,FILTER('Leetcode List'!E:J,'Leetcode List'!A:A = A851))"),"Google")</f>
        <v>Google</v>
      </c>
      <c r="F851" s="85"/>
      <c r="G851" s="85"/>
      <c r="H851" s="85" t="str">
        <f>IFERROR(__xludf.DUMMYFUNCTION("""COMPUTED_VALUE"""),"Google")</f>
        <v>Google</v>
      </c>
      <c r="I851" s="85">
        <f>IFERROR(__xludf.DUMMYFUNCTION("""COMPUTED_VALUE"""),29.61)</f>
        <v>29.61</v>
      </c>
      <c r="J851" s="85" t="str">
        <f>IFERROR(__xludf.DUMMYFUNCTION("""COMPUTED_VALUE"""),"算法")</f>
        <v>算法</v>
      </c>
      <c r="K851" s="2" t="s">
        <v>5027</v>
      </c>
    </row>
    <row r="852">
      <c r="A852" s="85"/>
      <c r="B852" s="85"/>
      <c r="C852" s="85"/>
      <c r="D852" s="85"/>
      <c r="E852" s="89"/>
      <c r="F852" s="85"/>
      <c r="G852" s="85"/>
      <c r="H852" s="85"/>
      <c r="I852" s="85"/>
      <c r="J852" s="85"/>
    </row>
    <row r="853">
      <c r="A853" s="85"/>
      <c r="B853" s="85"/>
      <c r="C853" s="85"/>
      <c r="D853" s="85"/>
      <c r="E853" s="89"/>
      <c r="F853" s="85"/>
      <c r="G853" s="85"/>
      <c r="H853" s="85"/>
      <c r="I853" s="85"/>
      <c r="J853" s="85"/>
    </row>
    <row r="854">
      <c r="A854" s="85"/>
      <c r="B854" s="85"/>
      <c r="C854" s="85"/>
      <c r="D854" s="85"/>
      <c r="E854" s="89"/>
      <c r="F854" s="85"/>
      <c r="G854" s="85"/>
      <c r="H854" s="85"/>
      <c r="I854" s="85"/>
      <c r="J854" s="85"/>
    </row>
    <row r="855">
      <c r="A855" s="85"/>
      <c r="B855" s="85"/>
      <c r="C855" s="85"/>
      <c r="D855" s="85"/>
      <c r="E855" s="89"/>
      <c r="F855" s="85"/>
      <c r="G855" s="85"/>
      <c r="H855" s="85"/>
      <c r="I855" s="85"/>
      <c r="J855" s="85"/>
    </row>
    <row r="856">
      <c r="A856" s="85"/>
      <c r="B856" s="85"/>
      <c r="C856" s="85"/>
      <c r="D856" s="85"/>
      <c r="E856" s="89"/>
      <c r="F856" s="85"/>
      <c r="G856" s="85"/>
      <c r="H856" s="85"/>
      <c r="I856" s="85"/>
      <c r="J856" s="85"/>
    </row>
    <row r="857">
      <c r="A857" s="85"/>
      <c r="B857" s="85"/>
      <c r="C857" s="85"/>
      <c r="D857" s="85"/>
      <c r="E857" s="89"/>
      <c r="F857" s="85"/>
      <c r="G857" s="85"/>
      <c r="H857" s="85"/>
      <c r="I857" s="85"/>
      <c r="J857" s="85"/>
    </row>
    <row r="858">
      <c r="A858" s="85"/>
      <c r="B858" s="85"/>
      <c r="C858" s="85"/>
      <c r="D858" s="85"/>
      <c r="E858" s="89"/>
      <c r="F858" s="85"/>
      <c r="G858" s="85"/>
      <c r="H858" s="85"/>
      <c r="I858" s="85"/>
      <c r="J858" s="85"/>
    </row>
    <row r="859">
      <c r="A859" s="85"/>
      <c r="B859" s="85"/>
      <c r="C859" s="85"/>
      <c r="D859" s="85"/>
      <c r="E859" s="89"/>
      <c r="F859" s="85"/>
      <c r="G859" s="85"/>
      <c r="H859" s="85"/>
      <c r="I859" s="85"/>
      <c r="J859" s="85"/>
    </row>
    <row r="860">
      <c r="A860" s="85"/>
      <c r="B860" s="85"/>
      <c r="C860" s="85"/>
      <c r="D860" s="85"/>
      <c r="E860" s="89"/>
      <c r="F860" s="85"/>
      <c r="G860" s="85"/>
      <c r="H860" s="85"/>
      <c r="I860" s="85"/>
      <c r="J860" s="85"/>
    </row>
    <row r="861">
      <c r="A861" s="85"/>
      <c r="B861" s="85"/>
      <c r="C861" s="85"/>
      <c r="D861" s="85"/>
      <c r="E861" s="89"/>
      <c r="F861" s="85"/>
      <c r="G861" s="85"/>
      <c r="H861" s="85"/>
      <c r="I861" s="85"/>
      <c r="J861" s="85"/>
    </row>
    <row r="862">
      <c r="A862" s="85"/>
      <c r="B862" s="85"/>
      <c r="C862" s="85"/>
      <c r="D862" s="85"/>
      <c r="E862" s="89"/>
      <c r="F862" s="85"/>
      <c r="G862" s="85"/>
      <c r="H862" s="85"/>
      <c r="I862" s="85"/>
      <c r="J862" s="85"/>
    </row>
    <row r="863">
      <c r="A863" s="85"/>
      <c r="B863" s="85"/>
      <c r="C863" s="85"/>
      <c r="D863" s="85"/>
      <c r="E863" s="89"/>
      <c r="F863" s="85"/>
      <c r="G863" s="85"/>
      <c r="H863" s="85"/>
      <c r="I863" s="85"/>
      <c r="J863" s="85"/>
    </row>
    <row r="864">
      <c r="A864" s="85"/>
      <c r="B864" s="85"/>
      <c r="C864" s="85"/>
      <c r="D864" s="85"/>
      <c r="E864" s="89"/>
      <c r="F864" s="85"/>
      <c r="G864" s="85"/>
      <c r="H864" s="85"/>
      <c r="I864" s="85"/>
      <c r="J864" s="85"/>
    </row>
    <row r="865">
      <c r="A865" s="85"/>
      <c r="B865" s="85"/>
      <c r="C865" s="85"/>
      <c r="D865" s="85"/>
      <c r="E865" s="89"/>
      <c r="F865" s="85"/>
      <c r="G865" s="85"/>
      <c r="H865" s="85"/>
      <c r="I865" s="85"/>
      <c r="J865" s="85"/>
    </row>
    <row r="866">
      <c r="A866" s="85"/>
      <c r="B866" s="85"/>
      <c r="C866" s="85"/>
      <c r="D866" s="85"/>
      <c r="E866" s="89"/>
      <c r="F866" s="85"/>
      <c r="G866" s="85"/>
      <c r="H866" s="85"/>
      <c r="I866" s="85"/>
      <c r="J866" s="85"/>
    </row>
    <row r="867">
      <c r="A867" s="85"/>
      <c r="B867" s="85"/>
      <c r="C867" s="85"/>
      <c r="D867" s="85"/>
      <c r="E867" s="89"/>
      <c r="F867" s="85"/>
      <c r="G867" s="85"/>
      <c r="H867" s="85"/>
      <c r="I867" s="85"/>
      <c r="J867" s="85"/>
    </row>
    <row r="868">
      <c r="A868" s="85"/>
      <c r="B868" s="85"/>
      <c r="C868" s="85"/>
      <c r="D868" s="85"/>
      <c r="E868" s="89"/>
      <c r="F868" s="85"/>
      <c r="G868" s="85"/>
      <c r="H868" s="85"/>
      <c r="I868" s="85"/>
      <c r="J868" s="85"/>
    </row>
    <row r="869">
      <c r="A869" s="85"/>
      <c r="B869" s="85"/>
      <c r="C869" s="85"/>
      <c r="D869" s="85"/>
      <c r="E869" s="89"/>
      <c r="F869" s="85"/>
      <c r="G869" s="85"/>
      <c r="H869" s="85"/>
      <c r="I869" s="85"/>
      <c r="J869" s="85"/>
    </row>
    <row r="870">
      <c r="A870" s="85"/>
      <c r="B870" s="85"/>
      <c r="C870" s="85"/>
      <c r="D870" s="85"/>
      <c r="E870" s="89"/>
      <c r="F870" s="85"/>
      <c r="G870" s="85"/>
      <c r="H870" s="85"/>
      <c r="I870" s="85"/>
      <c r="J870" s="85"/>
    </row>
    <row r="871">
      <c r="A871" s="85"/>
      <c r="B871" s="85"/>
      <c r="C871" s="85"/>
      <c r="D871" s="85"/>
      <c r="E871" s="89"/>
      <c r="F871" s="85"/>
      <c r="G871" s="85"/>
      <c r="H871" s="85"/>
      <c r="I871" s="85"/>
      <c r="J871" s="85"/>
    </row>
    <row r="872">
      <c r="A872" s="85"/>
      <c r="B872" s="85"/>
      <c r="C872" s="85"/>
      <c r="D872" s="85"/>
      <c r="E872" s="89"/>
      <c r="F872" s="85"/>
      <c r="G872" s="85"/>
      <c r="H872" s="85"/>
      <c r="I872" s="85"/>
      <c r="J872" s="85"/>
    </row>
    <row r="873">
      <c r="A873" s="85"/>
      <c r="B873" s="85"/>
      <c r="C873" s="85"/>
      <c r="D873" s="85"/>
      <c r="E873" s="89"/>
      <c r="F873" s="85"/>
      <c r="G873" s="85"/>
      <c r="H873" s="85"/>
      <c r="I873" s="85"/>
      <c r="J873" s="85"/>
    </row>
    <row r="874">
      <c r="A874" s="85"/>
      <c r="B874" s="85"/>
      <c r="C874" s="85"/>
      <c r="D874" s="85"/>
      <c r="E874" s="89"/>
      <c r="F874" s="85"/>
      <c r="G874" s="85"/>
      <c r="H874" s="85"/>
      <c r="I874" s="85"/>
      <c r="J874" s="85"/>
    </row>
    <row r="875">
      <c r="A875" s="85"/>
      <c r="B875" s="85"/>
      <c r="C875" s="85"/>
      <c r="D875" s="85"/>
      <c r="E875" s="89"/>
      <c r="F875" s="85"/>
      <c r="G875" s="85"/>
      <c r="H875" s="85"/>
      <c r="I875" s="85"/>
      <c r="J875" s="85"/>
    </row>
    <row r="876">
      <c r="A876" s="85"/>
      <c r="B876" s="85"/>
      <c r="C876" s="85"/>
      <c r="D876" s="85"/>
      <c r="E876" s="89"/>
      <c r="F876" s="85"/>
      <c r="G876" s="85"/>
      <c r="H876" s="85"/>
      <c r="I876" s="85"/>
      <c r="J876" s="85"/>
    </row>
    <row r="877">
      <c r="A877" s="85"/>
      <c r="B877" s="85"/>
      <c r="C877" s="85"/>
      <c r="D877" s="85"/>
      <c r="E877" s="89"/>
      <c r="F877" s="85"/>
      <c r="G877" s="85"/>
      <c r="H877" s="85"/>
      <c r="I877" s="85"/>
      <c r="J877" s="85"/>
    </row>
    <row r="878">
      <c r="A878" s="85"/>
      <c r="B878" s="85"/>
      <c r="C878" s="85"/>
      <c r="D878" s="85"/>
      <c r="E878" s="89"/>
      <c r="F878" s="85"/>
      <c r="G878" s="85"/>
      <c r="H878" s="85"/>
      <c r="I878" s="85"/>
      <c r="J878" s="85"/>
    </row>
    <row r="879">
      <c r="A879" s="85"/>
      <c r="B879" s="85"/>
      <c r="C879" s="85"/>
      <c r="D879" s="85"/>
      <c r="E879" s="89"/>
      <c r="F879" s="85"/>
      <c r="G879" s="85"/>
      <c r="H879" s="85"/>
      <c r="I879" s="85"/>
      <c r="J879" s="85"/>
    </row>
    <row r="880">
      <c r="A880" s="85"/>
      <c r="B880" s="85"/>
      <c r="C880" s="85"/>
      <c r="D880" s="85"/>
      <c r="E880" s="89"/>
      <c r="F880" s="85"/>
      <c r="G880" s="85"/>
      <c r="H880" s="85"/>
      <c r="I880" s="85"/>
      <c r="J880" s="85"/>
    </row>
    <row r="881">
      <c r="A881" s="85"/>
      <c r="B881" s="85"/>
      <c r="C881" s="85"/>
      <c r="D881" s="85"/>
      <c r="E881" s="89"/>
      <c r="F881" s="85"/>
      <c r="G881" s="85"/>
      <c r="H881" s="85"/>
      <c r="I881" s="85"/>
      <c r="J881" s="85"/>
    </row>
    <row r="882">
      <c r="A882" s="85"/>
      <c r="B882" s="85"/>
      <c r="C882" s="85"/>
      <c r="D882" s="85"/>
      <c r="E882" s="89"/>
      <c r="F882" s="85"/>
      <c r="G882" s="85"/>
      <c r="H882" s="85"/>
      <c r="I882" s="85"/>
      <c r="J882" s="85"/>
    </row>
    <row r="883">
      <c r="A883" s="85"/>
      <c r="B883" s="85"/>
      <c r="C883" s="85"/>
      <c r="D883" s="85"/>
      <c r="E883" s="89"/>
      <c r="F883" s="85"/>
      <c r="G883" s="85"/>
      <c r="H883" s="85"/>
      <c r="I883" s="85"/>
      <c r="J883" s="85"/>
    </row>
    <row r="884">
      <c r="A884" s="85"/>
      <c r="B884" s="85"/>
      <c r="C884" s="85"/>
      <c r="D884" s="85"/>
      <c r="E884" s="89"/>
      <c r="F884" s="85"/>
      <c r="G884" s="85"/>
      <c r="H884" s="85"/>
      <c r="I884" s="85"/>
      <c r="J884" s="85"/>
    </row>
    <row r="885">
      <c r="A885" s="85"/>
      <c r="B885" s="85"/>
      <c r="C885" s="85"/>
      <c r="D885" s="85"/>
      <c r="E885" s="89"/>
      <c r="F885" s="85"/>
      <c r="G885" s="85"/>
      <c r="H885" s="85"/>
      <c r="I885" s="85"/>
      <c r="J885" s="85"/>
    </row>
    <row r="886">
      <c r="A886" s="85"/>
      <c r="B886" s="85"/>
      <c r="C886" s="85"/>
      <c r="D886" s="85"/>
      <c r="E886" s="89"/>
      <c r="F886" s="85"/>
      <c r="G886" s="85"/>
      <c r="H886" s="85"/>
      <c r="I886" s="85"/>
      <c r="J886" s="85"/>
    </row>
    <row r="887">
      <c r="A887" s="85"/>
      <c r="B887" s="85"/>
      <c r="C887" s="85"/>
      <c r="D887" s="85"/>
      <c r="E887" s="89"/>
      <c r="F887" s="85"/>
      <c r="G887" s="85"/>
      <c r="H887" s="85"/>
      <c r="I887" s="85"/>
      <c r="J887" s="85"/>
    </row>
    <row r="888">
      <c r="A888" s="85"/>
      <c r="B888" s="85"/>
      <c r="C888" s="85"/>
      <c r="D888" s="85"/>
      <c r="E888" s="89"/>
      <c r="F888" s="85"/>
      <c r="G888" s="85"/>
      <c r="H888" s="85"/>
      <c r="I888" s="85"/>
      <c r="J888" s="85"/>
    </row>
    <row r="889">
      <c r="A889" s="85"/>
      <c r="B889" s="85"/>
      <c r="C889" s="85"/>
      <c r="D889" s="85"/>
      <c r="E889" s="89"/>
      <c r="F889" s="85"/>
      <c r="G889" s="85"/>
      <c r="H889" s="85"/>
      <c r="I889" s="85"/>
      <c r="J889" s="85"/>
    </row>
    <row r="890">
      <c r="A890" s="85"/>
      <c r="B890" s="85"/>
      <c r="C890" s="85"/>
      <c r="D890" s="85"/>
      <c r="E890" s="89"/>
      <c r="F890" s="85"/>
      <c r="G890" s="85"/>
      <c r="H890" s="85"/>
      <c r="I890" s="85"/>
      <c r="J890" s="85"/>
    </row>
    <row r="891">
      <c r="A891" s="85"/>
      <c r="B891" s="85"/>
      <c r="C891" s="85"/>
      <c r="D891" s="85"/>
      <c r="E891" s="89"/>
      <c r="F891" s="85"/>
      <c r="G891" s="85"/>
      <c r="H891" s="85"/>
      <c r="I891" s="85"/>
      <c r="J891" s="85"/>
    </row>
    <row r="892">
      <c r="A892" s="85"/>
      <c r="B892" s="85"/>
      <c r="C892" s="85"/>
      <c r="D892" s="85"/>
      <c r="E892" s="89"/>
      <c r="F892" s="85"/>
      <c r="G892" s="85"/>
      <c r="H892" s="85"/>
      <c r="I892" s="85"/>
      <c r="J892" s="85"/>
    </row>
    <row r="893">
      <c r="A893" s="85"/>
      <c r="B893" s="85"/>
      <c r="C893" s="85"/>
      <c r="D893" s="85"/>
      <c r="E893" s="89"/>
      <c r="F893" s="85"/>
      <c r="G893" s="85"/>
      <c r="H893" s="85"/>
      <c r="I893" s="85"/>
      <c r="J893" s="85"/>
    </row>
    <row r="894">
      <c r="A894" s="85"/>
      <c r="B894" s="85"/>
      <c r="C894" s="85"/>
      <c r="D894" s="85"/>
      <c r="E894" s="89"/>
      <c r="F894" s="85"/>
      <c r="G894" s="85"/>
      <c r="H894" s="85"/>
      <c r="I894" s="85"/>
      <c r="J894" s="85"/>
    </row>
    <row r="895">
      <c r="A895" s="85"/>
      <c r="B895" s="85"/>
      <c r="C895" s="85"/>
      <c r="D895" s="85"/>
      <c r="E895" s="89"/>
      <c r="F895" s="85"/>
      <c r="G895" s="85"/>
      <c r="H895" s="85"/>
      <c r="I895" s="85"/>
      <c r="J895" s="85"/>
    </row>
    <row r="896">
      <c r="A896" s="85"/>
      <c r="B896" s="85"/>
      <c r="C896" s="85"/>
      <c r="D896" s="85"/>
      <c r="E896" s="89"/>
      <c r="F896" s="85"/>
      <c r="G896" s="85"/>
      <c r="H896" s="85"/>
      <c r="I896" s="85"/>
      <c r="J896" s="85"/>
    </row>
    <row r="897">
      <c r="A897" s="85"/>
      <c r="B897" s="85"/>
      <c r="C897" s="85"/>
      <c r="D897" s="85"/>
      <c r="E897" s="89"/>
      <c r="F897" s="85"/>
      <c r="G897" s="85"/>
      <c r="H897" s="85"/>
      <c r="I897" s="85"/>
      <c r="J897" s="85"/>
    </row>
    <row r="898">
      <c r="A898" s="85"/>
      <c r="B898" s="85"/>
      <c r="C898" s="85"/>
      <c r="D898" s="85"/>
      <c r="E898" s="89"/>
      <c r="F898" s="85"/>
      <c r="G898" s="85"/>
      <c r="H898" s="85"/>
      <c r="I898" s="85"/>
      <c r="J898" s="85"/>
    </row>
    <row r="899">
      <c r="A899" s="85"/>
      <c r="B899" s="85"/>
      <c r="C899" s="85"/>
      <c r="D899" s="85"/>
      <c r="E899" s="89"/>
      <c r="F899" s="85"/>
      <c r="G899" s="85"/>
      <c r="H899" s="85"/>
      <c r="I899" s="85"/>
      <c r="J899" s="85"/>
    </row>
    <row r="900">
      <c r="A900" s="85"/>
      <c r="B900" s="85"/>
      <c r="C900" s="85"/>
      <c r="D900" s="85"/>
      <c r="E900" s="89"/>
      <c r="F900" s="85"/>
      <c r="G900" s="85"/>
      <c r="H900" s="85"/>
      <c r="I900" s="85"/>
      <c r="J900" s="85"/>
    </row>
    <row r="901">
      <c r="A901" s="85"/>
      <c r="B901" s="85"/>
      <c r="C901" s="85"/>
      <c r="D901" s="85"/>
      <c r="E901" s="89"/>
      <c r="F901" s="85"/>
      <c r="G901" s="85"/>
      <c r="H901" s="85"/>
      <c r="I901" s="85"/>
      <c r="J901" s="85"/>
    </row>
    <row r="902">
      <c r="A902" s="85"/>
      <c r="B902" s="85"/>
      <c r="C902" s="85"/>
      <c r="D902" s="85"/>
      <c r="E902" s="89"/>
      <c r="F902" s="85"/>
      <c r="G902" s="85"/>
      <c r="H902" s="85"/>
      <c r="I902" s="85"/>
      <c r="J902" s="85"/>
    </row>
    <row r="903">
      <c r="A903" s="85"/>
      <c r="B903" s="85"/>
      <c r="C903" s="85"/>
      <c r="D903" s="85"/>
      <c r="E903" s="89"/>
      <c r="F903" s="85"/>
      <c r="G903" s="85"/>
      <c r="H903" s="85"/>
      <c r="I903" s="85"/>
      <c r="J903" s="85"/>
    </row>
    <row r="904">
      <c r="A904" s="85"/>
      <c r="B904" s="85"/>
      <c r="C904" s="85"/>
      <c r="D904" s="85"/>
      <c r="E904" s="89"/>
      <c r="F904" s="85"/>
      <c r="G904" s="85"/>
      <c r="H904" s="85"/>
      <c r="I904" s="85"/>
      <c r="J904" s="85"/>
    </row>
    <row r="905">
      <c r="A905" s="85"/>
      <c r="B905" s="85"/>
      <c r="C905" s="85"/>
      <c r="D905" s="85"/>
      <c r="E905" s="89"/>
      <c r="F905" s="85"/>
      <c r="G905" s="85"/>
      <c r="H905" s="85"/>
      <c r="I905" s="85"/>
      <c r="J905" s="85"/>
    </row>
    <row r="906">
      <c r="A906" s="85"/>
      <c r="B906" s="85"/>
      <c r="C906" s="85"/>
      <c r="D906" s="85"/>
      <c r="E906" s="89"/>
      <c r="F906" s="85"/>
      <c r="G906" s="85"/>
      <c r="H906" s="85"/>
      <c r="I906" s="85"/>
      <c r="J906" s="85"/>
    </row>
    <row r="907">
      <c r="A907" s="85"/>
      <c r="B907" s="85"/>
      <c r="C907" s="85"/>
      <c r="D907" s="85"/>
      <c r="E907" s="89"/>
      <c r="F907" s="85"/>
      <c r="G907" s="85"/>
      <c r="H907" s="85"/>
      <c r="I907" s="85"/>
      <c r="J907" s="85"/>
    </row>
    <row r="908">
      <c r="A908" s="85"/>
      <c r="B908" s="85"/>
      <c r="C908" s="85"/>
      <c r="D908" s="85"/>
      <c r="E908" s="89"/>
      <c r="F908" s="85"/>
      <c r="G908" s="85"/>
      <c r="H908" s="85"/>
      <c r="I908" s="85"/>
      <c r="J908" s="85"/>
    </row>
    <row r="909">
      <c r="A909" s="85"/>
      <c r="B909" s="85"/>
      <c r="C909" s="85"/>
      <c r="D909" s="85"/>
      <c r="E909" s="89"/>
      <c r="F909" s="85"/>
      <c r="G909" s="85"/>
      <c r="H909" s="85"/>
      <c r="I909" s="85"/>
      <c r="J909" s="85"/>
    </row>
    <row r="910">
      <c r="A910" s="85"/>
      <c r="B910" s="85"/>
      <c r="C910" s="85"/>
      <c r="D910" s="85"/>
      <c r="E910" s="89"/>
      <c r="F910" s="85"/>
      <c r="G910" s="85"/>
      <c r="H910" s="85"/>
      <c r="I910" s="85"/>
      <c r="J910" s="85"/>
    </row>
    <row r="911">
      <c r="A911" s="85"/>
      <c r="B911" s="85"/>
      <c r="C911" s="85"/>
      <c r="D911" s="85"/>
      <c r="E911" s="89"/>
      <c r="F911" s="85"/>
      <c r="G911" s="85"/>
      <c r="H911" s="85"/>
      <c r="I911" s="85"/>
      <c r="J911" s="85"/>
    </row>
    <row r="912">
      <c r="A912" s="85"/>
      <c r="B912" s="85"/>
      <c r="C912" s="85"/>
      <c r="D912" s="85"/>
      <c r="E912" s="89"/>
      <c r="F912" s="85"/>
      <c r="G912" s="85"/>
      <c r="H912" s="85"/>
      <c r="I912" s="85"/>
      <c r="J912" s="85"/>
    </row>
    <row r="913">
      <c r="A913" s="85"/>
      <c r="B913" s="85"/>
      <c r="C913" s="85"/>
      <c r="D913" s="85"/>
      <c r="E913" s="89"/>
      <c r="F913" s="85"/>
      <c r="G913" s="85"/>
      <c r="H913" s="85"/>
      <c r="I913" s="85"/>
      <c r="J913" s="85"/>
    </row>
    <row r="914">
      <c r="A914" s="85"/>
      <c r="B914" s="85"/>
      <c r="C914" s="85"/>
      <c r="D914" s="85"/>
      <c r="E914" s="89"/>
      <c r="F914" s="85"/>
      <c r="G914" s="85"/>
      <c r="H914" s="85"/>
      <c r="I914" s="85"/>
      <c r="J914" s="85"/>
    </row>
    <row r="915">
      <c r="A915" s="85"/>
      <c r="B915" s="85"/>
      <c r="C915" s="85"/>
      <c r="D915" s="85"/>
      <c r="E915" s="89"/>
      <c r="F915" s="85"/>
      <c r="G915" s="85"/>
      <c r="H915" s="85"/>
      <c r="I915" s="85"/>
      <c r="J915" s="85"/>
    </row>
    <row r="916">
      <c r="A916" s="85"/>
      <c r="B916" s="85"/>
      <c r="C916" s="85"/>
      <c r="D916" s="85"/>
      <c r="E916" s="89"/>
      <c r="F916" s="85"/>
      <c r="G916" s="85"/>
      <c r="H916" s="85"/>
      <c r="I916" s="85"/>
      <c r="J916" s="85"/>
    </row>
    <row r="917">
      <c r="A917" s="85"/>
      <c r="B917" s="85"/>
      <c r="C917" s="85"/>
      <c r="D917" s="85"/>
      <c r="E917" s="89"/>
      <c r="F917" s="85"/>
      <c r="G917" s="85"/>
      <c r="H917" s="85"/>
      <c r="I917" s="85"/>
      <c r="J917" s="85"/>
    </row>
    <row r="918">
      <c r="A918" s="85"/>
      <c r="B918" s="85"/>
      <c r="C918" s="85"/>
      <c r="D918" s="85"/>
      <c r="E918" s="89"/>
      <c r="F918" s="85"/>
      <c r="G918" s="85"/>
      <c r="H918" s="85"/>
      <c r="I918" s="85"/>
      <c r="J918" s="85"/>
    </row>
    <row r="919">
      <c r="A919" s="85"/>
      <c r="B919" s="85"/>
      <c r="C919" s="85"/>
      <c r="D919" s="85"/>
      <c r="E919" s="89"/>
      <c r="F919" s="85"/>
      <c r="G919" s="85"/>
      <c r="H919" s="85"/>
      <c r="I919" s="85"/>
      <c r="J919" s="85"/>
    </row>
    <row r="920">
      <c r="A920" s="85"/>
      <c r="B920" s="85"/>
      <c r="C920" s="85"/>
      <c r="D920" s="85"/>
      <c r="E920" s="89"/>
      <c r="F920" s="85"/>
      <c r="G920" s="85"/>
      <c r="H920" s="85"/>
      <c r="I920" s="85"/>
      <c r="J920" s="85"/>
    </row>
    <row r="921">
      <c r="A921" s="85"/>
      <c r="B921" s="85"/>
      <c r="C921" s="85"/>
      <c r="D921" s="85"/>
      <c r="E921" s="89"/>
      <c r="F921" s="85"/>
      <c r="G921" s="85"/>
      <c r="H921" s="85"/>
      <c r="I921" s="85"/>
      <c r="J921" s="85"/>
    </row>
    <row r="922">
      <c r="A922" s="85"/>
      <c r="B922" s="85"/>
      <c r="C922" s="85"/>
      <c r="D922" s="85"/>
      <c r="E922" s="89"/>
      <c r="F922" s="85"/>
      <c r="G922" s="85"/>
      <c r="H922" s="85"/>
      <c r="I922" s="85"/>
      <c r="J922" s="85"/>
    </row>
    <row r="923">
      <c r="A923" s="85"/>
      <c r="B923" s="85"/>
      <c r="C923" s="85"/>
      <c r="D923" s="85"/>
      <c r="E923" s="89"/>
      <c r="F923" s="85"/>
      <c r="G923" s="85"/>
      <c r="H923" s="85"/>
      <c r="I923" s="85"/>
      <c r="J923" s="85"/>
    </row>
    <row r="924">
      <c r="A924" s="85"/>
      <c r="B924" s="85"/>
      <c r="C924" s="85"/>
      <c r="D924" s="85"/>
      <c r="E924" s="89"/>
      <c r="F924" s="85"/>
      <c r="G924" s="85"/>
      <c r="H924" s="85"/>
      <c r="I924" s="85"/>
      <c r="J924" s="85"/>
    </row>
    <row r="925">
      <c r="A925" s="85"/>
      <c r="B925" s="85"/>
      <c r="C925" s="85"/>
      <c r="D925" s="85"/>
      <c r="E925" s="89"/>
      <c r="F925" s="85"/>
      <c r="G925" s="85"/>
      <c r="H925" s="85"/>
      <c r="I925" s="85"/>
      <c r="J925" s="85"/>
    </row>
    <row r="926">
      <c r="A926" s="85"/>
      <c r="B926" s="85"/>
      <c r="C926" s="85"/>
      <c r="D926" s="85"/>
      <c r="E926" s="89"/>
      <c r="F926" s="85"/>
      <c r="G926" s="85"/>
      <c r="H926" s="85"/>
      <c r="I926" s="85"/>
      <c r="J926" s="85"/>
    </row>
    <row r="927">
      <c r="A927" s="85"/>
      <c r="B927" s="85"/>
      <c r="C927" s="85"/>
      <c r="D927" s="85"/>
      <c r="E927" s="89"/>
      <c r="F927" s="85"/>
      <c r="G927" s="85"/>
      <c r="H927" s="85"/>
      <c r="I927" s="85"/>
      <c r="J927" s="85"/>
    </row>
    <row r="928">
      <c r="A928" s="85"/>
      <c r="B928" s="85"/>
      <c r="C928" s="85"/>
      <c r="D928" s="85"/>
      <c r="E928" s="89"/>
      <c r="F928" s="85"/>
      <c r="G928" s="85"/>
      <c r="H928" s="85"/>
      <c r="I928" s="85"/>
      <c r="J928" s="85"/>
    </row>
    <row r="929">
      <c r="A929" s="85"/>
      <c r="B929" s="85"/>
      <c r="C929" s="85"/>
      <c r="D929" s="85"/>
      <c r="E929" s="89"/>
      <c r="F929" s="85"/>
      <c r="G929" s="85"/>
      <c r="H929" s="85"/>
      <c r="I929" s="85"/>
      <c r="J929" s="85"/>
    </row>
    <row r="930">
      <c r="A930" s="85"/>
      <c r="B930" s="85"/>
      <c r="C930" s="85"/>
      <c r="D930" s="85"/>
      <c r="E930" s="89"/>
      <c r="F930" s="85"/>
      <c r="G930" s="85"/>
      <c r="H930" s="85"/>
      <c r="I930" s="85"/>
      <c r="J930" s="85"/>
    </row>
    <row r="931">
      <c r="A931" s="85"/>
      <c r="B931" s="85"/>
      <c r="C931" s="85"/>
      <c r="D931" s="85"/>
      <c r="E931" s="89"/>
      <c r="F931" s="85"/>
      <c r="G931" s="85"/>
      <c r="H931" s="85"/>
      <c r="I931" s="85"/>
      <c r="J931" s="85"/>
    </row>
    <row r="932">
      <c r="A932" s="85"/>
      <c r="B932" s="85"/>
      <c r="C932" s="85"/>
      <c r="D932" s="85"/>
      <c r="E932" s="89"/>
      <c r="F932" s="85"/>
      <c r="G932" s="85"/>
      <c r="H932" s="85"/>
      <c r="I932" s="85"/>
      <c r="J932" s="85"/>
    </row>
    <row r="933">
      <c r="A933" s="85"/>
      <c r="B933" s="85"/>
      <c r="C933" s="85"/>
      <c r="D933" s="85"/>
      <c r="E933" s="89"/>
      <c r="F933" s="85"/>
      <c r="G933" s="85"/>
      <c r="H933" s="85"/>
      <c r="I933" s="85"/>
      <c r="J933" s="85"/>
    </row>
    <row r="934">
      <c r="A934" s="85"/>
      <c r="B934" s="85"/>
      <c r="C934" s="85"/>
      <c r="D934" s="85"/>
      <c r="E934" s="89"/>
      <c r="F934" s="85"/>
      <c r="G934" s="85"/>
      <c r="H934" s="85"/>
      <c r="I934" s="85"/>
      <c r="J934" s="85"/>
    </row>
    <row r="935">
      <c r="A935" s="85"/>
      <c r="B935" s="85"/>
      <c r="C935" s="85"/>
      <c r="D935" s="85"/>
      <c r="E935" s="89"/>
      <c r="F935" s="85"/>
      <c r="G935" s="85"/>
      <c r="H935" s="85"/>
      <c r="I935" s="85"/>
      <c r="J935" s="85"/>
    </row>
    <row r="936">
      <c r="A936" s="85"/>
      <c r="B936" s="85"/>
      <c r="C936" s="85"/>
      <c r="D936" s="85"/>
      <c r="E936" s="89"/>
      <c r="F936" s="85"/>
      <c r="G936" s="85"/>
      <c r="H936" s="85"/>
      <c r="I936" s="85"/>
      <c r="J936" s="85"/>
    </row>
    <row r="937">
      <c r="A937" s="85"/>
      <c r="B937" s="85"/>
      <c r="C937" s="85"/>
      <c r="D937" s="85"/>
      <c r="E937" s="89"/>
      <c r="F937" s="85"/>
      <c r="G937" s="85"/>
      <c r="H937" s="85"/>
      <c r="I937" s="85"/>
      <c r="J937" s="85"/>
    </row>
    <row r="938">
      <c r="A938" s="85"/>
      <c r="B938" s="85"/>
      <c r="C938" s="85"/>
      <c r="D938" s="85"/>
      <c r="E938" s="89"/>
      <c r="F938" s="85"/>
      <c r="G938" s="85"/>
      <c r="H938" s="85"/>
      <c r="I938" s="85"/>
      <c r="J938" s="85"/>
    </row>
    <row r="939">
      <c r="A939" s="85"/>
      <c r="B939" s="85"/>
      <c r="C939" s="85"/>
      <c r="D939" s="85"/>
      <c r="E939" s="89"/>
      <c r="F939" s="85"/>
      <c r="G939" s="85"/>
      <c r="H939" s="85"/>
      <c r="I939" s="85"/>
      <c r="J939" s="85"/>
    </row>
    <row r="940">
      <c r="A940" s="85"/>
      <c r="B940" s="85"/>
      <c r="C940" s="85"/>
      <c r="D940" s="85"/>
      <c r="E940" s="89"/>
      <c r="F940" s="85"/>
      <c r="G940" s="85"/>
      <c r="H940" s="85"/>
      <c r="I940" s="85"/>
      <c r="J940" s="85"/>
    </row>
    <row r="941">
      <c r="A941" s="85"/>
      <c r="B941" s="85"/>
      <c r="C941" s="85"/>
      <c r="D941" s="85"/>
      <c r="E941" s="89"/>
      <c r="F941" s="85"/>
      <c r="G941" s="85"/>
      <c r="H941" s="85"/>
      <c r="I941" s="85"/>
      <c r="J941" s="85"/>
    </row>
    <row r="942">
      <c r="A942" s="85"/>
      <c r="B942" s="85"/>
      <c r="C942" s="85"/>
      <c r="D942" s="85"/>
      <c r="E942" s="89"/>
      <c r="F942" s="85"/>
      <c r="G942" s="85"/>
      <c r="H942" s="85"/>
      <c r="I942" s="85"/>
      <c r="J942" s="85"/>
    </row>
    <row r="943">
      <c r="A943" s="85"/>
      <c r="B943" s="85"/>
      <c r="C943" s="85"/>
      <c r="D943" s="85"/>
      <c r="E943" s="89"/>
      <c r="F943" s="85"/>
      <c r="G943" s="85"/>
      <c r="H943" s="85"/>
      <c r="I943" s="85"/>
      <c r="J943" s="85"/>
    </row>
    <row r="944">
      <c r="A944" s="85"/>
      <c r="B944" s="85"/>
      <c r="C944" s="85"/>
      <c r="D944" s="85"/>
      <c r="E944" s="89"/>
      <c r="F944" s="85"/>
      <c r="G944" s="85"/>
      <c r="H944" s="85"/>
      <c r="I944" s="85"/>
      <c r="J944" s="85"/>
    </row>
    <row r="945">
      <c r="A945" s="85"/>
      <c r="B945" s="85"/>
      <c r="C945" s="85"/>
      <c r="D945" s="85"/>
      <c r="E945" s="89"/>
      <c r="F945" s="85"/>
      <c r="G945" s="85"/>
      <c r="H945" s="85"/>
      <c r="I945" s="85"/>
      <c r="J945" s="85"/>
    </row>
    <row r="946">
      <c r="A946" s="85"/>
      <c r="B946" s="85"/>
      <c r="C946" s="85"/>
      <c r="D946" s="85"/>
      <c r="E946" s="89"/>
      <c r="F946" s="85"/>
      <c r="G946" s="85"/>
      <c r="H946" s="85"/>
      <c r="I946" s="85"/>
      <c r="J946" s="85"/>
    </row>
    <row r="947">
      <c r="A947" s="85"/>
      <c r="B947" s="85"/>
      <c r="C947" s="85"/>
      <c r="D947" s="85"/>
      <c r="E947" s="89"/>
      <c r="F947" s="85"/>
      <c r="G947" s="85"/>
      <c r="H947" s="85"/>
      <c r="I947" s="85"/>
      <c r="J947" s="85"/>
    </row>
    <row r="948">
      <c r="A948" s="85"/>
      <c r="B948" s="85"/>
      <c r="C948" s="85"/>
      <c r="D948" s="85"/>
      <c r="E948" s="89"/>
      <c r="F948" s="85"/>
      <c r="G948" s="85"/>
      <c r="H948" s="85"/>
      <c r="I948" s="85"/>
      <c r="J948" s="85"/>
    </row>
    <row r="949">
      <c r="A949" s="85"/>
      <c r="B949" s="85"/>
      <c r="C949" s="85"/>
      <c r="D949" s="85"/>
      <c r="E949" s="89"/>
      <c r="F949" s="85"/>
      <c r="G949" s="85"/>
      <c r="H949" s="85"/>
      <c r="I949" s="85"/>
      <c r="J949" s="85"/>
    </row>
    <row r="950">
      <c r="A950" s="85"/>
      <c r="B950" s="85"/>
      <c r="C950" s="85"/>
      <c r="D950" s="85"/>
      <c r="E950" s="89"/>
      <c r="F950" s="85"/>
      <c r="G950" s="85"/>
      <c r="H950" s="85"/>
      <c r="I950" s="85"/>
      <c r="J950" s="85"/>
    </row>
    <row r="951">
      <c r="A951" s="85"/>
      <c r="B951" s="85"/>
      <c r="C951" s="85"/>
      <c r="D951" s="85"/>
      <c r="E951" s="89"/>
      <c r="F951" s="85"/>
      <c r="G951" s="85"/>
      <c r="H951" s="85"/>
      <c r="I951" s="85"/>
      <c r="J951" s="85"/>
    </row>
    <row r="952">
      <c r="A952" s="85"/>
      <c r="B952" s="85"/>
      <c r="C952" s="85"/>
      <c r="D952" s="85"/>
      <c r="E952" s="89"/>
      <c r="F952" s="85"/>
      <c r="G952" s="85"/>
      <c r="H952" s="85"/>
      <c r="I952" s="85"/>
      <c r="J952" s="85"/>
    </row>
    <row r="953">
      <c r="A953" s="85"/>
      <c r="B953" s="85"/>
      <c r="C953" s="85"/>
      <c r="D953" s="85"/>
      <c r="E953" s="89"/>
      <c r="F953" s="85"/>
      <c r="G953" s="85"/>
      <c r="H953" s="85"/>
      <c r="I953" s="85"/>
      <c r="J953" s="85"/>
    </row>
    <row r="954">
      <c r="A954" s="85"/>
      <c r="B954" s="85"/>
      <c r="C954" s="85"/>
      <c r="D954" s="85"/>
      <c r="E954" s="89"/>
      <c r="F954" s="85"/>
      <c r="G954" s="85"/>
      <c r="H954" s="85"/>
      <c r="I954" s="85"/>
      <c r="J954" s="85"/>
    </row>
    <row r="955">
      <c r="A955" s="85"/>
      <c r="B955" s="85"/>
      <c r="C955" s="85"/>
      <c r="D955" s="85"/>
      <c r="E955" s="89"/>
      <c r="F955" s="85"/>
      <c r="G955" s="85"/>
      <c r="H955" s="85"/>
      <c r="I955" s="85"/>
      <c r="J955" s="85"/>
    </row>
  </sheetData>
  <autoFilter ref="$A$1:$O$955"/>
  <conditionalFormatting sqref="K2:K4 K6:K955">
    <cfRule type="cellIs" dxfId="2" priority="1" operator="greaterThan">
      <formula>0</formula>
    </cfRule>
  </conditionalFormatting>
  <hyperlinks>
    <hyperlink r:id="rId1" ref="H527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0"/>
    <col customWidth="1" min="4" max="4" width="18.63"/>
    <col customWidth="1" hidden="1" min="5" max="5" width="31.63"/>
  </cols>
  <sheetData>
    <row r="1">
      <c r="A1" s="93" t="s">
        <v>11</v>
      </c>
      <c r="B1" s="94" t="s">
        <v>43</v>
      </c>
      <c r="C1" s="7" t="s">
        <v>13</v>
      </c>
      <c r="D1" s="7" t="s">
        <v>14</v>
      </c>
      <c r="E1" s="2"/>
    </row>
    <row r="2">
      <c r="A2" s="21" t="s">
        <v>5028</v>
      </c>
      <c r="B2" s="95" t="str">
        <f t="shared" ref="B2:B101" si="1">HYPERLINK(CONCATENATE("https://www.algoexpert.io/questions/",E2),E2)</f>
        <v>Two Number Sum</v>
      </c>
      <c r="C2" s="2" t="s">
        <v>69</v>
      </c>
      <c r="D2" s="2" t="s">
        <v>93</v>
      </c>
      <c r="E2" s="2" t="s">
        <v>5029</v>
      </c>
    </row>
    <row r="3">
      <c r="A3" s="21" t="s">
        <v>5030</v>
      </c>
      <c r="B3" s="95" t="str">
        <f t="shared" si="1"/>
        <v>Validate Subsequence</v>
      </c>
      <c r="C3" s="2" t="s">
        <v>69</v>
      </c>
      <c r="D3" s="2" t="s">
        <v>93</v>
      </c>
      <c r="E3" s="2" t="s">
        <v>5031</v>
      </c>
    </row>
    <row r="4">
      <c r="A4" s="21" t="s">
        <v>5032</v>
      </c>
      <c r="B4" s="95" t="str">
        <f t="shared" si="1"/>
        <v>Three Number Sum</v>
      </c>
      <c r="C4" s="2" t="s">
        <v>56</v>
      </c>
      <c r="D4" s="2" t="s">
        <v>93</v>
      </c>
      <c r="E4" s="2" t="s">
        <v>5033</v>
      </c>
    </row>
    <row r="5">
      <c r="A5" s="21" t="s">
        <v>5034</v>
      </c>
      <c r="B5" s="95" t="str">
        <f t="shared" si="1"/>
        <v>Smallest Difference</v>
      </c>
      <c r="C5" s="2" t="s">
        <v>56</v>
      </c>
      <c r="D5" s="2" t="s">
        <v>93</v>
      </c>
      <c r="E5" s="2" t="s">
        <v>5035</v>
      </c>
    </row>
    <row r="6">
      <c r="A6" s="21" t="s">
        <v>5036</v>
      </c>
      <c r="B6" s="95" t="str">
        <f t="shared" si="1"/>
        <v>Move Element To End</v>
      </c>
      <c r="C6" s="2" t="s">
        <v>56</v>
      </c>
      <c r="D6" s="2" t="s">
        <v>93</v>
      </c>
      <c r="E6" s="2" t="s">
        <v>5037</v>
      </c>
    </row>
    <row r="7">
      <c r="A7" s="21" t="s">
        <v>5038</v>
      </c>
      <c r="B7" s="95" t="str">
        <f t="shared" si="1"/>
        <v>Monotonic Array</v>
      </c>
      <c r="C7" s="2" t="s">
        <v>56</v>
      </c>
      <c r="D7" s="2" t="s">
        <v>93</v>
      </c>
      <c r="E7" s="2" t="s">
        <v>1961</v>
      </c>
    </row>
    <row r="8">
      <c r="A8" s="21" t="s">
        <v>5039</v>
      </c>
      <c r="B8" s="95" t="str">
        <f t="shared" si="1"/>
        <v>Spiral Traverse</v>
      </c>
      <c r="C8" s="2" t="s">
        <v>56</v>
      </c>
      <c r="D8" s="2" t="s">
        <v>93</v>
      </c>
      <c r="E8" s="2" t="s">
        <v>5040</v>
      </c>
    </row>
    <row r="9">
      <c r="A9" s="21" t="s">
        <v>5041</v>
      </c>
      <c r="B9" s="95" t="str">
        <f t="shared" si="1"/>
        <v>Longest Peak</v>
      </c>
      <c r="C9" s="2" t="s">
        <v>56</v>
      </c>
      <c r="D9" s="2" t="s">
        <v>93</v>
      </c>
      <c r="E9" s="2" t="s">
        <v>5042</v>
      </c>
    </row>
    <row r="10">
      <c r="A10" s="21" t="s">
        <v>5043</v>
      </c>
      <c r="B10" s="95" t="str">
        <f t="shared" si="1"/>
        <v>Four Number Sum</v>
      </c>
      <c r="C10" s="2" t="s">
        <v>60</v>
      </c>
      <c r="D10" s="2" t="s">
        <v>93</v>
      </c>
      <c r="E10" s="2" t="s">
        <v>5044</v>
      </c>
    </row>
    <row r="11">
      <c r="A11" s="21" t="s">
        <v>5045</v>
      </c>
      <c r="B11" s="95" t="str">
        <f t="shared" si="1"/>
        <v>Subarray Sort</v>
      </c>
      <c r="C11" s="2" t="s">
        <v>60</v>
      </c>
      <c r="D11" s="2" t="s">
        <v>93</v>
      </c>
      <c r="E11" s="2" t="s">
        <v>5046</v>
      </c>
    </row>
    <row r="12">
      <c r="A12" s="21" t="s">
        <v>5047</v>
      </c>
      <c r="B12" s="95" t="str">
        <f t="shared" si="1"/>
        <v>Largest Range</v>
      </c>
      <c r="C12" s="2" t="s">
        <v>60</v>
      </c>
      <c r="D12" s="2" t="s">
        <v>93</v>
      </c>
      <c r="E12" s="2" t="s">
        <v>5048</v>
      </c>
    </row>
    <row r="13">
      <c r="A13" s="21" t="s">
        <v>5049</v>
      </c>
      <c r="B13" s="95" t="str">
        <f t="shared" si="1"/>
        <v>Min Rewards</v>
      </c>
      <c r="C13" s="2" t="s">
        <v>60</v>
      </c>
      <c r="D13" s="2" t="s">
        <v>93</v>
      </c>
      <c r="E13" s="2" t="s">
        <v>5050</v>
      </c>
    </row>
    <row r="14">
      <c r="A14" s="21" t="s">
        <v>5051</v>
      </c>
      <c r="B14" s="95" t="str">
        <f t="shared" si="1"/>
        <v>Zigzag Traverse</v>
      </c>
      <c r="C14" s="2" t="s">
        <v>60</v>
      </c>
      <c r="D14" s="2" t="s">
        <v>93</v>
      </c>
      <c r="E14" s="2" t="s">
        <v>5052</v>
      </c>
    </row>
    <row r="15">
      <c r="A15" s="21" t="s">
        <v>5053</v>
      </c>
      <c r="B15" s="95" t="str">
        <f t="shared" si="1"/>
        <v>Apartment Hunting</v>
      </c>
      <c r="C15" s="2" t="s">
        <v>5054</v>
      </c>
      <c r="D15" s="2" t="s">
        <v>93</v>
      </c>
      <c r="E15" s="2" t="s">
        <v>5055</v>
      </c>
    </row>
    <row r="16">
      <c r="A16" s="21" t="s">
        <v>5056</v>
      </c>
      <c r="B16" s="95" t="str">
        <f t="shared" si="1"/>
        <v>Calendar Matching</v>
      </c>
      <c r="C16" s="2" t="s">
        <v>5054</v>
      </c>
      <c r="D16" s="2" t="s">
        <v>93</v>
      </c>
      <c r="E16" s="2" t="s">
        <v>5057</v>
      </c>
    </row>
    <row r="17">
      <c r="A17" s="21" t="s">
        <v>5058</v>
      </c>
      <c r="B17" s="95" t="str">
        <f t="shared" si="1"/>
        <v>Find Closest Value In BST</v>
      </c>
      <c r="C17" s="2" t="s">
        <v>69</v>
      </c>
      <c r="D17" s="2" t="s">
        <v>5059</v>
      </c>
      <c r="E17" s="2" t="s">
        <v>5060</v>
      </c>
    </row>
    <row r="18">
      <c r="A18" s="21" t="s">
        <v>5061</v>
      </c>
      <c r="B18" s="95" t="str">
        <f t="shared" si="1"/>
        <v>BST Construction</v>
      </c>
      <c r="C18" s="2" t="s">
        <v>56</v>
      </c>
      <c r="D18" s="2" t="s">
        <v>5059</v>
      </c>
      <c r="E18" s="2" t="s">
        <v>5062</v>
      </c>
    </row>
    <row r="19">
      <c r="A19" s="21" t="s">
        <v>5063</v>
      </c>
      <c r="B19" s="95" t="str">
        <f t="shared" si="1"/>
        <v>Validate BST</v>
      </c>
      <c r="C19" s="2" t="s">
        <v>56</v>
      </c>
      <c r="D19" s="2" t="s">
        <v>5059</v>
      </c>
      <c r="E19" s="2" t="s">
        <v>5064</v>
      </c>
    </row>
    <row r="20">
      <c r="A20" s="21" t="s">
        <v>5065</v>
      </c>
      <c r="B20" s="95" t="str">
        <f t="shared" si="1"/>
        <v>BST Traversal</v>
      </c>
      <c r="C20" s="2" t="s">
        <v>56</v>
      </c>
      <c r="D20" s="2" t="s">
        <v>5059</v>
      </c>
      <c r="E20" s="2" t="s">
        <v>5066</v>
      </c>
    </row>
    <row r="21">
      <c r="A21" s="21" t="s">
        <v>5067</v>
      </c>
      <c r="B21" s="95" t="str">
        <f t="shared" si="1"/>
        <v>Min Height BST</v>
      </c>
      <c r="C21" s="2" t="s">
        <v>56</v>
      </c>
      <c r="D21" s="2" t="s">
        <v>5059</v>
      </c>
      <c r="E21" s="2" t="s">
        <v>5068</v>
      </c>
    </row>
    <row r="22">
      <c r="A22" s="21" t="s">
        <v>5069</v>
      </c>
      <c r="B22" s="95" t="str">
        <f t="shared" si="1"/>
        <v>Same BSTs</v>
      </c>
      <c r="C22" s="2" t="s">
        <v>60</v>
      </c>
      <c r="D22" s="2" t="s">
        <v>5059</v>
      </c>
      <c r="E22" s="2" t="s">
        <v>5070</v>
      </c>
    </row>
    <row r="23">
      <c r="A23" s="21" t="s">
        <v>5071</v>
      </c>
      <c r="B23" s="95" t="str">
        <f t="shared" si="1"/>
        <v>Right Smaller Than</v>
      </c>
      <c r="C23" s="2" t="s">
        <v>5072</v>
      </c>
      <c r="D23" s="2" t="s">
        <v>5059</v>
      </c>
      <c r="E23" s="2" t="s">
        <v>5073</v>
      </c>
    </row>
    <row r="24">
      <c r="A24" s="21" t="s">
        <v>5074</v>
      </c>
      <c r="B24" s="95" t="str">
        <f t="shared" si="1"/>
        <v>Branch Sums</v>
      </c>
      <c r="C24" s="2" t="s">
        <v>69</v>
      </c>
      <c r="D24" s="2" t="s">
        <v>5075</v>
      </c>
      <c r="E24" s="2" t="s">
        <v>5076</v>
      </c>
    </row>
    <row r="25">
      <c r="A25" s="21" t="s">
        <v>5077</v>
      </c>
      <c r="B25" s="95" t="str">
        <f t="shared" si="1"/>
        <v>Node Depths</v>
      </c>
      <c r="C25" s="2" t="s">
        <v>69</v>
      </c>
      <c r="D25" s="2" t="s">
        <v>5075</v>
      </c>
      <c r="E25" s="2" t="s">
        <v>5078</v>
      </c>
    </row>
    <row r="26">
      <c r="A26" s="21" t="s">
        <v>5079</v>
      </c>
      <c r="B26" s="95" t="str">
        <f t="shared" si="1"/>
        <v>Invert Binary Tree</v>
      </c>
      <c r="C26" s="2" t="s">
        <v>56</v>
      </c>
      <c r="D26" s="2" t="s">
        <v>5075</v>
      </c>
      <c r="E26" s="2" t="s">
        <v>3966</v>
      </c>
    </row>
    <row r="27">
      <c r="A27" s="21" t="s">
        <v>5080</v>
      </c>
      <c r="B27" s="95" t="str">
        <f t="shared" si="1"/>
        <v>Max Path Sum In Binary Tree</v>
      </c>
      <c r="C27" s="2" t="s">
        <v>60</v>
      </c>
      <c r="D27" s="2" t="s">
        <v>5075</v>
      </c>
      <c r="E27" s="2" t="s">
        <v>5081</v>
      </c>
    </row>
    <row r="28">
      <c r="A28" s="21" t="s">
        <v>5082</v>
      </c>
      <c r="B28" s="95" t="str">
        <f t="shared" si="1"/>
        <v>Iterative In-order Traversal</v>
      </c>
      <c r="C28" s="2" t="s">
        <v>5054</v>
      </c>
      <c r="D28" s="2" t="s">
        <v>5075</v>
      </c>
      <c r="E28" s="2" t="s">
        <v>5083</v>
      </c>
    </row>
    <row r="29">
      <c r="A29" s="21" t="s">
        <v>5084</v>
      </c>
      <c r="B29" s="95" t="str">
        <f t="shared" si="1"/>
        <v>Flatten Binary Tree</v>
      </c>
      <c r="C29" s="2" t="s">
        <v>5054</v>
      </c>
      <c r="D29" s="2" t="s">
        <v>5075</v>
      </c>
      <c r="E29" s="2" t="s">
        <v>5085</v>
      </c>
    </row>
    <row r="30">
      <c r="A30" s="21" t="s">
        <v>5086</v>
      </c>
      <c r="B30" s="95" t="str">
        <f t="shared" si="1"/>
        <v>Right Sibling Tree</v>
      </c>
      <c r="C30" s="2" t="s">
        <v>5054</v>
      </c>
      <c r="D30" s="2" t="s">
        <v>5075</v>
      </c>
      <c r="E30" s="2" t="s">
        <v>5087</v>
      </c>
    </row>
    <row r="31">
      <c r="A31" s="21" t="s">
        <v>5088</v>
      </c>
      <c r="B31" s="95" t="str">
        <f t="shared" si="1"/>
        <v>All Kinds Of Node Depths</v>
      </c>
      <c r="C31" s="2" t="s">
        <v>5054</v>
      </c>
      <c r="D31" s="2" t="s">
        <v>5075</v>
      </c>
      <c r="E31" s="2" t="s">
        <v>5089</v>
      </c>
    </row>
    <row r="32">
      <c r="A32" s="21" t="s">
        <v>5090</v>
      </c>
      <c r="B32" s="95" t="str">
        <f t="shared" si="1"/>
        <v>Max Subset Sum No Adjacent</v>
      </c>
      <c r="C32" s="2" t="s">
        <v>56</v>
      </c>
      <c r="D32" s="2" t="s">
        <v>76</v>
      </c>
      <c r="E32" s="2" t="s">
        <v>5091</v>
      </c>
    </row>
    <row r="33">
      <c r="A33" s="21" t="s">
        <v>5092</v>
      </c>
      <c r="B33" s="95" t="str">
        <f t="shared" si="1"/>
        <v>Number Of Ways To Make Change</v>
      </c>
      <c r="C33" s="2" t="s">
        <v>56</v>
      </c>
      <c r="D33" s="2" t="s">
        <v>76</v>
      </c>
      <c r="E33" s="2" t="s">
        <v>5093</v>
      </c>
    </row>
    <row r="34">
      <c r="A34" s="21" t="s">
        <v>5094</v>
      </c>
      <c r="B34" s="95" t="str">
        <f t="shared" si="1"/>
        <v>Min Number Of Coins For Change</v>
      </c>
      <c r="C34" s="2" t="s">
        <v>56</v>
      </c>
      <c r="D34" s="2" t="s">
        <v>76</v>
      </c>
      <c r="E34" s="2" t="s">
        <v>5095</v>
      </c>
    </row>
    <row r="35">
      <c r="A35" s="21" t="s">
        <v>5096</v>
      </c>
      <c r="B35" s="95" t="str">
        <f t="shared" si="1"/>
        <v>Levenshtein Distance</v>
      </c>
      <c r="C35" s="2" t="s">
        <v>56</v>
      </c>
      <c r="D35" s="2" t="s">
        <v>76</v>
      </c>
      <c r="E35" s="2" t="s">
        <v>5097</v>
      </c>
    </row>
    <row r="36">
      <c r="A36" s="21" t="s">
        <v>5098</v>
      </c>
      <c r="B36" s="95" t="str">
        <f t="shared" si="1"/>
        <v>Max Sum Increasing Subsequence</v>
      </c>
      <c r="C36" s="2" t="s">
        <v>60</v>
      </c>
      <c r="D36" s="2" t="s">
        <v>76</v>
      </c>
      <c r="E36" s="2" t="s">
        <v>5099</v>
      </c>
    </row>
    <row r="37">
      <c r="A37" s="21" t="s">
        <v>5100</v>
      </c>
      <c r="B37" s="95" t="str">
        <f t="shared" si="1"/>
        <v>Longest Common Subsequence</v>
      </c>
      <c r="C37" s="2" t="s">
        <v>60</v>
      </c>
      <c r="D37" s="2" t="s">
        <v>76</v>
      </c>
      <c r="E37" s="2" t="s">
        <v>1378</v>
      </c>
    </row>
    <row r="38">
      <c r="A38" s="21" t="s">
        <v>5101</v>
      </c>
      <c r="B38" s="95" t="str">
        <f t="shared" si="1"/>
        <v>Min Number Of Jumps</v>
      </c>
      <c r="C38" s="2" t="s">
        <v>60</v>
      </c>
      <c r="D38" s="2" t="s">
        <v>76</v>
      </c>
      <c r="E38" s="2" t="s">
        <v>5102</v>
      </c>
    </row>
    <row r="39">
      <c r="A39" s="21" t="s">
        <v>5103</v>
      </c>
      <c r="B39" s="95" t="str">
        <f t="shared" si="1"/>
        <v>Water Area</v>
      </c>
      <c r="C39" s="2" t="s">
        <v>60</v>
      </c>
      <c r="D39" s="2" t="s">
        <v>76</v>
      </c>
      <c r="E39" s="2" t="s">
        <v>5104</v>
      </c>
    </row>
    <row r="40">
      <c r="A40" s="21" t="s">
        <v>5105</v>
      </c>
      <c r="B40" s="95" t="str">
        <f t="shared" si="1"/>
        <v>Knapsack Problem</v>
      </c>
      <c r="C40" s="2" t="s">
        <v>60</v>
      </c>
      <c r="D40" s="2" t="s">
        <v>76</v>
      </c>
      <c r="E40" s="2" t="s">
        <v>5106</v>
      </c>
    </row>
    <row r="41">
      <c r="A41" s="21" t="s">
        <v>5107</v>
      </c>
      <c r="B41" s="95" t="str">
        <f t="shared" si="1"/>
        <v>Disk Stacking</v>
      </c>
      <c r="C41" s="2" t="s">
        <v>60</v>
      </c>
      <c r="D41" s="2" t="s">
        <v>76</v>
      </c>
      <c r="E41" s="2" t="s">
        <v>5108</v>
      </c>
    </row>
    <row r="42">
      <c r="A42" s="21" t="s">
        <v>5109</v>
      </c>
      <c r="B42" s="95" t="str">
        <f t="shared" si="1"/>
        <v>Numbers In Pi</v>
      </c>
      <c r="C42" s="2" t="s">
        <v>60</v>
      </c>
      <c r="D42" s="2" t="s">
        <v>76</v>
      </c>
      <c r="E42" s="2" t="s">
        <v>5110</v>
      </c>
    </row>
    <row r="43">
      <c r="A43" s="21" t="s">
        <v>5111</v>
      </c>
      <c r="B43" s="95" t="str">
        <f t="shared" si="1"/>
        <v>Max Profit With K Transactions</v>
      </c>
      <c r="C43" s="2" t="s">
        <v>5054</v>
      </c>
      <c r="D43" s="2" t="s">
        <v>76</v>
      </c>
      <c r="E43" s="2" t="s">
        <v>5112</v>
      </c>
    </row>
    <row r="44">
      <c r="A44" s="21" t="s">
        <v>5113</v>
      </c>
      <c r="B44" s="95" t="str">
        <f t="shared" si="1"/>
        <v>Palindrome Partitioning Min Cuts</v>
      </c>
      <c r="C44" s="2" t="s">
        <v>5054</v>
      </c>
      <c r="D44" s="2" t="s">
        <v>76</v>
      </c>
      <c r="E44" s="2" t="s">
        <v>5114</v>
      </c>
    </row>
    <row r="45">
      <c r="A45" s="21" t="s">
        <v>5115</v>
      </c>
      <c r="B45" s="95" t="str">
        <f t="shared" si="1"/>
        <v>Longest String Chain</v>
      </c>
      <c r="C45" s="2" t="s">
        <v>5054</v>
      </c>
      <c r="D45" s="2" t="s">
        <v>76</v>
      </c>
      <c r="E45" s="2" t="s">
        <v>1563</v>
      </c>
    </row>
    <row r="46">
      <c r="A46" s="21" t="s">
        <v>5116</v>
      </c>
      <c r="B46" s="95" t="str">
        <f t="shared" si="1"/>
        <v>Longest Increasing Subsequence</v>
      </c>
      <c r="C46" s="2" t="s">
        <v>5072</v>
      </c>
      <c r="D46" s="2" t="s">
        <v>76</v>
      </c>
      <c r="E46" s="2" t="s">
        <v>3669</v>
      </c>
    </row>
    <row r="47">
      <c r="A47" s="21" t="s">
        <v>5117</v>
      </c>
      <c r="B47" s="95" t="str">
        <f t="shared" si="1"/>
        <v>Square of Zeroes</v>
      </c>
      <c r="C47" s="2" t="s">
        <v>5072</v>
      </c>
      <c r="D47" s="2" t="s">
        <v>76</v>
      </c>
      <c r="E47" s="2" t="s">
        <v>5118</v>
      </c>
    </row>
    <row r="48">
      <c r="A48" s="21" t="s">
        <v>5119</v>
      </c>
      <c r="B48" s="95" t="str">
        <f t="shared" si="1"/>
        <v>Kadane's Algorithm</v>
      </c>
      <c r="C48" s="2" t="s">
        <v>56</v>
      </c>
      <c r="D48" s="2" t="s">
        <v>5120</v>
      </c>
      <c r="E48" s="2" t="s">
        <v>5121</v>
      </c>
    </row>
    <row r="49">
      <c r="A49" s="21" t="s">
        <v>5122</v>
      </c>
      <c r="B49" s="95" t="str">
        <f t="shared" si="1"/>
        <v>Topological Sort</v>
      </c>
      <c r="C49" s="2" t="s">
        <v>60</v>
      </c>
      <c r="D49" s="2" t="s">
        <v>5120</v>
      </c>
      <c r="E49" s="2" t="s">
        <v>4979</v>
      </c>
    </row>
    <row r="50">
      <c r="A50" s="21" t="s">
        <v>5123</v>
      </c>
      <c r="B50" s="95" t="str">
        <f t="shared" si="1"/>
        <v>Knuth—Morris—Pratt Algorithm</v>
      </c>
      <c r="C50" s="2" t="s">
        <v>5054</v>
      </c>
      <c r="D50" s="2" t="s">
        <v>5120</v>
      </c>
      <c r="E50" s="2" t="s">
        <v>5124</v>
      </c>
    </row>
    <row r="51">
      <c r="A51" s="21" t="s">
        <v>5125</v>
      </c>
      <c r="B51" s="95" t="str">
        <f t="shared" si="1"/>
        <v>Depth-first Search</v>
      </c>
      <c r="C51" s="2" t="s">
        <v>69</v>
      </c>
      <c r="D51" s="2" t="s">
        <v>5126</v>
      </c>
      <c r="E51" s="2" t="s">
        <v>5127</v>
      </c>
    </row>
    <row r="52">
      <c r="A52" s="21" t="s">
        <v>5128</v>
      </c>
      <c r="B52" s="95" t="str">
        <f t="shared" si="1"/>
        <v>Single Cycle Check</v>
      </c>
      <c r="C52" s="2" t="s">
        <v>56</v>
      </c>
      <c r="D52" s="2" t="s">
        <v>5126</v>
      </c>
      <c r="E52" s="2" t="s">
        <v>5129</v>
      </c>
    </row>
    <row r="53">
      <c r="A53" s="21" t="s">
        <v>5130</v>
      </c>
      <c r="B53" s="95" t="str">
        <f t="shared" si="1"/>
        <v>Breadth-first Search</v>
      </c>
      <c r="C53" s="2" t="s">
        <v>56</v>
      </c>
      <c r="D53" s="2" t="s">
        <v>5126</v>
      </c>
      <c r="E53" s="2" t="s">
        <v>5131</v>
      </c>
    </row>
    <row r="54">
      <c r="A54" s="21" t="s">
        <v>5132</v>
      </c>
      <c r="B54" s="95" t="str">
        <f t="shared" si="1"/>
        <v>River Sizes</v>
      </c>
      <c r="C54" s="2" t="s">
        <v>56</v>
      </c>
      <c r="D54" s="2" t="s">
        <v>5126</v>
      </c>
      <c r="E54" s="2" t="s">
        <v>5133</v>
      </c>
    </row>
    <row r="55">
      <c r="A55" s="21" t="s">
        <v>5134</v>
      </c>
      <c r="B55" s="95" t="str">
        <f t="shared" si="1"/>
        <v>Youngest Common Ancestor</v>
      </c>
      <c r="C55" s="2" t="s">
        <v>56</v>
      </c>
      <c r="D55" s="2" t="s">
        <v>5126</v>
      </c>
      <c r="E55" s="2" t="s">
        <v>5135</v>
      </c>
    </row>
    <row r="56">
      <c r="A56" s="21" t="s">
        <v>5136</v>
      </c>
      <c r="B56" s="95" t="str">
        <f t="shared" si="1"/>
        <v>Boggle Board</v>
      </c>
      <c r="C56" s="2" t="s">
        <v>60</v>
      </c>
      <c r="D56" s="2" t="s">
        <v>5126</v>
      </c>
      <c r="E56" s="2" t="s">
        <v>5137</v>
      </c>
    </row>
    <row r="57">
      <c r="A57" s="21" t="s">
        <v>5138</v>
      </c>
      <c r="B57" s="95" t="str">
        <f t="shared" si="1"/>
        <v>Rectangle Mania</v>
      </c>
      <c r="C57" s="2" t="s">
        <v>5054</v>
      </c>
      <c r="D57" s="2" t="s">
        <v>5126</v>
      </c>
      <c r="E57" s="2" t="s">
        <v>5139</v>
      </c>
    </row>
    <row r="58">
      <c r="A58" s="21" t="s">
        <v>5140</v>
      </c>
      <c r="B58" s="95" t="str">
        <f t="shared" si="1"/>
        <v>Airport Connections</v>
      </c>
      <c r="C58" s="2" t="s">
        <v>5072</v>
      </c>
      <c r="D58" s="2" t="s">
        <v>5126</v>
      </c>
      <c r="E58" s="2" t="s">
        <v>5141</v>
      </c>
    </row>
    <row r="59">
      <c r="A59" s="21" t="s">
        <v>5142</v>
      </c>
      <c r="B59" s="95" t="str">
        <f t="shared" si="1"/>
        <v>Min Heap Construction</v>
      </c>
      <c r="C59" s="2" t="s">
        <v>56</v>
      </c>
      <c r="D59" s="2" t="s">
        <v>5143</v>
      </c>
      <c r="E59" s="2" t="s">
        <v>5144</v>
      </c>
    </row>
    <row r="60">
      <c r="A60" s="21" t="s">
        <v>5145</v>
      </c>
      <c r="B60" s="95" t="str">
        <f t="shared" si="1"/>
        <v>Continuous Median</v>
      </c>
      <c r="C60" s="2" t="s">
        <v>60</v>
      </c>
      <c r="D60" s="2" t="s">
        <v>5143</v>
      </c>
      <c r="E60" s="2" t="s">
        <v>5146</v>
      </c>
    </row>
    <row r="61">
      <c r="A61" s="21" t="s">
        <v>5147</v>
      </c>
      <c r="B61" s="95" t="str">
        <f t="shared" si="1"/>
        <v>Merge Sorted Arrays</v>
      </c>
      <c r="C61" s="2" t="s">
        <v>5054</v>
      </c>
      <c r="D61" s="2" t="s">
        <v>5143</v>
      </c>
      <c r="E61" s="2" t="s">
        <v>5148</v>
      </c>
    </row>
    <row r="62">
      <c r="A62" s="21" t="s">
        <v>5149</v>
      </c>
      <c r="B62" s="95" t="str">
        <f t="shared" si="1"/>
        <v>Linked List Construction</v>
      </c>
      <c r="C62" s="2" t="s">
        <v>56</v>
      </c>
      <c r="D62" s="2" t="s">
        <v>5150</v>
      </c>
      <c r="E62" s="2" t="s">
        <v>5151</v>
      </c>
    </row>
    <row r="63">
      <c r="A63" s="21" t="s">
        <v>5152</v>
      </c>
      <c r="B63" s="95" t="str">
        <f t="shared" si="1"/>
        <v>Remove Kth Node From End</v>
      </c>
      <c r="C63" s="2" t="s">
        <v>56</v>
      </c>
      <c r="D63" s="2" t="s">
        <v>5150</v>
      </c>
      <c r="E63" s="2" t="s">
        <v>5153</v>
      </c>
    </row>
    <row r="64">
      <c r="A64" s="21" t="s">
        <v>5154</v>
      </c>
      <c r="B64" s="95" t="str">
        <f t="shared" si="1"/>
        <v>Find Loop</v>
      </c>
      <c r="C64" s="2" t="s">
        <v>60</v>
      </c>
      <c r="D64" s="2" t="s">
        <v>5150</v>
      </c>
      <c r="E64" s="2" t="s">
        <v>5155</v>
      </c>
    </row>
    <row r="65">
      <c r="A65" s="21" t="s">
        <v>5156</v>
      </c>
      <c r="B65" s="95" t="str">
        <f t="shared" si="1"/>
        <v>Reverse Linked List</v>
      </c>
      <c r="C65" s="2" t="s">
        <v>60</v>
      </c>
      <c r="D65" s="2" t="s">
        <v>5150</v>
      </c>
      <c r="E65" s="2" t="s">
        <v>4065</v>
      </c>
    </row>
    <row r="66">
      <c r="A66" s="21" t="s">
        <v>5157</v>
      </c>
      <c r="B66" s="95" t="str">
        <f t="shared" si="1"/>
        <v>Merge Linked Lists</v>
      </c>
      <c r="C66" s="2" t="s">
        <v>60</v>
      </c>
      <c r="D66" s="2" t="s">
        <v>5150</v>
      </c>
      <c r="E66" s="2" t="s">
        <v>5158</v>
      </c>
    </row>
    <row r="67">
      <c r="A67" s="21" t="s">
        <v>5159</v>
      </c>
      <c r="B67" s="95" t="str">
        <f t="shared" si="1"/>
        <v>Shift Linked List</v>
      </c>
      <c r="C67" s="2" t="s">
        <v>60</v>
      </c>
      <c r="D67" s="2" t="s">
        <v>5150</v>
      </c>
      <c r="E67" s="2" t="s">
        <v>5160</v>
      </c>
    </row>
    <row r="68">
      <c r="A68" s="21" t="s">
        <v>5161</v>
      </c>
      <c r="B68" s="95" t="str">
        <f t="shared" si="1"/>
        <v>LRU Cache</v>
      </c>
      <c r="C68" s="2" t="s">
        <v>5054</v>
      </c>
      <c r="D68" s="2" t="s">
        <v>5150</v>
      </c>
      <c r="E68" s="2" t="s">
        <v>4292</v>
      </c>
    </row>
    <row r="69">
      <c r="A69" s="21" t="s">
        <v>5162</v>
      </c>
      <c r="B69" s="95" t="str">
        <f t="shared" si="1"/>
        <v>Rearrange Linked List</v>
      </c>
      <c r="C69" s="2" t="s">
        <v>5054</v>
      </c>
      <c r="D69" s="2" t="s">
        <v>5150</v>
      </c>
      <c r="E69" s="2" t="s">
        <v>5163</v>
      </c>
    </row>
    <row r="70">
      <c r="A70" s="21" t="s">
        <v>5164</v>
      </c>
      <c r="B70" s="95" t="str">
        <f t="shared" si="1"/>
        <v>Nth Fibonacci</v>
      </c>
      <c r="C70" s="2" t="s">
        <v>69</v>
      </c>
      <c r="D70" s="2" t="s">
        <v>1396</v>
      </c>
      <c r="E70" s="2" t="s">
        <v>5165</v>
      </c>
    </row>
    <row r="71">
      <c r="A71" s="21" t="s">
        <v>5166</v>
      </c>
      <c r="B71" s="95" t="str">
        <f t="shared" si="1"/>
        <v>Product Sum</v>
      </c>
      <c r="C71" s="2" t="s">
        <v>69</v>
      </c>
      <c r="D71" s="2" t="s">
        <v>1396</v>
      </c>
      <c r="E71" s="2" t="s">
        <v>5167</v>
      </c>
    </row>
    <row r="72">
      <c r="A72" s="21" t="s">
        <v>5168</v>
      </c>
      <c r="B72" s="95" t="str">
        <f t="shared" si="1"/>
        <v>Permutations</v>
      </c>
      <c r="C72" s="2" t="s">
        <v>56</v>
      </c>
      <c r="D72" s="2" t="s">
        <v>1396</v>
      </c>
      <c r="E72" s="2" t="s">
        <v>4742</v>
      </c>
    </row>
    <row r="73">
      <c r="A73" s="21" t="s">
        <v>5169</v>
      </c>
      <c r="B73" s="95" t="str">
        <f t="shared" si="1"/>
        <v>Powerset</v>
      </c>
      <c r="C73" s="2" t="s">
        <v>56</v>
      </c>
      <c r="D73" s="2" t="s">
        <v>1396</v>
      </c>
      <c r="E73" s="2" t="s">
        <v>5170</v>
      </c>
    </row>
    <row r="74">
      <c r="A74" s="21" t="s">
        <v>5171</v>
      </c>
      <c r="B74" s="95" t="str">
        <f t="shared" si="1"/>
        <v>Lowest Common Manager</v>
      </c>
      <c r="C74" s="2" t="s">
        <v>60</v>
      </c>
      <c r="D74" s="2" t="s">
        <v>1396</v>
      </c>
      <c r="E74" s="2" t="s">
        <v>5172</v>
      </c>
    </row>
    <row r="75">
      <c r="A75" s="21" t="s">
        <v>5173</v>
      </c>
      <c r="B75" s="95" t="str">
        <f t="shared" si="1"/>
        <v>Interweaving Strings</v>
      </c>
      <c r="C75" s="2" t="s">
        <v>60</v>
      </c>
      <c r="D75" s="2" t="s">
        <v>1396</v>
      </c>
      <c r="E75" s="2" t="s">
        <v>5174</v>
      </c>
    </row>
    <row r="76">
      <c r="A76" s="21" t="s">
        <v>5175</v>
      </c>
      <c r="B76" s="95" t="str">
        <f t="shared" si="1"/>
        <v>Number Of Binary Tree Topologies</v>
      </c>
      <c r="C76" s="2" t="s">
        <v>5054</v>
      </c>
      <c r="D76" s="2" t="s">
        <v>1396</v>
      </c>
      <c r="E76" s="2" t="s">
        <v>5176</v>
      </c>
    </row>
    <row r="77">
      <c r="A77" s="21" t="s">
        <v>5177</v>
      </c>
      <c r="B77" s="95" t="str">
        <f t="shared" si="1"/>
        <v>Binary Search</v>
      </c>
      <c r="C77" s="2" t="s">
        <v>69</v>
      </c>
      <c r="D77" s="2" t="s">
        <v>5178</v>
      </c>
      <c r="E77" s="2" t="s">
        <v>502</v>
      </c>
    </row>
    <row r="78">
      <c r="A78" s="21" t="s">
        <v>5179</v>
      </c>
      <c r="B78" s="95" t="str">
        <f t="shared" si="1"/>
        <v>Find Three Largest Numbers</v>
      </c>
      <c r="C78" s="2" t="s">
        <v>69</v>
      </c>
      <c r="D78" s="2" t="s">
        <v>5178</v>
      </c>
      <c r="E78" s="2" t="s">
        <v>5180</v>
      </c>
    </row>
    <row r="79">
      <c r="A79" s="21" t="s">
        <v>5181</v>
      </c>
      <c r="B79" s="95" t="str">
        <f t="shared" si="1"/>
        <v>Search In Sorted Matrix</v>
      </c>
      <c r="C79" s="2" t="s">
        <v>56</v>
      </c>
      <c r="D79" s="2" t="s">
        <v>5178</v>
      </c>
      <c r="E79" s="2" t="s">
        <v>5182</v>
      </c>
    </row>
    <row r="80">
      <c r="A80" s="21" t="s">
        <v>5183</v>
      </c>
      <c r="B80" s="95" t="str">
        <f t="shared" si="1"/>
        <v>Shifted Binary Search</v>
      </c>
      <c r="C80" s="2" t="s">
        <v>60</v>
      </c>
      <c r="D80" s="2" t="s">
        <v>5178</v>
      </c>
      <c r="E80" s="2" t="s">
        <v>5184</v>
      </c>
    </row>
    <row r="81">
      <c r="A81" s="21" t="s">
        <v>5185</v>
      </c>
      <c r="B81" s="95" t="str">
        <f t="shared" si="1"/>
        <v>Search For Range</v>
      </c>
      <c r="C81" s="2" t="s">
        <v>60</v>
      </c>
      <c r="D81" s="2" t="s">
        <v>5178</v>
      </c>
      <c r="E81" s="2" t="s">
        <v>5186</v>
      </c>
    </row>
    <row r="82">
      <c r="A82" s="21" t="s">
        <v>5187</v>
      </c>
      <c r="B82" s="95" t="str">
        <f t="shared" si="1"/>
        <v>Quickselect</v>
      </c>
      <c r="C82" s="2" t="s">
        <v>60</v>
      </c>
      <c r="D82" s="2" t="s">
        <v>5178</v>
      </c>
      <c r="E82" s="2" t="s">
        <v>5188</v>
      </c>
    </row>
    <row r="83">
      <c r="A83" s="21" t="s">
        <v>5189</v>
      </c>
      <c r="B83" s="95" t="str">
        <f t="shared" si="1"/>
        <v>Bubble Sort</v>
      </c>
      <c r="C83" s="2" t="s">
        <v>69</v>
      </c>
      <c r="D83" s="2" t="s">
        <v>5190</v>
      </c>
      <c r="E83" s="2" t="s">
        <v>5191</v>
      </c>
    </row>
    <row r="84">
      <c r="A84" s="21" t="s">
        <v>5192</v>
      </c>
      <c r="B84" s="95" t="str">
        <f t="shared" si="1"/>
        <v>Insertion Sort</v>
      </c>
      <c r="C84" s="2" t="s">
        <v>69</v>
      </c>
      <c r="D84" s="2" t="s">
        <v>5190</v>
      </c>
      <c r="E84" s="2" t="s">
        <v>5193</v>
      </c>
    </row>
    <row r="85">
      <c r="A85" s="21" t="s">
        <v>5194</v>
      </c>
      <c r="B85" s="95" t="str">
        <f t="shared" si="1"/>
        <v>Selection Sort</v>
      </c>
      <c r="C85" s="2" t="s">
        <v>69</v>
      </c>
      <c r="D85" s="2" t="s">
        <v>5190</v>
      </c>
      <c r="E85" s="2" t="s">
        <v>5195</v>
      </c>
    </row>
    <row r="86">
      <c r="A86" s="21" t="s">
        <v>5196</v>
      </c>
      <c r="B86" s="95" t="str">
        <f t="shared" si="1"/>
        <v>Quick Sort</v>
      </c>
      <c r="C86" s="2" t="s">
        <v>60</v>
      </c>
      <c r="D86" s="2" t="s">
        <v>5190</v>
      </c>
      <c r="E86" s="2" t="s">
        <v>5197</v>
      </c>
    </row>
    <row r="87">
      <c r="A87" s="21" t="s">
        <v>5198</v>
      </c>
      <c r="B87" s="95" t="str">
        <f t="shared" si="1"/>
        <v>Heap Sort</v>
      </c>
      <c r="C87" s="2" t="s">
        <v>60</v>
      </c>
      <c r="D87" s="2" t="s">
        <v>5190</v>
      </c>
      <c r="E87" s="2" t="s">
        <v>5199</v>
      </c>
    </row>
    <row r="88">
      <c r="A88" s="21" t="s">
        <v>5200</v>
      </c>
      <c r="B88" s="95" t="str">
        <f t="shared" si="1"/>
        <v>Merge Sort</v>
      </c>
      <c r="C88" s="2" t="s">
        <v>5054</v>
      </c>
      <c r="D88" s="2" t="s">
        <v>5190</v>
      </c>
      <c r="E88" s="2" t="s">
        <v>5201</v>
      </c>
    </row>
    <row r="89">
      <c r="A89" s="21" t="s">
        <v>5202</v>
      </c>
      <c r="B89" s="95" t="str">
        <f t="shared" si="1"/>
        <v>Min Max Stack Construction</v>
      </c>
      <c r="C89" s="2" t="s">
        <v>56</v>
      </c>
      <c r="D89" s="2" t="s">
        <v>5203</v>
      </c>
      <c r="E89" s="2" t="s">
        <v>5204</v>
      </c>
    </row>
    <row r="90">
      <c r="A90" s="21" t="s">
        <v>5205</v>
      </c>
      <c r="B90" s="95" t="str">
        <f t="shared" si="1"/>
        <v>Balanced Brackets</v>
      </c>
      <c r="C90" s="2" t="s">
        <v>56</v>
      </c>
      <c r="D90" s="2" t="s">
        <v>5203</v>
      </c>
      <c r="E90" s="2" t="s">
        <v>5206</v>
      </c>
    </row>
    <row r="91">
      <c r="A91" s="21" t="s">
        <v>5207</v>
      </c>
      <c r="B91" s="95" t="str">
        <f t="shared" si="1"/>
        <v>Shorten Path</v>
      </c>
      <c r="C91" s="2" t="s">
        <v>60</v>
      </c>
      <c r="D91" s="2" t="s">
        <v>5203</v>
      </c>
      <c r="E91" s="2" t="s">
        <v>5208</v>
      </c>
    </row>
    <row r="92">
      <c r="A92" s="21" t="s">
        <v>5209</v>
      </c>
      <c r="B92" s="95" t="str">
        <f t="shared" si="1"/>
        <v>Palindrome Check</v>
      </c>
      <c r="C92" s="2" t="s">
        <v>69</v>
      </c>
      <c r="D92" s="2" t="s">
        <v>5210</v>
      </c>
      <c r="E92" s="2" t="s">
        <v>5211</v>
      </c>
    </row>
    <row r="93">
      <c r="A93" s="21" t="s">
        <v>5212</v>
      </c>
      <c r="B93" s="95" t="str">
        <f t="shared" si="1"/>
        <v>Caesar Cipher Encryptor</v>
      </c>
      <c r="C93" s="2" t="s">
        <v>69</v>
      </c>
      <c r="D93" s="2" t="s">
        <v>5210</v>
      </c>
      <c r="E93" s="2" t="s">
        <v>5213</v>
      </c>
    </row>
    <row r="94">
      <c r="A94" s="21" t="s">
        <v>5214</v>
      </c>
      <c r="B94" s="95" t="str">
        <f t="shared" si="1"/>
        <v>Longest Palindromic Substring</v>
      </c>
      <c r="C94" s="2" t="s">
        <v>56</v>
      </c>
      <c r="D94" s="2" t="s">
        <v>5210</v>
      </c>
      <c r="E94" s="2" t="s">
        <v>4945</v>
      </c>
    </row>
    <row r="95">
      <c r="A95" s="21" t="s">
        <v>5215</v>
      </c>
      <c r="B95" s="95" t="str">
        <f t="shared" si="1"/>
        <v>Group Anagrams</v>
      </c>
      <c r="C95" s="2" t="s">
        <v>56</v>
      </c>
      <c r="D95" s="2" t="s">
        <v>5210</v>
      </c>
      <c r="E95" s="2" t="s">
        <v>4727</v>
      </c>
    </row>
    <row r="96">
      <c r="A96" s="21" t="s">
        <v>5216</v>
      </c>
      <c r="B96" s="95" t="str">
        <f t="shared" si="1"/>
        <v>Longest Substring Without Duplication</v>
      </c>
      <c r="C96" s="2" t="s">
        <v>60</v>
      </c>
      <c r="D96" s="2" t="s">
        <v>5210</v>
      </c>
      <c r="E96" s="2" t="s">
        <v>5217</v>
      </c>
    </row>
    <row r="97">
      <c r="A97" s="21" t="s">
        <v>5218</v>
      </c>
      <c r="B97" s="95" t="str">
        <f t="shared" si="1"/>
        <v>Underscorify Substring</v>
      </c>
      <c r="C97" s="2" t="s">
        <v>60</v>
      </c>
      <c r="D97" s="2" t="s">
        <v>5210</v>
      </c>
      <c r="E97" s="2" t="s">
        <v>5219</v>
      </c>
    </row>
    <row r="98">
      <c r="A98" s="21" t="s">
        <v>5220</v>
      </c>
      <c r="B98" s="95" t="str">
        <f t="shared" si="1"/>
        <v>Pattern Matcher</v>
      </c>
      <c r="C98" s="2" t="s">
        <v>60</v>
      </c>
      <c r="D98" s="2" t="s">
        <v>5210</v>
      </c>
      <c r="E98" s="2" t="s">
        <v>5221</v>
      </c>
    </row>
    <row r="99">
      <c r="A99" s="21" t="s">
        <v>5222</v>
      </c>
      <c r="B99" s="95" t="str">
        <f t="shared" si="1"/>
        <v>Smallest Substring Containing</v>
      </c>
      <c r="C99" s="2" t="s">
        <v>5054</v>
      </c>
      <c r="D99" s="2" t="s">
        <v>5210</v>
      </c>
      <c r="E99" s="2" t="s">
        <v>5223</v>
      </c>
    </row>
    <row r="100">
      <c r="A100" s="21" t="s">
        <v>5224</v>
      </c>
      <c r="B100" s="95" t="str">
        <f t="shared" si="1"/>
        <v>Suffix Trie Construction</v>
      </c>
      <c r="C100" s="2" t="s">
        <v>56</v>
      </c>
      <c r="D100" s="2" t="s">
        <v>5225</v>
      </c>
      <c r="E100" s="2" t="s">
        <v>5226</v>
      </c>
    </row>
    <row r="101">
      <c r="A101" s="21" t="s">
        <v>5227</v>
      </c>
      <c r="B101" s="95" t="str">
        <f t="shared" si="1"/>
        <v>Multi String Search</v>
      </c>
      <c r="C101" s="2" t="s">
        <v>60</v>
      </c>
      <c r="D101" s="2" t="s">
        <v>5225</v>
      </c>
      <c r="E101" s="2" t="s">
        <v>5228</v>
      </c>
    </row>
  </sheetData>
  <drawing r:id="rId1"/>
</worksheet>
</file>