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ougu/Google Drive/My Stuff/Education/2021/Oregon State/01.Winter 2021/BA 578 Supply Chain Analytics/10.Week.10/01-Update 2 Video/"/>
    </mc:Choice>
  </mc:AlternateContent>
  <xr:revisionPtr revIDLastSave="0" documentId="13_ncr:1_{12807A23-0F0F-A54D-A523-5374AC2DA7D6}" xr6:coauthVersionLast="46" xr6:coauthVersionMax="46" xr10:uidLastSave="{00000000-0000-0000-0000-000000000000}"/>
  <bookViews>
    <workbookView xWindow="0" yWindow="460" windowWidth="68800" windowHeight="28340" activeTab="6" xr2:uid="{D1FB3FA2-4696-1C41-A467-F024EC4A2ABB}"/>
  </bookViews>
  <sheets>
    <sheet name="Week 1" sheetId="1" r:id="rId1"/>
    <sheet name="Week 2" sheetId="2" r:id="rId2"/>
    <sheet name="NPV-10 Years" sheetId="8" r:id="rId3"/>
    <sheet name="NPV-7 Years" sheetId="3" r:id="rId4"/>
    <sheet name="NPV-5 Years" sheetId="4" r:id="rId5"/>
    <sheet name="NPV-3 Years" sheetId="6" r:id="rId6"/>
    <sheet name="NPV Summar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7" l="1"/>
  <c r="C3" i="7"/>
  <c r="S36" i="8"/>
  <c r="Z27" i="8"/>
  <c r="Z28" i="8" s="1"/>
  <c r="AA27" i="8"/>
  <c r="AB27" i="8"/>
  <c r="AC27" i="8"/>
  <c r="AC28" i="8" s="1"/>
  <c r="AA28" i="8"/>
  <c r="AB28" i="8"/>
  <c r="AB29" i="8"/>
  <c r="AB30" i="8" s="1"/>
  <c r="AB33" i="8" s="1"/>
  <c r="AB35" i="8" s="1"/>
  <c r="Z34" i="8"/>
  <c r="AA34" i="8"/>
  <c r="AB34" i="8"/>
  <c r="AC34" i="8"/>
  <c r="G22" i="8"/>
  <c r="H22" i="8"/>
  <c r="I22" i="8"/>
  <c r="J22" i="8"/>
  <c r="K22" i="8"/>
  <c r="L22" i="8"/>
  <c r="M22" i="8"/>
  <c r="N22" i="8"/>
  <c r="O22" i="8"/>
  <c r="F22" i="8"/>
  <c r="M34" i="8"/>
  <c r="N34" i="8"/>
  <c r="O34" i="8"/>
  <c r="M12" i="8"/>
  <c r="N12" i="8"/>
  <c r="O5" i="8"/>
  <c r="O12" i="8" s="1"/>
  <c r="Y34" i="8"/>
  <c r="X34" i="8"/>
  <c r="W34" i="8"/>
  <c r="V34" i="8"/>
  <c r="U34" i="8"/>
  <c r="T34" i="8"/>
  <c r="S34" i="8"/>
  <c r="L34" i="8"/>
  <c r="K34" i="8"/>
  <c r="J34" i="8"/>
  <c r="I34" i="8"/>
  <c r="H34" i="8"/>
  <c r="G34" i="8"/>
  <c r="F34" i="8"/>
  <c r="E34" i="8"/>
  <c r="Y27" i="8"/>
  <c r="Y28" i="8" s="1"/>
  <c r="X27" i="8"/>
  <c r="X28" i="8" s="1"/>
  <c r="W27" i="8"/>
  <c r="V27" i="8"/>
  <c r="V28" i="8" s="1"/>
  <c r="U27" i="8"/>
  <c r="U28" i="8" s="1"/>
  <c r="T27" i="8"/>
  <c r="T28" i="8" s="1"/>
  <c r="F16" i="8"/>
  <c r="F27" i="8" s="1"/>
  <c r="F28" i="8" s="1"/>
  <c r="S12" i="8"/>
  <c r="S33" i="8" s="1"/>
  <c r="E12" i="8"/>
  <c r="E33" i="8" s="1"/>
  <c r="E39" i="8" s="1"/>
  <c r="AF10" i="8"/>
  <c r="J16" i="8" s="1"/>
  <c r="L12" i="8"/>
  <c r="F16" i="6"/>
  <c r="F16" i="4"/>
  <c r="F16" i="3"/>
  <c r="AC10" i="6"/>
  <c r="H16" i="6" s="1"/>
  <c r="AC10" i="4"/>
  <c r="J16" i="4" s="1"/>
  <c r="AC10" i="3"/>
  <c r="I16" i="3" s="1"/>
  <c r="G22" i="6"/>
  <c r="H22" i="6"/>
  <c r="F22" i="6"/>
  <c r="G22" i="3"/>
  <c r="H22" i="3"/>
  <c r="I22" i="3"/>
  <c r="J22" i="3"/>
  <c r="K22" i="3"/>
  <c r="L22" i="3"/>
  <c r="F22" i="3"/>
  <c r="H5" i="6"/>
  <c r="H12" i="6" s="1"/>
  <c r="V34" i="6"/>
  <c r="U34" i="6"/>
  <c r="T34" i="6"/>
  <c r="S34" i="6"/>
  <c r="V27" i="6"/>
  <c r="U27" i="6"/>
  <c r="U28" i="6" s="1"/>
  <c r="T27" i="6"/>
  <c r="T28" i="6" s="1"/>
  <c r="T29" i="6" s="1"/>
  <c r="T30" i="6" s="1"/>
  <c r="T33" i="6" s="1"/>
  <c r="T35" i="6" s="1"/>
  <c r="S12" i="6"/>
  <c r="S33" i="6" s="1"/>
  <c r="H34" i="6"/>
  <c r="G34" i="6"/>
  <c r="F34" i="6"/>
  <c r="E34" i="6"/>
  <c r="F27" i="6"/>
  <c r="E12" i="6"/>
  <c r="E33" i="6" s="1"/>
  <c r="J5" i="4"/>
  <c r="X34" i="4"/>
  <c r="W34" i="4"/>
  <c r="V34" i="4"/>
  <c r="U34" i="4"/>
  <c r="T34" i="4"/>
  <c r="S34" i="4"/>
  <c r="X27" i="4"/>
  <c r="X28" i="4" s="1"/>
  <c r="W27" i="4"/>
  <c r="W28" i="4" s="1"/>
  <c r="V27" i="4"/>
  <c r="V28" i="4" s="1"/>
  <c r="U27" i="4"/>
  <c r="U28" i="4" s="1"/>
  <c r="U29" i="4" s="1"/>
  <c r="U30" i="4" s="1"/>
  <c r="U33" i="4" s="1"/>
  <c r="T27" i="4"/>
  <c r="S12" i="4"/>
  <c r="S33" i="4" s="1"/>
  <c r="J34" i="4"/>
  <c r="I34" i="4"/>
  <c r="H34" i="4"/>
  <c r="G34" i="4"/>
  <c r="F34" i="4"/>
  <c r="E34" i="4"/>
  <c r="J22" i="4"/>
  <c r="I22" i="4"/>
  <c r="H22" i="4"/>
  <c r="G22" i="4"/>
  <c r="F22" i="4"/>
  <c r="F27" i="4" s="1"/>
  <c r="F28" i="4" s="1"/>
  <c r="E12" i="4"/>
  <c r="E33" i="4" s="1"/>
  <c r="J12" i="4"/>
  <c r="Z34" i="3"/>
  <c r="Y34" i="3"/>
  <c r="X34" i="3"/>
  <c r="W34" i="3"/>
  <c r="V34" i="3"/>
  <c r="U34" i="3"/>
  <c r="T34" i="3"/>
  <c r="S34" i="3"/>
  <c r="Z27" i="3"/>
  <c r="Y27" i="3"/>
  <c r="Y28" i="3" s="1"/>
  <c r="W27" i="3"/>
  <c r="W28" i="3" s="1"/>
  <c r="V27" i="3"/>
  <c r="U27" i="3"/>
  <c r="S12" i="3"/>
  <c r="S33" i="3" s="1"/>
  <c r="Z5" i="3"/>
  <c r="Z12" i="3" s="1"/>
  <c r="L5" i="3"/>
  <c r="L12" i="3" s="1"/>
  <c r="F34" i="3"/>
  <c r="G34" i="3"/>
  <c r="H34" i="3"/>
  <c r="I34" i="3"/>
  <c r="J34" i="3"/>
  <c r="K34" i="3"/>
  <c r="L34" i="3"/>
  <c r="E34" i="3"/>
  <c r="H27" i="6" l="1"/>
  <c r="J27" i="4"/>
  <c r="J28" i="4" s="1"/>
  <c r="Z29" i="8"/>
  <c r="Z30" i="8" s="1"/>
  <c r="Z33" i="8" s="1"/>
  <c r="Z35" i="8" s="1"/>
  <c r="AA29" i="8"/>
  <c r="AA30" i="8" s="1"/>
  <c r="AA33" i="8" s="1"/>
  <c r="AA35" i="8" s="1"/>
  <c r="AC29" i="8"/>
  <c r="AC30" i="8" s="1"/>
  <c r="AC33" i="8" s="1"/>
  <c r="AC35" i="8" s="1"/>
  <c r="O16" i="8"/>
  <c r="O27" i="8" s="1"/>
  <c r="O28" i="8" s="1"/>
  <c r="O29" i="8" s="1"/>
  <c r="O30" i="8" s="1"/>
  <c r="O33" i="8" s="1"/>
  <c r="O35" i="8" s="1"/>
  <c r="L16" i="8"/>
  <c r="L27" i="8" s="1"/>
  <c r="L28" i="8" s="1"/>
  <c r="L29" i="8" s="1"/>
  <c r="L30" i="8" s="1"/>
  <c r="L33" i="8" s="1"/>
  <c r="L35" i="8" s="1"/>
  <c r="N16" i="8"/>
  <c r="N27" i="8" s="1"/>
  <c r="N28" i="8" s="1"/>
  <c r="N29" i="8" s="1"/>
  <c r="N30" i="8" s="1"/>
  <c r="N33" i="8" s="1"/>
  <c r="N35" i="8" s="1"/>
  <c r="M16" i="8"/>
  <c r="M27" i="8" s="1"/>
  <c r="M28" i="8" s="1"/>
  <c r="M29" i="8" s="1"/>
  <c r="M30" i="8" s="1"/>
  <c r="M33" i="8" s="1"/>
  <c r="M35" i="8" s="1"/>
  <c r="J27" i="8"/>
  <c r="J28" i="8" s="1"/>
  <c r="J29" i="8" s="1"/>
  <c r="J30" i="8" s="1"/>
  <c r="J33" i="8" s="1"/>
  <c r="J35" i="8" s="1"/>
  <c r="G16" i="8"/>
  <c r="G27" i="8" s="1"/>
  <c r="G28" i="8" s="1"/>
  <c r="G29" i="8" s="1"/>
  <c r="G30" i="8" s="1"/>
  <c r="G33" i="8" s="1"/>
  <c r="G35" i="8" s="1"/>
  <c r="W28" i="8"/>
  <c r="W29" i="8" s="1"/>
  <c r="W30" i="8" s="1"/>
  <c r="W33" i="8" s="1"/>
  <c r="W35" i="8" s="1"/>
  <c r="H16" i="8"/>
  <c r="H27" i="8" s="1"/>
  <c r="K16" i="8"/>
  <c r="K27" i="8" s="1"/>
  <c r="K28" i="8" s="1"/>
  <c r="K29" i="8" s="1"/>
  <c r="K30" i="8" s="1"/>
  <c r="K33" i="8" s="1"/>
  <c r="K35" i="8" s="1"/>
  <c r="V29" i="8"/>
  <c r="V30" i="8" s="1"/>
  <c r="V33" i="8" s="1"/>
  <c r="V35" i="8" s="1"/>
  <c r="S39" i="8"/>
  <c r="S35" i="8"/>
  <c r="T29" i="8"/>
  <c r="T30" i="8" s="1"/>
  <c r="T33" i="8" s="1"/>
  <c r="T35" i="8" s="1"/>
  <c r="X29" i="8"/>
  <c r="X30" i="8" s="1"/>
  <c r="X33" i="8" s="1"/>
  <c r="X35" i="8" s="1"/>
  <c r="I16" i="8"/>
  <c r="I27" i="8" s="1"/>
  <c r="F29" i="8"/>
  <c r="F30" i="8" s="1"/>
  <c r="U29" i="8"/>
  <c r="U30" i="8" s="1"/>
  <c r="U33" i="8" s="1"/>
  <c r="U35" i="8" s="1"/>
  <c r="Y29" i="8"/>
  <c r="Y30" i="8" s="1"/>
  <c r="Y33" i="8" s="1"/>
  <c r="Y35" i="8" s="1"/>
  <c r="E35" i="8"/>
  <c r="G16" i="6"/>
  <c r="G27" i="6" s="1"/>
  <c r="G28" i="6" s="1"/>
  <c r="G29" i="6" s="1"/>
  <c r="G30" i="6" s="1"/>
  <c r="H16" i="4"/>
  <c r="H27" i="4" s="1"/>
  <c r="H28" i="4" s="1"/>
  <c r="H29" i="4" s="1"/>
  <c r="G16" i="4"/>
  <c r="G27" i="4" s="1"/>
  <c r="I16" i="4"/>
  <c r="I27" i="4" s="1"/>
  <c r="I28" i="4" s="1"/>
  <c r="I29" i="4" s="1"/>
  <c r="K16" i="3"/>
  <c r="K27" i="3" s="1"/>
  <c r="K28" i="3" s="1"/>
  <c r="J16" i="3"/>
  <c r="J27" i="3" s="1"/>
  <c r="J28" i="3" s="1"/>
  <c r="G16" i="3"/>
  <c r="G27" i="3" s="1"/>
  <c r="G28" i="3" s="1"/>
  <c r="I27" i="3"/>
  <c r="I28" i="3" s="1"/>
  <c r="L16" i="3"/>
  <c r="L27" i="3" s="1"/>
  <c r="L28" i="3" s="1"/>
  <c r="H16" i="3"/>
  <c r="H27" i="3" s="1"/>
  <c r="H28" i="3" s="1"/>
  <c r="F27" i="3"/>
  <c r="F28" i="3" s="1"/>
  <c r="E39" i="6"/>
  <c r="E35" i="6"/>
  <c r="F28" i="6"/>
  <c r="F29" i="6" s="1"/>
  <c r="F30" i="6" s="1"/>
  <c r="F33" i="6" s="1"/>
  <c r="H28" i="6"/>
  <c r="H29" i="6" s="1"/>
  <c r="H30" i="6" s="1"/>
  <c r="S48" i="6"/>
  <c r="S35" i="6"/>
  <c r="S39" i="6"/>
  <c r="T39" i="6" s="1"/>
  <c r="V28" i="6"/>
  <c r="V29" i="6" s="1"/>
  <c r="V30" i="6" s="1"/>
  <c r="V33" i="6" s="1"/>
  <c r="U29" i="6"/>
  <c r="U30" i="6" s="1"/>
  <c r="U33" i="6" s="1"/>
  <c r="U35" i="6" s="1"/>
  <c r="U35" i="4"/>
  <c r="T28" i="4"/>
  <c r="T29" i="4" s="1"/>
  <c r="T30" i="4" s="1"/>
  <c r="T33" i="4" s="1"/>
  <c r="X29" i="4"/>
  <c r="X30" i="4" s="1"/>
  <c r="W29" i="4"/>
  <c r="W30" i="4" s="1"/>
  <c r="S35" i="4"/>
  <c r="S39" i="4"/>
  <c r="E39" i="4"/>
  <c r="E35" i="4"/>
  <c r="F29" i="4"/>
  <c r="J29" i="4"/>
  <c r="J30" i="4" s="1"/>
  <c r="J33" i="4" s="1"/>
  <c r="J35" i="4" s="1"/>
  <c r="V29" i="4"/>
  <c r="V30" i="4" s="1"/>
  <c r="Z28" i="3"/>
  <c r="Z29" i="3" s="1"/>
  <c r="Z30" i="3" s="1"/>
  <c r="Z33" i="3" s="1"/>
  <c r="Z35" i="3" s="1"/>
  <c r="Y29" i="3"/>
  <c r="Y30" i="3" s="1"/>
  <c r="Y33" i="3" s="1"/>
  <c r="Y35" i="3" s="1"/>
  <c r="S39" i="3"/>
  <c r="S35" i="3"/>
  <c r="U28" i="3"/>
  <c r="U29" i="3" s="1"/>
  <c r="U30" i="3" s="1"/>
  <c r="U33" i="3" s="1"/>
  <c r="U35" i="3" s="1"/>
  <c r="V28" i="3"/>
  <c r="V29" i="3" s="1"/>
  <c r="V30" i="3" s="1"/>
  <c r="V33" i="3" s="1"/>
  <c r="V35" i="3" s="1"/>
  <c r="T27" i="3"/>
  <c r="X27" i="3"/>
  <c r="W29" i="3"/>
  <c r="W30" i="3" s="1"/>
  <c r="W33" i="3" s="1"/>
  <c r="W35" i="3" s="1"/>
  <c r="H28" i="8" l="1"/>
  <c r="H29" i="8" s="1"/>
  <c r="H30" i="8" s="1"/>
  <c r="H33" i="8" s="1"/>
  <c r="H35" i="8" s="1"/>
  <c r="F33" i="8"/>
  <c r="E48" i="8"/>
  <c r="S43" i="8"/>
  <c r="S45" i="8"/>
  <c r="S46" i="8" s="1"/>
  <c r="I28" i="8"/>
  <c r="I29" i="8" s="1"/>
  <c r="I30" i="8" s="1"/>
  <c r="I33" i="8" s="1"/>
  <c r="I35" i="8" s="1"/>
  <c r="T39" i="8"/>
  <c r="U39" i="8" s="1"/>
  <c r="V39" i="8" s="1"/>
  <c r="W39" i="8" s="1"/>
  <c r="X39" i="8" s="1"/>
  <c r="Y39" i="8" s="1"/>
  <c r="Z39" i="8" s="1"/>
  <c r="AA39" i="8" s="1"/>
  <c r="AB39" i="8" s="1"/>
  <c r="AC39" i="8" s="1"/>
  <c r="S48" i="8"/>
  <c r="I30" i="4"/>
  <c r="I33" i="4" s="1"/>
  <c r="I35" i="4" s="1"/>
  <c r="H30" i="4"/>
  <c r="H33" i="4" s="1"/>
  <c r="H35" i="4" s="1"/>
  <c r="F30" i="4"/>
  <c r="F33" i="4" s="1"/>
  <c r="F39" i="4" s="1"/>
  <c r="G33" i="6"/>
  <c r="G35" i="6" s="1"/>
  <c r="H33" i="6"/>
  <c r="H35" i="6" s="1"/>
  <c r="W33" i="4"/>
  <c r="W35" i="4" s="1"/>
  <c r="T39" i="4"/>
  <c r="U39" i="4" s="1"/>
  <c r="V39" i="4" s="1"/>
  <c r="W39" i="4" s="1"/>
  <c r="X39" i="4" s="1"/>
  <c r="V35" i="4"/>
  <c r="V33" i="4"/>
  <c r="X33" i="4"/>
  <c r="X35" i="4" s="1"/>
  <c r="V35" i="6"/>
  <c r="S45" i="6"/>
  <c r="S46" i="6" s="1"/>
  <c r="E48" i="6"/>
  <c r="S36" i="6"/>
  <c r="U39" i="6"/>
  <c r="V39" i="6" s="1"/>
  <c r="F39" i="6"/>
  <c r="T35" i="4"/>
  <c r="S48" i="4"/>
  <c r="S45" i="4"/>
  <c r="S46" i="4" s="1"/>
  <c r="G28" i="4"/>
  <c r="G29" i="4" s="1"/>
  <c r="G30" i="4" s="1"/>
  <c r="G33" i="4" s="1"/>
  <c r="X28" i="3"/>
  <c r="X29" i="3" s="1"/>
  <c r="X30" i="3" s="1"/>
  <c r="X33" i="3" s="1"/>
  <c r="X35" i="3" s="1"/>
  <c r="T28" i="3"/>
  <c r="T29" i="3" s="1"/>
  <c r="T30" i="3" s="1"/>
  <c r="S48" i="3" s="1"/>
  <c r="S43" i="6" l="1"/>
  <c r="F9" i="7"/>
  <c r="F3" i="7"/>
  <c r="E45" i="8"/>
  <c r="E46" i="8" s="1"/>
  <c r="E47" i="8"/>
  <c r="F35" i="8"/>
  <c r="F39" i="8"/>
  <c r="G39" i="8" s="1"/>
  <c r="H39" i="8" s="1"/>
  <c r="I39" i="8" s="1"/>
  <c r="J39" i="8" s="1"/>
  <c r="K39" i="8" s="1"/>
  <c r="L39" i="8" s="1"/>
  <c r="M39" i="8" s="1"/>
  <c r="N39" i="8" s="1"/>
  <c r="O39" i="8" s="1"/>
  <c r="G39" i="6"/>
  <c r="H39" i="6" s="1"/>
  <c r="G39" i="4"/>
  <c r="H39" i="4" s="1"/>
  <c r="I39" i="4" s="1"/>
  <c r="J39" i="4" s="1"/>
  <c r="F35" i="4"/>
  <c r="E48" i="4"/>
  <c r="S36" i="4"/>
  <c r="F35" i="6"/>
  <c r="E36" i="6" s="1"/>
  <c r="E47" i="6"/>
  <c r="E45" i="6"/>
  <c r="E46" i="6" s="1"/>
  <c r="G35" i="4"/>
  <c r="E47" i="4"/>
  <c r="E45" i="4"/>
  <c r="E46" i="4" s="1"/>
  <c r="T33" i="3"/>
  <c r="T39" i="3" s="1"/>
  <c r="U39" i="3" s="1"/>
  <c r="V39" i="3" s="1"/>
  <c r="W39" i="3" s="1"/>
  <c r="X39" i="3" s="1"/>
  <c r="Y39" i="3" s="1"/>
  <c r="Z39" i="3" s="1"/>
  <c r="S43" i="4" l="1"/>
  <c r="E3" i="7"/>
  <c r="E9" i="7"/>
  <c r="E36" i="4"/>
  <c r="E43" i="4" s="1"/>
  <c r="E36" i="8"/>
  <c r="E43" i="6"/>
  <c r="F5" i="7"/>
  <c r="T35" i="3"/>
  <c r="S36" i="3" s="1"/>
  <c r="S45" i="3"/>
  <c r="S46" i="3" s="1"/>
  <c r="E5" i="7" l="1"/>
  <c r="S43" i="3"/>
  <c r="D9" i="7"/>
  <c r="D3" i="7"/>
  <c r="E43" i="8"/>
  <c r="C5" i="7"/>
  <c r="E12" i="3"/>
  <c r="E33" i="3" s="1"/>
  <c r="E13" i="2"/>
  <c r="E15" i="2"/>
  <c r="E14" i="2"/>
  <c r="E16" i="2" l="1"/>
  <c r="J34" i="2" s="1"/>
  <c r="F29" i="3"/>
  <c r="F30" i="3" s="1"/>
  <c r="I29" i="3"/>
  <c r="I30" i="3" s="1"/>
  <c r="I33" i="3" s="1"/>
  <c r="L29" i="3"/>
  <c r="L30" i="3" s="1"/>
  <c r="L33" i="3" s="1"/>
  <c r="F33" i="3" l="1"/>
  <c r="E48" i="3"/>
  <c r="L35" i="3"/>
  <c r="I35" i="3"/>
  <c r="J29" i="3"/>
  <c r="J30" i="3" s="1"/>
  <c r="J33" i="3" s="1"/>
  <c r="H29" i="3"/>
  <c r="H30" i="3" s="1"/>
  <c r="H33" i="3" s="1"/>
  <c r="E39" i="3"/>
  <c r="E35" i="3"/>
  <c r="G29" i="3"/>
  <c r="G30" i="3" s="1"/>
  <c r="G33" i="3" s="1"/>
  <c r="K29" i="3"/>
  <c r="K30" i="3" s="1"/>
  <c r="K33" i="3" s="1"/>
  <c r="F39" i="3" l="1"/>
  <c r="G39" i="3" s="1"/>
  <c r="H39" i="3" s="1"/>
  <c r="I39" i="3" s="1"/>
  <c r="J39" i="3" s="1"/>
  <c r="K39" i="3" s="1"/>
  <c r="L39" i="3" s="1"/>
  <c r="K35" i="3"/>
  <c r="H35" i="3"/>
  <c r="J35" i="3"/>
  <c r="F35" i="3"/>
  <c r="G35" i="3" l="1"/>
  <c r="E36" i="3" s="1"/>
  <c r="E47" i="3"/>
  <c r="E45" i="3"/>
  <c r="E46" i="3" s="1"/>
  <c r="D27" i="2"/>
  <c r="E27" i="2" s="1"/>
  <c r="E43" i="3" l="1"/>
  <c r="D5" i="7"/>
  <c r="E28" i="2"/>
  <c r="E29" i="2"/>
  <c r="E26" i="2"/>
  <c r="E7" i="2"/>
  <c r="C4" i="2"/>
  <c r="E4" i="2" s="1"/>
  <c r="E30" i="2" l="1"/>
  <c r="I34" i="2" s="1"/>
  <c r="E21" i="2"/>
  <c r="E20" i="2"/>
  <c r="E8" i="2"/>
  <c r="E6" i="2"/>
  <c r="E5" i="2"/>
  <c r="E6" i="1"/>
  <c r="E13" i="1"/>
  <c r="E7" i="1"/>
  <c r="E5" i="1"/>
  <c r="E12" i="1"/>
  <c r="E14" i="1" s="1"/>
  <c r="E4" i="1"/>
  <c r="E9" i="2" l="1"/>
  <c r="J35" i="2" s="1"/>
  <c r="J36" i="2" s="1"/>
  <c r="E22" i="2"/>
  <c r="I35" i="2" s="1"/>
  <c r="I36" i="2" s="1"/>
  <c r="J37" i="2" s="1"/>
  <c r="E8" i="1"/>
</calcChain>
</file>

<file path=xl/sharedStrings.xml><?xml version="1.0" encoding="utf-8"?>
<sst xmlns="http://schemas.openxmlformats.org/spreadsheetml/2006/main" count="454" uniqueCount="111">
  <si>
    <t>Description</t>
  </si>
  <si>
    <t>Unit Saving</t>
  </si>
  <si>
    <t>Total Savings</t>
  </si>
  <si>
    <t>Source</t>
  </si>
  <si>
    <t>Daily Profit</t>
  </si>
  <si>
    <t>Yearly Savings</t>
  </si>
  <si>
    <t>One Time Savings</t>
  </si>
  <si>
    <t>https://www.google.com/shopping/product/1?q=2010+53-foot+trailer+for+sale&amp;prds=epd:3627066896752318242,eto:3627066896752318242_0,pid:3627066896752318242,prmr:1&amp;sa=X&amp;ved=0ahUKEwiC7qeWiYfvAhXC6Z4KHVDNCywQ9pwGCAU</t>
  </si>
  <si>
    <t>Sell 3 trailers (~2008)</t>
  </si>
  <si>
    <t>Truck Insurance</t>
  </si>
  <si>
    <t>https://askthetrucker.com/what-it-really-costs-to-own-a-commercial-truck/#:~:text=On%20average%2C%20a%20brand%2Dnew,combinations%20will%20certainly%20cost%20more.</t>
  </si>
  <si>
    <t>https://ryder.com/used-trucks/inventory/north-dakota/fargo/truck/box-trucks/2015/freightliner/m2-106/350152/</t>
  </si>
  <si>
    <t>Truck Repair</t>
  </si>
  <si>
    <t>-</t>
  </si>
  <si>
    <t>TOTAL</t>
  </si>
  <si>
    <t>Sell 2 trucks (~2015)</t>
  </si>
  <si>
    <t>355 D</t>
  </si>
  <si>
    <t>Qty</t>
  </si>
  <si>
    <t>Drivers Reduction</t>
  </si>
  <si>
    <t>1 truck will have 2 drivers splitting the day's deliveries.
https://www.indeed.com/career/truck-driver/salaries</t>
  </si>
  <si>
    <t>1 New Depot in McMinville</t>
  </si>
  <si>
    <t>Inventory Mgmt System licenses</t>
  </si>
  <si>
    <t>https://www.bluelinkerp.com/blog/2012/11/22/how-much-does-inventory-and-accounting-erp-software-cost/#:~:text=These%20different%20systems%20can%20range,serving%20markets%20around%20the%20world.</t>
  </si>
  <si>
    <t>IMS implementation consultant 
(hourly rate * hours)</t>
  </si>
  <si>
    <t>1 Rack system for single-deep pallet</t>
  </si>
  <si>
    <r>
      <rPr>
        <i/>
        <sz val="8"/>
        <color theme="1" tint="0.499984740745262"/>
        <rFont val="Calibri (Body)"/>
      </rPr>
      <t>We are keeping 1 truck for emergency situation.</t>
    </r>
    <r>
      <rPr>
        <i/>
        <u/>
        <sz val="8"/>
        <color theme="1" tint="0.499984740745262"/>
        <rFont val="Calibri"/>
        <family val="2"/>
        <scheme val="minor"/>
      </rPr>
      <t xml:space="preserve">
https://ryder.com/used-trucks/inventory/north-dakota/fargo/truck/box-trucks/2015/freightliner/m2-106/350152/</t>
    </r>
  </si>
  <si>
    <r>
      <rPr>
        <i/>
        <sz val="8"/>
        <color theme="0" tint="-0.499984740745262"/>
        <rFont val="Calibri (Body)"/>
      </rPr>
      <t xml:space="preserve">200 feet x 200 feet x 14 feet high.(Half a soccer field.)
</t>
    </r>
    <r>
      <rPr>
        <i/>
        <u/>
        <sz val="8"/>
        <color theme="0" tint="-0.499984740745262"/>
        <rFont val="Calibri"/>
        <family val="2"/>
        <scheme val="minor"/>
      </rPr>
      <t>https://www.buildingsguide.com/estimates/building-cost-estimate/</t>
    </r>
  </si>
  <si>
    <t>40 hour * 10 weeks = 400 hours
https://www.techrepublic.com/blog/it-consultant/10-mistakes-that-rookie-it-consultants-make-196586/</t>
  </si>
  <si>
    <t>NPV</t>
  </si>
  <si>
    <t>NPV Calculation</t>
  </si>
  <si>
    <t>Discount Factor @ 14%</t>
  </si>
  <si>
    <t>Break Even Analysis</t>
  </si>
  <si>
    <t>Net Profit (Range)</t>
  </si>
  <si>
    <t>EAC Calculation</t>
  </si>
  <si>
    <t>Years for this Plan</t>
  </si>
  <si>
    <t>EAC</t>
  </si>
  <si>
    <t>EXCEL NPV</t>
  </si>
  <si>
    <t>EXCEL EAC</t>
  </si>
  <si>
    <t>EXCEL IRR</t>
  </si>
  <si>
    <t>EXCEL Payback</t>
  </si>
  <si>
    <t>New Depot in McMinville</t>
  </si>
  <si>
    <t>Full time warehouse employee</t>
  </si>
  <si>
    <t>Part time responsibility to the part time truck driver.</t>
  </si>
  <si>
    <t>Oregon average is $60,816.  Since the employee will be paid $61,625 (truck driver salary), we will set the salary to the manager to $65,000
https://www.ziprecruiter.com/Salaries/Warehouse-Operations-Manager-Salary</t>
  </si>
  <si>
    <t>Rotation or full time position from the current truck driver eliminated by our model.</t>
  </si>
  <si>
    <t>Expenses</t>
  </si>
  <si>
    <t>Savings</t>
  </si>
  <si>
    <t>ROI</t>
  </si>
  <si>
    <t>Drivers Reduction (Moved to warehouse)</t>
  </si>
  <si>
    <t>Full time to Part time Driver
(Part time driver + Part time warehouse)</t>
  </si>
  <si>
    <t>Part time warehouse employee
(Part time driver + Part time warehouse)</t>
  </si>
  <si>
    <t>New warehouse manager with new skillset</t>
  </si>
  <si>
    <t>For 50 pallets per day for 14 days (2 week of inventory) = 700 pallets</t>
  </si>
  <si>
    <t>$3,966.64 - $3,435.03 (current model)</t>
  </si>
  <si>
    <t xml:space="preserve">1 Rack system for single-deep pallet
</t>
  </si>
  <si>
    <r>
      <t xml:space="preserve">New Yearly </t>
    </r>
    <r>
      <rPr>
        <b/>
        <sz val="12"/>
        <color rgb="FFFF0000"/>
        <rFont val="Calibri (Body)"/>
      </rPr>
      <t>Expenses</t>
    </r>
  </si>
  <si>
    <r>
      <t xml:space="preserve">One Time </t>
    </r>
    <r>
      <rPr>
        <b/>
        <sz val="12"/>
        <color rgb="FFFF0000"/>
        <rFont val="Calibri (Body)"/>
      </rPr>
      <t>Expenses</t>
    </r>
  </si>
  <si>
    <r>
      <t xml:space="preserve">Yearly </t>
    </r>
    <r>
      <rPr>
        <b/>
        <sz val="12"/>
        <color rgb="FF00B050"/>
        <rFont val="Calibri (Body)"/>
      </rPr>
      <t>Savings</t>
    </r>
  </si>
  <si>
    <r>
      <t xml:space="preserve">One Time </t>
    </r>
    <r>
      <rPr>
        <b/>
        <sz val="12"/>
        <color rgb="FF00B050"/>
        <rFont val="Calibri (Body)"/>
      </rPr>
      <t>Savings</t>
    </r>
  </si>
  <si>
    <t>Pros</t>
  </si>
  <si>
    <t>Cons</t>
  </si>
  <si>
    <t>One Time $$</t>
  </si>
  <si>
    <t>Yearly $$</t>
  </si>
  <si>
    <t>=(ABS(1 Time Costs 
/ Yearly Savings))</t>
  </si>
  <si>
    <r>
      <t xml:space="preserve">2 trucks on the road only make for a </t>
    </r>
    <r>
      <rPr>
        <b/>
        <sz val="12"/>
        <color rgb="FF00B050"/>
        <rFont val="Times New Roman"/>
        <family val="1"/>
      </rPr>
      <t>great utilization</t>
    </r>
    <r>
      <rPr>
        <sz val="12"/>
        <color rgb="FF00B05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of the truck’s capacity which is a good thing for a business.</t>
    </r>
  </si>
  <si>
    <r>
      <t xml:space="preserve">The new warehouse will attract new local customers that could lead to </t>
    </r>
    <r>
      <rPr>
        <b/>
        <sz val="12"/>
        <color rgb="FF00B050"/>
        <rFont val="Times New Roman"/>
        <family val="1"/>
      </rPr>
      <t>revenue growth</t>
    </r>
    <r>
      <rPr>
        <sz val="12"/>
        <color rgb="FF000000"/>
        <rFont val="Times New Roman"/>
        <family val="1"/>
      </rPr>
      <t xml:space="preserve"> to the company.</t>
    </r>
  </si>
  <si>
    <r>
      <t xml:space="preserve">Cross train the warehouse employees and truck drivers will enable to be more </t>
    </r>
    <r>
      <rPr>
        <b/>
        <sz val="12"/>
        <color rgb="FF00B050"/>
        <rFont val="Times New Roman"/>
        <family val="1"/>
      </rPr>
      <t>efficient and flexible labor schedulin</t>
    </r>
    <r>
      <rPr>
        <sz val="12"/>
        <color rgb="FF000000"/>
        <rFont val="Times New Roman"/>
        <family val="1"/>
      </rPr>
      <t>g to achieve the daily goals of the business.</t>
    </r>
  </si>
  <si>
    <r>
      <t xml:space="preserve">While we are reducing the number of drivers, we are creating </t>
    </r>
    <r>
      <rPr>
        <b/>
        <sz val="12"/>
        <color rgb="FF00B050"/>
        <rFont val="Times New Roman"/>
        <family val="1"/>
      </rPr>
      <t>new growth opportunities</t>
    </r>
    <r>
      <rPr>
        <sz val="12"/>
        <color rgb="FF000000"/>
        <rFont val="Times New Roman"/>
        <family val="1"/>
      </rPr>
      <t xml:space="preserve"> through our model to have a warehouse manager and warehouse employees’ positions.</t>
    </r>
  </si>
  <si>
    <r>
      <t xml:space="preserve">There is a </t>
    </r>
    <r>
      <rPr>
        <b/>
        <sz val="12"/>
        <color rgb="FFFF0000"/>
        <rFont val="Times New Roman"/>
        <family val="1"/>
      </rPr>
      <t>high-risk</t>
    </r>
    <r>
      <rPr>
        <sz val="12"/>
        <color rgb="FF00B05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for 1 truck to be </t>
    </r>
    <r>
      <rPr>
        <b/>
        <sz val="12"/>
        <color rgb="FFFF0000"/>
        <rFont val="Times New Roman"/>
        <family val="1"/>
      </rPr>
      <t>out-of-service</t>
    </r>
    <r>
      <rPr>
        <sz val="12"/>
        <color rgb="FFFF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regularly throughout the year.  To mitigate this risk, we are recommending </t>
    </r>
    <r>
      <rPr>
        <b/>
        <sz val="12"/>
        <color rgb="FF00B050"/>
        <rFont val="Times New Roman"/>
        <family val="1"/>
      </rPr>
      <t xml:space="preserve">keeping a backup truck </t>
    </r>
    <r>
      <rPr>
        <sz val="12"/>
        <color rgb="FF000000"/>
        <rFont val="Times New Roman"/>
        <family val="1"/>
      </rPr>
      <t>available.</t>
    </r>
  </si>
  <si>
    <r>
      <t xml:space="preserve">Two warehouses will </t>
    </r>
    <r>
      <rPr>
        <b/>
        <sz val="12"/>
        <color rgb="FFFF0000"/>
        <rFont val="Times New Roman"/>
        <family val="1"/>
      </rPr>
      <t>dilute the inventory</t>
    </r>
    <r>
      <rPr>
        <sz val="12"/>
        <color rgb="FF000000"/>
        <rFont val="Times New Roman"/>
        <family val="1"/>
      </rPr>
      <t xml:space="preserve"> and create new risks to not serve the customers well.  To mitigate this risk, we will invest in an </t>
    </r>
    <r>
      <rPr>
        <b/>
        <sz val="12"/>
        <color rgb="FF00B050"/>
        <rFont val="Times New Roman"/>
        <family val="1"/>
      </rPr>
      <t>Inventory Management System</t>
    </r>
    <r>
      <rPr>
        <sz val="12"/>
        <color rgb="FF000000"/>
        <rFont val="Times New Roman"/>
        <family val="1"/>
      </rPr>
      <t xml:space="preserve"> to better forecast and allocate the goods to the right delivery schedule.</t>
    </r>
  </si>
  <si>
    <r>
      <t xml:space="preserve">Introducing a new IT system requires the </t>
    </r>
    <r>
      <rPr>
        <b/>
        <sz val="12"/>
        <color rgb="FFFF0000"/>
        <rFont val="Times New Roman"/>
        <family val="1"/>
      </rPr>
      <t>help from an expensive consultant</t>
    </r>
    <r>
      <rPr>
        <sz val="12"/>
        <color rgb="FF000000"/>
        <rFont val="Times New Roman"/>
        <family val="1"/>
      </rPr>
      <t xml:space="preserve"> to implement the right solution.</t>
    </r>
  </si>
  <si>
    <r>
      <t xml:space="preserve">Faster service time will require </t>
    </r>
    <r>
      <rPr>
        <b/>
        <sz val="12"/>
        <color rgb="FFFF0000"/>
        <rFont val="Times New Roman"/>
        <family val="1"/>
      </rPr>
      <t>more efficiency in our processes</t>
    </r>
    <r>
      <rPr>
        <sz val="12"/>
        <color rgb="FF000000"/>
        <rFont val="Times New Roman"/>
        <family val="1"/>
      </rPr>
      <t xml:space="preserve"> and a better collaboration with our customers.  To mitigate these challenges, we will </t>
    </r>
    <r>
      <rPr>
        <b/>
        <sz val="12"/>
        <color rgb="FF00B050"/>
        <rFont val="Times New Roman"/>
        <family val="1"/>
      </rPr>
      <t>leverage our new IT systems</t>
    </r>
    <r>
      <rPr>
        <sz val="12"/>
        <color rgb="FF000000"/>
        <rFont val="Times New Roman"/>
        <family val="1"/>
      </rPr>
      <t xml:space="preserve"> to be more digital (advanced shipment notice, barcode, RFID…) and loaded in more efficent manner (rack system management, truck loading sorting, pallet weight balancing, customers rack locations within our pallet information....)</t>
    </r>
  </si>
  <si>
    <r>
      <t>2 warehouses nicely replenished make for a</t>
    </r>
    <r>
      <rPr>
        <b/>
        <sz val="12"/>
        <color rgb="FF00B050"/>
        <rFont val="Times New Roman"/>
        <family val="1"/>
      </rPr>
      <t xml:space="preserve"> faster and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>more responsive value chain</t>
    </r>
    <r>
      <rPr>
        <sz val="12"/>
        <color rgb="FF000000"/>
        <rFont val="Times New Roman"/>
        <family val="1"/>
      </rPr>
      <t xml:space="preserve"> to our customers.</t>
    </r>
  </si>
  <si>
    <t xml:space="preserve"> </t>
  </si>
  <si>
    <t>Operating Cash Flow (per year)</t>
  </si>
  <si>
    <t>Truck Insurance Savings (+)</t>
  </si>
  <si>
    <t>Truck Repair Savings (+)</t>
  </si>
  <si>
    <t>Sell 3 Trailers</t>
  </si>
  <si>
    <t>Sell 2 2015 Trucks</t>
  </si>
  <si>
    <t>Investment</t>
  </si>
  <si>
    <t>Capital</t>
  </si>
  <si>
    <t>FT Driver to PT Driver (+)</t>
  </si>
  <si>
    <t>Drivers Reduction (- 1 driver per year) (+)</t>
  </si>
  <si>
    <t>Yearly Expenses</t>
  </si>
  <si>
    <r>
      <t xml:space="preserve">TOTAL Capital </t>
    </r>
    <r>
      <rPr>
        <sz val="12"/>
        <color theme="1"/>
        <rFont val="Calibri"/>
        <family val="2"/>
        <scheme val="minor"/>
      </rPr>
      <t>(-1-2-3-4+5+6)</t>
    </r>
  </si>
  <si>
    <t>New WHS manager (-)</t>
  </si>
  <si>
    <t>FT Whs employee (-)</t>
  </si>
  <si>
    <t>PT whs employee (-)</t>
  </si>
  <si>
    <t>Yearly Savings / New Revenue</t>
  </si>
  <si>
    <t>Total (7+8</t>
  </si>
  <si>
    <t>Pretax Profit (7+8+9+10+11-12-13-14-15)</t>
  </si>
  <si>
    <t>Tax (40%*16)</t>
  </si>
  <si>
    <t>Net Income (16-17)</t>
  </si>
  <si>
    <t>Operating CF (18+12)</t>
  </si>
  <si>
    <t>Total Cash Flow (19+6.1)</t>
  </si>
  <si>
    <t>Increased Yearly Profit (+)</t>
  </si>
  <si>
    <t>7 Years NPV</t>
  </si>
  <si>
    <t>5 Years NPV</t>
  </si>
  <si>
    <t>3 Years NPV</t>
  </si>
  <si>
    <t xml:space="preserve">IMS implementation consultant </t>
  </si>
  <si>
    <t>Depreciation Sraight Line 7 yrs for New Depot (-)</t>
  </si>
  <si>
    <t>IMS implementation consultant</t>
  </si>
  <si>
    <t>Depreciation Sraight Line 5 yrs for New Depot (-)</t>
  </si>
  <si>
    <t>Depreciation Sraight Line 3 yrs for New Depot (-)</t>
  </si>
  <si>
    <t>Model 1 (1 depot &amp; less trucks)</t>
  </si>
  <si>
    <t>Model 2 (2 depots &amp; less trucks)</t>
  </si>
  <si>
    <t>Market Growth</t>
  </si>
  <si>
    <t>10 years NPV</t>
  </si>
  <si>
    <t>No Growth Revenue with Model 2</t>
  </si>
  <si>
    <t>Needed Growth Revenue with Model 2</t>
  </si>
  <si>
    <t>Discounted CF (20*21)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</si>
</sst>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i/>
      <u/>
      <sz val="8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8"/>
      <color theme="0" tint="-0.499984740745262"/>
      <name val="Calibri (Body)"/>
    </font>
    <font>
      <i/>
      <u/>
      <sz val="8"/>
      <color theme="1" tint="0.499984740745262"/>
      <name val="Calibri"/>
      <family val="2"/>
      <scheme val="minor"/>
    </font>
    <font>
      <i/>
      <sz val="8"/>
      <color theme="1" tint="0.499984740745262"/>
      <name val="Calibri (Body)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b/>
      <sz val="12"/>
      <color rgb="FFFF0000"/>
      <name val="Calibri (Body)"/>
    </font>
    <font>
      <b/>
      <sz val="12"/>
      <color rgb="FF00B050"/>
      <name val="Calibri (Body)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sz val="12"/>
      <color rgb="FF00B05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5" xfId="0" applyFill="1" applyBorder="1" applyAlignment="1">
      <alignment vertical="top"/>
    </xf>
    <xf numFmtId="44" fontId="0" fillId="0" borderId="0" xfId="1" applyFont="1" applyBorder="1" applyAlignment="1">
      <alignment vertical="top"/>
    </xf>
    <xf numFmtId="0" fontId="0" fillId="3" borderId="7" xfId="0" applyFill="1" applyBorder="1" applyAlignment="1">
      <alignment vertical="top"/>
    </xf>
    <xf numFmtId="44" fontId="0" fillId="0" borderId="8" xfId="1" applyFont="1" applyBorder="1" applyAlignment="1">
      <alignment vertical="top"/>
    </xf>
    <xf numFmtId="0" fontId="0" fillId="0" borderId="8" xfId="0" applyBorder="1" applyAlignment="1">
      <alignment vertical="top"/>
    </xf>
    <xf numFmtId="0" fontId="4" fillId="0" borderId="9" xfId="0" applyFont="1" applyBorder="1" applyAlignment="1">
      <alignment vertical="top" wrapText="1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44" fontId="2" fillId="0" borderId="8" xfId="1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1" xfId="0" applyFill="1" applyBorder="1" applyAlignment="1">
      <alignment horizontal="center"/>
    </xf>
    <xf numFmtId="0" fontId="6" fillId="0" borderId="9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7" fillId="2" borderId="12" xfId="0" applyFont="1" applyFill="1" applyBorder="1" applyAlignment="1">
      <alignment wrapText="1"/>
    </xf>
    <xf numFmtId="0" fontId="8" fillId="0" borderId="6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7" fillId="2" borderId="12" xfId="0" applyFont="1" applyFill="1" applyBorder="1" applyAlignment="1">
      <alignment vertical="top" wrapText="1"/>
    </xf>
    <xf numFmtId="0" fontId="9" fillId="0" borderId="6" xfId="2" applyFont="1" applyBorder="1" applyAlignment="1">
      <alignment vertical="top" wrapText="1"/>
    </xf>
    <xf numFmtId="0" fontId="0" fillId="3" borderId="2" xfId="0" applyFill="1" applyBorder="1" applyAlignment="1">
      <alignment vertical="top"/>
    </xf>
    <xf numFmtId="44" fontId="0" fillId="0" borderId="3" xfId="1" applyFont="1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7" fillId="2" borderId="4" xfId="0" applyFont="1" applyFill="1" applyBorder="1" applyAlignment="1">
      <alignment wrapText="1"/>
    </xf>
    <xf numFmtId="0" fontId="2" fillId="3" borderId="10" xfId="0" applyFont="1" applyFill="1" applyBorder="1" applyAlignment="1">
      <alignment vertical="top"/>
    </xf>
    <xf numFmtId="44" fontId="2" fillId="0" borderId="11" xfId="1" applyFont="1" applyBorder="1" applyAlignment="1">
      <alignment vertical="top"/>
    </xf>
    <xf numFmtId="0" fontId="2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44" fontId="0" fillId="0" borderId="11" xfId="1" applyFont="1" applyBorder="1" applyAlignment="1">
      <alignment vertical="top"/>
    </xf>
    <xf numFmtId="0" fontId="0" fillId="0" borderId="11" xfId="0" applyBorder="1" applyAlignment="1">
      <alignment vertical="top"/>
    </xf>
    <xf numFmtId="0" fontId="4" fillId="0" borderId="12" xfId="0" applyFont="1" applyBorder="1" applyAlignment="1">
      <alignment vertical="top" wrapText="1"/>
    </xf>
    <xf numFmtId="0" fontId="8" fillId="0" borderId="6" xfId="2" applyFont="1" applyBorder="1" applyAlignment="1">
      <alignment vertical="top" wrapText="1"/>
    </xf>
    <xf numFmtId="8" fontId="0" fillId="0" borderId="0" xfId="1" applyNumberFormat="1" applyFont="1" applyBorder="1" applyAlignment="1">
      <alignment vertical="top"/>
    </xf>
    <xf numFmtId="0" fontId="12" fillId="0" borderId="6" xfId="2" applyFont="1" applyBorder="1" applyAlignment="1">
      <alignment vertical="top" wrapText="1"/>
    </xf>
    <xf numFmtId="0" fontId="0" fillId="0" borderId="5" xfId="0" applyBorder="1"/>
    <xf numFmtId="0" fontId="0" fillId="0" borderId="0" xfId="0" applyAlignment="1">
      <alignment horizontal="center"/>
    </xf>
    <xf numFmtId="4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5" xfId="0" applyFill="1" applyBorder="1"/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1" fillId="0" borderId="0" xfId="1" applyFont="1" applyBorder="1" applyAlignment="1">
      <alignment horizontal="center"/>
    </xf>
    <xf numFmtId="44" fontId="1" fillId="0" borderId="6" xfId="1" applyFont="1" applyBorder="1" applyAlignment="1">
      <alignment horizontal="center"/>
    </xf>
    <xf numFmtId="0" fontId="2" fillId="0" borderId="8" xfId="0" applyFont="1" applyBorder="1"/>
    <xf numFmtId="44" fontId="15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/>
    <xf numFmtId="43" fontId="0" fillId="0" borderId="0" xfId="3" applyFont="1" applyBorder="1"/>
    <xf numFmtId="44" fontId="2" fillId="0" borderId="0" xfId="0" applyNumberFormat="1" applyFont="1" applyAlignment="1">
      <alignment horizontal="center"/>
    </xf>
    <xf numFmtId="44" fontId="15" fillId="0" borderId="4" xfId="0" applyNumberFormat="1" applyFont="1" applyBorder="1" applyAlignment="1">
      <alignment horizontal="center"/>
    </xf>
    <xf numFmtId="44" fontId="15" fillId="0" borderId="6" xfId="0" applyNumberFormat="1" applyFont="1" applyBorder="1" applyAlignment="1">
      <alignment horizontal="center"/>
    </xf>
    <xf numFmtId="10" fontId="0" fillId="0" borderId="6" xfId="0" applyNumberFormat="1" applyBorder="1"/>
    <xf numFmtId="43" fontId="0" fillId="0" borderId="9" xfId="3" applyFont="1" applyBorder="1"/>
    <xf numFmtId="0" fontId="8" fillId="0" borderId="4" xfId="0" applyFont="1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16" fillId="0" borderId="4" xfId="2" applyFont="1" applyBorder="1" applyAlignment="1">
      <alignment vertical="top" wrapText="1"/>
    </xf>
    <xf numFmtId="8" fontId="0" fillId="0" borderId="3" xfId="1" applyNumberFormat="1" applyFont="1" applyBorder="1" applyAlignment="1">
      <alignment vertical="top"/>
    </xf>
    <xf numFmtId="8" fontId="0" fillId="0" borderId="8" xfId="1" applyNumberFormat="1" applyFont="1" applyBorder="1" applyAlignment="1">
      <alignment vertical="top"/>
    </xf>
    <xf numFmtId="0" fontId="0" fillId="5" borderId="5" xfId="0" applyFill="1" applyBorder="1"/>
    <xf numFmtId="0" fontId="2" fillId="5" borderId="10" xfId="0" applyFont="1" applyFill="1" applyBorder="1"/>
    <xf numFmtId="0" fontId="0" fillId="2" borderId="12" xfId="0" applyFill="1" applyBorder="1" applyAlignment="1">
      <alignment horizontal="center"/>
    </xf>
    <xf numFmtId="0" fontId="0" fillId="5" borderId="14" xfId="0" applyFill="1" applyBorder="1"/>
    <xf numFmtId="44" fontId="15" fillId="0" borderId="11" xfId="1" applyFont="1" applyBorder="1" applyAlignment="1">
      <alignment vertical="top"/>
    </xf>
    <xf numFmtId="8" fontId="2" fillId="0" borderId="11" xfId="1" applyNumberFormat="1" applyFont="1" applyBorder="1" applyAlignment="1">
      <alignment vertical="top"/>
    </xf>
    <xf numFmtId="0" fontId="19" fillId="0" borderId="0" xfId="0" applyFont="1"/>
    <xf numFmtId="0" fontId="19" fillId="0" borderId="0" xfId="0" applyFont="1" applyAlignment="1">
      <alignment wrapText="1"/>
    </xf>
    <xf numFmtId="0" fontId="20" fillId="2" borderId="17" xfId="0" applyFont="1" applyFill="1" applyBorder="1"/>
    <xf numFmtId="0" fontId="20" fillId="2" borderId="17" xfId="0" applyFont="1" applyFill="1" applyBorder="1" applyAlignment="1">
      <alignment wrapText="1"/>
    </xf>
    <xf numFmtId="8" fontId="10" fillId="0" borderId="0" xfId="0" applyNumberFormat="1" applyFont="1" applyBorder="1"/>
    <xf numFmtId="8" fontId="10" fillId="0" borderId="6" xfId="0" applyNumberFormat="1" applyFont="1" applyBorder="1"/>
    <xf numFmtId="44" fontId="14" fillId="0" borderId="15" xfId="0" applyNumberFormat="1" applyFont="1" applyBorder="1"/>
    <xf numFmtId="44" fontId="14" fillId="0" borderId="16" xfId="0" applyNumberFormat="1" applyFont="1" applyBorder="1"/>
    <xf numFmtId="0" fontId="8" fillId="0" borderId="0" xfId="0" quotePrefix="1" applyFont="1"/>
    <xf numFmtId="44" fontId="14" fillId="0" borderId="6" xfId="0" applyNumberFormat="1" applyFont="1" applyBorder="1"/>
    <xf numFmtId="0" fontId="8" fillId="0" borderId="11" xfId="0" quotePrefix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/>
    </xf>
    <xf numFmtId="0" fontId="25" fillId="0" borderId="13" xfId="0" applyFont="1" applyBorder="1" applyAlignment="1">
      <alignment horizontal="justify" vertical="center" wrapText="1"/>
    </xf>
    <xf numFmtId="0" fontId="25" fillId="0" borderId="13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9" fillId="0" borderId="0" xfId="2" applyFont="1" applyBorder="1" applyAlignment="1">
      <alignment vertical="top" wrapText="1"/>
    </xf>
    <xf numFmtId="0" fontId="8" fillId="0" borderId="0" xfId="2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0" fillId="0" borderId="0" xfId="0" applyBorder="1"/>
    <xf numFmtId="0" fontId="0" fillId="0" borderId="5" xfId="0" applyFill="1" applyBorder="1"/>
    <xf numFmtId="44" fontId="0" fillId="0" borderId="0" xfId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6" xfId="1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44" fontId="27" fillId="0" borderId="0" xfId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44" fontId="10" fillId="0" borderId="0" xfId="0" applyNumberFormat="1" applyFont="1" applyBorder="1" applyAlignment="1">
      <alignment horizontal="center"/>
    </xf>
    <xf numFmtId="44" fontId="14" fillId="0" borderId="0" xfId="0" applyNumberFormat="1" applyFont="1" applyBorder="1" applyAlignment="1">
      <alignment horizontal="center"/>
    </xf>
    <xf numFmtId="44" fontId="14" fillId="0" borderId="6" xfId="0" applyNumberFormat="1" applyFont="1" applyBorder="1" applyAlignment="1">
      <alignment horizontal="center"/>
    </xf>
    <xf numFmtId="0" fontId="28" fillId="0" borderId="0" xfId="0" applyFont="1"/>
    <xf numFmtId="0" fontId="0" fillId="5" borderId="7" xfId="0" applyFill="1" applyBorder="1"/>
    <xf numFmtId="0" fontId="0" fillId="2" borderId="4" xfId="0" applyFill="1" applyBorder="1" applyAlignment="1">
      <alignment horizontal="center"/>
    </xf>
    <xf numFmtId="170" fontId="0" fillId="0" borderId="0" xfId="0" applyNumberFormat="1" applyBorder="1"/>
    <xf numFmtId="170" fontId="0" fillId="0" borderId="6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0" fontId="0" fillId="2" borderId="19" xfId="0" applyFill="1" applyBorder="1"/>
    <xf numFmtId="9" fontId="0" fillId="0" borderId="20" xfId="4" applyFont="1" applyBorder="1" applyAlignment="1">
      <alignment horizontal="center"/>
    </xf>
    <xf numFmtId="0" fontId="28" fillId="0" borderId="0" xfId="0" applyFont="1" applyBorder="1"/>
    <xf numFmtId="44" fontId="0" fillId="0" borderId="0" xfId="0" applyNumberFormat="1" applyFill="1" applyBorder="1"/>
    <xf numFmtId="44" fontId="0" fillId="0" borderId="8" xfId="0" applyNumberFormat="1" applyFill="1" applyBorder="1"/>
    <xf numFmtId="10" fontId="0" fillId="0" borderId="0" xfId="4" applyNumberFormat="1" applyFont="1" applyFill="1" applyBorder="1"/>
    <xf numFmtId="10" fontId="0" fillId="0" borderId="6" xfId="4" applyNumberFormat="1" applyFont="1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44" fontId="0" fillId="0" borderId="0" xfId="0" applyNumberForma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44" fontId="1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4" fontId="0" fillId="0" borderId="0" xfId="0" applyNumberFormat="1" applyFill="1" applyAlignment="1">
      <alignment horizontal="center"/>
    </xf>
  </cellXfs>
  <cellStyles count="5">
    <cellStyle name="Comma" xfId="3" builtinId="3"/>
    <cellStyle name="Currency" xfId="1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hopping/product/1?q=2010+53-foot+trailer+for+sale&amp;prds=epd:3627066896752318242,eto:3627066896752318242_0,pid:3627066896752318242,prmr:1&amp;sa=X&amp;ved=0ahUKEwiC7qeWiYfvAhXC6Z4KHVDNCywQ9pwGC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yder.com/used-trucks/inventory/north-dakota/fargo/truck/box-trucks/2015/freightliner/m2-106/350152/" TargetMode="External"/><Relationship Id="rId2" Type="http://schemas.openxmlformats.org/officeDocument/2006/relationships/hyperlink" Target="https://www.bluelinkerp.com/blog/2012/11/22/how-much-does-inventory-and-accounting-erp-software-cost/" TargetMode="External"/><Relationship Id="rId1" Type="http://schemas.openxmlformats.org/officeDocument/2006/relationships/hyperlink" Target="https://www.google.com/shopping/product/1?q=2010+53-foot+trailer+for+sale&amp;prds=epd:3627066896752318242,eto:3627066896752318242_0,pid:3627066896752318242,prmr:1&amp;sa=X&amp;ved=0ahUKEwiC7qeWiYfvAhXC6Z4KHVDNCywQ9pwGCAU" TargetMode="External"/><Relationship Id="rId4" Type="http://schemas.openxmlformats.org/officeDocument/2006/relationships/hyperlink" Target="https://www.ziprecruiter.com/Salaries/Warehouse-Operations-Manager-Sal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F995-E373-FA4D-8418-A96CEAE1CDB1}">
  <dimension ref="B1:F22"/>
  <sheetViews>
    <sheetView showGridLines="0" zoomScale="200" zoomScaleNormal="200" workbookViewId="0">
      <selection activeCell="C22" sqref="C22"/>
    </sheetView>
  </sheetViews>
  <sheetFormatPr baseColWidth="10" defaultRowHeight="16" x14ac:dyDescent="0.2"/>
  <cols>
    <col min="1" max="1" width="1.5" customWidth="1"/>
    <col min="2" max="2" width="19.83203125" bestFit="1" customWidth="1"/>
    <col min="3" max="3" width="11.5" bestFit="1" customWidth="1"/>
    <col min="4" max="4" width="5.83203125" bestFit="1" customWidth="1"/>
    <col min="5" max="5" width="12.5" bestFit="1" customWidth="1"/>
    <col min="6" max="6" width="46.1640625" style="1" customWidth="1"/>
  </cols>
  <sheetData>
    <row r="1" spans="2:6" ht="6" customHeight="1" thickBot="1" x14ac:dyDescent="0.25"/>
    <row r="2" spans="2:6" ht="17" thickBot="1" x14ac:dyDescent="0.25">
      <c r="B2" s="2" t="s">
        <v>5</v>
      </c>
    </row>
    <row r="3" spans="2:6" ht="18" thickBot="1" x14ac:dyDescent="0.25">
      <c r="B3" s="3" t="s">
        <v>0</v>
      </c>
      <c r="C3" s="4" t="s">
        <v>1</v>
      </c>
      <c r="D3" s="23" t="s">
        <v>17</v>
      </c>
      <c r="E3" s="4" t="s">
        <v>2</v>
      </c>
      <c r="F3" s="26" t="s">
        <v>3</v>
      </c>
    </row>
    <row r="4" spans="2:6" ht="17" x14ac:dyDescent="0.2">
      <c r="B4" s="31" t="s">
        <v>4</v>
      </c>
      <c r="C4" s="32">
        <v>445</v>
      </c>
      <c r="D4" s="33" t="s">
        <v>16</v>
      </c>
      <c r="E4" s="32">
        <f>355*445</f>
        <v>157975</v>
      </c>
      <c r="F4" s="34" t="s">
        <v>13</v>
      </c>
    </row>
    <row r="5" spans="2:6" ht="36" x14ac:dyDescent="0.2">
      <c r="B5" s="5" t="s">
        <v>9</v>
      </c>
      <c r="C5" s="6">
        <v>6500</v>
      </c>
      <c r="D5" s="17">
        <v>2</v>
      </c>
      <c r="E5" s="6">
        <f>C5*D5</f>
        <v>13000</v>
      </c>
      <c r="F5" s="27" t="s">
        <v>10</v>
      </c>
    </row>
    <row r="6" spans="2:6" ht="36" x14ac:dyDescent="0.2">
      <c r="B6" s="5" t="s">
        <v>12</v>
      </c>
      <c r="C6" s="6">
        <v>15000</v>
      </c>
      <c r="D6" s="17">
        <v>2</v>
      </c>
      <c r="E6" s="6">
        <f>D6*C6</f>
        <v>30000</v>
      </c>
      <c r="F6" s="27" t="s">
        <v>10</v>
      </c>
    </row>
    <row r="7" spans="2:6" ht="25" thickBot="1" x14ac:dyDescent="0.25">
      <c r="B7" s="7" t="s">
        <v>18</v>
      </c>
      <c r="C7" s="8">
        <v>61625</v>
      </c>
      <c r="D7" s="18">
        <v>1</v>
      </c>
      <c r="E7" s="8">
        <f>D7*C7</f>
        <v>61625</v>
      </c>
      <c r="F7" s="28" t="s">
        <v>19</v>
      </c>
    </row>
    <row r="8" spans="2:6" ht="17" thickBot="1" x14ac:dyDescent="0.25">
      <c r="B8" s="15" t="s">
        <v>14</v>
      </c>
      <c r="C8" s="16"/>
      <c r="D8" s="19"/>
      <c r="E8" s="16">
        <f>SUM(E4:E7)</f>
        <v>262600</v>
      </c>
      <c r="F8" s="24"/>
    </row>
    <row r="9" spans="2:6" ht="17" thickBot="1" x14ac:dyDescent="0.25">
      <c r="B9" s="11"/>
      <c r="C9" s="11"/>
      <c r="D9" s="20"/>
      <c r="E9" s="11"/>
      <c r="F9" s="25"/>
    </row>
    <row r="10" spans="2:6" ht="17" thickBot="1" x14ac:dyDescent="0.25">
      <c r="B10" s="12" t="s">
        <v>6</v>
      </c>
      <c r="C10" s="11"/>
      <c r="D10" s="21"/>
      <c r="E10" s="11"/>
      <c r="F10" s="25"/>
    </row>
    <row r="11" spans="2:6" ht="18" thickBot="1" x14ac:dyDescent="0.25">
      <c r="B11" s="13" t="s">
        <v>0</v>
      </c>
      <c r="C11" s="14" t="s">
        <v>1</v>
      </c>
      <c r="D11" s="22" t="s">
        <v>17</v>
      </c>
      <c r="E11" s="14" t="s">
        <v>2</v>
      </c>
      <c r="F11" s="29" t="s">
        <v>3</v>
      </c>
    </row>
    <row r="12" spans="2:6" ht="48" x14ac:dyDescent="0.2">
      <c r="B12" s="5" t="s">
        <v>8</v>
      </c>
      <c r="C12" s="6">
        <v>7900</v>
      </c>
      <c r="D12" s="17">
        <v>3</v>
      </c>
      <c r="E12" s="6">
        <f>C12*D12</f>
        <v>23700</v>
      </c>
      <c r="F12" s="30" t="s">
        <v>7</v>
      </c>
    </row>
    <row r="13" spans="2:6" ht="25" thickBot="1" x14ac:dyDescent="0.25">
      <c r="B13" s="7" t="s">
        <v>15</v>
      </c>
      <c r="C13" s="8">
        <v>50000</v>
      </c>
      <c r="D13" s="18">
        <v>2</v>
      </c>
      <c r="E13" s="8">
        <f>D13*C13</f>
        <v>100000</v>
      </c>
      <c r="F13" s="28" t="s">
        <v>11</v>
      </c>
    </row>
    <row r="14" spans="2:6" ht="17" thickBot="1" x14ac:dyDescent="0.25">
      <c r="B14" s="15" t="s">
        <v>14</v>
      </c>
      <c r="C14" s="8"/>
      <c r="D14" s="9"/>
      <c r="E14" s="16">
        <f>SUM(E12:E13)</f>
        <v>123700</v>
      </c>
      <c r="F14" s="10"/>
    </row>
    <row r="22" spans="3:3" x14ac:dyDescent="0.2">
      <c r="C22" t="s">
        <v>73</v>
      </c>
    </row>
  </sheetData>
  <hyperlinks>
    <hyperlink ref="F12" r:id="rId1" xr:uid="{8A3E4447-DCEE-E449-BAED-8F3C173C18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C20E-4739-A444-A27F-5A279CE731C6}">
  <dimension ref="B1:L50"/>
  <sheetViews>
    <sheetView showGridLines="0" zoomScale="160" zoomScaleNormal="160" workbookViewId="0">
      <selection activeCell="L44" sqref="L44"/>
    </sheetView>
  </sheetViews>
  <sheetFormatPr baseColWidth="10" defaultRowHeight="16" x14ac:dyDescent="0.2"/>
  <cols>
    <col min="1" max="1" width="1.5" customWidth="1"/>
    <col min="2" max="2" width="37.5" bestFit="1" customWidth="1"/>
    <col min="3" max="3" width="13.1640625" bestFit="1" customWidth="1"/>
    <col min="4" max="4" width="5.83203125" bestFit="1" customWidth="1"/>
    <col min="5" max="5" width="15.33203125" bestFit="1" customWidth="1"/>
    <col min="6" max="6" width="46.1640625" style="1" customWidth="1"/>
    <col min="7" max="7" width="3" customWidth="1"/>
    <col min="8" max="8" width="8.6640625" bestFit="1" customWidth="1"/>
    <col min="9" max="10" width="12.5" bestFit="1" customWidth="1"/>
    <col min="12" max="12" width="84.1640625" bestFit="1" customWidth="1"/>
  </cols>
  <sheetData>
    <row r="1" spans="2:6" ht="17" thickBot="1" x14ac:dyDescent="0.25"/>
    <row r="2" spans="2:6" ht="17" thickBot="1" x14ac:dyDescent="0.25">
      <c r="B2" s="2" t="s">
        <v>57</v>
      </c>
    </row>
    <row r="3" spans="2:6" ht="18" thickBot="1" x14ac:dyDescent="0.25">
      <c r="B3" s="35" t="s">
        <v>0</v>
      </c>
      <c r="C3" s="36" t="s">
        <v>1</v>
      </c>
      <c r="D3" s="37" t="s">
        <v>17</v>
      </c>
      <c r="E3" s="36" t="s">
        <v>2</v>
      </c>
      <c r="F3" s="38" t="s">
        <v>3</v>
      </c>
    </row>
    <row r="4" spans="2:6" x14ac:dyDescent="0.2">
      <c r="B4" s="31" t="s">
        <v>4</v>
      </c>
      <c r="C4" s="32">
        <f>3966.64-3435.03</f>
        <v>531.60999999999967</v>
      </c>
      <c r="D4" s="33" t="s">
        <v>16</v>
      </c>
      <c r="E4" s="32">
        <f>C4*355</f>
        <v>188721.54999999987</v>
      </c>
      <c r="F4" s="81" t="s">
        <v>53</v>
      </c>
    </row>
    <row r="5" spans="2:6" ht="36" x14ac:dyDescent="0.2">
      <c r="B5" s="5" t="s">
        <v>9</v>
      </c>
      <c r="C5" s="6">
        <v>6500</v>
      </c>
      <c r="D5" s="17">
        <v>2</v>
      </c>
      <c r="E5" s="6">
        <f>C5*D5</f>
        <v>13000</v>
      </c>
      <c r="F5" s="27" t="s">
        <v>10</v>
      </c>
    </row>
    <row r="6" spans="2:6" ht="36" x14ac:dyDescent="0.2">
      <c r="B6" s="5" t="s">
        <v>12</v>
      </c>
      <c r="C6" s="6">
        <v>15000</v>
      </c>
      <c r="D6" s="17">
        <v>2</v>
      </c>
      <c r="E6" s="6">
        <f>D6*C6</f>
        <v>30000</v>
      </c>
      <c r="F6" s="27" t="s">
        <v>10</v>
      </c>
    </row>
    <row r="7" spans="2:6" ht="24" x14ac:dyDescent="0.2">
      <c r="B7" s="5" t="s">
        <v>48</v>
      </c>
      <c r="C7" s="6">
        <v>61625</v>
      </c>
      <c r="D7" s="17">
        <v>1</v>
      </c>
      <c r="E7" s="6">
        <f>D7*C7</f>
        <v>61625</v>
      </c>
      <c r="F7" s="27" t="s">
        <v>19</v>
      </c>
    </row>
    <row r="8" spans="2:6" ht="35" thickBot="1" x14ac:dyDescent="0.25">
      <c r="B8" s="44" t="s">
        <v>49</v>
      </c>
      <c r="C8" s="6">
        <v>61625</v>
      </c>
      <c r="D8" s="17">
        <v>0.5</v>
      </c>
      <c r="E8" s="6">
        <f>D8*C8</f>
        <v>30812.5</v>
      </c>
      <c r="F8" s="27" t="s">
        <v>19</v>
      </c>
    </row>
    <row r="9" spans="2:6" ht="17" thickBot="1" x14ac:dyDescent="0.25">
      <c r="B9" s="39" t="s">
        <v>14</v>
      </c>
      <c r="C9" s="40"/>
      <c r="D9" s="41"/>
      <c r="E9" s="90">
        <f>SUM(E4:E8)</f>
        <v>324159.04999999987</v>
      </c>
      <c r="F9" s="42"/>
    </row>
    <row r="10" spans="2:6" ht="17" thickBot="1" x14ac:dyDescent="0.25">
      <c r="B10" s="11"/>
      <c r="C10" s="11"/>
      <c r="D10" s="20"/>
      <c r="E10" s="11"/>
      <c r="F10" s="25"/>
    </row>
    <row r="11" spans="2:6" ht="17" thickBot="1" x14ac:dyDescent="0.25">
      <c r="B11" s="2" t="s">
        <v>55</v>
      </c>
    </row>
    <row r="12" spans="2:6" ht="18" thickBot="1" x14ac:dyDescent="0.25">
      <c r="B12" s="35" t="s">
        <v>0</v>
      </c>
      <c r="C12" s="36" t="s">
        <v>1</v>
      </c>
      <c r="D12" s="37" t="s">
        <v>17</v>
      </c>
      <c r="E12" s="36" t="s">
        <v>2</v>
      </c>
      <c r="F12" s="38" t="s">
        <v>3</v>
      </c>
    </row>
    <row r="13" spans="2:6" ht="36" x14ac:dyDescent="0.2">
      <c r="B13" s="31" t="s">
        <v>51</v>
      </c>
      <c r="C13" s="84">
        <v>-65000</v>
      </c>
      <c r="D13" s="82">
        <v>1</v>
      </c>
      <c r="E13" s="84">
        <f>C13*D13</f>
        <v>-65000</v>
      </c>
      <c r="F13" s="83" t="s">
        <v>43</v>
      </c>
    </row>
    <row r="14" spans="2:6" ht="24" x14ac:dyDescent="0.2">
      <c r="B14" s="5" t="s">
        <v>41</v>
      </c>
      <c r="C14" s="49">
        <v>-60816</v>
      </c>
      <c r="D14" s="17">
        <v>1</v>
      </c>
      <c r="E14" s="49">
        <f>C14*D14</f>
        <v>-60816</v>
      </c>
      <c r="F14" s="27" t="s">
        <v>44</v>
      </c>
    </row>
    <row r="15" spans="2:6" ht="35" thickBot="1" x14ac:dyDescent="0.25">
      <c r="B15" s="43" t="s">
        <v>50</v>
      </c>
      <c r="C15" s="85">
        <v>-60816</v>
      </c>
      <c r="D15" s="18">
        <v>0.5</v>
      </c>
      <c r="E15" s="85">
        <f>D15*C15</f>
        <v>-30408</v>
      </c>
      <c r="F15" s="28" t="s">
        <v>42</v>
      </c>
    </row>
    <row r="16" spans="2:6" ht="17" thickBot="1" x14ac:dyDescent="0.25">
      <c r="B16" s="39" t="s">
        <v>14</v>
      </c>
      <c r="C16" s="40"/>
      <c r="D16" s="41"/>
      <c r="E16" s="91">
        <f>SUM(E13:E15)</f>
        <v>-156224</v>
      </c>
      <c r="F16" s="42"/>
    </row>
    <row r="17" spans="2:6" ht="17" thickBot="1" x14ac:dyDescent="0.25">
      <c r="B17" s="11"/>
      <c r="C17" s="11"/>
      <c r="D17" s="20"/>
      <c r="E17" s="11"/>
      <c r="F17" s="25"/>
    </row>
    <row r="18" spans="2:6" ht="17" thickBot="1" x14ac:dyDescent="0.25">
      <c r="B18" s="12" t="s">
        <v>58</v>
      </c>
      <c r="C18" s="11"/>
      <c r="D18" s="21"/>
      <c r="E18" s="11"/>
      <c r="F18" s="25"/>
    </row>
    <row r="19" spans="2:6" ht="18" thickBot="1" x14ac:dyDescent="0.25">
      <c r="B19" s="13" t="s">
        <v>0</v>
      </c>
      <c r="C19" s="14" t="s">
        <v>1</v>
      </c>
      <c r="D19" s="22" t="s">
        <v>17</v>
      </c>
      <c r="E19" s="14" t="s">
        <v>2</v>
      </c>
      <c r="F19" s="29" t="s">
        <v>3</v>
      </c>
    </row>
    <row r="20" spans="2:6" ht="48" x14ac:dyDescent="0.2">
      <c r="B20" s="5" t="s">
        <v>8</v>
      </c>
      <c r="C20" s="6">
        <v>7900</v>
      </c>
      <c r="D20" s="17">
        <v>3</v>
      </c>
      <c r="E20" s="6">
        <f>C20*D20</f>
        <v>23700</v>
      </c>
      <c r="F20" s="30" t="s">
        <v>7</v>
      </c>
    </row>
    <row r="21" spans="2:6" ht="49" thickBot="1" x14ac:dyDescent="0.25">
      <c r="B21" s="5" t="s">
        <v>15</v>
      </c>
      <c r="C21" s="6">
        <v>50000</v>
      </c>
      <c r="D21" s="17">
        <v>2</v>
      </c>
      <c r="E21" s="6">
        <f>D21*C21</f>
        <v>100000</v>
      </c>
      <c r="F21" s="50" t="s">
        <v>25</v>
      </c>
    </row>
    <row r="22" spans="2:6" ht="17" thickBot="1" x14ac:dyDescent="0.25">
      <c r="B22" s="39" t="s">
        <v>14</v>
      </c>
      <c r="C22" s="45"/>
      <c r="D22" s="46"/>
      <c r="E22" s="90">
        <f>SUM(E20:E21)</f>
        <v>123700</v>
      </c>
      <c r="F22" s="47"/>
    </row>
    <row r="23" spans="2:6" ht="17" thickBot="1" x14ac:dyDescent="0.25"/>
    <row r="24" spans="2:6" ht="17" thickBot="1" x14ac:dyDescent="0.25">
      <c r="B24" s="12" t="s">
        <v>56</v>
      </c>
      <c r="C24" s="11"/>
      <c r="D24" s="21"/>
      <c r="E24" s="11"/>
      <c r="F24" s="25"/>
    </row>
    <row r="25" spans="2:6" ht="18" thickBot="1" x14ac:dyDescent="0.25">
      <c r="B25" s="13" t="s">
        <v>0</v>
      </c>
      <c r="C25" s="14" t="s">
        <v>1</v>
      </c>
      <c r="D25" s="22" t="s">
        <v>17</v>
      </c>
      <c r="E25" s="14" t="s">
        <v>2</v>
      </c>
      <c r="F25" s="29" t="s">
        <v>3</v>
      </c>
    </row>
    <row r="26" spans="2:6" ht="24" x14ac:dyDescent="0.2">
      <c r="B26" s="5" t="s">
        <v>20</v>
      </c>
      <c r="C26" s="49">
        <v>-332626</v>
      </c>
      <c r="D26" s="17">
        <v>1</v>
      </c>
      <c r="E26" s="49">
        <f>C26*D26</f>
        <v>-332626</v>
      </c>
      <c r="F26" s="30" t="s">
        <v>26</v>
      </c>
    </row>
    <row r="27" spans="2:6" ht="34" x14ac:dyDescent="0.2">
      <c r="B27" s="44" t="s">
        <v>54</v>
      </c>
      <c r="C27" s="49">
        <v>-80</v>
      </c>
      <c r="D27" s="17">
        <f>14*50</f>
        <v>700</v>
      </c>
      <c r="E27" s="49">
        <f>C27*D27</f>
        <v>-56000</v>
      </c>
      <c r="F27" s="48" t="s">
        <v>52</v>
      </c>
    </row>
    <row r="28" spans="2:6" ht="48" x14ac:dyDescent="0.2">
      <c r="B28" s="5" t="s">
        <v>21</v>
      </c>
      <c r="C28" s="49">
        <v>-5000</v>
      </c>
      <c r="D28" s="17">
        <v>2</v>
      </c>
      <c r="E28" s="49">
        <f>C28*D28</f>
        <v>-10000</v>
      </c>
      <c r="F28" s="27" t="s">
        <v>22</v>
      </c>
    </row>
    <row r="29" spans="2:6" ht="37" thickBot="1" x14ac:dyDescent="0.25">
      <c r="B29" s="44" t="s">
        <v>23</v>
      </c>
      <c r="C29" s="49">
        <v>-125</v>
      </c>
      <c r="D29" s="17">
        <v>400</v>
      </c>
      <c r="E29" s="49">
        <f>D29*C29</f>
        <v>-50000</v>
      </c>
      <c r="F29" s="27" t="s">
        <v>27</v>
      </c>
    </row>
    <row r="30" spans="2:6" ht="17" thickBot="1" x14ac:dyDescent="0.25">
      <c r="B30" s="39" t="s">
        <v>14</v>
      </c>
      <c r="C30" s="45"/>
      <c r="D30" s="46"/>
      <c r="E30" s="91">
        <f>SUM(E26:E29)</f>
        <v>-448626</v>
      </c>
      <c r="F30" s="47"/>
    </row>
    <row r="32" spans="2:6" ht="17" thickBot="1" x14ac:dyDescent="0.25"/>
    <row r="33" spans="8:12" ht="17" thickBot="1" x14ac:dyDescent="0.25">
      <c r="H33" s="3"/>
      <c r="I33" s="23" t="s">
        <v>61</v>
      </c>
      <c r="J33" s="88" t="s">
        <v>62</v>
      </c>
    </row>
    <row r="34" spans="8:12" x14ac:dyDescent="0.2">
      <c r="H34" s="86" t="s">
        <v>45</v>
      </c>
      <c r="I34" s="96">
        <f>E30</f>
        <v>-448626</v>
      </c>
      <c r="J34" s="97">
        <f>E16</f>
        <v>-156224</v>
      </c>
    </row>
    <row r="35" spans="8:12" x14ac:dyDescent="0.2">
      <c r="H35" s="89" t="s">
        <v>46</v>
      </c>
      <c r="I35" s="98">
        <f>E22</f>
        <v>123700</v>
      </c>
      <c r="J35" s="99">
        <f>E9</f>
        <v>324159.04999999987</v>
      </c>
    </row>
    <row r="36" spans="8:12" ht="17" thickBot="1" x14ac:dyDescent="0.25">
      <c r="H36" s="86" t="s">
        <v>14</v>
      </c>
      <c r="I36" s="96">
        <f>SUM(I34:I35)</f>
        <v>-324926</v>
      </c>
      <c r="J36" s="101">
        <f>SUM(J34:J35)</f>
        <v>167935.04999999987</v>
      </c>
    </row>
    <row r="37" spans="8:12" ht="25" thickBot="1" x14ac:dyDescent="0.25">
      <c r="H37" s="87" t="s">
        <v>47</v>
      </c>
      <c r="I37" s="102" t="s">
        <v>63</v>
      </c>
      <c r="J37" s="103">
        <f>(ABS(I36/J36))</f>
        <v>1.9348313529546111</v>
      </c>
      <c r="K37" s="100"/>
      <c r="L37" s="92"/>
    </row>
    <row r="38" spans="8:12" ht="17" thickBot="1" x14ac:dyDescent="0.25">
      <c r="L38" s="92"/>
    </row>
    <row r="39" spans="8:12" x14ac:dyDescent="0.2">
      <c r="L39" s="94" t="s">
        <v>59</v>
      </c>
    </row>
    <row r="40" spans="8:12" ht="34" x14ac:dyDescent="0.2">
      <c r="L40" s="105" t="s">
        <v>64</v>
      </c>
    </row>
    <row r="41" spans="8:12" ht="34" x14ac:dyDescent="0.2">
      <c r="L41" s="105" t="s">
        <v>72</v>
      </c>
    </row>
    <row r="42" spans="8:12" ht="34" customHeight="1" x14ac:dyDescent="0.2">
      <c r="L42" s="105" t="s">
        <v>65</v>
      </c>
    </row>
    <row r="43" spans="8:12" ht="34" x14ac:dyDescent="0.2">
      <c r="L43" s="105" t="s">
        <v>66</v>
      </c>
    </row>
    <row r="44" spans="8:12" ht="35" thickBot="1" x14ac:dyDescent="0.25">
      <c r="L44" s="106" t="s">
        <v>67</v>
      </c>
    </row>
    <row r="45" spans="8:12" ht="17" thickBot="1" x14ac:dyDescent="0.25">
      <c r="L45" s="93"/>
    </row>
    <row r="46" spans="8:12" ht="17" x14ac:dyDescent="0.2">
      <c r="L46" s="95" t="s">
        <v>60</v>
      </c>
    </row>
    <row r="47" spans="8:12" ht="34" x14ac:dyDescent="0.2">
      <c r="L47" s="104" t="s">
        <v>68</v>
      </c>
    </row>
    <row r="48" spans="8:12" ht="51" x14ac:dyDescent="0.2">
      <c r="L48" s="105" t="s">
        <v>69</v>
      </c>
    </row>
    <row r="49" spans="12:12" ht="34" x14ac:dyDescent="0.2">
      <c r="L49" s="105" t="s">
        <v>70</v>
      </c>
    </row>
    <row r="50" spans="12:12" ht="86" thickBot="1" x14ac:dyDescent="0.25">
      <c r="L50" s="106" t="s">
        <v>71</v>
      </c>
    </row>
  </sheetData>
  <hyperlinks>
    <hyperlink ref="F20" r:id="rId1" xr:uid="{D85DBFAE-997E-EF48-BBEB-8CA047213DED}"/>
    <hyperlink ref="F28" r:id="rId2" location=":~:text=These%20different%20systems%20can%20range,serving%20markets%20around%20the%20world." xr:uid="{B572C184-537E-4B48-B3EF-DA1959F793A8}"/>
    <hyperlink ref="F21" r:id="rId3" display="https://ryder.com/used-trucks/inventory/north-dakota/fargo/truck/box-trucks/2015/freightliner/m2-106/350152/" xr:uid="{1DA07D54-868D-0D4A-919D-5EE78E086E01}"/>
    <hyperlink ref="F13" r:id="rId4" display="https://www.ziprecruiter.com/Salaries/Warehouse-Operations-Manager-Salary" xr:uid="{7086B43A-FB68-CF49-A099-2F34D6BD4D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18C7-EA26-8441-9857-E8E168E20954}">
  <dimension ref="C1:AF48"/>
  <sheetViews>
    <sheetView zoomScaleNormal="100" workbookViewId="0">
      <selection activeCell="R35" sqref="R35"/>
    </sheetView>
  </sheetViews>
  <sheetFormatPr baseColWidth="10" defaultRowHeight="16" x14ac:dyDescent="0.2"/>
  <cols>
    <col min="1" max="1" width="3.1640625" bestFit="1" customWidth="1"/>
    <col min="2" max="2" width="4.1640625" customWidth="1"/>
    <col min="3" max="3" width="4.1640625" bestFit="1" customWidth="1"/>
    <col min="4" max="4" width="41.83203125" bestFit="1" customWidth="1"/>
    <col min="5" max="5" width="14" bestFit="1" customWidth="1"/>
    <col min="6" max="6" width="13.1640625" bestFit="1" customWidth="1"/>
    <col min="7" max="11" width="12.5" bestFit="1" customWidth="1"/>
    <col min="12" max="12" width="14" bestFit="1" customWidth="1"/>
    <col min="13" max="15" width="14" customWidth="1"/>
    <col min="16" max="16" width="10.1640625" customWidth="1"/>
    <col min="17" max="17" width="4.1640625" style="110" bestFit="1" customWidth="1"/>
    <col min="18" max="18" width="41.83203125" bestFit="1" customWidth="1"/>
    <col min="19" max="19" width="13.1640625" bestFit="1" customWidth="1"/>
    <col min="20" max="24" width="12.5" bestFit="1" customWidth="1"/>
    <col min="25" max="25" width="14" bestFit="1" customWidth="1"/>
    <col min="26" max="29" width="14" customWidth="1"/>
    <col min="32" max="32" width="13.6640625" bestFit="1" customWidth="1"/>
  </cols>
  <sheetData>
    <row r="1" spans="3:32" ht="17" thickBot="1" x14ac:dyDescent="0.25"/>
    <row r="2" spans="3:32" x14ac:dyDescent="0.2">
      <c r="C2" s="55"/>
      <c r="D2" s="56"/>
      <c r="E2" s="57">
        <v>0</v>
      </c>
      <c r="F2" s="57">
        <v>1</v>
      </c>
      <c r="G2" s="57">
        <v>2</v>
      </c>
      <c r="H2" s="57">
        <v>3</v>
      </c>
      <c r="I2" s="57">
        <v>4</v>
      </c>
      <c r="J2" s="57">
        <v>5</v>
      </c>
      <c r="K2" s="57">
        <v>6</v>
      </c>
      <c r="L2" s="57">
        <v>7</v>
      </c>
      <c r="M2" s="57">
        <v>8</v>
      </c>
      <c r="N2" s="57">
        <v>9</v>
      </c>
      <c r="O2" s="58">
        <v>10</v>
      </c>
      <c r="Q2" s="55"/>
      <c r="R2" s="56"/>
      <c r="S2" s="57">
        <v>0</v>
      </c>
      <c r="T2" s="57">
        <v>1</v>
      </c>
      <c r="U2" s="57">
        <v>2</v>
      </c>
      <c r="V2" s="57">
        <v>3</v>
      </c>
      <c r="W2" s="57">
        <v>4</v>
      </c>
      <c r="X2" s="57">
        <v>5</v>
      </c>
      <c r="Y2" s="57">
        <v>6</v>
      </c>
      <c r="Z2" s="57">
        <v>7</v>
      </c>
      <c r="AA2" s="57">
        <v>8</v>
      </c>
      <c r="AB2" s="57">
        <v>9</v>
      </c>
      <c r="AC2" s="58">
        <v>10</v>
      </c>
    </row>
    <row r="3" spans="3:32" x14ac:dyDescent="0.2">
      <c r="C3" s="59"/>
      <c r="D3" s="114" t="s">
        <v>80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62"/>
      <c r="Q3" s="59"/>
      <c r="R3" s="114" t="s">
        <v>80</v>
      </c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62"/>
    </row>
    <row r="4" spans="3:32" x14ac:dyDescent="0.2">
      <c r="C4" s="51"/>
      <c r="D4" s="115" t="s">
        <v>79</v>
      </c>
      <c r="E4" s="63"/>
      <c r="F4" s="116"/>
      <c r="G4" s="116"/>
      <c r="H4" s="116"/>
      <c r="I4" s="116"/>
      <c r="J4" s="116"/>
      <c r="K4" s="116"/>
      <c r="L4" s="63"/>
      <c r="M4" s="63"/>
      <c r="N4" s="63"/>
      <c r="O4" s="65"/>
      <c r="Q4" s="51"/>
      <c r="R4" s="115" t="s">
        <v>79</v>
      </c>
      <c r="S4" s="63"/>
      <c r="T4" s="116"/>
      <c r="U4" s="116"/>
      <c r="V4" s="116"/>
      <c r="W4" s="116"/>
      <c r="X4" s="116"/>
      <c r="Y4" s="116"/>
      <c r="Z4" s="116"/>
      <c r="AA4" s="116"/>
      <c r="AB4" s="116"/>
      <c r="AC4" s="64"/>
    </row>
    <row r="5" spans="3:32" x14ac:dyDescent="0.2">
      <c r="C5" s="51">
        <v>1</v>
      </c>
      <c r="D5" s="110" t="s">
        <v>40</v>
      </c>
      <c r="E5" s="63">
        <v>332626</v>
      </c>
      <c r="F5" s="116"/>
      <c r="G5" s="116"/>
      <c r="H5" s="116"/>
      <c r="I5" s="116"/>
      <c r="J5" s="116"/>
      <c r="K5" s="116"/>
      <c r="L5" s="63"/>
      <c r="M5" s="63"/>
      <c r="N5" s="63"/>
      <c r="O5" s="65">
        <f t="shared" ref="O5" si="0">-$E$5*1.03^O2</f>
        <v>-447021.52959571785</v>
      </c>
      <c r="P5" s="107"/>
      <c r="Q5" s="51">
        <v>1</v>
      </c>
      <c r="R5" s="110" t="s">
        <v>40</v>
      </c>
      <c r="S5" s="63"/>
      <c r="T5" s="116"/>
      <c r="U5" s="116"/>
      <c r="V5" s="116"/>
      <c r="W5" s="116"/>
      <c r="X5" s="116"/>
      <c r="Y5" s="116"/>
      <c r="Z5" s="116"/>
      <c r="AA5" s="116"/>
      <c r="AB5" s="116"/>
      <c r="AC5" s="64"/>
    </row>
    <row r="6" spans="3:32" x14ac:dyDescent="0.2">
      <c r="C6" s="51">
        <v>2</v>
      </c>
      <c r="D6" s="110" t="s">
        <v>24</v>
      </c>
      <c r="E6" s="63">
        <v>56000</v>
      </c>
      <c r="F6" s="116"/>
      <c r="G6" s="116"/>
      <c r="H6" s="63"/>
      <c r="I6" s="116"/>
      <c r="J6" s="116"/>
      <c r="K6" s="63"/>
      <c r="L6" s="63"/>
      <c r="M6" s="63"/>
      <c r="N6" s="63"/>
      <c r="O6" s="65"/>
      <c r="P6" s="108"/>
      <c r="Q6" s="51">
        <v>2</v>
      </c>
      <c r="R6" s="110" t="s">
        <v>24</v>
      </c>
      <c r="S6" s="63"/>
      <c r="T6" s="116"/>
      <c r="U6" s="116"/>
      <c r="V6" s="63"/>
      <c r="W6" s="116"/>
      <c r="X6" s="116"/>
      <c r="Y6" s="63"/>
      <c r="Z6" s="63"/>
      <c r="AA6" s="63"/>
      <c r="AB6" s="63"/>
      <c r="AC6" s="65"/>
    </row>
    <row r="7" spans="3:32" x14ac:dyDescent="0.2">
      <c r="C7" s="51">
        <v>3</v>
      </c>
      <c r="D7" s="110" t="s">
        <v>21</v>
      </c>
      <c r="E7" s="63">
        <v>10000</v>
      </c>
      <c r="F7" s="116"/>
      <c r="G7" s="116"/>
      <c r="H7" s="117"/>
      <c r="I7" s="116"/>
      <c r="J7" s="116"/>
      <c r="K7" s="117"/>
      <c r="L7" s="116"/>
      <c r="M7" s="116"/>
      <c r="N7" s="116"/>
      <c r="O7" s="64"/>
      <c r="P7" s="109"/>
      <c r="Q7" s="51">
        <v>3</v>
      </c>
      <c r="R7" s="110" t="s">
        <v>21</v>
      </c>
      <c r="S7" s="63"/>
      <c r="T7" s="116"/>
      <c r="U7" s="116"/>
      <c r="V7" s="117"/>
      <c r="W7" s="116"/>
      <c r="X7" s="116"/>
      <c r="Y7" s="117"/>
      <c r="Z7" s="117"/>
      <c r="AA7" s="117"/>
      <c r="AB7" s="117"/>
      <c r="AC7" s="53"/>
    </row>
    <row r="8" spans="3:32" ht="17" thickBot="1" x14ac:dyDescent="0.25">
      <c r="C8" s="51">
        <v>4</v>
      </c>
      <c r="D8" s="110" t="s">
        <v>99</v>
      </c>
      <c r="E8" s="63">
        <v>50000</v>
      </c>
      <c r="F8" s="63"/>
      <c r="G8" s="63"/>
      <c r="H8" s="63"/>
      <c r="I8" s="63"/>
      <c r="J8" s="63"/>
      <c r="K8" s="63"/>
      <c r="L8" s="63"/>
      <c r="M8" s="63"/>
      <c r="N8" s="63"/>
      <c r="O8" s="65"/>
      <c r="P8" s="109"/>
      <c r="Q8" s="51">
        <v>4</v>
      </c>
      <c r="R8" s="110" t="s">
        <v>101</v>
      </c>
      <c r="S8" s="63"/>
      <c r="T8" s="63"/>
      <c r="U8" s="63"/>
      <c r="V8" s="63"/>
      <c r="W8" s="63"/>
      <c r="X8" s="63"/>
      <c r="Y8" s="63"/>
      <c r="Z8" s="63"/>
      <c r="AA8" s="63"/>
      <c r="AB8" s="63"/>
      <c r="AC8" s="65"/>
    </row>
    <row r="9" spans="3:32" x14ac:dyDescent="0.2">
      <c r="C9" s="51"/>
      <c r="D9" s="115" t="s">
        <v>46</v>
      </c>
      <c r="E9" s="63"/>
      <c r="F9" s="116"/>
      <c r="G9" s="116"/>
      <c r="H9" s="116"/>
      <c r="I9" s="116"/>
      <c r="J9" s="116"/>
      <c r="K9" s="116"/>
      <c r="L9" s="63"/>
      <c r="M9" s="63"/>
      <c r="N9" s="63"/>
      <c r="O9" s="65"/>
      <c r="Q9" s="51"/>
      <c r="R9" s="115" t="s">
        <v>46</v>
      </c>
      <c r="S9" s="63"/>
      <c r="T9" s="116"/>
      <c r="U9" s="116"/>
      <c r="V9" s="116"/>
      <c r="W9" s="116"/>
      <c r="X9" s="116"/>
      <c r="Y9" s="116"/>
      <c r="Z9" s="116"/>
      <c r="AA9" s="116"/>
      <c r="AB9" s="116"/>
      <c r="AC9" s="64"/>
      <c r="AF9" s="133" t="s">
        <v>106</v>
      </c>
    </row>
    <row r="10" spans="3:32" ht="17" thickBot="1" x14ac:dyDescent="0.25">
      <c r="C10" s="51">
        <v>5</v>
      </c>
      <c r="D10" s="110" t="s">
        <v>77</v>
      </c>
      <c r="E10" s="63">
        <v>23700</v>
      </c>
      <c r="F10" s="116"/>
      <c r="G10" s="116"/>
      <c r="H10" s="116"/>
      <c r="I10" s="116"/>
      <c r="J10" s="116"/>
      <c r="K10" s="116"/>
      <c r="L10" s="63"/>
      <c r="M10" s="63"/>
      <c r="N10" s="63"/>
      <c r="O10" s="65"/>
      <c r="P10" s="107"/>
      <c r="Q10" s="51">
        <v>5</v>
      </c>
      <c r="R10" s="110" t="s">
        <v>77</v>
      </c>
      <c r="S10" s="63">
        <v>23700</v>
      </c>
      <c r="T10" s="116"/>
      <c r="U10" s="116"/>
      <c r="V10" s="116"/>
      <c r="W10" s="116"/>
      <c r="X10" s="116"/>
      <c r="Y10" s="116"/>
      <c r="Z10" s="116"/>
      <c r="AA10" s="116"/>
      <c r="AB10" s="116"/>
      <c r="AC10" s="64"/>
      <c r="AF10" s="134">
        <f>1+AF11</f>
        <v>1</v>
      </c>
    </row>
    <row r="11" spans="3:32" x14ac:dyDescent="0.2">
      <c r="C11" s="51">
        <v>6</v>
      </c>
      <c r="D11" s="110" t="s">
        <v>78</v>
      </c>
      <c r="E11" s="63">
        <v>100000</v>
      </c>
      <c r="F11" s="116"/>
      <c r="G11" s="116"/>
      <c r="H11" s="63"/>
      <c r="I11" s="116"/>
      <c r="J11" s="116"/>
      <c r="K11" s="63"/>
      <c r="L11" s="63"/>
      <c r="M11" s="63"/>
      <c r="N11" s="63"/>
      <c r="O11" s="65"/>
      <c r="P11" s="108"/>
      <c r="Q11" s="51">
        <v>6</v>
      </c>
      <c r="R11" s="110" t="s">
        <v>78</v>
      </c>
      <c r="S11" s="63">
        <v>100000</v>
      </c>
      <c r="T11" s="116"/>
      <c r="U11" s="116"/>
      <c r="V11" s="63"/>
      <c r="W11" s="116"/>
      <c r="X11" s="116"/>
      <c r="Y11" s="63"/>
      <c r="Z11" s="63"/>
      <c r="AA11" s="63"/>
      <c r="AB11" s="63"/>
      <c r="AC11" s="65"/>
      <c r="AF11" s="52">
        <v>0</v>
      </c>
    </row>
    <row r="12" spans="3:32" x14ac:dyDescent="0.2">
      <c r="C12" s="51">
        <v>6.1</v>
      </c>
      <c r="D12" s="115" t="s">
        <v>84</v>
      </c>
      <c r="E12" s="63">
        <f>-E5-E6-E7-E8+E10+E11</f>
        <v>-324926</v>
      </c>
      <c r="F12" s="63"/>
      <c r="G12" s="63"/>
      <c r="H12" s="63"/>
      <c r="I12" s="63"/>
      <c r="J12" s="63"/>
      <c r="K12" s="63"/>
      <c r="L12" s="63">
        <f t="shared" ref="L12:O12" si="1">-L5-L6-L7-L8+L10+L11</f>
        <v>0</v>
      </c>
      <c r="M12" s="63">
        <f t="shared" si="1"/>
        <v>0</v>
      </c>
      <c r="N12" s="63">
        <f t="shared" si="1"/>
        <v>0</v>
      </c>
      <c r="O12" s="65">
        <f t="shared" si="1"/>
        <v>447021.52959571785</v>
      </c>
      <c r="Q12" s="51">
        <v>6.1</v>
      </c>
      <c r="R12" s="115" t="s">
        <v>84</v>
      </c>
      <c r="S12" s="63">
        <f>-S5-S6-S7-S8+S10+S11</f>
        <v>123700</v>
      </c>
      <c r="T12" s="63"/>
      <c r="U12" s="63"/>
      <c r="V12" s="63"/>
      <c r="W12" s="63"/>
      <c r="X12" s="63"/>
      <c r="Y12" s="63"/>
      <c r="Z12" s="63"/>
      <c r="AA12" s="63"/>
      <c r="AB12" s="63"/>
      <c r="AC12" s="65"/>
    </row>
    <row r="13" spans="3:32" x14ac:dyDescent="0.2">
      <c r="C13" s="51"/>
      <c r="D13" s="110"/>
      <c r="E13" s="63"/>
      <c r="F13" s="116"/>
      <c r="G13" s="116"/>
      <c r="H13" s="116"/>
      <c r="I13" s="116"/>
      <c r="J13" s="116"/>
      <c r="K13" s="116"/>
      <c r="L13" s="116"/>
      <c r="M13" s="116"/>
      <c r="N13" s="116"/>
      <c r="O13" s="64"/>
      <c r="Q13" s="51"/>
      <c r="R13" s="110"/>
      <c r="S13" s="63"/>
      <c r="T13" s="116"/>
      <c r="U13" s="116"/>
      <c r="V13" s="116"/>
      <c r="W13" s="116"/>
      <c r="X13" s="116"/>
      <c r="Y13" s="116"/>
      <c r="Z13" s="116"/>
      <c r="AA13" s="116"/>
      <c r="AB13" s="116"/>
      <c r="AC13" s="64"/>
    </row>
    <row r="14" spans="3:32" x14ac:dyDescent="0.2">
      <c r="C14" s="59"/>
      <c r="D14" s="114" t="s">
        <v>74</v>
      </c>
      <c r="E14" s="67"/>
      <c r="F14" s="113"/>
      <c r="G14" s="113"/>
      <c r="H14" s="113"/>
      <c r="I14" s="113"/>
      <c r="J14" s="113"/>
      <c r="K14" s="113"/>
      <c r="L14" s="113"/>
      <c r="M14" s="113"/>
      <c r="N14" s="113"/>
      <c r="O14" s="62"/>
      <c r="Q14" s="59"/>
      <c r="R14" s="114" t="s">
        <v>74</v>
      </c>
      <c r="S14" s="67"/>
      <c r="T14" s="113"/>
      <c r="U14" s="113"/>
      <c r="V14" s="113"/>
      <c r="W14" s="113"/>
      <c r="X14" s="113"/>
      <c r="Y14" s="113"/>
      <c r="Z14" s="113"/>
      <c r="AA14" s="113"/>
      <c r="AB14" s="113"/>
      <c r="AC14" s="62"/>
    </row>
    <row r="15" spans="3:32" x14ac:dyDescent="0.2">
      <c r="C15" s="51"/>
      <c r="D15" s="120" t="s">
        <v>88</v>
      </c>
      <c r="E15" s="63"/>
      <c r="F15" s="116"/>
      <c r="G15" s="116"/>
      <c r="H15" s="116"/>
      <c r="I15" s="116"/>
      <c r="J15" s="116"/>
      <c r="K15" s="116"/>
      <c r="L15" s="116"/>
      <c r="M15" s="116"/>
      <c r="N15" s="116"/>
      <c r="O15" s="64"/>
      <c r="Q15" s="51"/>
      <c r="R15" s="120" t="s">
        <v>88</v>
      </c>
      <c r="S15" s="63"/>
      <c r="T15" s="116"/>
      <c r="U15" s="116"/>
      <c r="V15" s="116"/>
      <c r="W15" s="116"/>
      <c r="X15" s="116"/>
      <c r="Y15" s="116"/>
      <c r="Z15" s="116"/>
      <c r="AA15" s="116"/>
      <c r="AB15" s="116"/>
      <c r="AC15" s="64"/>
    </row>
    <row r="16" spans="3:32" x14ac:dyDescent="0.2">
      <c r="C16" s="51">
        <v>7</v>
      </c>
      <c r="D16" s="110" t="s">
        <v>95</v>
      </c>
      <c r="E16" s="63"/>
      <c r="F16" s="63">
        <f>188721.55</f>
        <v>188721.55</v>
      </c>
      <c r="G16" s="63">
        <f>188721.55*$AF$10^(G2-1)</f>
        <v>188721.55</v>
      </c>
      <c r="H16" s="63">
        <f>188721.55*$AF$10^(H2-1)</f>
        <v>188721.55</v>
      </c>
      <c r="I16" s="63">
        <f>188721.55*$AF$10^(I2-1)</f>
        <v>188721.55</v>
      </c>
      <c r="J16" s="63">
        <f>188721.55*$AF$10^(J2-1)</f>
        <v>188721.55</v>
      </c>
      <c r="K16" s="63">
        <f>188721.55*$AF$10^(K2-1)</f>
        <v>188721.55</v>
      </c>
      <c r="L16" s="63">
        <f>188721.55*$AF$10^(L2-1)</f>
        <v>188721.55</v>
      </c>
      <c r="M16" s="63">
        <f>188721.55*$AF$10^(M2-1)</f>
        <v>188721.55</v>
      </c>
      <c r="N16" s="63">
        <f>188721.55*$AF$10^(N2-1)</f>
        <v>188721.55</v>
      </c>
      <c r="O16" s="65">
        <f>188721.55*$AF$10^(O2-1)</f>
        <v>188721.55</v>
      </c>
      <c r="Q16" s="51">
        <v>7</v>
      </c>
      <c r="R16" s="110" t="s">
        <v>95</v>
      </c>
      <c r="S16" s="63"/>
      <c r="T16" s="63">
        <v>157975</v>
      </c>
      <c r="U16" s="63">
        <v>157975</v>
      </c>
      <c r="V16" s="63">
        <v>157975</v>
      </c>
      <c r="W16" s="63">
        <v>157975</v>
      </c>
      <c r="X16" s="63">
        <v>157975</v>
      </c>
      <c r="Y16" s="63">
        <v>157975</v>
      </c>
      <c r="Z16" s="63">
        <v>157975</v>
      </c>
      <c r="AA16" s="63">
        <v>157975</v>
      </c>
      <c r="AB16" s="63">
        <v>157975</v>
      </c>
      <c r="AC16" s="65">
        <v>157975</v>
      </c>
    </row>
    <row r="17" spans="3:29" x14ac:dyDescent="0.2">
      <c r="C17" s="51">
        <v>8</v>
      </c>
      <c r="D17" s="110" t="s">
        <v>75</v>
      </c>
      <c r="E17" s="63"/>
      <c r="F17" s="63">
        <v>13000</v>
      </c>
      <c r="G17" s="63">
        <v>13000</v>
      </c>
      <c r="H17" s="63">
        <v>13000</v>
      </c>
      <c r="I17" s="63">
        <v>13000</v>
      </c>
      <c r="J17" s="63">
        <v>13000</v>
      </c>
      <c r="K17" s="63">
        <v>13000</v>
      </c>
      <c r="L17" s="63">
        <v>13000</v>
      </c>
      <c r="M17" s="63">
        <v>13000</v>
      </c>
      <c r="N17" s="63">
        <v>13000</v>
      </c>
      <c r="O17" s="65">
        <v>13000</v>
      </c>
      <c r="Q17" s="51">
        <v>8</v>
      </c>
      <c r="R17" s="110" t="s">
        <v>75</v>
      </c>
      <c r="S17" s="63"/>
      <c r="T17" s="63">
        <v>13000</v>
      </c>
      <c r="U17" s="63">
        <v>13000</v>
      </c>
      <c r="V17" s="63">
        <v>13000</v>
      </c>
      <c r="W17" s="63">
        <v>13000</v>
      </c>
      <c r="X17" s="63">
        <v>13000</v>
      </c>
      <c r="Y17" s="63">
        <v>13000</v>
      </c>
      <c r="Z17" s="63">
        <v>13000</v>
      </c>
      <c r="AA17" s="63">
        <v>13000</v>
      </c>
      <c r="AB17" s="63">
        <v>13000</v>
      </c>
      <c r="AC17" s="65">
        <v>13000</v>
      </c>
    </row>
    <row r="18" spans="3:29" x14ac:dyDescent="0.2">
      <c r="C18" s="51">
        <v>9</v>
      </c>
      <c r="D18" s="110" t="s">
        <v>76</v>
      </c>
      <c r="E18" s="63"/>
      <c r="F18" s="63">
        <v>30000</v>
      </c>
      <c r="G18" s="63">
        <v>30000</v>
      </c>
      <c r="H18" s="63">
        <v>30000</v>
      </c>
      <c r="I18" s="63">
        <v>30000</v>
      </c>
      <c r="J18" s="63">
        <v>30000</v>
      </c>
      <c r="K18" s="63">
        <v>30000</v>
      </c>
      <c r="L18" s="63">
        <v>30000</v>
      </c>
      <c r="M18" s="63">
        <v>30000</v>
      </c>
      <c r="N18" s="63">
        <v>30000</v>
      </c>
      <c r="O18" s="65">
        <v>30000</v>
      </c>
      <c r="Q18" s="51">
        <v>9</v>
      </c>
      <c r="R18" s="110" t="s">
        <v>76</v>
      </c>
      <c r="S18" s="63"/>
      <c r="T18" s="63">
        <v>30000</v>
      </c>
      <c r="U18" s="63">
        <v>30000</v>
      </c>
      <c r="V18" s="63">
        <v>30000</v>
      </c>
      <c r="W18" s="63">
        <v>30000</v>
      </c>
      <c r="X18" s="63">
        <v>30000</v>
      </c>
      <c r="Y18" s="63">
        <v>30000</v>
      </c>
      <c r="Z18" s="63">
        <v>30000</v>
      </c>
      <c r="AA18" s="63">
        <v>30000</v>
      </c>
      <c r="AB18" s="63">
        <v>30000</v>
      </c>
      <c r="AC18" s="65">
        <v>30000</v>
      </c>
    </row>
    <row r="19" spans="3:29" x14ac:dyDescent="0.2">
      <c r="C19" s="111">
        <v>10</v>
      </c>
      <c r="D19" s="110" t="s">
        <v>82</v>
      </c>
      <c r="E19" s="110"/>
      <c r="F19" s="112">
        <v>61625</v>
      </c>
      <c r="G19" s="112">
        <v>61625</v>
      </c>
      <c r="H19" s="112">
        <v>61625</v>
      </c>
      <c r="I19" s="112">
        <v>61625</v>
      </c>
      <c r="J19" s="112">
        <v>61625</v>
      </c>
      <c r="K19" s="112">
        <v>61625</v>
      </c>
      <c r="L19" s="112">
        <v>61625</v>
      </c>
      <c r="M19" s="112">
        <v>61625</v>
      </c>
      <c r="N19" s="112">
        <v>61625</v>
      </c>
      <c r="O19" s="118">
        <v>61625</v>
      </c>
      <c r="Q19" s="111">
        <v>10</v>
      </c>
      <c r="R19" s="110" t="s">
        <v>82</v>
      </c>
      <c r="S19" s="110"/>
      <c r="T19" s="112">
        <v>61625</v>
      </c>
      <c r="U19" s="112">
        <v>61625</v>
      </c>
      <c r="V19" s="112">
        <v>61625</v>
      </c>
      <c r="W19" s="112">
        <v>61625</v>
      </c>
      <c r="X19" s="112">
        <v>61625</v>
      </c>
      <c r="Y19" s="112">
        <v>61625</v>
      </c>
      <c r="Z19" s="112">
        <v>61625</v>
      </c>
      <c r="AA19" s="112">
        <v>61625</v>
      </c>
      <c r="AB19" s="112">
        <v>61625</v>
      </c>
      <c r="AC19" s="118">
        <v>61625</v>
      </c>
    </row>
    <row r="20" spans="3:29" x14ac:dyDescent="0.2">
      <c r="C20" s="51">
        <v>11</v>
      </c>
      <c r="D20" s="110" t="s">
        <v>81</v>
      </c>
      <c r="E20" s="63"/>
      <c r="F20" s="117">
        <v>30812.5</v>
      </c>
      <c r="G20" s="117">
        <v>30812.5</v>
      </c>
      <c r="H20" s="117">
        <v>30812.5</v>
      </c>
      <c r="I20" s="117">
        <v>30812.5</v>
      </c>
      <c r="J20" s="117">
        <v>30812.5</v>
      </c>
      <c r="K20" s="117">
        <v>30812.5</v>
      </c>
      <c r="L20" s="117">
        <v>30812.5</v>
      </c>
      <c r="M20" s="117">
        <v>30812.5</v>
      </c>
      <c r="N20" s="117">
        <v>30812.5</v>
      </c>
      <c r="O20" s="53">
        <v>30812.5</v>
      </c>
      <c r="Q20" s="51">
        <v>11</v>
      </c>
      <c r="R20" s="110" t="s">
        <v>81</v>
      </c>
      <c r="S20" s="63"/>
      <c r="T20" s="117"/>
      <c r="U20" s="117"/>
      <c r="V20" s="117"/>
      <c r="W20" s="117"/>
      <c r="X20" s="117"/>
      <c r="Y20" s="117"/>
      <c r="Z20" s="117"/>
      <c r="AA20" s="117"/>
      <c r="AB20" s="117"/>
      <c r="AC20" s="53"/>
    </row>
    <row r="21" spans="3:29" x14ac:dyDescent="0.2">
      <c r="C21" s="51"/>
      <c r="D21" s="120" t="s">
        <v>83</v>
      </c>
      <c r="E21" s="63"/>
      <c r="F21" s="117"/>
      <c r="G21" s="117"/>
      <c r="H21" s="117"/>
      <c r="I21" s="117"/>
      <c r="J21" s="117"/>
      <c r="K21" s="117"/>
      <c r="L21" s="117"/>
      <c r="M21" s="117"/>
      <c r="N21" s="117"/>
      <c r="O21" s="53"/>
      <c r="Q21" s="51"/>
      <c r="R21" s="120" t="s">
        <v>83</v>
      </c>
      <c r="S21" s="63"/>
      <c r="T21" s="117"/>
      <c r="U21" s="117"/>
      <c r="V21" s="117"/>
      <c r="W21" s="117"/>
      <c r="X21" s="117"/>
      <c r="Y21" s="117"/>
      <c r="Z21" s="117"/>
      <c r="AA21" s="117"/>
      <c r="AB21" s="117"/>
      <c r="AC21" s="53"/>
    </row>
    <row r="22" spans="3:29" x14ac:dyDescent="0.2">
      <c r="C22" s="51">
        <v>12</v>
      </c>
      <c r="D22" s="110" t="s">
        <v>100</v>
      </c>
      <c r="E22" s="63"/>
      <c r="F22" s="117">
        <f>$E$5/10</f>
        <v>33262.6</v>
      </c>
      <c r="G22" s="117">
        <f t="shared" ref="G22:O22" si="2">$E$5/10</f>
        <v>33262.6</v>
      </c>
      <c r="H22" s="117">
        <f t="shared" si="2"/>
        <v>33262.6</v>
      </c>
      <c r="I22" s="117">
        <f t="shared" si="2"/>
        <v>33262.6</v>
      </c>
      <c r="J22" s="117">
        <f t="shared" si="2"/>
        <v>33262.6</v>
      </c>
      <c r="K22" s="117">
        <f t="shared" si="2"/>
        <v>33262.6</v>
      </c>
      <c r="L22" s="117">
        <f t="shared" si="2"/>
        <v>33262.6</v>
      </c>
      <c r="M22" s="117">
        <f t="shared" si="2"/>
        <v>33262.6</v>
      </c>
      <c r="N22" s="117">
        <f t="shared" si="2"/>
        <v>33262.6</v>
      </c>
      <c r="O22" s="53">
        <f t="shared" si="2"/>
        <v>33262.6</v>
      </c>
      <c r="Q22" s="51">
        <v>12</v>
      </c>
      <c r="R22" s="110" t="s">
        <v>100</v>
      </c>
      <c r="S22" s="63"/>
      <c r="T22" s="117"/>
      <c r="U22" s="117"/>
      <c r="V22" s="117"/>
      <c r="W22" s="117"/>
      <c r="X22" s="117"/>
      <c r="Y22" s="117"/>
      <c r="Z22" s="117"/>
      <c r="AA22" s="117"/>
      <c r="AB22" s="117"/>
      <c r="AC22" s="53"/>
    </row>
    <row r="23" spans="3:29" x14ac:dyDescent="0.2">
      <c r="C23" s="51">
        <v>13</v>
      </c>
      <c r="D23" s="119" t="s">
        <v>85</v>
      </c>
      <c r="E23" s="63"/>
      <c r="F23" s="117">
        <v>65000</v>
      </c>
      <c r="G23" s="117">
        <v>65000</v>
      </c>
      <c r="H23" s="117">
        <v>65000</v>
      </c>
      <c r="I23" s="117">
        <v>65000</v>
      </c>
      <c r="J23" s="117">
        <v>65000</v>
      </c>
      <c r="K23" s="117">
        <v>65000</v>
      </c>
      <c r="L23" s="117">
        <v>65000</v>
      </c>
      <c r="M23" s="117">
        <v>65000</v>
      </c>
      <c r="N23" s="117">
        <v>65000</v>
      </c>
      <c r="O23" s="53">
        <v>65000</v>
      </c>
      <c r="Q23" s="51">
        <v>13</v>
      </c>
      <c r="R23" s="119" t="s">
        <v>85</v>
      </c>
      <c r="S23" s="63"/>
      <c r="T23" s="117"/>
      <c r="U23" s="117"/>
      <c r="V23" s="117"/>
      <c r="W23" s="117"/>
      <c r="X23" s="117"/>
      <c r="Y23" s="117"/>
      <c r="Z23" s="117"/>
      <c r="AA23" s="117"/>
      <c r="AB23" s="117"/>
      <c r="AC23" s="53"/>
    </row>
    <row r="24" spans="3:29" x14ac:dyDescent="0.2">
      <c r="C24" s="51">
        <v>14</v>
      </c>
      <c r="D24" s="119" t="s">
        <v>86</v>
      </c>
      <c r="E24" s="63"/>
      <c r="F24" s="117">
        <v>60816</v>
      </c>
      <c r="G24" s="117">
        <v>60816</v>
      </c>
      <c r="H24" s="117">
        <v>60816</v>
      </c>
      <c r="I24" s="117">
        <v>60816</v>
      </c>
      <c r="J24" s="117">
        <v>60816</v>
      </c>
      <c r="K24" s="117">
        <v>60816</v>
      </c>
      <c r="L24" s="117">
        <v>60816</v>
      </c>
      <c r="M24" s="117">
        <v>60816</v>
      </c>
      <c r="N24" s="117">
        <v>60816</v>
      </c>
      <c r="O24" s="53">
        <v>60816</v>
      </c>
      <c r="Q24" s="51">
        <v>14</v>
      </c>
      <c r="R24" s="119" t="s">
        <v>86</v>
      </c>
      <c r="S24" s="63"/>
      <c r="T24" s="117"/>
      <c r="U24" s="117"/>
      <c r="V24" s="117"/>
      <c r="W24" s="117"/>
      <c r="X24" s="117"/>
      <c r="Y24" s="117"/>
      <c r="Z24" s="117"/>
      <c r="AA24" s="117"/>
      <c r="AB24" s="117"/>
      <c r="AC24" s="53"/>
    </row>
    <row r="25" spans="3:29" x14ac:dyDescent="0.2">
      <c r="C25" s="51">
        <v>15</v>
      </c>
      <c r="D25" s="119" t="s">
        <v>87</v>
      </c>
      <c r="E25" s="63"/>
      <c r="F25" s="117">
        <v>30408</v>
      </c>
      <c r="G25" s="117">
        <v>30408</v>
      </c>
      <c r="H25" s="117">
        <v>30408</v>
      </c>
      <c r="I25" s="117">
        <v>30408</v>
      </c>
      <c r="J25" s="117">
        <v>30408</v>
      </c>
      <c r="K25" s="117">
        <v>30408</v>
      </c>
      <c r="L25" s="117">
        <v>30408</v>
      </c>
      <c r="M25" s="117">
        <v>30408</v>
      </c>
      <c r="N25" s="117">
        <v>30408</v>
      </c>
      <c r="O25" s="53">
        <v>30408</v>
      </c>
      <c r="Q25" s="51">
        <v>15</v>
      </c>
      <c r="R25" s="119" t="s">
        <v>87</v>
      </c>
      <c r="S25" s="63"/>
      <c r="T25" s="117"/>
      <c r="U25" s="117"/>
      <c r="V25" s="117"/>
      <c r="W25" s="117"/>
      <c r="X25" s="117"/>
      <c r="Y25" s="117"/>
      <c r="Z25" s="117"/>
      <c r="AA25" s="117"/>
      <c r="AB25" s="117"/>
      <c r="AC25" s="53"/>
    </row>
    <row r="26" spans="3:29" x14ac:dyDescent="0.2">
      <c r="C26" s="51"/>
      <c r="D26" s="120" t="s">
        <v>89</v>
      </c>
      <c r="E26" s="63"/>
      <c r="F26" s="117"/>
      <c r="G26" s="117"/>
      <c r="H26" s="117"/>
      <c r="I26" s="117"/>
      <c r="J26" s="117"/>
      <c r="K26" s="117"/>
      <c r="L26" s="117"/>
      <c r="M26" s="117"/>
      <c r="N26" s="117"/>
      <c r="O26" s="53"/>
      <c r="Q26" s="51"/>
      <c r="R26" s="120" t="s">
        <v>89</v>
      </c>
      <c r="S26" s="63"/>
      <c r="T26" s="117"/>
      <c r="U26" s="117"/>
      <c r="V26" s="117"/>
      <c r="W26" s="117"/>
      <c r="X26" s="117"/>
      <c r="Y26" s="117"/>
      <c r="Z26" s="117"/>
      <c r="AA26" s="117"/>
      <c r="AB26" s="117"/>
      <c r="AC26" s="53"/>
    </row>
    <row r="27" spans="3:29" x14ac:dyDescent="0.2">
      <c r="C27" s="51">
        <v>16</v>
      </c>
      <c r="D27" s="110" t="s">
        <v>90</v>
      </c>
      <c r="E27" s="63"/>
      <c r="F27" s="63">
        <f>SUM(F16:F20)-SUM(F22:F25)</f>
        <v>134672.44999999998</v>
      </c>
      <c r="G27" s="63">
        <f t="shared" ref="G27:L27" si="3">SUM(G16:G20)-SUM(G22:G25)</f>
        <v>134672.44999999998</v>
      </c>
      <c r="H27" s="63">
        <f t="shared" si="3"/>
        <v>134672.44999999998</v>
      </c>
      <c r="I27" s="63">
        <f t="shared" si="3"/>
        <v>134672.44999999998</v>
      </c>
      <c r="J27" s="63">
        <f t="shared" si="3"/>
        <v>134672.44999999998</v>
      </c>
      <c r="K27" s="63">
        <f t="shared" si="3"/>
        <v>134672.44999999998</v>
      </c>
      <c r="L27" s="63">
        <f t="shared" si="3"/>
        <v>134672.44999999998</v>
      </c>
      <c r="M27" s="63">
        <f t="shared" ref="M27:O27" si="4">SUM(M16:M20)-SUM(M22:M25)</f>
        <v>134672.44999999998</v>
      </c>
      <c r="N27" s="63">
        <f t="shared" si="4"/>
        <v>134672.44999999998</v>
      </c>
      <c r="O27" s="65">
        <f t="shared" si="4"/>
        <v>134672.44999999998</v>
      </c>
      <c r="Q27" s="51">
        <v>16</v>
      </c>
      <c r="R27" s="110" t="s">
        <v>90</v>
      </c>
      <c r="S27" s="63"/>
      <c r="T27" s="63">
        <f>SUM(T16:T20)-SUM(T22:T25)</f>
        <v>262600</v>
      </c>
      <c r="U27" s="63">
        <f t="shared" ref="U27:Y27" si="5">SUM(U16:U20)-SUM(U22:U25)</f>
        <v>262600</v>
      </c>
      <c r="V27" s="63">
        <f t="shared" si="5"/>
        <v>262600</v>
      </c>
      <c r="W27" s="63">
        <f t="shared" si="5"/>
        <v>262600</v>
      </c>
      <c r="X27" s="63">
        <f t="shared" si="5"/>
        <v>262600</v>
      </c>
      <c r="Y27" s="63">
        <f t="shared" si="5"/>
        <v>262600</v>
      </c>
      <c r="Z27" s="63">
        <f t="shared" ref="Z27:AC27" si="6">SUM(Z16:Z20)-SUM(Z22:Z25)</f>
        <v>262600</v>
      </c>
      <c r="AA27" s="63">
        <f t="shared" si="6"/>
        <v>262600</v>
      </c>
      <c r="AB27" s="63">
        <f t="shared" si="6"/>
        <v>262600</v>
      </c>
      <c r="AC27" s="65">
        <f t="shared" si="6"/>
        <v>262600</v>
      </c>
    </row>
    <row r="28" spans="3:29" x14ac:dyDescent="0.2">
      <c r="C28" s="51">
        <v>17</v>
      </c>
      <c r="D28" s="110" t="s">
        <v>91</v>
      </c>
      <c r="E28" s="63"/>
      <c r="F28" s="63">
        <f>0.4*F27</f>
        <v>53868.979999999996</v>
      </c>
      <c r="G28" s="63">
        <f t="shared" ref="G28:L28" si="7">0.4*G27</f>
        <v>53868.979999999996</v>
      </c>
      <c r="H28" s="63">
        <f t="shared" si="7"/>
        <v>53868.979999999996</v>
      </c>
      <c r="I28" s="63">
        <f t="shared" si="7"/>
        <v>53868.979999999996</v>
      </c>
      <c r="J28" s="63">
        <f t="shared" si="7"/>
        <v>53868.979999999996</v>
      </c>
      <c r="K28" s="63">
        <f t="shared" si="7"/>
        <v>53868.979999999996</v>
      </c>
      <c r="L28" s="63">
        <f t="shared" si="7"/>
        <v>53868.979999999996</v>
      </c>
      <c r="M28" s="63">
        <f t="shared" ref="M28:O28" si="8">0.4*M27</f>
        <v>53868.979999999996</v>
      </c>
      <c r="N28" s="63">
        <f t="shared" si="8"/>
        <v>53868.979999999996</v>
      </c>
      <c r="O28" s="65">
        <f t="shared" si="8"/>
        <v>53868.979999999996</v>
      </c>
      <c r="Q28" s="51">
        <v>17</v>
      </c>
      <c r="R28" s="110" t="s">
        <v>91</v>
      </c>
      <c r="S28" s="63"/>
      <c r="T28" s="63">
        <f>0.4*T27</f>
        <v>105040</v>
      </c>
      <c r="U28" s="63">
        <f t="shared" ref="U28:Y28" si="9">0.4*U27</f>
        <v>105040</v>
      </c>
      <c r="V28" s="63">
        <f t="shared" si="9"/>
        <v>105040</v>
      </c>
      <c r="W28" s="63">
        <f t="shared" si="9"/>
        <v>105040</v>
      </c>
      <c r="X28" s="63">
        <f t="shared" si="9"/>
        <v>105040</v>
      </c>
      <c r="Y28" s="63">
        <f t="shared" si="9"/>
        <v>105040</v>
      </c>
      <c r="Z28" s="63">
        <f t="shared" ref="Z28:AC28" si="10">0.4*Z27</f>
        <v>105040</v>
      </c>
      <c r="AA28" s="63">
        <f t="shared" si="10"/>
        <v>105040</v>
      </c>
      <c r="AB28" s="63">
        <f t="shared" si="10"/>
        <v>105040</v>
      </c>
      <c r="AC28" s="65">
        <f t="shared" si="10"/>
        <v>105040</v>
      </c>
    </row>
    <row r="29" spans="3:29" x14ac:dyDescent="0.2">
      <c r="C29" s="51">
        <v>18</v>
      </c>
      <c r="D29" s="110" t="s">
        <v>92</v>
      </c>
      <c r="E29" s="63"/>
      <c r="F29" s="63">
        <f t="shared" ref="F29:L29" si="11">F27-F28</f>
        <v>80803.469999999987</v>
      </c>
      <c r="G29" s="63">
        <f t="shared" si="11"/>
        <v>80803.469999999987</v>
      </c>
      <c r="H29" s="63">
        <f t="shared" si="11"/>
        <v>80803.469999999987</v>
      </c>
      <c r="I29" s="63">
        <f t="shared" si="11"/>
        <v>80803.469999999987</v>
      </c>
      <c r="J29" s="63">
        <f t="shared" si="11"/>
        <v>80803.469999999987</v>
      </c>
      <c r="K29" s="63">
        <f t="shared" si="11"/>
        <v>80803.469999999987</v>
      </c>
      <c r="L29" s="63">
        <f t="shared" si="11"/>
        <v>80803.469999999987</v>
      </c>
      <c r="M29" s="63">
        <f t="shared" ref="M29:O29" si="12">M27-M28</f>
        <v>80803.469999999987</v>
      </c>
      <c r="N29" s="63">
        <f t="shared" si="12"/>
        <v>80803.469999999987</v>
      </c>
      <c r="O29" s="65">
        <f t="shared" si="12"/>
        <v>80803.469999999987</v>
      </c>
      <c r="Q29" s="51">
        <v>18</v>
      </c>
      <c r="R29" s="110" t="s">
        <v>92</v>
      </c>
      <c r="S29" s="63"/>
      <c r="T29" s="63">
        <f t="shared" ref="T29:Y29" si="13">T27-T28</f>
        <v>157560</v>
      </c>
      <c r="U29" s="63">
        <f t="shared" si="13"/>
        <v>157560</v>
      </c>
      <c r="V29" s="63">
        <f t="shared" si="13"/>
        <v>157560</v>
      </c>
      <c r="W29" s="63">
        <f t="shared" si="13"/>
        <v>157560</v>
      </c>
      <c r="X29" s="63">
        <f t="shared" si="13"/>
        <v>157560</v>
      </c>
      <c r="Y29" s="63">
        <f t="shared" si="13"/>
        <v>157560</v>
      </c>
      <c r="Z29" s="63">
        <f t="shared" ref="Z29:AC29" si="14">Z27-Z28</f>
        <v>157560</v>
      </c>
      <c r="AA29" s="63">
        <f t="shared" si="14"/>
        <v>157560</v>
      </c>
      <c r="AB29" s="63">
        <f t="shared" si="14"/>
        <v>157560</v>
      </c>
      <c r="AC29" s="65">
        <f t="shared" si="14"/>
        <v>157560</v>
      </c>
    </row>
    <row r="30" spans="3:29" x14ac:dyDescent="0.2">
      <c r="C30" s="51">
        <v>19</v>
      </c>
      <c r="D30" s="110" t="s">
        <v>93</v>
      </c>
      <c r="E30" s="121"/>
      <c r="F30" s="68">
        <f>F22+F29</f>
        <v>114066.06999999998</v>
      </c>
      <c r="G30" s="68">
        <f t="shared" ref="G30:L30" si="15">G22+G29</f>
        <v>114066.06999999998</v>
      </c>
      <c r="H30" s="68">
        <f t="shared" si="15"/>
        <v>114066.06999999998</v>
      </c>
      <c r="I30" s="68">
        <f t="shared" si="15"/>
        <v>114066.06999999998</v>
      </c>
      <c r="J30" s="68">
        <f t="shared" si="15"/>
        <v>114066.06999999998</v>
      </c>
      <c r="K30" s="68">
        <f t="shared" si="15"/>
        <v>114066.06999999998</v>
      </c>
      <c r="L30" s="68">
        <f t="shared" si="15"/>
        <v>114066.06999999998</v>
      </c>
      <c r="M30" s="68">
        <f t="shared" ref="M30:O30" si="16">M22+M29</f>
        <v>114066.06999999998</v>
      </c>
      <c r="N30" s="68">
        <f t="shared" si="16"/>
        <v>114066.06999999998</v>
      </c>
      <c r="O30" s="69">
        <f t="shared" si="16"/>
        <v>114066.06999999998</v>
      </c>
      <c r="Q30" s="51">
        <v>19</v>
      </c>
      <c r="R30" s="110" t="s">
        <v>93</v>
      </c>
      <c r="S30" s="68"/>
      <c r="T30" s="68">
        <f t="shared" ref="T30:Y30" si="17">T22+T29+T12</f>
        <v>157560</v>
      </c>
      <c r="U30" s="68">
        <f t="shared" si="17"/>
        <v>157560</v>
      </c>
      <c r="V30" s="68">
        <f t="shared" si="17"/>
        <v>157560</v>
      </c>
      <c r="W30" s="68">
        <f t="shared" si="17"/>
        <v>157560</v>
      </c>
      <c r="X30" s="68">
        <f t="shared" si="17"/>
        <v>157560</v>
      </c>
      <c r="Y30" s="68">
        <f t="shared" si="17"/>
        <v>157560</v>
      </c>
      <c r="Z30" s="68">
        <f t="shared" ref="Z30:AC30" si="18">Z22+Z29+Z12</f>
        <v>157560</v>
      </c>
      <c r="AA30" s="68">
        <f t="shared" si="18"/>
        <v>157560</v>
      </c>
      <c r="AB30" s="68">
        <f t="shared" si="18"/>
        <v>157560</v>
      </c>
      <c r="AC30" s="69">
        <f t="shared" si="18"/>
        <v>157560</v>
      </c>
    </row>
    <row r="31" spans="3:29" x14ac:dyDescent="0.2">
      <c r="C31" s="51"/>
      <c r="D31" s="110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64"/>
      <c r="Q31" s="51"/>
      <c r="R31" s="110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64"/>
    </row>
    <row r="32" spans="3:29" x14ac:dyDescent="0.2">
      <c r="C32" s="59"/>
      <c r="D32" s="114" t="s">
        <v>29</v>
      </c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62"/>
      <c r="Q32" s="59"/>
      <c r="R32" s="114" t="s">
        <v>29</v>
      </c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62"/>
    </row>
    <row r="33" spans="3:29" x14ac:dyDescent="0.2">
      <c r="C33" s="51">
        <v>20</v>
      </c>
      <c r="D33" s="110" t="s">
        <v>94</v>
      </c>
      <c r="E33" s="123">
        <f>E12+E30</f>
        <v>-324926</v>
      </c>
      <c r="F33" s="124">
        <f t="shared" ref="F33:L33" si="19">F12+F30</f>
        <v>114066.06999999998</v>
      </c>
      <c r="G33" s="124">
        <f t="shared" si="19"/>
        <v>114066.06999999998</v>
      </c>
      <c r="H33" s="124">
        <f t="shared" si="19"/>
        <v>114066.06999999998</v>
      </c>
      <c r="I33" s="124">
        <f t="shared" si="19"/>
        <v>114066.06999999998</v>
      </c>
      <c r="J33" s="124">
        <f t="shared" si="19"/>
        <v>114066.06999999998</v>
      </c>
      <c r="K33" s="124">
        <f t="shared" si="19"/>
        <v>114066.06999999998</v>
      </c>
      <c r="L33" s="124">
        <f t="shared" si="19"/>
        <v>114066.06999999998</v>
      </c>
      <c r="M33" s="124">
        <f t="shared" ref="M33:O33" si="20">M12+M30</f>
        <v>114066.06999999998</v>
      </c>
      <c r="N33" s="124">
        <f t="shared" si="20"/>
        <v>114066.06999999998</v>
      </c>
      <c r="O33" s="125">
        <f t="shared" si="20"/>
        <v>561087.59959571785</v>
      </c>
      <c r="Q33" s="51">
        <v>20</v>
      </c>
      <c r="R33" s="110" t="s">
        <v>94</v>
      </c>
      <c r="S33" s="124">
        <f>S12</f>
        <v>123700</v>
      </c>
      <c r="T33" s="124">
        <f t="shared" ref="T33:Y33" si="21">T30+T8</f>
        <v>157560</v>
      </c>
      <c r="U33" s="124">
        <f t="shared" si="21"/>
        <v>157560</v>
      </c>
      <c r="V33" s="124">
        <f t="shared" si="21"/>
        <v>157560</v>
      </c>
      <c r="W33" s="124">
        <f t="shared" si="21"/>
        <v>157560</v>
      </c>
      <c r="X33" s="124">
        <f t="shared" si="21"/>
        <v>157560</v>
      </c>
      <c r="Y33" s="124">
        <f t="shared" si="21"/>
        <v>157560</v>
      </c>
      <c r="Z33" s="124">
        <f t="shared" ref="Z33:AC33" si="22">Z30+Z8</f>
        <v>157560</v>
      </c>
      <c r="AA33" s="124">
        <f t="shared" si="22"/>
        <v>157560</v>
      </c>
      <c r="AB33" s="124">
        <f t="shared" si="22"/>
        <v>157560</v>
      </c>
      <c r="AC33" s="125">
        <f t="shared" si="22"/>
        <v>157560</v>
      </c>
    </row>
    <row r="34" spans="3:29" x14ac:dyDescent="0.2">
      <c r="C34" s="51">
        <v>21</v>
      </c>
      <c r="D34" s="110" t="s">
        <v>30</v>
      </c>
      <c r="E34" s="116">
        <f>(1/(1+0.14)^E2)</f>
        <v>1</v>
      </c>
      <c r="F34" s="116">
        <f t="shared" ref="F34:L34" si="23">(1/(1+0.14)^F2)</f>
        <v>0.8771929824561403</v>
      </c>
      <c r="G34" s="116">
        <f t="shared" si="23"/>
        <v>0.76946752847029842</v>
      </c>
      <c r="H34" s="116">
        <f t="shared" si="23"/>
        <v>0.67497151620201612</v>
      </c>
      <c r="I34" s="116">
        <f t="shared" si="23"/>
        <v>0.59208027737018942</v>
      </c>
      <c r="J34" s="116">
        <f t="shared" si="23"/>
        <v>0.51936866435981521</v>
      </c>
      <c r="K34" s="116">
        <f t="shared" si="23"/>
        <v>0.45558654768404844</v>
      </c>
      <c r="L34" s="116">
        <f t="shared" si="23"/>
        <v>0.39963732252986695</v>
      </c>
      <c r="M34" s="116">
        <f t="shared" ref="M34:O34" si="24">(1/(1+0.14)^M2)</f>
        <v>0.35055905485076044</v>
      </c>
      <c r="N34" s="116">
        <f t="shared" si="24"/>
        <v>0.3075079428515442</v>
      </c>
      <c r="O34" s="64">
        <f t="shared" si="24"/>
        <v>0.26974380951889843</v>
      </c>
      <c r="Q34" s="51">
        <v>21</v>
      </c>
      <c r="R34" s="110" t="s">
        <v>30</v>
      </c>
      <c r="S34" s="116">
        <f>(1/(1+0.14)^S2)</f>
        <v>1</v>
      </c>
      <c r="T34" s="116">
        <f t="shared" ref="T34:Y34" si="25">(1/(1+0.14)^T2)</f>
        <v>0.8771929824561403</v>
      </c>
      <c r="U34" s="116">
        <f t="shared" si="25"/>
        <v>0.76946752847029842</v>
      </c>
      <c r="V34" s="116">
        <f t="shared" si="25"/>
        <v>0.67497151620201612</v>
      </c>
      <c r="W34" s="116">
        <f t="shared" si="25"/>
        <v>0.59208027737018942</v>
      </c>
      <c r="X34" s="116">
        <f t="shared" si="25"/>
        <v>0.51936866435981521</v>
      </c>
      <c r="Y34" s="116">
        <f t="shared" si="25"/>
        <v>0.45558654768404844</v>
      </c>
      <c r="Z34" s="116">
        <f t="shared" ref="Z34:AC34" si="26">(1/(1+0.14)^Z2)</f>
        <v>0.39963732252986695</v>
      </c>
      <c r="AA34" s="116">
        <f t="shared" si="26"/>
        <v>0.35055905485076044</v>
      </c>
      <c r="AB34" s="116">
        <f t="shared" si="26"/>
        <v>0.3075079428515442</v>
      </c>
      <c r="AC34" s="64">
        <f t="shared" si="26"/>
        <v>0.26974380951889843</v>
      </c>
    </row>
    <row r="35" spans="3:29" x14ac:dyDescent="0.2">
      <c r="C35" s="51">
        <v>22</v>
      </c>
      <c r="D35" s="110" t="s">
        <v>110</v>
      </c>
      <c r="E35" s="117">
        <f>E33*E34</f>
        <v>-324926</v>
      </c>
      <c r="F35" s="117">
        <f t="shared" ref="F35:L35" si="27">F33*F34</f>
        <v>100057.95614035086</v>
      </c>
      <c r="G35" s="117">
        <f t="shared" si="27"/>
        <v>87770.136965220037</v>
      </c>
      <c r="H35" s="117">
        <f t="shared" si="27"/>
        <v>76991.348215105289</v>
      </c>
      <c r="I35" s="117">
        <f t="shared" si="27"/>
        <v>67536.270364127427</v>
      </c>
      <c r="J35" s="117">
        <f t="shared" si="27"/>
        <v>59242.342424673174</v>
      </c>
      <c r="K35" s="117">
        <f t="shared" si="27"/>
        <v>51966.967039186995</v>
      </c>
      <c r="L35" s="117">
        <f t="shared" si="27"/>
        <v>45585.058806304369</v>
      </c>
      <c r="M35" s="117">
        <f t="shared" ref="M35:O35" si="28">M33*M34</f>
        <v>39986.893689740675</v>
      </c>
      <c r="N35" s="117">
        <f t="shared" si="28"/>
        <v>35076.222534860237</v>
      </c>
      <c r="O35" s="53">
        <f t="shared" si="28"/>
        <v>151349.90658876326</v>
      </c>
      <c r="Q35" s="51">
        <v>22</v>
      </c>
      <c r="R35" s="110" t="s">
        <v>110</v>
      </c>
      <c r="S35" s="117">
        <f>S33*S34</f>
        <v>123700</v>
      </c>
      <c r="T35" s="117">
        <f t="shared" ref="T35:Y35" si="29">T33*T34</f>
        <v>138210.52631578947</v>
      </c>
      <c r="U35" s="117">
        <f t="shared" si="29"/>
        <v>121237.30378578023</v>
      </c>
      <c r="V35" s="117">
        <f t="shared" si="29"/>
        <v>106348.51209278966</v>
      </c>
      <c r="W35" s="117">
        <f t="shared" si="29"/>
        <v>93288.16850244705</v>
      </c>
      <c r="X35" s="117">
        <f t="shared" si="29"/>
        <v>81831.726756532487</v>
      </c>
      <c r="Y35" s="117">
        <f t="shared" si="29"/>
        <v>71782.216453098677</v>
      </c>
      <c r="Z35" s="117">
        <f t="shared" ref="Z35:AC35" si="30">Z33*Z34</f>
        <v>62966.856537805834</v>
      </c>
      <c r="AA35" s="117">
        <f t="shared" si="30"/>
        <v>55234.084682285815</v>
      </c>
      <c r="AB35" s="117">
        <f t="shared" si="30"/>
        <v>48450.951475689304</v>
      </c>
      <c r="AC35" s="53">
        <f t="shared" si="30"/>
        <v>42500.834627797638</v>
      </c>
    </row>
    <row r="36" spans="3:29" ht="17" thickBot="1" x14ac:dyDescent="0.25">
      <c r="C36" s="54">
        <v>23</v>
      </c>
      <c r="D36" s="70" t="s">
        <v>28</v>
      </c>
      <c r="E36" s="71">
        <f>SUM(E35:O35)</f>
        <v>390637.10276833235</v>
      </c>
      <c r="F36" s="72"/>
      <c r="G36" s="72"/>
      <c r="H36" s="72"/>
      <c r="I36" s="72"/>
      <c r="J36" s="72"/>
      <c r="K36" s="72"/>
      <c r="L36" s="72"/>
      <c r="M36" s="72"/>
      <c r="N36" s="72"/>
      <c r="O36" s="73"/>
      <c r="Q36" s="54">
        <v>23</v>
      </c>
      <c r="R36" s="70" t="s">
        <v>28</v>
      </c>
      <c r="S36" s="71">
        <f>SUM(S35:AC35)</f>
        <v>945551.18123001617</v>
      </c>
      <c r="T36" s="72"/>
      <c r="U36" s="72"/>
      <c r="V36" s="72"/>
      <c r="W36" s="72"/>
      <c r="X36" s="72"/>
      <c r="Y36" s="72"/>
      <c r="Z36" s="72"/>
      <c r="AA36" s="72"/>
      <c r="AB36" s="72"/>
      <c r="AC36" s="73"/>
    </row>
    <row r="37" spans="3:29" x14ac:dyDescent="0.2">
      <c r="Q37"/>
    </row>
    <row r="38" spans="3:29" x14ac:dyDescent="0.2">
      <c r="C38" s="74"/>
      <c r="D38" s="60" t="s">
        <v>31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Q38" s="74"/>
      <c r="R38" s="60" t="s">
        <v>31</v>
      </c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3:29" x14ac:dyDescent="0.2">
      <c r="C39">
        <v>24</v>
      </c>
      <c r="D39" t="s">
        <v>32</v>
      </c>
      <c r="E39" s="66">
        <f>E33</f>
        <v>-324926</v>
      </c>
      <c r="F39" s="66">
        <f>E39+F33</f>
        <v>-210859.93000000002</v>
      </c>
      <c r="G39" s="66">
        <f t="shared" ref="G39:L39" si="31">F39+G33</f>
        <v>-96793.860000000044</v>
      </c>
      <c r="H39" s="66">
        <f t="shared" si="31"/>
        <v>17272.209999999934</v>
      </c>
      <c r="I39" s="66">
        <f t="shared" si="31"/>
        <v>131338.27999999991</v>
      </c>
      <c r="J39" s="66">
        <f t="shared" si="31"/>
        <v>245404.34999999989</v>
      </c>
      <c r="K39" s="66">
        <f t="shared" si="31"/>
        <v>359470.41999999987</v>
      </c>
      <c r="L39" s="66">
        <f t="shared" si="31"/>
        <v>473536.48999999987</v>
      </c>
      <c r="M39" s="66">
        <f t="shared" ref="M39" si="32">L39+M33</f>
        <v>587602.55999999982</v>
      </c>
      <c r="N39" s="66">
        <f t="shared" ref="N39" si="33">M39+N33</f>
        <v>701668.62999999977</v>
      </c>
      <c r="O39" s="66">
        <f t="shared" ref="O39" si="34">N39+O33</f>
        <v>1262756.2295957175</v>
      </c>
      <c r="Q39">
        <v>24</v>
      </c>
      <c r="R39" t="s">
        <v>32</v>
      </c>
      <c r="S39" s="66">
        <f>S33</f>
        <v>123700</v>
      </c>
      <c r="T39" s="66">
        <f>S39+T33</f>
        <v>281260</v>
      </c>
      <c r="U39" s="66">
        <f t="shared" ref="U39:Y39" si="35">T39+U33</f>
        <v>438820</v>
      </c>
      <c r="V39" s="66">
        <f t="shared" si="35"/>
        <v>596380</v>
      </c>
      <c r="W39" s="66">
        <f t="shared" si="35"/>
        <v>753940</v>
      </c>
      <c r="X39" s="66">
        <f t="shared" si="35"/>
        <v>911500</v>
      </c>
      <c r="Y39" s="66">
        <f t="shared" si="35"/>
        <v>1069060</v>
      </c>
      <c r="Z39" s="66">
        <f t="shared" ref="Z39" si="36">Y39+Z33</f>
        <v>1226620</v>
      </c>
      <c r="AA39" s="66">
        <f t="shared" ref="AA39" si="37">Z39+AA33</f>
        <v>1384180</v>
      </c>
      <c r="AB39" s="66">
        <f t="shared" ref="AB39" si="38">AA39+AB33</f>
        <v>1541740</v>
      </c>
      <c r="AC39" s="66">
        <f t="shared" ref="AC39" si="39">AB39+AC33</f>
        <v>1699300</v>
      </c>
    </row>
    <row r="40" spans="3:29" x14ac:dyDescent="0.2"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Q40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</row>
    <row r="41" spans="3:29" x14ac:dyDescent="0.2">
      <c r="C41" s="74"/>
      <c r="D41" s="60" t="s">
        <v>33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Q41" s="74"/>
      <c r="R41" s="60" t="s">
        <v>33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3:29" x14ac:dyDescent="0.2">
      <c r="C42">
        <v>25</v>
      </c>
      <c r="D42" t="s">
        <v>34</v>
      </c>
      <c r="E42" s="75">
        <v>10</v>
      </c>
      <c r="F42" s="66"/>
      <c r="G42" s="66"/>
      <c r="H42" s="66"/>
      <c r="I42" s="66"/>
      <c r="J42" s="66"/>
      <c r="Q42">
        <v>25</v>
      </c>
      <c r="R42" t="s">
        <v>34</v>
      </c>
      <c r="S42" s="75">
        <v>10</v>
      </c>
      <c r="T42" s="66"/>
      <c r="U42" s="66"/>
      <c r="V42" s="66"/>
      <c r="W42" s="66"/>
      <c r="X42" s="66"/>
    </row>
    <row r="43" spans="3:29" x14ac:dyDescent="0.2">
      <c r="C43">
        <v>26</v>
      </c>
      <c r="D43" t="s">
        <v>35</v>
      </c>
      <c r="E43" s="76">
        <f>-1*(E36 / ((1/0.14)-(1/(0.14*(1+0.14)^E42))))</f>
        <v>-74890.42215655389</v>
      </c>
      <c r="F43" s="52"/>
      <c r="G43" s="52"/>
      <c r="H43" s="52"/>
      <c r="I43" s="52"/>
      <c r="J43" s="52"/>
      <c r="Q43">
        <v>26</v>
      </c>
      <c r="R43" t="s">
        <v>35</v>
      </c>
      <c r="S43" s="76">
        <f>-1*(S36 / ((1/0.14)-(1/(0.14*(1+0.14)^S42))))</f>
        <v>-181274.96500233788</v>
      </c>
      <c r="T43" s="52"/>
      <c r="U43" s="52"/>
      <c r="V43" s="52"/>
      <c r="W43" s="52"/>
      <c r="X43" s="52"/>
    </row>
    <row r="44" spans="3:29" ht="17" thickBot="1" x14ac:dyDescent="0.25">
      <c r="E44" s="66"/>
      <c r="F44" s="66"/>
      <c r="G44" s="66"/>
      <c r="H44" s="66"/>
      <c r="I44" s="66"/>
      <c r="J44" s="66"/>
      <c r="Q44"/>
      <c r="S44" s="66"/>
      <c r="T44" s="66"/>
      <c r="U44" s="66"/>
      <c r="V44" s="66"/>
      <c r="W44" s="66"/>
      <c r="X44" s="66"/>
    </row>
    <row r="45" spans="3:29" x14ac:dyDescent="0.2">
      <c r="D45" s="55" t="s">
        <v>36</v>
      </c>
      <c r="E45" s="77">
        <f>NPV(0.14,F33:O33)+E33</f>
        <v>390637.10276833235</v>
      </c>
      <c r="F45" s="52"/>
      <c r="G45" s="52"/>
      <c r="H45" s="52"/>
      <c r="I45" s="52"/>
      <c r="J45" s="52"/>
      <c r="Q45"/>
      <c r="R45" s="55" t="s">
        <v>36</v>
      </c>
      <c r="S45" s="77">
        <f>NPV(0.14,T33:AC33)+S33</f>
        <v>945551.18123001617</v>
      </c>
      <c r="T45" s="52"/>
      <c r="U45" s="52"/>
      <c r="V45" s="52"/>
      <c r="W45" s="52"/>
      <c r="X45" s="52"/>
    </row>
    <row r="46" spans="3:29" x14ac:dyDescent="0.2">
      <c r="D46" s="51" t="s">
        <v>37</v>
      </c>
      <c r="E46" s="78">
        <f>-E45/(SUM(F34:O34))</f>
        <v>-74890.422156553963</v>
      </c>
      <c r="F46" s="52"/>
      <c r="G46" s="52"/>
      <c r="H46" s="52"/>
      <c r="I46" s="52"/>
      <c r="J46" s="52"/>
      <c r="Q46"/>
      <c r="R46" s="51" t="s">
        <v>37</v>
      </c>
      <c r="S46" s="78">
        <f>-S45/(SUM(T34:AC34))</f>
        <v>-181274.96500233802</v>
      </c>
      <c r="T46" s="52"/>
      <c r="U46" s="52"/>
      <c r="V46" s="52"/>
      <c r="W46" s="52"/>
      <c r="X46" s="52"/>
    </row>
    <row r="47" spans="3:29" x14ac:dyDescent="0.2">
      <c r="D47" s="51" t="s">
        <v>38</v>
      </c>
      <c r="E47" s="79">
        <f>IRR(E33:O33)</f>
        <v>0.35767980217751916</v>
      </c>
      <c r="Q47"/>
      <c r="R47" s="51" t="s">
        <v>38</v>
      </c>
      <c r="S47" s="122" t="s">
        <v>13</v>
      </c>
    </row>
    <row r="48" spans="3:29" ht="17" thickBot="1" x14ac:dyDescent="0.25">
      <c r="D48" s="54" t="s">
        <v>39</v>
      </c>
      <c r="E48" s="80">
        <f>-E33/F30</f>
        <v>2.8485771448073915</v>
      </c>
      <c r="Q48"/>
      <c r="R48" s="54" t="s">
        <v>39</v>
      </c>
      <c r="S48" s="80">
        <f>-S33/T30</f>
        <v>-0.78509774054328507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6159-397D-0A48-B8D1-8785D2007C66}">
  <dimension ref="C1:AC48"/>
  <sheetViews>
    <sheetView topLeftCell="B1" zoomScaleNormal="100" workbookViewId="0">
      <selection activeCell="AC12" sqref="AC12"/>
    </sheetView>
  </sheetViews>
  <sheetFormatPr baseColWidth="10" defaultRowHeight="16" x14ac:dyDescent="0.2"/>
  <cols>
    <col min="1" max="1" width="3.1640625" bestFit="1" customWidth="1"/>
    <col min="2" max="2" width="4.1640625" customWidth="1"/>
    <col min="3" max="3" width="4.1640625" bestFit="1" customWidth="1"/>
    <col min="4" max="4" width="41.83203125" bestFit="1" customWidth="1"/>
    <col min="5" max="6" width="13.1640625" bestFit="1" customWidth="1"/>
    <col min="7" max="11" width="12.5" bestFit="1" customWidth="1"/>
    <col min="12" max="12" width="14" bestFit="1" customWidth="1"/>
    <col min="13" max="15" width="14" style="140" customWidth="1"/>
    <col min="16" max="16" width="10.83203125" customWidth="1"/>
    <col min="17" max="17" width="4.1640625" style="110" bestFit="1" customWidth="1"/>
    <col min="18" max="18" width="41.83203125" bestFit="1" customWidth="1"/>
    <col min="19" max="19" width="13.1640625" bestFit="1" customWidth="1"/>
    <col min="20" max="24" width="12.5" bestFit="1" customWidth="1"/>
    <col min="25" max="26" width="14" bestFit="1" customWidth="1"/>
    <col min="29" max="29" width="13.6640625" bestFit="1" customWidth="1"/>
  </cols>
  <sheetData>
    <row r="1" spans="3:29" ht="17" thickBot="1" x14ac:dyDescent="0.25"/>
    <row r="2" spans="3:29" x14ac:dyDescent="0.2">
      <c r="C2" s="55"/>
      <c r="D2" s="56"/>
      <c r="E2" s="57">
        <v>0</v>
      </c>
      <c r="F2" s="57">
        <v>1</v>
      </c>
      <c r="G2" s="57">
        <v>2</v>
      </c>
      <c r="H2" s="57">
        <v>3</v>
      </c>
      <c r="I2" s="57">
        <v>4</v>
      </c>
      <c r="J2" s="57">
        <v>5</v>
      </c>
      <c r="K2" s="57">
        <v>6</v>
      </c>
      <c r="L2" s="58">
        <v>7</v>
      </c>
      <c r="M2" s="141"/>
      <c r="N2" s="141"/>
      <c r="O2" s="141"/>
      <c r="Q2" s="55"/>
      <c r="R2" s="56"/>
      <c r="S2" s="57">
        <v>0</v>
      </c>
      <c r="T2" s="57">
        <v>1</v>
      </c>
      <c r="U2" s="57">
        <v>2</v>
      </c>
      <c r="V2" s="57">
        <v>3</v>
      </c>
      <c r="W2" s="57">
        <v>4</v>
      </c>
      <c r="X2" s="57">
        <v>5</v>
      </c>
      <c r="Y2" s="57">
        <v>6</v>
      </c>
      <c r="Z2" s="58">
        <v>7</v>
      </c>
    </row>
    <row r="3" spans="3:29" x14ac:dyDescent="0.2">
      <c r="C3" s="59"/>
      <c r="D3" s="114" t="s">
        <v>80</v>
      </c>
      <c r="E3" s="113"/>
      <c r="F3" s="113"/>
      <c r="G3" s="113"/>
      <c r="H3" s="113"/>
      <c r="I3" s="113"/>
      <c r="J3" s="113"/>
      <c r="K3" s="113"/>
      <c r="L3" s="62"/>
      <c r="M3" s="141"/>
      <c r="N3" s="141"/>
      <c r="O3" s="141"/>
      <c r="Q3" s="59"/>
      <c r="R3" s="114" t="s">
        <v>80</v>
      </c>
      <c r="S3" s="113"/>
      <c r="T3" s="113"/>
      <c r="U3" s="113"/>
      <c r="V3" s="113"/>
      <c r="W3" s="113"/>
      <c r="X3" s="113"/>
      <c r="Y3" s="113"/>
      <c r="Z3" s="62"/>
    </row>
    <row r="4" spans="3:29" x14ac:dyDescent="0.2">
      <c r="C4" s="51"/>
      <c r="D4" s="115" t="s">
        <v>79</v>
      </c>
      <c r="E4" s="63"/>
      <c r="F4" s="116"/>
      <c r="G4" s="116"/>
      <c r="H4" s="116"/>
      <c r="I4" s="116"/>
      <c r="J4" s="116"/>
      <c r="K4" s="116"/>
      <c r="L4" s="65"/>
      <c r="M4" s="112"/>
      <c r="N4" s="112"/>
      <c r="O4" s="112"/>
      <c r="Q4" s="51"/>
      <c r="R4" s="115" t="s">
        <v>79</v>
      </c>
      <c r="S4" s="63"/>
      <c r="T4" s="116"/>
      <c r="U4" s="116"/>
      <c r="V4" s="116"/>
      <c r="W4" s="116"/>
      <c r="X4" s="116"/>
      <c r="Y4" s="116"/>
      <c r="Z4" s="65"/>
    </row>
    <row r="5" spans="3:29" x14ac:dyDescent="0.2">
      <c r="C5" s="51">
        <v>1</v>
      </c>
      <c r="D5" s="110" t="s">
        <v>40</v>
      </c>
      <c r="E5" s="63">
        <v>332626</v>
      </c>
      <c r="F5" s="116"/>
      <c r="G5" s="116"/>
      <c r="H5" s="116"/>
      <c r="I5" s="116"/>
      <c r="J5" s="116"/>
      <c r="K5" s="116"/>
      <c r="L5" s="65">
        <f>-E5*1.03^L2</f>
        <v>-409088.02436081279</v>
      </c>
      <c r="M5" s="112"/>
      <c r="N5" s="112"/>
      <c r="O5" s="112"/>
      <c r="P5" s="107"/>
      <c r="Q5" s="51">
        <v>1</v>
      </c>
      <c r="R5" s="110" t="s">
        <v>40</v>
      </c>
      <c r="S5" s="63"/>
      <c r="T5" s="116"/>
      <c r="U5" s="116"/>
      <c r="V5" s="116"/>
      <c r="W5" s="116"/>
      <c r="X5" s="116"/>
      <c r="Y5" s="116"/>
      <c r="Z5" s="65">
        <f>-S5*1.03^Z2</f>
        <v>0</v>
      </c>
    </row>
    <row r="6" spans="3:29" x14ac:dyDescent="0.2">
      <c r="C6" s="51">
        <v>2</v>
      </c>
      <c r="D6" s="110" t="s">
        <v>24</v>
      </c>
      <c r="E6" s="63">
        <v>56000</v>
      </c>
      <c r="F6" s="116"/>
      <c r="G6" s="116"/>
      <c r="H6" s="63"/>
      <c r="I6" s="116"/>
      <c r="J6" s="116"/>
      <c r="K6" s="63"/>
      <c r="L6" s="65"/>
      <c r="M6" s="112"/>
      <c r="N6" s="112"/>
      <c r="O6" s="112"/>
      <c r="P6" s="108"/>
      <c r="Q6" s="51">
        <v>2</v>
      </c>
      <c r="R6" s="110" t="s">
        <v>24</v>
      </c>
      <c r="S6" s="63"/>
      <c r="T6" s="116"/>
      <c r="U6" s="116"/>
      <c r="V6" s="63"/>
      <c r="W6" s="116"/>
      <c r="X6" s="116"/>
      <c r="Y6" s="63"/>
      <c r="Z6" s="65"/>
    </row>
    <row r="7" spans="3:29" x14ac:dyDescent="0.2">
      <c r="C7" s="51">
        <v>3</v>
      </c>
      <c r="D7" s="110" t="s">
        <v>21</v>
      </c>
      <c r="E7" s="63">
        <v>10000</v>
      </c>
      <c r="F7" s="116"/>
      <c r="G7" s="116"/>
      <c r="H7" s="117"/>
      <c r="I7" s="116"/>
      <c r="J7" s="116"/>
      <c r="K7" s="117"/>
      <c r="L7" s="64"/>
      <c r="M7" s="141"/>
      <c r="N7" s="141"/>
      <c r="O7" s="141"/>
      <c r="P7" s="109"/>
      <c r="Q7" s="51">
        <v>3</v>
      </c>
      <c r="R7" s="110" t="s">
        <v>21</v>
      </c>
      <c r="S7" s="63"/>
      <c r="T7" s="116"/>
      <c r="U7" s="116"/>
      <c r="V7" s="117"/>
      <c r="W7" s="116"/>
      <c r="X7" s="116"/>
      <c r="Y7" s="117"/>
      <c r="Z7" s="64"/>
    </row>
    <row r="8" spans="3:29" ht="17" thickBot="1" x14ac:dyDescent="0.25">
      <c r="C8" s="51">
        <v>4</v>
      </c>
      <c r="D8" s="110" t="s">
        <v>99</v>
      </c>
      <c r="E8" s="63">
        <v>50000</v>
      </c>
      <c r="F8" s="63"/>
      <c r="G8" s="63"/>
      <c r="H8" s="63"/>
      <c r="I8" s="63"/>
      <c r="J8" s="63"/>
      <c r="K8" s="63"/>
      <c r="L8" s="65"/>
      <c r="M8" s="112"/>
      <c r="N8" s="112"/>
      <c r="O8" s="112"/>
      <c r="P8" s="109"/>
      <c r="Q8" s="51">
        <v>4</v>
      </c>
      <c r="R8" s="110" t="s">
        <v>101</v>
      </c>
      <c r="S8" s="63"/>
      <c r="T8" s="63"/>
      <c r="U8" s="63"/>
      <c r="V8" s="63"/>
      <c r="W8" s="63"/>
      <c r="X8" s="63"/>
      <c r="Y8" s="63"/>
      <c r="Z8" s="65"/>
    </row>
    <row r="9" spans="3:29" x14ac:dyDescent="0.2">
      <c r="C9" s="51"/>
      <c r="D9" s="115" t="s">
        <v>46</v>
      </c>
      <c r="E9" s="63"/>
      <c r="F9" s="116"/>
      <c r="G9" s="116"/>
      <c r="H9" s="116"/>
      <c r="I9" s="116"/>
      <c r="J9" s="116"/>
      <c r="K9" s="116"/>
      <c r="L9" s="65"/>
      <c r="M9" s="112"/>
      <c r="N9" s="112"/>
      <c r="O9" s="112"/>
      <c r="Q9" s="51"/>
      <c r="R9" s="115" t="s">
        <v>46</v>
      </c>
      <c r="S9" s="63"/>
      <c r="T9" s="116"/>
      <c r="U9" s="116"/>
      <c r="V9" s="116"/>
      <c r="W9" s="116"/>
      <c r="X9" s="116"/>
      <c r="Y9" s="116"/>
      <c r="Z9" s="65"/>
      <c r="AC9" s="133" t="s">
        <v>106</v>
      </c>
    </row>
    <row r="10" spans="3:29" ht="17" thickBot="1" x14ac:dyDescent="0.25">
      <c r="C10" s="51">
        <v>5</v>
      </c>
      <c r="D10" s="110" t="s">
        <v>77</v>
      </c>
      <c r="E10" s="63">
        <v>23700</v>
      </c>
      <c r="F10" s="116"/>
      <c r="G10" s="116"/>
      <c r="H10" s="116"/>
      <c r="I10" s="116"/>
      <c r="J10" s="116"/>
      <c r="K10" s="116"/>
      <c r="L10" s="65"/>
      <c r="M10" s="112"/>
      <c r="N10" s="112"/>
      <c r="O10" s="112"/>
      <c r="P10" s="107"/>
      <c r="Q10" s="51">
        <v>5</v>
      </c>
      <c r="R10" s="110" t="s">
        <v>77</v>
      </c>
      <c r="S10" s="63">
        <v>23700</v>
      </c>
      <c r="T10" s="116"/>
      <c r="U10" s="116"/>
      <c r="V10" s="116"/>
      <c r="W10" s="116"/>
      <c r="X10" s="116"/>
      <c r="Y10" s="116"/>
      <c r="Z10" s="65"/>
      <c r="AC10" s="134">
        <f>1+AC11</f>
        <v>1.2509999999999999</v>
      </c>
    </row>
    <row r="11" spans="3:29" x14ac:dyDescent="0.2">
      <c r="C11" s="51">
        <v>6</v>
      </c>
      <c r="D11" s="110" t="s">
        <v>78</v>
      </c>
      <c r="E11" s="63">
        <v>100000</v>
      </c>
      <c r="F11" s="116"/>
      <c r="G11" s="116"/>
      <c r="H11" s="63"/>
      <c r="I11" s="116"/>
      <c r="J11" s="116"/>
      <c r="K11" s="63"/>
      <c r="L11" s="65"/>
      <c r="M11" s="112"/>
      <c r="N11" s="112"/>
      <c r="O11" s="112"/>
      <c r="P11" s="108"/>
      <c r="Q11" s="51">
        <v>6</v>
      </c>
      <c r="R11" s="110" t="s">
        <v>78</v>
      </c>
      <c r="S11" s="63">
        <v>100000</v>
      </c>
      <c r="T11" s="116"/>
      <c r="U11" s="116"/>
      <c r="V11" s="63"/>
      <c r="W11" s="116"/>
      <c r="X11" s="116"/>
      <c r="Y11" s="63"/>
      <c r="Z11" s="65"/>
      <c r="AC11" s="52">
        <v>0.251</v>
      </c>
    </row>
    <row r="12" spans="3:29" x14ac:dyDescent="0.2">
      <c r="C12" s="51">
        <v>6.1</v>
      </c>
      <c r="D12" s="115" t="s">
        <v>84</v>
      </c>
      <c r="E12" s="63">
        <f>-E5-E6-E7-E8+E10+E11</f>
        <v>-324926</v>
      </c>
      <c r="F12" s="63"/>
      <c r="G12" s="63"/>
      <c r="H12" s="63"/>
      <c r="I12" s="63"/>
      <c r="J12" s="63"/>
      <c r="K12" s="63"/>
      <c r="L12" s="65">
        <f t="shared" ref="L12" si="0">-L5-L6-L7-L8+L10+L11</f>
        <v>409088.02436081279</v>
      </c>
      <c r="M12" s="112"/>
      <c r="N12" s="112"/>
      <c r="O12" s="112"/>
      <c r="Q12" s="51">
        <v>6.1</v>
      </c>
      <c r="R12" s="115" t="s">
        <v>84</v>
      </c>
      <c r="S12" s="63">
        <f>-S5-S6-S7-S8+S10+S11</f>
        <v>123700</v>
      </c>
      <c r="T12" s="63"/>
      <c r="U12" s="63"/>
      <c r="V12" s="63"/>
      <c r="W12" s="63"/>
      <c r="X12" s="63"/>
      <c r="Y12" s="63"/>
      <c r="Z12" s="65">
        <f t="shared" ref="Z12" si="1">-Z5-Z6-Z7-Z8+Z10+Z11</f>
        <v>0</v>
      </c>
      <c r="AC12" s="110" t="s">
        <v>110</v>
      </c>
    </row>
    <row r="13" spans="3:29" x14ac:dyDescent="0.2">
      <c r="C13" s="51"/>
      <c r="D13" s="110"/>
      <c r="E13" s="63"/>
      <c r="F13" s="116"/>
      <c r="G13" s="116"/>
      <c r="H13" s="116"/>
      <c r="I13" s="116"/>
      <c r="J13" s="116"/>
      <c r="K13" s="116"/>
      <c r="L13" s="64"/>
      <c r="M13" s="141"/>
      <c r="N13" s="141"/>
      <c r="O13" s="141"/>
      <c r="Q13" s="51"/>
      <c r="R13" s="110"/>
      <c r="S13" s="63"/>
      <c r="T13" s="116"/>
      <c r="U13" s="116"/>
      <c r="V13" s="116"/>
      <c r="W13" s="116"/>
      <c r="X13" s="116"/>
      <c r="Y13" s="116"/>
      <c r="Z13" s="64"/>
    </row>
    <row r="14" spans="3:29" x14ac:dyDescent="0.2">
      <c r="C14" s="59"/>
      <c r="D14" s="114" t="s">
        <v>74</v>
      </c>
      <c r="E14" s="67"/>
      <c r="F14" s="113"/>
      <c r="G14" s="113"/>
      <c r="H14" s="113"/>
      <c r="I14" s="113"/>
      <c r="J14" s="113"/>
      <c r="K14" s="113"/>
      <c r="L14" s="62"/>
      <c r="M14" s="141"/>
      <c r="N14" s="141"/>
      <c r="O14" s="141"/>
      <c r="Q14" s="59"/>
      <c r="R14" s="114" t="s">
        <v>74</v>
      </c>
      <c r="S14" s="67"/>
      <c r="T14" s="113"/>
      <c r="U14" s="113"/>
      <c r="V14" s="113"/>
      <c r="W14" s="113"/>
      <c r="X14" s="113"/>
      <c r="Y14" s="113"/>
      <c r="Z14" s="62"/>
    </row>
    <row r="15" spans="3:29" x14ac:dyDescent="0.2">
      <c r="C15" s="51"/>
      <c r="D15" s="120" t="s">
        <v>88</v>
      </c>
      <c r="E15" s="63"/>
      <c r="F15" s="116"/>
      <c r="G15" s="116"/>
      <c r="H15" s="116"/>
      <c r="I15" s="116"/>
      <c r="J15" s="116"/>
      <c r="K15" s="116"/>
      <c r="L15" s="64"/>
      <c r="M15" s="141"/>
      <c r="N15" s="141"/>
      <c r="O15" s="141"/>
      <c r="Q15" s="51"/>
      <c r="R15" s="120" t="s">
        <v>88</v>
      </c>
      <c r="S15" s="63"/>
      <c r="T15" s="116"/>
      <c r="U15" s="116"/>
      <c r="V15" s="116"/>
      <c r="W15" s="116"/>
      <c r="X15" s="116"/>
      <c r="Y15" s="116"/>
      <c r="Z15" s="64"/>
    </row>
    <row r="16" spans="3:29" x14ac:dyDescent="0.2">
      <c r="C16" s="51">
        <v>7</v>
      </c>
      <c r="D16" s="110" t="s">
        <v>95</v>
      </c>
      <c r="E16" s="63"/>
      <c r="F16" s="63">
        <f>188721.55</f>
        <v>188721.55</v>
      </c>
      <c r="G16" s="63">
        <f>188721.55*$AC$10^(G2-1)</f>
        <v>236090.65904999996</v>
      </c>
      <c r="H16" s="63">
        <f>188721.55*$AC$10^(H2-1)</f>
        <v>295349.41447154991</v>
      </c>
      <c r="I16" s="63">
        <f>188721.55*$AC$10^(I2-1)</f>
        <v>369482.11750390893</v>
      </c>
      <c r="J16" s="63">
        <f>188721.55*$AC$10^(J2-1)</f>
        <v>462222.12899738998</v>
      </c>
      <c r="K16" s="63">
        <f>188721.55*$AC$10^(K2-1)</f>
        <v>578239.88337573491</v>
      </c>
      <c r="L16" s="65">
        <f>188721.55*$AC$10^(L2-1)</f>
        <v>723378.09410304425</v>
      </c>
      <c r="M16" s="112"/>
      <c r="N16" s="112"/>
      <c r="O16" s="112"/>
      <c r="Q16" s="51">
        <v>7</v>
      </c>
      <c r="R16" s="110" t="s">
        <v>95</v>
      </c>
      <c r="S16" s="63"/>
      <c r="T16" s="63">
        <v>157975</v>
      </c>
      <c r="U16" s="63">
        <v>157975</v>
      </c>
      <c r="V16" s="63">
        <v>157975</v>
      </c>
      <c r="W16" s="63">
        <v>157975</v>
      </c>
      <c r="X16" s="63">
        <v>157975</v>
      </c>
      <c r="Y16" s="63">
        <v>157975</v>
      </c>
      <c r="Z16" s="65">
        <v>157975</v>
      </c>
    </row>
    <row r="17" spans="3:26" x14ac:dyDescent="0.2">
      <c r="C17" s="51">
        <v>8</v>
      </c>
      <c r="D17" s="110" t="s">
        <v>75</v>
      </c>
      <c r="E17" s="63"/>
      <c r="F17" s="63">
        <v>13000</v>
      </c>
      <c r="G17" s="63">
        <v>13000</v>
      </c>
      <c r="H17" s="63">
        <v>13000</v>
      </c>
      <c r="I17" s="63">
        <v>13000</v>
      </c>
      <c r="J17" s="63">
        <v>13000</v>
      </c>
      <c r="K17" s="63">
        <v>13000</v>
      </c>
      <c r="L17" s="65">
        <v>13000</v>
      </c>
      <c r="M17" s="112"/>
      <c r="N17" s="112"/>
      <c r="O17" s="112"/>
      <c r="Q17" s="51">
        <v>8</v>
      </c>
      <c r="R17" s="110" t="s">
        <v>75</v>
      </c>
      <c r="S17" s="63"/>
      <c r="T17" s="63">
        <v>13000</v>
      </c>
      <c r="U17" s="63">
        <v>13000</v>
      </c>
      <c r="V17" s="63">
        <v>13000</v>
      </c>
      <c r="W17" s="63">
        <v>13000</v>
      </c>
      <c r="X17" s="63">
        <v>13000</v>
      </c>
      <c r="Y17" s="63">
        <v>13000</v>
      </c>
      <c r="Z17" s="65">
        <v>13000</v>
      </c>
    </row>
    <row r="18" spans="3:26" x14ac:dyDescent="0.2">
      <c r="C18" s="51">
        <v>9</v>
      </c>
      <c r="D18" s="110" t="s">
        <v>76</v>
      </c>
      <c r="E18" s="63"/>
      <c r="F18" s="63">
        <v>30000</v>
      </c>
      <c r="G18" s="63">
        <v>30000</v>
      </c>
      <c r="H18" s="63">
        <v>30000</v>
      </c>
      <c r="I18" s="63">
        <v>30000</v>
      </c>
      <c r="J18" s="63">
        <v>30000</v>
      </c>
      <c r="K18" s="63">
        <v>30000</v>
      </c>
      <c r="L18" s="65">
        <v>30000</v>
      </c>
      <c r="M18" s="112"/>
      <c r="N18" s="112"/>
      <c r="O18" s="112"/>
      <c r="Q18" s="51">
        <v>9</v>
      </c>
      <c r="R18" s="110" t="s">
        <v>76</v>
      </c>
      <c r="S18" s="63"/>
      <c r="T18" s="63">
        <v>30000</v>
      </c>
      <c r="U18" s="63">
        <v>30000</v>
      </c>
      <c r="V18" s="63">
        <v>30000</v>
      </c>
      <c r="W18" s="63">
        <v>30000</v>
      </c>
      <c r="X18" s="63">
        <v>30000</v>
      </c>
      <c r="Y18" s="63">
        <v>30000</v>
      </c>
      <c r="Z18" s="65">
        <v>30000</v>
      </c>
    </row>
    <row r="19" spans="3:26" x14ac:dyDescent="0.2">
      <c r="C19" s="111">
        <v>10</v>
      </c>
      <c r="D19" s="110" t="s">
        <v>82</v>
      </c>
      <c r="E19" s="110"/>
      <c r="F19" s="112">
        <v>61625</v>
      </c>
      <c r="G19" s="112">
        <v>61625</v>
      </c>
      <c r="H19" s="112">
        <v>61625</v>
      </c>
      <c r="I19" s="112">
        <v>61625</v>
      </c>
      <c r="J19" s="112">
        <v>61625</v>
      </c>
      <c r="K19" s="112">
        <v>61625</v>
      </c>
      <c r="L19" s="118">
        <v>61625</v>
      </c>
      <c r="M19" s="112"/>
      <c r="N19" s="112"/>
      <c r="O19" s="112"/>
      <c r="Q19" s="111">
        <v>10</v>
      </c>
      <c r="R19" s="110" t="s">
        <v>82</v>
      </c>
      <c r="S19" s="110"/>
      <c r="T19" s="112">
        <v>61625</v>
      </c>
      <c r="U19" s="112">
        <v>61625</v>
      </c>
      <c r="V19" s="112">
        <v>61625</v>
      </c>
      <c r="W19" s="112">
        <v>61625</v>
      </c>
      <c r="X19" s="112">
        <v>61625</v>
      </c>
      <c r="Y19" s="112">
        <v>61625</v>
      </c>
      <c r="Z19" s="118">
        <v>61625</v>
      </c>
    </row>
    <row r="20" spans="3:26" x14ac:dyDescent="0.2">
      <c r="C20" s="51">
        <v>11</v>
      </c>
      <c r="D20" s="110" t="s">
        <v>81</v>
      </c>
      <c r="E20" s="63"/>
      <c r="F20" s="117">
        <v>30812.5</v>
      </c>
      <c r="G20" s="117">
        <v>30812.5</v>
      </c>
      <c r="H20" s="117">
        <v>30812.5</v>
      </c>
      <c r="I20" s="117">
        <v>30812.5</v>
      </c>
      <c r="J20" s="117">
        <v>30812.5</v>
      </c>
      <c r="K20" s="117">
        <v>30812.5</v>
      </c>
      <c r="L20" s="53">
        <v>30812.5</v>
      </c>
      <c r="M20" s="142"/>
      <c r="N20" s="142"/>
      <c r="O20" s="142"/>
      <c r="Q20" s="51">
        <v>11</v>
      </c>
      <c r="R20" s="110" t="s">
        <v>81</v>
      </c>
      <c r="S20" s="63"/>
      <c r="T20" s="117"/>
      <c r="U20" s="117"/>
      <c r="V20" s="117"/>
      <c r="W20" s="117"/>
      <c r="X20" s="117"/>
      <c r="Y20" s="117"/>
      <c r="Z20" s="53"/>
    </row>
    <row r="21" spans="3:26" x14ac:dyDescent="0.2">
      <c r="C21" s="51"/>
      <c r="D21" s="120" t="s">
        <v>83</v>
      </c>
      <c r="E21" s="63"/>
      <c r="F21" s="117"/>
      <c r="G21" s="117"/>
      <c r="H21" s="117"/>
      <c r="I21" s="117"/>
      <c r="J21" s="117"/>
      <c r="K21" s="117"/>
      <c r="L21" s="53"/>
      <c r="M21" s="142"/>
      <c r="N21" s="142"/>
      <c r="O21" s="142"/>
      <c r="Q21" s="51"/>
      <c r="R21" s="120" t="s">
        <v>83</v>
      </c>
      <c r="S21" s="63"/>
      <c r="T21" s="117"/>
      <c r="U21" s="117"/>
      <c r="V21" s="117"/>
      <c r="W21" s="117"/>
      <c r="X21" s="117"/>
      <c r="Y21" s="117"/>
      <c r="Z21" s="53"/>
    </row>
    <row r="22" spans="3:26" x14ac:dyDescent="0.2">
      <c r="C22" s="51">
        <v>12</v>
      </c>
      <c r="D22" s="110" t="s">
        <v>100</v>
      </c>
      <c r="E22" s="63"/>
      <c r="F22" s="117">
        <f>$E$5/7</f>
        <v>47518</v>
      </c>
      <c r="G22" s="117">
        <f t="shared" ref="G22:L22" si="2">$E$5/7</f>
        <v>47518</v>
      </c>
      <c r="H22" s="117">
        <f t="shared" si="2"/>
        <v>47518</v>
      </c>
      <c r="I22" s="117">
        <f t="shared" si="2"/>
        <v>47518</v>
      </c>
      <c r="J22" s="117">
        <f t="shared" si="2"/>
        <v>47518</v>
      </c>
      <c r="K22" s="117">
        <f t="shared" si="2"/>
        <v>47518</v>
      </c>
      <c r="L22" s="53">
        <f t="shared" si="2"/>
        <v>47518</v>
      </c>
      <c r="M22" s="142"/>
      <c r="N22" s="142"/>
      <c r="O22" s="142"/>
      <c r="Q22" s="51">
        <v>12</v>
      </c>
      <c r="R22" s="110" t="s">
        <v>100</v>
      </c>
      <c r="S22" s="63"/>
      <c r="T22" s="117"/>
      <c r="U22" s="117"/>
      <c r="V22" s="117"/>
      <c r="W22" s="117"/>
      <c r="X22" s="117"/>
      <c r="Y22" s="117"/>
      <c r="Z22" s="53"/>
    </row>
    <row r="23" spans="3:26" x14ac:dyDescent="0.2">
      <c r="C23" s="51">
        <v>13</v>
      </c>
      <c r="D23" s="119" t="s">
        <v>85</v>
      </c>
      <c r="E23" s="63"/>
      <c r="F23" s="117">
        <v>65000</v>
      </c>
      <c r="G23" s="117">
        <v>65000</v>
      </c>
      <c r="H23" s="117">
        <v>65000</v>
      </c>
      <c r="I23" s="117">
        <v>65000</v>
      </c>
      <c r="J23" s="117">
        <v>65000</v>
      </c>
      <c r="K23" s="117">
        <v>65000</v>
      </c>
      <c r="L23" s="53">
        <v>65000</v>
      </c>
      <c r="M23" s="142"/>
      <c r="N23" s="142"/>
      <c r="O23" s="142"/>
      <c r="Q23" s="51">
        <v>13</v>
      </c>
      <c r="R23" s="119" t="s">
        <v>85</v>
      </c>
      <c r="S23" s="63"/>
      <c r="T23" s="117"/>
      <c r="U23" s="117"/>
      <c r="V23" s="117"/>
      <c r="W23" s="117"/>
      <c r="X23" s="117"/>
      <c r="Y23" s="117"/>
      <c r="Z23" s="53"/>
    </row>
    <row r="24" spans="3:26" x14ac:dyDescent="0.2">
      <c r="C24" s="51">
        <v>14</v>
      </c>
      <c r="D24" s="119" t="s">
        <v>86</v>
      </c>
      <c r="E24" s="63"/>
      <c r="F24" s="117">
        <v>60816</v>
      </c>
      <c r="G24" s="117">
        <v>60816</v>
      </c>
      <c r="H24" s="117">
        <v>60816</v>
      </c>
      <c r="I24" s="117">
        <v>60816</v>
      </c>
      <c r="J24" s="117">
        <v>60816</v>
      </c>
      <c r="K24" s="117">
        <v>60816</v>
      </c>
      <c r="L24" s="53">
        <v>60816</v>
      </c>
      <c r="M24" s="142"/>
      <c r="N24" s="142"/>
      <c r="O24" s="142"/>
      <c r="Q24" s="51">
        <v>14</v>
      </c>
      <c r="R24" s="119" t="s">
        <v>86</v>
      </c>
      <c r="S24" s="63"/>
      <c r="T24" s="117"/>
      <c r="U24" s="117"/>
      <c r="V24" s="117"/>
      <c r="W24" s="117"/>
      <c r="X24" s="117"/>
      <c r="Y24" s="117"/>
      <c r="Z24" s="53"/>
    </row>
    <row r="25" spans="3:26" x14ac:dyDescent="0.2">
      <c r="C25" s="51">
        <v>15</v>
      </c>
      <c r="D25" s="119" t="s">
        <v>87</v>
      </c>
      <c r="E25" s="63"/>
      <c r="F25" s="117">
        <v>30408</v>
      </c>
      <c r="G25" s="117">
        <v>30408</v>
      </c>
      <c r="H25" s="117">
        <v>30408</v>
      </c>
      <c r="I25" s="117">
        <v>30408</v>
      </c>
      <c r="J25" s="117">
        <v>30408</v>
      </c>
      <c r="K25" s="117">
        <v>30408</v>
      </c>
      <c r="L25" s="53">
        <v>30408</v>
      </c>
      <c r="M25" s="142"/>
      <c r="N25" s="142"/>
      <c r="O25" s="142"/>
      <c r="Q25" s="51">
        <v>15</v>
      </c>
      <c r="R25" s="119" t="s">
        <v>87</v>
      </c>
      <c r="S25" s="63"/>
      <c r="T25" s="117"/>
      <c r="U25" s="117"/>
      <c r="V25" s="117"/>
      <c r="W25" s="117"/>
      <c r="X25" s="117"/>
      <c r="Y25" s="117"/>
      <c r="Z25" s="53"/>
    </row>
    <row r="26" spans="3:26" x14ac:dyDescent="0.2">
      <c r="C26" s="51"/>
      <c r="D26" s="120" t="s">
        <v>89</v>
      </c>
      <c r="E26" s="63"/>
      <c r="F26" s="117"/>
      <c r="G26" s="117"/>
      <c r="H26" s="117"/>
      <c r="I26" s="117"/>
      <c r="J26" s="117"/>
      <c r="K26" s="117"/>
      <c r="L26" s="53"/>
      <c r="M26" s="142"/>
      <c r="N26" s="142"/>
      <c r="O26" s="142"/>
      <c r="Q26" s="51"/>
      <c r="R26" s="120" t="s">
        <v>89</v>
      </c>
      <c r="S26" s="63"/>
      <c r="T26" s="117"/>
      <c r="U26" s="117"/>
      <c r="V26" s="117"/>
      <c r="W26" s="117"/>
      <c r="X26" s="117"/>
      <c r="Y26" s="117"/>
      <c r="Z26" s="53"/>
    </row>
    <row r="27" spans="3:26" x14ac:dyDescent="0.2">
      <c r="C27" s="51">
        <v>16</v>
      </c>
      <c r="D27" s="110" t="s">
        <v>90</v>
      </c>
      <c r="E27" s="63"/>
      <c r="F27" s="63">
        <f>SUM(F16:F20)-SUM(F22:F25)</f>
        <v>120417.04999999999</v>
      </c>
      <c r="G27" s="63">
        <f t="shared" ref="G27:L27" si="3">SUM(G16:G20)-SUM(G22:G25)</f>
        <v>167786.15904999996</v>
      </c>
      <c r="H27" s="63">
        <f t="shared" si="3"/>
        <v>227044.91447154991</v>
      </c>
      <c r="I27" s="63">
        <f t="shared" si="3"/>
        <v>301177.61750390893</v>
      </c>
      <c r="J27" s="63">
        <f t="shared" si="3"/>
        <v>393917.62899738993</v>
      </c>
      <c r="K27" s="63">
        <f t="shared" si="3"/>
        <v>509935.38337573491</v>
      </c>
      <c r="L27" s="65">
        <f t="shared" si="3"/>
        <v>655073.59410304425</v>
      </c>
      <c r="M27" s="112"/>
      <c r="N27" s="112"/>
      <c r="O27" s="112"/>
      <c r="Q27" s="51">
        <v>16</v>
      </c>
      <c r="R27" s="110" t="s">
        <v>90</v>
      </c>
      <c r="S27" s="63"/>
      <c r="T27" s="63">
        <f>SUM(T16:T20)-SUM(T22:T25)</f>
        <v>262600</v>
      </c>
      <c r="U27" s="63">
        <f t="shared" ref="U27:Z27" si="4">SUM(U16:U20)-SUM(U22:U25)</f>
        <v>262600</v>
      </c>
      <c r="V27" s="63">
        <f t="shared" si="4"/>
        <v>262600</v>
      </c>
      <c r="W27" s="63">
        <f t="shared" si="4"/>
        <v>262600</v>
      </c>
      <c r="X27" s="63">
        <f t="shared" si="4"/>
        <v>262600</v>
      </c>
      <c r="Y27" s="63">
        <f t="shared" si="4"/>
        <v>262600</v>
      </c>
      <c r="Z27" s="65">
        <f t="shared" si="4"/>
        <v>262600</v>
      </c>
    </row>
    <row r="28" spans="3:26" x14ac:dyDescent="0.2">
      <c r="C28" s="51">
        <v>17</v>
      </c>
      <c r="D28" s="110" t="s">
        <v>91</v>
      </c>
      <c r="E28" s="63"/>
      <c r="F28" s="63">
        <f>0.4*F27</f>
        <v>48166.82</v>
      </c>
      <c r="G28" s="63">
        <f t="shared" ref="G28:L28" si="5">0.4*G27</f>
        <v>67114.46361999998</v>
      </c>
      <c r="H28" s="63">
        <f t="shared" si="5"/>
        <v>90817.965788619971</v>
      </c>
      <c r="I28" s="63">
        <f t="shared" si="5"/>
        <v>120471.04700156358</v>
      </c>
      <c r="J28" s="63">
        <f t="shared" si="5"/>
        <v>157567.05159895599</v>
      </c>
      <c r="K28" s="63">
        <f t="shared" si="5"/>
        <v>203974.15335029399</v>
      </c>
      <c r="L28" s="65">
        <f t="shared" si="5"/>
        <v>262029.43764121772</v>
      </c>
      <c r="M28" s="112"/>
      <c r="N28" s="112"/>
      <c r="O28" s="112"/>
      <c r="Q28" s="51">
        <v>17</v>
      </c>
      <c r="R28" s="110" t="s">
        <v>91</v>
      </c>
      <c r="S28" s="63"/>
      <c r="T28" s="63">
        <f>0.4*T27</f>
        <v>105040</v>
      </c>
      <c r="U28" s="63">
        <f t="shared" ref="U28" si="6">0.4*U27</f>
        <v>105040</v>
      </c>
      <c r="V28" s="63">
        <f t="shared" ref="V28" si="7">0.4*V27</f>
        <v>105040</v>
      </c>
      <c r="W28" s="63">
        <f t="shared" ref="W28" si="8">0.4*W27</f>
        <v>105040</v>
      </c>
      <c r="X28" s="63">
        <f t="shared" ref="X28" si="9">0.4*X27</f>
        <v>105040</v>
      </c>
      <c r="Y28" s="63">
        <f t="shared" ref="Y28" si="10">0.4*Y27</f>
        <v>105040</v>
      </c>
      <c r="Z28" s="65">
        <f t="shared" ref="Z28" si="11">0.4*Z27</f>
        <v>105040</v>
      </c>
    </row>
    <row r="29" spans="3:26" x14ac:dyDescent="0.2">
      <c r="C29" s="51">
        <v>18</v>
      </c>
      <c r="D29" s="110" t="s">
        <v>92</v>
      </c>
      <c r="E29" s="63"/>
      <c r="F29" s="63">
        <f t="shared" ref="F29:L29" si="12">F27-F28</f>
        <v>72250.229999999981</v>
      </c>
      <c r="G29" s="63">
        <f t="shared" si="12"/>
        <v>100671.69542999998</v>
      </c>
      <c r="H29" s="63">
        <f t="shared" si="12"/>
        <v>136226.94868292994</v>
      </c>
      <c r="I29" s="63">
        <f t="shared" si="12"/>
        <v>180706.57050234533</v>
      </c>
      <c r="J29" s="63">
        <f t="shared" si="12"/>
        <v>236350.57739843393</v>
      </c>
      <c r="K29" s="63">
        <f t="shared" si="12"/>
        <v>305961.23002544092</v>
      </c>
      <c r="L29" s="65">
        <f t="shared" si="12"/>
        <v>393044.15646182653</v>
      </c>
      <c r="M29" s="112"/>
      <c r="N29" s="112"/>
      <c r="O29" s="112"/>
      <c r="Q29" s="51">
        <v>18</v>
      </c>
      <c r="R29" s="110" t="s">
        <v>92</v>
      </c>
      <c r="S29" s="63"/>
      <c r="T29" s="63">
        <f t="shared" ref="T29:Z29" si="13">T27-T28</f>
        <v>157560</v>
      </c>
      <c r="U29" s="63">
        <f t="shared" si="13"/>
        <v>157560</v>
      </c>
      <c r="V29" s="63">
        <f t="shared" si="13"/>
        <v>157560</v>
      </c>
      <c r="W29" s="63">
        <f t="shared" si="13"/>
        <v>157560</v>
      </c>
      <c r="X29" s="63">
        <f t="shared" si="13"/>
        <v>157560</v>
      </c>
      <c r="Y29" s="63">
        <f t="shared" si="13"/>
        <v>157560</v>
      </c>
      <c r="Z29" s="65">
        <f t="shared" si="13"/>
        <v>157560</v>
      </c>
    </row>
    <row r="30" spans="3:26" x14ac:dyDescent="0.2">
      <c r="C30" s="51">
        <v>19</v>
      </c>
      <c r="D30" s="110" t="s">
        <v>93</v>
      </c>
      <c r="E30" s="121"/>
      <c r="F30" s="68">
        <f>F22+F29</f>
        <v>119768.22999999998</v>
      </c>
      <c r="G30" s="68">
        <f t="shared" ref="G30:L30" si="14">G22+G29</f>
        <v>148189.69542999996</v>
      </c>
      <c r="H30" s="68">
        <f t="shared" si="14"/>
        <v>183744.94868292994</v>
      </c>
      <c r="I30" s="68">
        <f t="shared" si="14"/>
        <v>228224.57050234533</v>
      </c>
      <c r="J30" s="68">
        <f t="shared" si="14"/>
        <v>283868.57739843393</v>
      </c>
      <c r="K30" s="68">
        <f t="shared" si="14"/>
        <v>353479.23002544092</v>
      </c>
      <c r="L30" s="69">
        <f t="shared" si="14"/>
        <v>440562.15646182653</v>
      </c>
      <c r="M30" s="143"/>
      <c r="N30" s="143"/>
      <c r="O30" s="143"/>
      <c r="Q30" s="51">
        <v>19</v>
      </c>
      <c r="R30" s="110" t="s">
        <v>93</v>
      </c>
      <c r="S30" s="68"/>
      <c r="T30" s="68">
        <f t="shared" ref="T30" si="15">T22+T29+T12</f>
        <v>157560</v>
      </c>
      <c r="U30" s="68">
        <f t="shared" ref="U30" si="16">U22+U29+U12</f>
        <v>157560</v>
      </c>
      <c r="V30" s="68">
        <f t="shared" ref="V30" si="17">V22+V29+V12</f>
        <v>157560</v>
      </c>
      <c r="W30" s="68">
        <f t="shared" ref="W30" si="18">W22+W29+W12</f>
        <v>157560</v>
      </c>
      <c r="X30" s="68">
        <f t="shared" ref="X30" si="19">X22+X29+X12</f>
        <v>157560</v>
      </c>
      <c r="Y30" s="68">
        <f t="shared" ref="Y30" si="20">Y22+Y29+Y12</f>
        <v>157560</v>
      </c>
      <c r="Z30" s="69">
        <f t="shared" ref="Z30" si="21">Z22+Z29+Z12</f>
        <v>157560</v>
      </c>
    </row>
    <row r="31" spans="3:26" x14ac:dyDescent="0.2">
      <c r="C31" s="51"/>
      <c r="D31" s="110"/>
      <c r="E31" s="116"/>
      <c r="F31" s="116"/>
      <c r="G31" s="116"/>
      <c r="H31" s="116"/>
      <c r="I31" s="116"/>
      <c r="J31" s="116"/>
      <c r="K31" s="116"/>
      <c r="L31" s="64"/>
      <c r="M31" s="141"/>
      <c r="N31" s="141"/>
      <c r="O31" s="141"/>
      <c r="Q31" s="51"/>
      <c r="R31" s="110"/>
      <c r="S31" s="116"/>
      <c r="T31" s="116"/>
      <c r="U31" s="116"/>
      <c r="V31" s="116"/>
      <c r="W31" s="116"/>
      <c r="X31" s="116"/>
      <c r="Y31" s="116"/>
      <c r="Z31" s="64"/>
    </row>
    <row r="32" spans="3:26" x14ac:dyDescent="0.2">
      <c r="C32" s="59"/>
      <c r="D32" s="114" t="s">
        <v>29</v>
      </c>
      <c r="E32" s="113"/>
      <c r="F32" s="113"/>
      <c r="G32" s="113"/>
      <c r="H32" s="113"/>
      <c r="I32" s="113"/>
      <c r="J32" s="113"/>
      <c r="K32" s="113"/>
      <c r="L32" s="62"/>
      <c r="M32" s="141"/>
      <c r="N32" s="141"/>
      <c r="O32" s="141"/>
      <c r="Q32" s="59"/>
      <c r="R32" s="114" t="s">
        <v>29</v>
      </c>
      <c r="S32" s="113"/>
      <c r="T32" s="113"/>
      <c r="U32" s="113"/>
      <c r="V32" s="113"/>
      <c r="W32" s="113"/>
      <c r="X32" s="113"/>
      <c r="Y32" s="113"/>
      <c r="Z32" s="62"/>
    </row>
    <row r="33" spans="3:26" x14ac:dyDescent="0.2">
      <c r="C33" s="51">
        <v>20</v>
      </c>
      <c r="D33" s="110" t="s">
        <v>94</v>
      </c>
      <c r="E33" s="123">
        <f>E12+E30</f>
        <v>-324926</v>
      </c>
      <c r="F33" s="124">
        <f t="shared" ref="F33:L33" si="22">F12+F30</f>
        <v>119768.22999999998</v>
      </c>
      <c r="G33" s="124">
        <f t="shared" si="22"/>
        <v>148189.69542999996</v>
      </c>
      <c r="H33" s="124">
        <f t="shared" si="22"/>
        <v>183744.94868292994</v>
      </c>
      <c r="I33" s="124">
        <f t="shared" si="22"/>
        <v>228224.57050234533</v>
      </c>
      <c r="J33" s="124">
        <f t="shared" si="22"/>
        <v>283868.57739843393</v>
      </c>
      <c r="K33" s="124">
        <f t="shared" si="22"/>
        <v>353479.23002544092</v>
      </c>
      <c r="L33" s="125">
        <f t="shared" si="22"/>
        <v>849650.18082263926</v>
      </c>
      <c r="M33" s="144"/>
      <c r="N33" s="144"/>
      <c r="O33" s="144"/>
      <c r="Q33" s="51">
        <v>20</v>
      </c>
      <c r="R33" s="110" t="s">
        <v>94</v>
      </c>
      <c r="S33" s="124">
        <f>S12</f>
        <v>123700</v>
      </c>
      <c r="T33" s="124">
        <f t="shared" ref="T33:Z33" si="23">T30+T8</f>
        <v>157560</v>
      </c>
      <c r="U33" s="124">
        <f t="shared" si="23"/>
        <v>157560</v>
      </c>
      <c r="V33" s="124">
        <f t="shared" si="23"/>
        <v>157560</v>
      </c>
      <c r="W33" s="124">
        <f t="shared" si="23"/>
        <v>157560</v>
      </c>
      <c r="X33" s="124">
        <f t="shared" si="23"/>
        <v>157560</v>
      </c>
      <c r="Y33" s="124">
        <f t="shared" si="23"/>
        <v>157560</v>
      </c>
      <c r="Z33" s="125">
        <f t="shared" si="23"/>
        <v>157560</v>
      </c>
    </row>
    <row r="34" spans="3:26" x14ac:dyDescent="0.2">
      <c r="C34" s="51">
        <v>21</v>
      </c>
      <c r="D34" s="110" t="s">
        <v>30</v>
      </c>
      <c r="E34" s="116">
        <f>(1/(1+0.14)^E2)</f>
        <v>1</v>
      </c>
      <c r="F34" s="116">
        <f t="shared" ref="F34:L34" si="24">(1/(1+0.14)^F2)</f>
        <v>0.8771929824561403</v>
      </c>
      <c r="G34" s="116">
        <f t="shared" si="24"/>
        <v>0.76946752847029842</v>
      </c>
      <c r="H34" s="116">
        <f t="shared" si="24"/>
        <v>0.67497151620201612</v>
      </c>
      <c r="I34" s="116">
        <f t="shared" si="24"/>
        <v>0.59208027737018942</v>
      </c>
      <c r="J34" s="116">
        <f t="shared" si="24"/>
        <v>0.51936866435981521</v>
      </c>
      <c r="K34" s="116">
        <f t="shared" si="24"/>
        <v>0.45558654768404844</v>
      </c>
      <c r="L34" s="64">
        <f t="shared" si="24"/>
        <v>0.39963732252986695</v>
      </c>
      <c r="M34" s="141"/>
      <c r="N34" s="141"/>
      <c r="O34" s="141"/>
      <c r="Q34" s="51">
        <v>21</v>
      </c>
      <c r="R34" s="110" t="s">
        <v>30</v>
      </c>
      <c r="S34" s="116">
        <f>(1/(1+0.14)^S2)</f>
        <v>1</v>
      </c>
      <c r="T34" s="116">
        <f t="shared" ref="T34:Z34" si="25">(1/(1+0.14)^T2)</f>
        <v>0.8771929824561403</v>
      </c>
      <c r="U34" s="116">
        <f t="shared" si="25"/>
        <v>0.76946752847029842</v>
      </c>
      <c r="V34" s="116">
        <f t="shared" si="25"/>
        <v>0.67497151620201612</v>
      </c>
      <c r="W34" s="116">
        <f t="shared" si="25"/>
        <v>0.59208027737018942</v>
      </c>
      <c r="X34" s="116">
        <f t="shared" si="25"/>
        <v>0.51936866435981521</v>
      </c>
      <c r="Y34" s="116">
        <f t="shared" si="25"/>
        <v>0.45558654768404844</v>
      </c>
      <c r="Z34" s="64">
        <f t="shared" si="25"/>
        <v>0.39963732252986695</v>
      </c>
    </row>
    <row r="35" spans="3:26" x14ac:dyDescent="0.2">
      <c r="C35" s="51">
        <v>22</v>
      </c>
      <c r="D35" s="110" t="s">
        <v>110</v>
      </c>
      <c r="E35" s="117">
        <f>E33*E34</f>
        <v>-324926</v>
      </c>
      <c r="F35" s="117">
        <f t="shared" ref="F35:L35" si="26">F33*F34</f>
        <v>105059.85087719296</v>
      </c>
      <c r="G35" s="117">
        <f t="shared" si="26"/>
        <v>114027.15868728835</v>
      </c>
      <c r="H35" s="117">
        <f t="shared" si="26"/>
        <v>124022.60660697886</v>
      </c>
      <c r="I35" s="117">
        <f t="shared" si="26"/>
        <v>135127.26700572099</v>
      </c>
      <c r="J35" s="117">
        <f t="shared" si="26"/>
        <v>147432.44389714545</v>
      </c>
      <c r="K35" s="117">
        <f t="shared" si="26"/>
        <v>161040.38208530628</v>
      </c>
      <c r="L35" s="53">
        <f t="shared" si="26"/>
        <v>339551.92335097684</v>
      </c>
      <c r="M35" s="142"/>
      <c r="N35" s="142"/>
      <c r="O35" s="142"/>
      <c r="Q35" s="51">
        <v>22</v>
      </c>
      <c r="R35" s="110" t="s">
        <v>110</v>
      </c>
      <c r="S35" s="117">
        <f>S33*S34</f>
        <v>123700</v>
      </c>
      <c r="T35" s="117">
        <f t="shared" ref="T35:Z35" si="27">T33*T34</f>
        <v>138210.52631578947</v>
      </c>
      <c r="U35" s="117">
        <f t="shared" si="27"/>
        <v>121237.30378578023</v>
      </c>
      <c r="V35" s="117">
        <f t="shared" si="27"/>
        <v>106348.51209278966</v>
      </c>
      <c r="W35" s="117">
        <f t="shared" si="27"/>
        <v>93288.16850244705</v>
      </c>
      <c r="X35" s="117">
        <f t="shared" si="27"/>
        <v>81831.726756532487</v>
      </c>
      <c r="Y35" s="117">
        <f t="shared" si="27"/>
        <v>71782.216453098677</v>
      </c>
      <c r="Z35" s="53">
        <f t="shared" si="27"/>
        <v>62966.856537805834</v>
      </c>
    </row>
    <row r="36" spans="3:26" ht="17" thickBot="1" x14ac:dyDescent="0.25">
      <c r="C36" s="54">
        <v>23</v>
      </c>
      <c r="D36" s="70" t="s">
        <v>28</v>
      </c>
      <c r="E36" s="71">
        <f>SUM(E35:L35)</f>
        <v>801335.63251060969</v>
      </c>
      <c r="F36" s="72"/>
      <c r="G36" s="72"/>
      <c r="H36" s="72"/>
      <c r="I36" s="72"/>
      <c r="J36" s="72"/>
      <c r="K36" s="72"/>
      <c r="L36" s="73"/>
      <c r="M36" s="141"/>
      <c r="N36" s="141"/>
      <c r="O36" s="141"/>
      <c r="Q36" s="54">
        <v>23</v>
      </c>
      <c r="R36" s="70" t="s">
        <v>28</v>
      </c>
      <c r="S36" s="71">
        <f>SUM(S35:Z35)</f>
        <v>799365.31044424349</v>
      </c>
      <c r="T36" s="72"/>
      <c r="U36" s="72"/>
      <c r="V36" s="72"/>
      <c r="W36" s="72"/>
      <c r="X36" s="72"/>
      <c r="Y36" s="72"/>
      <c r="Z36" s="73"/>
    </row>
    <row r="37" spans="3:26" x14ac:dyDescent="0.2">
      <c r="Q37"/>
    </row>
    <row r="38" spans="3:26" x14ac:dyDescent="0.2">
      <c r="C38" s="74"/>
      <c r="D38" s="60" t="s">
        <v>31</v>
      </c>
      <c r="E38" s="61"/>
      <c r="F38" s="61"/>
      <c r="G38" s="61"/>
      <c r="H38" s="61"/>
      <c r="I38" s="61"/>
      <c r="J38" s="61"/>
      <c r="K38" s="61"/>
      <c r="L38" s="61"/>
      <c r="M38" s="145"/>
      <c r="N38" s="145"/>
      <c r="O38" s="145"/>
      <c r="Q38" s="74"/>
      <c r="R38" s="60" t="s">
        <v>31</v>
      </c>
      <c r="S38" s="61"/>
      <c r="T38" s="61"/>
      <c r="U38" s="61"/>
      <c r="V38" s="61"/>
      <c r="W38" s="61"/>
      <c r="X38" s="61"/>
      <c r="Y38" s="61"/>
      <c r="Z38" s="61"/>
    </row>
    <row r="39" spans="3:26" x14ac:dyDescent="0.2">
      <c r="C39">
        <v>24</v>
      </c>
      <c r="D39" t="s">
        <v>32</v>
      </c>
      <c r="E39" s="66">
        <f>E33</f>
        <v>-324926</v>
      </c>
      <c r="F39" s="66">
        <f>E39+F33</f>
        <v>-205157.77000000002</v>
      </c>
      <c r="G39" s="66">
        <f t="shared" ref="G39:L39" si="28">F39+G33</f>
        <v>-56968.074570000055</v>
      </c>
      <c r="H39" s="66">
        <f t="shared" si="28"/>
        <v>126776.87411292989</v>
      </c>
      <c r="I39" s="66">
        <f t="shared" si="28"/>
        <v>355001.44461527525</v>
      </c>
      <c r="J39" s="66">
        <f t="shared" si="28"/>
        <v>638870.02201370918</v>
      </c>
      <c r="K39" s="66">
        <f t="shared" si="28"/>
        <v>992349.2520391501</v>
      </c>
      <c r="L39" s="66">
        <f t="shared" si="28"/>
        <v>1841999.4328617894</v>
      </c>
      <c r="M39" s="146"/>
      <c r="N39" s="146"/>
      <c r="O39" s="146"/>
      <c r="Q39">
        <v>24</v>
      </c>
      <c r="R39" t="s">
        <v>32</v>
      </c>
      <c r="S39" s="66">
        <f>S33</f>
        <v>123700</v>
      </c>
      <c r="T39" s="66">
        <f>S39+T33</f>
        <v>281260</v>
      </c>
      <c r="U39" s="66">
        <f t="shared" ref="U39:Z39" si="29">T39+U33</f>
        <v>438820</v>
      </c>
      <c r="V39" s="66">
        <f t="shared" si="29"/>
        <v>596380</v>
      </c>
      <c r="W39" s="66">
        <f t="shared" si="29"/>
        <v>753940</v>
      </c>
      <c r="X39" s="66">
        <f t="shared" si="29"/>
        <v>911500</v>
      </c>
      <c r="Y39" s="66">
        <f t="shared" si="29"/>
        <v>1069060</v>
      </c>
      <c r="Z39" s="66">
        <f t="shared" si="29"/>
        <v>1226620</v>
      </c>
    </row>
    <row r="40" spans="3:26" x14ac:dyDescent="0.2">
      <c r="E40" s="52"/>
      <c r="F40" s="52"/>
      <c r="G40" s="52"/>
      <c r="H40" s="52"/>
      <c r="I40" s="52"/>
      <c r="J40" s="52"/>
      <c r="K40" s="52"/>
      <c r="L40" s="52"/>
      <c r="M40" s="145"/>
      <c r="N40" s="145"/>
      <c r="O40" s="145"/>
      <c r="Q40"/>
      <c r="S40" s="52"/>
      <c r="T40" s="52"/>
      <c r="U40" s="52"/>
      <c r="V40" s="52"/>
      <c r="W40" s="52"/>
      <c r="X40" s="52"/>
      <c r="Y40" s="52"/>
      <c r="Z40" s="52"/>
    </row>
    <row r="41" spans="3:26" x14ac:dyDescent="0.2">
      <c r="C41" s="74"/>
      <c r="D41" s="60" t="s">
        <v>33</v>
      </c>
      <c r="E41" s="61"/>
      <c r="F41" s="61"/>
      <c r="G41" s="61"/>
      <c r="H41" s="61"/>
      <c r="I41" s="61"/>
      <c r="J41" s="61"/>
      <c r="K41" s="61"/>
      <c r="L41" s="61"/>
      <c r="M41" s="145"/>
      <c r="N41" s="145"/>
      <c r="O41" s="145"/>
      <c r="Q41" s="74"/>
      <c r="R41" s="60" t="s">
        <v>33</v>
      </c>
      <c r="S41" s="61"/>
      <c r="T41" s="61"/>
      <c r="U41" s="61"/>
      <c r="V41" s="61"/>
      <c r="W41" s="61"/>
      <c r="X41" s="61"/>
      <c r="Y41" s="61"/>
      <c r="Z41" s="61"/>
    </row>
    <row r="42" spans="3:26" x14ac:dyDescent="0.2">
      <c r="C42">
        <v>25</v>
      </c>
      <c r="D42" t="s">
        <v>34</v>
      </c>
      <c r="E42" s="75">
        <v>7</v>
      </c>
      <c r="F42" s="66"/>
      <c r="G42" s="66"/>
      <c r="H42" s="66"/>
      <c r="I42" s="66"/>
      <c r="J42" s="66"/>
      <c r="Q42">
        <v>25</v>
      </c>
      <c r="R42" t="s">
        <v>34</v>
      </c>
      <c r="S42" s="75">
        <v>7</v>
      </c>
      <c r="T42" s="66"/>
      <c r="U42" s="66"/>
      <c r="V42" s="66"/>
      <c r="W42" s="66"/>
      <c r="X42" s="66"/>
    </row>
    <row r="43" spans="3:26" x14ac:dyDescent="0.2">
      <c r="C43">
        <v>26</v>
      </c>
      <c r="D43" t="s">
        <v>35</v>
      </c>
      <c r="E43" s="76">
        <f>-1*(E36 / ((1/0.14)-(1/(0.14*(1+0.14)^E42))))</f>
        <v>-186865.36115840825</v>
      </c>
      <c r="F43" s="52"/>
      <c r="G43" s="52"/>
      <c r="H43" s="52"/>
      <c r="I43" s="52"/>
      <c r="J43" s="52"/>
      <c r="Q43">
        <v>26</v>
      </c>
      <c r="R43" t="s">
        <v>35</v>
      </c>
      <c r="S43" s="76">
        <f>-1*(S36 / ((1/0.14)-(1/(0.14*(1+0.14)^S42))))</f>
        <v>-186405.89707171044</v>
      </c>
      <c r="T43" s="52"/>
      <c r="U43" s="52"/>
      <c r="V43" s="52"/>
      <c r="W43" s="52"/>
      <c r="X43" s="52"/>
    </row>
    <row r="44" spans="3:26" ht="17" thickBot="1" x14ac:dyDescent="0.25">
      <c r="E44" s="66"/>
      <c r="F44" s="66"/>
      <c r="G44" s="66"/>
      <c r="H44" s="66"/>
      <c r="I44" s="66"/>
      <c r="J44" s="66"/>
      <c r="Q44"/>
      <c r="S44" s="66"/>
      <c r="T44" s="66"/>
      <c r="U44" s="66"/>
      <c r="V44" s="66"/>
      <c r="W44" s="66"/>
      <c r="X44" s="66"/>
    </row>
    <row r="45" spans="3:26" x14ac:dyDescent="0.2">
      <c r="D45" s="55" t="s">
        <v>36</v>
      </c>
      <c r="E45" s="77">
        <f>NPV(0.14,F33:L33)+E33</f>
        <v>801335.63251060992</v>
      </c>
      <c r="F45" s="52"/>
      <c r="G45" s="52"/>
      <c r="H45" s="52"/>
      <c r="I45" s="52"/>
      <c r="J45" s="52"/>
      <c r="Q45"/>
      <c r="R45" s="55" t="s">
        <v>36</v>
      </c>
      <c r="S45" s="77">
        <f>NPV(0.14,T33:Z33)+S33</f>
        <v>799365.31044424349</v>
      </c>
      <c r="T45" s="52"/>
      <c r="U45" s="52"/>
      <c r="V45" s="52"/>
      <c r="W45" s="52"/>
      <c r="X45" s="52"/>
    </row>
    <row r="46" spans="3:26" x14ac:dyDescent="0.2">
      <c r="D46" s="51" t="s">
        <v>37</v>
      </c>
      <c r="E46" s="78">
        <f>-E45/(SUM(F34:L34))</f>
        <v>-186865.36115840843</v>
      </c>
      <c r="F46" s="52"/>
      <c r="G46" s="52"/>
      <c r="H46" s="52"/>
      <c r="I46" s="52"/>
      <c r="J46" s="52"/>
      <c r="Q46"/>
      <c r="R46" s="51" t="s">
        <v>37</v>
      </c>
      <c r="S46" s="78">
        <f>-S45/(SUM(T34:Z34))</f>
        <v>-186405.89707171055</v>
      </c>
      <c r="T46" s="52"/>
      <c r="U46" s="52"/>
      <c r="V46" s="52"/>
      <c r="W46" s="52"/>
      <c r="X46" s="52"/>
    </row>
    <row r="47" spans="3:26" x14ac:dyDescent="0.2">
      <c r="D47" s="51" t="s">
        <v>38</v>
      </c>
      <c r="E47" s="79">
        <f>IRR(E33:L33)</f>
        <v>0.54951384483112564</v>
      </c>
      <c r="Q47"/>
      <c r="R47" s="51" t="s">
        <v>38</v>
      </c>
      <c r="S47" s="122" t="s">
        <v>13</v>
      </c>
    </row>
    <row r="48" spans="3:26" ht="17" thickBot="1" x14ac:dyDescent="0.25">
      <c r="D48" s="54" t="s">
        <v>39</v>
      </c>
      <c r="E48" s="80">
        <f>-E33/F30</f>
        <v>2.7129565160978002</v>
      </c>
      <c r="Q48"/>
      <c r="R48" s="54" t="s">
        <v>39</v>
      </c>
      <c r="S48" s="80">
        <f>-S33/T30</f>
        <v>-0.78509774054328507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AA35-7ABE-B04E-87A5-27DEA2AED8EE}">
  <dimension ref="C1:AC48"/>
  <sheetViews>
    <sheetView zoomScaleNormal="100" workbookViewId="0">
      <selection activeCell="I62" sqref="I62"/>
    </sheetView>
  </sheetViews>
  <sheetFormatPr baseColWidth="10" defaultRowHeight="16" x14ac:dyDescent="0.2"/>
  <cols>
    <col min="1" max="1" width="3.1640625" bestFit="1" customWidth="1"/>
    <col min="2" max="2" width="4.1640625" customWidth="1"/>
    <col min="3" max="3" width="4.1640625" bestFit="1" customWidth="1"/>
    <col min="4" max="4" width="41.83203125" bestFit="1" customWidth="1"/>
    <col min="5" max="6" width="13.1640625" bestFit="1" customWidth="1"/>
    <col min="7" max="9" width="12.5" bestFit="1" customWidth="1"/>
    <col min="10" max="10" width="13.1640625" bestFit="1" customWidth="1"/>
    <col min="11" max="14" width="11.1640625" customWidth="1"/>
    <col min="15" max="15" width="10.83203125" style="110"/>
    <col min="16" max="16" width="23.33203125" customWidth="1"/>
    <col min="17" max="17" width="4.1640625" bestFit="1" customWidth="1"/>
    <col min="18" max="18" width="41.83203125" bestFit="1" customWidth="1"/>
    <col min="19" max="19" width="13.1640625" bestFit="1" customWidth="1"/>
    <col min="20" max="24" width="12.5" bestFit="1" customWidth="1"/>
    <col min="29" max="29" width="13.6640625" bestFit="1" customWidth="1"/>
  </cols>
  <sheetData>
    <row r="1" spans="3:29" ht="17" thickBot="1" x14ac:dyDescent="0.25"/>
    <row r="2" spans="3:29" x14ac:dyDescent="0.2">
      <c r="C2" s="55"/>
      <c r="D2" s="56"/>
      <c r="E2" s="57">
        <v>0</v>
      </c>
      <c r="F2" s="57">
        <v>1</v>
      </c>
      <c r="G2" s="57">
        <v>2</v>
      </c>
      <c r="H2" s="57">
        <v>3</v>
      </c>
      <c r="I2" s="57">
        <v>4</v>
      </c>
      <c r="J2" s="58">
        <v>5</v>
      </c>
      <c r="Q2" s="55"/>
      <c r="R2" s="56"/>
      <c r="S2" s="57">
        <v>0</v>
      </c>
      <c r="T2" s="57">
        <v>1</v>
      </c>
      <c r="U2" s="57">
        <v>2</v>
      </c>
      <c r="V2" s="57">
        <v>3</v>
      </c>
      <c r="W2" s="57">
        <v>4</v>
      </c>
      <c r="X2" s="58">
        <v>5</v>
      </c>
    </row>
    <row r="3" spans="3:29" x14ac:dyDescent="0.2">
      <c r="C3" s="59"/>
      <c r="D3" s="114" t="s">
        <v>80</v>
      </c>
      <c r="E3" s="113"/>
      <c r="F3" s="113"/>
      <c r="G3" s="113"/>
      <c r="H3" s="113"/>
      <c r="I3" s="113"/>
      <c r="J3" s="62"/>
      <c r="Q3" s="59"/>
      <c r="R3" s="114" t="s">
        <v>80</v>
      </c>
      <c r="S3" s="113"/>
      <c r="T3" s="113"/>
      <c r="U3" s="113"/>
      <c r="V3" s="113"/>
      <c r="W3" s="113"/>
      <c r="X3" s="62"/>
    </row>
    <row r="4" spans="3:29" x14ac:dyDescent="0.2">
      <c r="C4" s="51"/>
      <c r="D4" s="115" t="s">
        <v>79</v>
      </c>
      <c r="E4" s="63"/>
      <c r="F4" s="116"/>
      <c r="G4" s="116"/>
      <c r="H4" s="116"/>
      <c r="I4" s="116"/>
      <c r="J4" s="64"/>
      <c r="Q4" s="51"/>
      <c r="R4" s="115" t="s">
        <v>79</v>
      </c>
      <c r="S4" s="63"/>
      <c r="T4" s="116"/>
      <c r="U4" s="116"/>
      <c r="V4" s="116"/>
      <c r="W4" s="116"/>
      <c r="X4" s="64"/>
    </row>
    <row r="5" spans="3:29" x14ac:dyDescent="0.2">
      <c r="C5" s="51">
        <v>1</v>
      </c>
      <c r="D5" s="110" t="s">
        <v>40</v>
      </c>
      <c r="E5" s="63">
        <v>332626</v>
      </c>
      <c r="F5" s="116"/>
      <c r="G5" s="116"/>
      <c r="H5" s="116"/>
      <c r="I5" s="116"/>
      <c r="J5" s="65">
        <f>-E5*1.03^J2</f>
        <v>-385604.69823811174</v>
      </c>
      <c r="K5" s="107"/>
      <c r="L5" s="107"/>
      <c r="M5" s="107"/>
      <c r="N5" s="107"/>
      <c r="Q5" s="51">
        <v>1</v>
      </c>
      <c r="R5" s="110" t="s">
        <v>40</v>
      </c>
      <c r="S5" s="63"/>
      <c r="T5" s="116"/>
      <c r="U5" s="116"/>
      <c r="V5" s="116"/>
      <c r="W5" s="116"/>
      <c r="X5" s="64"/>
    </row>
    <row r="6" spans="3:29" x14ac:dyDescent="0.2">
      <c r="C6" s="51">
        <v>2</v>
      </c>
      <c r="D6" s="110" t="s">
        <v>24</v>
      </c>
      <c r="E6" s="63">
        <v>56000</v>
      </c>
      <c r="F6" s="116"/>
      <c r="G6" s="116"/>
      <c r="H6" s="63"/>
      <c r="I6" s="116"/>
      <c r="J6" s="65"/>
      <c r="K6" s="108"/>
      <c r="L6" s="108"/>
      <c r="M6" s="108"/>
      <c r="N6" s="108"/>
      <c r="Q6" s="51">
        <v>2</v>
      </c>
      <c r="R6" s="110" t="s">
        <v>24</v>
      </c>
      <c r="S6" s="63"/>
      <c r="T6" s="116"/>
      <c r="U6" s="116"/>
      <c r="V6" s="63"/>
      <c r="W6" s="116"/>
      <c r="X6" s="64"/>
    </row>
    <row r="7" spans="3:29" x14ac:dyDescent="0.2">
      <c r="C7" s="51">
        <v>3</v>
      </c>
      <c r="D7" s="110" t="s">
        <v>21</v>
      </c>
      <c r="E7" s="63">
        <v>10000</v>
      </c>
      <c r="F7" s="116"/>
      <c r="G7" s="116"/>
      <c r="H7" s="117"/>
      <c r="I7" s="116"/>
      <c r="J7" s="64"/>
      <c r="K7" s="109"/>
      <c r="L7" s="109"/>
      <c r="M7" s="109"/>
      <c r="N7" s="109"/>
      <c r="Q7" s="51">
        <v>3</v>
      </c>
      <c r="R7" s="110" t="s">
        <v>21</v>
      </c>
      <c r="S7" s="63"/>
      <c r="T7" s="116"/>
      <c r="U7" s="116"/>
      <c r="V7" s="117"/>
      <c r="W7" s="116"/>
      <c r="X7" s="64"/>
    </row>
    <row r="8" spans="3:29" ht="17" thickBot="1" x14ac:dyDescent="0.25">
      <c r="C8" s="51">
        <v>4</v>
      </c>
      <c r="D8" s="110" t="s">
        <v>101</v>
      </c>
      <c r="E8" s="63">
        <v>50000</v>
      </c>
      <c r="F8" s="63"/>
      <c r="G8" s="63"/>
      <c r="H8" s="63"/>
      <c r="I8" s="63"/>
      <c r="J8" s="65"/>
      <c r="K8" s="109"/>
      <c r="L8" s="109"/>
      <c r="M8" s="109"/>
      <c r="N8" s="109"/>
      <c r="Q8" s="51">
        <v>4</v>
      </c>
      <c r="R8" s="110" t="s">
        <v>99</v>
      </c>
      <c r="S8" s="63"/>
      <c r="T8" s="63"/>
      <c r="U8" s="63"/>
      <c r="V8" s="63"/>
      <c r="W8" s="63"/>
      <c r="X8" s="65"/>
    </row>
    <row r="9" spans="3:29" x14ac:dyDescent="0.2">
      <c r="C9" s="51"/>
      <c r="D9" s="115" t="s">
        <v>46</v>
      </c>
      <c r="E9" s="63"/>
      <c r="F9" s="116"/>
      <c r="G9" s="116"/>
      <c r="H9" s="116"/>
      <c r="I9" s="116"/>
      <c r="J9" s="65"/>
      <c r="Q9" s="51"/>
      <c r="R9" s="115" t="s">
        <v>46</v>
      </c>
      <c r="S9" s="63"/>
      <c r="T9" s="116"/>
      <c r="U9" s="116"/>
      <c r="V9" s="116"/>
      <c r="W9" s="116"/>
      <c r="X9" s="64"/>
      <c r="AC9" s="133" t="s">
        <v>106</v>
      </c>
    </row>
    <row r="10" spans="3:29" ht="17" thickBot="1" x14ac:dyDescent="0.25">
      <c r="C10" s="51">
        <v>5</v>
      </c>
      <c r="D10" s="110" t="s">
        <v>77</v>
      </c>
      <c r="E10" s="63">
        <v>23700</v>
      </c>
      <c r="F10" s="116"/>
      <c r="G10" s="116"/>
      <c r="H10" s="116"/>
      <c r="I10" s="116"/>
      <c r="J10" s="65"/>
      <c r="K10" s="107"/>
      <c r="L10" s="107"/>
      <c r="M10" s="107"/>
      <c r="N10" s="107"/>
      <c r="Q10" s="51">
        <v>5</v>
      </c>
      <c r="R10" s="110" t="s">
        <v>77</v>
      </c>
      <c r="S10" s="63">
        <v>23700</v>
      </c>
      <c r="T10" s="116"/>
      <c r="U10" s="116"/>
      <c r="V10" s="116"/>
      <c r="W10" s="116"/>
      <c r="X10" s="64"/>
      <c r="AC10" s="134">
        <f>1+AC11</f>
        <v>1</v>
      </c>
    </row>
    <row r="11" spans="3:29" x14ac:dyDescent="0.2">
      <c r="C11" s="51">
        <v>6</v>
      </c>
      <c r="D11" s="110" t="s">
        <v>78</v>
      </c>
      <c r="E11" s="63">
        <v>100000</v>
      </c>
      <c r="F11" s="116"/>
      <c r="G11" s="116"/>
      <c r="H11" s="63"/>
      <c r="I11" s="116"/>
      <c r="J11" s="65"/>
      <c r="K11" s="108"/>
      <c r="L11" s="108"/>
      <c r="M11" s="108"/>
      <c r="N11" s="108"/>
      <c r="Q11" s="51">
        <v>6</v>
      </c>
      <c r="R11" s="110" t="s">
        <v>78</v>
      </c>
      <c r="S11" s="63">
        <v>100000</v>
      </c>
      <c r="T11" s="116"/>
      <c r="U11" s="116"/>
      <c r="V11" s="63"/>
      <c r="W11" s="116"/>
      <c r="X11" s="64"/>
      <c r="AC11">
        <v>0</v>
      </c>
    </row>
    <row r="12" spans="3:29" x14ac:dyDescent="0.2">
      <c r="C12" s="51">
        <v>6.1</v>
      </c>
      <c r="D12" s="115" t="s">
        <v>84</v>
      </c>
      <c r="E12" s="63">
        <f>-E5-E6-E7-E8+E10+E11</f>
        <v>-324926</v>
      </c>
      <c r="F12" s="63"/>
      <c r="G12" s="63"/>
      <c r="H12" s="63"/>
      <c r="I12" s="63"/>
      <c r="J12" s="65">
        <f t="shared" ref="J12" si="0">-J5-J6-J7-J8+J10+J11</f>
        <v>385604.69823811174</v>
      </c>
      <c r="Q12" s="51">
        <v>6.1</v>
      </c>
      <c r="R12" s="115" t="s">
        <v>84</v>
      </c>
      <c r="S12" s="63">
        <f>-S5-S6-S7-S8+S10+S11</f>
        <v>123700</v>
      </c>
      <c r="T12" s="63"/>
      <c r="U12" s="63"/>
      <c r="V12" s="63"/>
      <c r="W12" s="63"/>
      <c r="X12" s="65"/>
    </row>
    <row r="13" spans="3:29" x14ac:dyDescent="0.2">
      <c r="C13" s="51"/>
      <c r="D13" s="110"/>
      <c r="E13" s="63"/>
      <c r="F13" s="116"/>
      <c r="G13" s="116"/>
      <c r="H13" s="116"/>
      <c r="I13" s="116"/>
      <c r="J13" s="64"/>
      <c r="Q13" s="51"/>
      <c r="R13" s="110"/>
      <c r="S13" s="63"/>
      <c r="T13" s="116"/>
      <c r="U13" s="116"/>
      <c r="V13" s="116"/>
      <c r="W13" s="116"/>
      <c r="X13" s="64"/>
    </row>
    <row r="14" spans="3:29" x14ac:dyDescent="0.2">
      <c r="C14" s="59"/>
      <c r="D14" s="114" t="s">
        <v>74</v>
      </c>
      <c r="E14" s="67"/>
      <c r="F14" s="113"/>
      <c r="G14" s="113"/>
      <c r="H14" s="113"/>
      <c r="I14" s="113"/>
      <c r="J14" s="62"/>
      <c r="Q14" s="59"/>
      <c r="R14" s="114" t="s">
        <v>74</v>
      </c>
      <c r="S14" s="67"/>
      <c r="T14" s="113"/>
      <c r="U14" s="113"/>
      <c r="V14" s="113"/>
      <c r="W14" s="113"/>
      <c r="X14" s="62"/>
    </row>
    <row r="15" spans="3:29" x14ac:dyDescent="0.2">
      <c r="C15" s="51"/>
      <c r="D15" s="120" t="s">
        <v>88</v>
      </c>
      <c r="E15" s="63"/>
      <c r="F15" s="116"/>
      <c r="G15" s="116"/>
      <c r="H15" s="116"/>
      <c r="I15" s="116"/>
      <c r="J15" s="64"/>
      <c r="Q15" s="51"/>
      <c r="R15" s="120" t="s">
        <v>88</v>
      </c>
      <c r="S15" s="63"/>
      <c r="T15" s="116"/>
      <c r="U15" s="116"/>
      <c r="V15" s="116"/>
      <c r="W15" s="116"/>
      <c r="X15" s="64"/>
    </row>
    <row r="16" spans="3:29" x14ac:dyDescent="0.2">
      <c r="C16" s="51">
        <v>7</v>
      </c>
      <c r="D16" s="110" t="s">
        <v>95</v>
      </c>
      <c r="E16" s="63"/>
      <c r="F16" s="63">
        <f>188721.55</f>
        <v>188721.55</v>
      </c>
      <c r="G16" s="63">
        <f>188721.55*$AC$10^(G2-1)</f>
        <v>188721.55</v>
      </c>
      <c r="H16" s="63">
        <f t="shared" ref="H16:J16" si="1">188721.55*$AC$10^(H2-1)</f>
        <v>188721.55</v>
      </c>
      <c r="I16" s="63">
        <f t="shared" si="1"/>
        <v>188721.55</v>
      </c>
      <c r="J16" s="65">
        <f t="shared" si="1"/>
        <v>188721.55</v>
      </c>
      <c r="Q16" s="51">
        <v>7</v>
      </c>
      <c r="R16" s="110" t="s">
        <v>95</v>
      </c>
      <c r="S16" s="63"/>
      <c r="T16" s="63">
        <v>157975</v>
      </c>
      <c r="U16" s="63">
        <v>157975</v>
      </c>
      <c r="V16" s="63">
        <v>157975</v>
      </c>
      <c r="W16" s="63">
        <v>157975</v>
      </c>
      <c r="X16" s="65">
        <v>157975</v>
      </c>
    </row>
    <row r="17" spans="3:24" x14ac:dyDescent="0.2">
      <c r="C17" s="51">
        <v>8</v>
      </c>
      <c r="D17" s="110" t="s">
        <v>75</v>
      </c>
      <c r="E17" s="63"/>
      <c r="F17" s="63">
        <v>13000</v>
      </c>
      <c r="G17" s="63">
        <v>13000</v>
      </c>
      <c r="H17" s="63">
        <v>13000</v>
      </c>
      <c r="I17" s="63">
        <v>13000</v>
      </c>
      <c r="J17" s="65">
        <v>13000</v>
      </c>
      <c r="Q17" s="51">
        <v>8</v>
      </c>
      <c r="R17" s="110" t="s">
        <v>75</v>
      </c>
      <c r="S17" s="63"/>
      <c r="T17" s="63">
        <v>13000</v>
      </c>
      <c r="U17" s="63">
        <v>13000</v>
      </c>
      <c r="V17" s="63">
        <v>13000</v>
      </c>
      <c r="W17" s="63">
        <v>13000</v>
      </c>
      <c r="X17" s="65">
        <v>13000</v>
      </c>
    </row>
    <row r="18" spans="3:24" x14ac:dyDescent="0.2">
      <c r="C18" s="51">
        <v>9</v>
      </c>
      <c r="D18" s="110" t="s">
        <v>76</v>
      </c>
      <c r="E18" s="63"/>
      <c r="F18" s="63">
        <v>30000</v>
      </c>
      <c r="G18" s="63">
        <v>30000</v>
      </c>
      <c r="H18" s="63">
        <v>30000</v>
      </c>
      <c r="I18" s="63">
        <v>30000</v>
      </c>
      <c r="J18" s="65">
        <v>30000</v>
      </c>
      <c r="Q18" s="51">
        <v>9</v>
      </c>
      <c r="R18" s="110" t="s">
        <v>76</v>
      </c>
      <c r="S18" s="63"/>
      <c r="T18" s="63">
        <v>30000</v>
      </c>
      <c r="U18" s="63">
        <v>30000</v>
      </c>
      <c r="V18" s="63">
        <v>30000</v>
      </c>
      <c r="W18" s="63">
        <v>30000</v>
      </c>
      <c r="X18" s="65">
        <v>30000</v>
      </c>
    </row>
    <row r="19" spans="3:24" x14ac:dyDescent="0.2">
      <c r="C19" s="111">
        <v>10</v>
      </c>
      <c r="D19" s="110" t="s">
        <v>82</v>
      </c>
      <c r="E19" s="110"/>
      <c r="F19" s="112">
        <v>61625</v>
      </c>
      <c r="G19" s="112">
        <v>61625</v>
      </c>
      <c r="H19" s="112">
        <v>61625</v>
      </c>
      <c r="I19" s="112">
        <v>61625</v>
      </c>
      <c r="J19" s="118">
        <v>61625</v>
      </c>
      <c r="Q19" s="111">
        <v>10</v>
      </c>
      <c r="R19" s="110" t="s">
        <v>82</v>
      </c>
      <c r="S19" s="110"/>
      <c r="T19" s="112">
        <v>61625</v>
      </c>
      <c r="U19" s="112">
        <v>61625</v>
      </c>
      <c r="V19" s="112">
        <v>61625</v>
      </c>
      <c r="W19" s="112">
        <v>61625</v>
      </c>
      <c r="X19" s="118">
        <v>61625</v>
      </c>
    </row>
    <row r="20" spans="3:24" x14ac:dyDescent="0.2">
      <c r="C20" s="51">
        <v>11</v>
      </c>
      <c r="D20" s="110" t="s">
        <v>81</v>
      </c>
      <c r="E20" s="63"/>
      <c r="F20" s="117">
        <v>30812.5</v>
      </c>
      <c r="G20" s="117">
        <v>30812.5</v>
      </c>
      <c r="H20" s="117">
        <v>30812.5</v>
      </c>
      <c r="I20" s="117">
        <v>30812.5</v>
      </c>
      <c r="J20" s="53">
        <v>30812.5</v>
      </c>
      <c r="Q20" s="51">
        <v>11</v>
      </c>
      <c r="R20" s="110" t="s">
        <v>81</v>
      </c>
      <c r="S20" s="63"/>
      <c r="T20" s="117"/>
      <c r="U20" s="117"/>
      <c r="V20" s="117"/>
      <c r="W20" s="117"/>
      <c r="X20" s="53"/>
    </row>
    <row r="21" spans="3:24" x14ac:dyDescent="0.2">
      <c r="C21" s="51"/>
      <c r="D21" s="120" t="s">
        <v>83</v>
      </c>
      <c r="E21" s="63"/>
      <c r="F21" s="117"/>
      <c r="G21" s="117"/>
      <c r="H21" s="117"/>
      <c r="I21" s="117"/>
      <c r="J21" s="53"/>
      <c r="Q21" s="51"/>
      <c r="R21" s="120" t="s">
        <v>83</v>
      </c>
      <c r="S21" s="63"/>
      <c r="T21" s="117"/>
      <c r="U21" s="117"/>
      <c r="V21" s="117"/>
      <c r="W21" s="117"/>
      <c r="X21" s="53"/>
    </row>
    <row r="22" spans="3:24" x14ac:dyDescent="0.2">
      <c r="C22" s="51">
        <v>12</v>
      </c>
      <c r="D22" s="135" t="s">
        <v>102</v>
      </c>
      <c r="E22" s="63"/>
      <c r="F22" s="117">
        <f>$E$5/5</f>
        <v>66525.2</v>
      </c>
      <c r="G22" s="117">
        <f t="shared" ref="G22:J22" si="2">$E$5/5</f>
        <v>66525.2</v>
      </c>
      <c r="H22" s="117">
        <f t="shared" si="2"/>
        <v>66525.2</v>
      </c>
      <c r="I22" s="117">
        <f t="shared" si="2"/>
        <v>66525.2</v>
      </c>
      <c r="J22" s="53">
        <f t="shared" si="2"/>
        <v>66525.2</v>
      </c>
      <c r="Q22" s="51">
        <v>12</v>
      </c>
      <c r="R22" s="126" t="s">
        <v>102</v>
      </c>
      <c r="S22" s="63"/>
      <c r="T22" s="117"/>
      <c r="U22" s="117"/>
      <c r="V22" s="117"/>
      <c r="W22" s="117"/>
      <c r="X22" s="53"/>
    </row>
    <row r="23" spans="3:24" x14ac:dyDescent="0.2">
      <c r="C23" s="51">
        <v>13</v>
      </c>
      <c r="D23" s="119" t="s">
        <v>85</v>
      </c>
      <c r="E23" s="63"/>
      <c r="F23" s="117">
        <v>65000</v>
      </c>
      <c r="G23" s="117">
        <v>65000</v>
      </c>
      <c r="H23" s="117">
        <v>65000</v>
      </c>
      <c r="I23" s="117">
        <v>65000</v>
      </c>
      <c r="J23" s="53">
        <v>65000</v>
      </c>
      <c r="Q23" s="51">
        <v>13</v>
      </c>
      <c r="R23" s="119" t="s">
        <v>85</v>
      </c>
      <c r="S23" s="63"/>
      <c r="T23" s="117"/>
      <c r="U23" s="117"/>
      <c r="V23" s="117"/>
      <c r="W23" s="117"/>
      <c r="X23" s="53"/>
    </row>
    <row r="24" spans="3:24" x14ac:dyDescent="0.2">
      <c r="C24" s="51">
        <v>14</v>
      </c>
      <c r="D24" s="119" t="s">
        <v>86</v>
      </c>
      <c r="E24" s="63"/>
      <c r="F24" s="117">
        <v>60816</v>
      </c>
      <c r="G24" s="117">
        <v>60816</v>
      </c>
      <c r="H24" s="117">
        <v>60816</v>
      </c>
      <c r="I24" s="117">
        <v>60816</v>
      </c>
      <c r="J24" s="53">
        <v>60816</v>
      </c>
      <c r="Q24" s="51">
        <v>14</v>
      </c>
      <c r="R24" s="119" t="s">
        <v>86</v>
      </c>
      <c r="S24" s="63"/>
      <c r="T24" s="117"/>
      <c r="U24" s="117"/>
      <c r="V24" s="117"/>
      <c r="W24" s="117"/>
      <c r="X24" s="53"/>
    </row>
    <row r="25" spans="3:24" x14ac:dyDescent="0.2">
      <c r="C25" s="51">
        <v>15</v>
      </c>
      <c r="D25" s="119" t="s">
        <v>87</v>
      </c>
      <c r="E25" s="63"/>
      <c r="F25" s="117">
        <v>30408</v>
      </c>
      <c r="G25" s="117">
        <v>30408</v>
      </c>
      <c r="H25" s="117">
        <v>30408</v>
      </c>
      <c r="I25" s="117">
        <v>30408</v>
      </c>
      <c r="J25" s="53">
        <v>30408</v>
      </c>
      <c r="Q25" s="51">
        <v>15</v>
      </c>
      <c r="R25" s="119" t="s">
        <v>87</v>
      </c>
      <c r="S25" s="63"/>
      <c r="T25" s="117"/>
      <c r="U25" s="117"/>
      <c r="V25" s="117"/>
      <c r="W25" s="117"/>
      <c r="X25" s="53"/>
    </row>
    <row r="26" spans="3:24" x14ac:dyDescent="0.2">
      <c r="C26" s="51"/>
      <c r="D26" s="120" t="s">
        <v>89</v>
      </c>
      <c r="E26" s="63"/>
      <c r="F26" s="117"/>
      <c r="G26" s="117"/>
      <c r="H26" s="117"/>
      <c r="I26" s="117"/>
      <c r="J26" s="53"/>
      <c r="Q26" s="51"/>
      <c r="R26" s="120" t="s">
        <v>89</v>
      </c>
      <c r="S26" s="63"/>
      <c r="T26" s="117"/>
      <c r="U26" s="117"/>
      <c r="V26" s="117"/>
      <c r="W26" s="117"/>
      <c r="X26" s="53"/>
    </row>
    <row r="27" spans="3:24" x14ac:dyDescent="0.2">
      <c r="C27" s="51">
        <v>16</v>
      </c>
      <c r="D27" s="110" t="s">
        <v>90</v>
      </c>
      <c r="E27" s="63"/>
      <c r="F27" s="63">
        <f>SUM(F16:F20)-SUM(F22:F25)</f>
        <v>101409.84999999998</v>
      </c>
      <c r="G27" s="63">
        <f t="shared" ref="G27:J27" si="3">SUM(G16:G20)-SUM(G22:G25)</f>
        <v>101409.84999999998</v>
      </c>
      <c r="H27" s="63">
        <f t="shared" si="3"/>
        <v>101409.84999999998</v>
      </c>
      <c r="I27" s="63">
        <f t="shared" si="3"/>
        <v>101409.84999999998</v>
      </c>
      <c r="J27" s="65">
        <f t="shared" si="3"/>
        <v>101409.84999999998</v>
      </c>
      <c r="Q27" s="51">
        <v>16</v>
      </c>
      <c r="R27" s="110" t="s">
        <v>90</v>
      </c>
      <c r="S27" s="63"/>
      <c r="T27" s="63">
        <f>SUM(T16:T20)-SUM(T22:T25)</f>
        <v>262600</v>
      </c>
      <c r="U27" s="63">
        <f t="shared" ref="U27:X27" si="4">SUM(U16:U20)-SUM(U22:U25)</f>
        <v>262600</v>
      </c>
      <c r="V27" s="63">
        <f t="shared" si="4"/>
        <v>262600</v>
      </c>
      <c r="W27" s="63">
        <f t="shared" si="4"/>
        <v>262600</v>
      </c>
      <c r="X27" s="65">
        <f t="shared" si="4"/>
        <v>262600</v>
      </c>
    </row>
    <row r="28" spans="3:24" x14ac:dyDescent="0.2">
      <c r="C28" s="51">
        <v>17</v>
      </c>
      <c r="D28" s="110" t="s">
        <v>91</v>
      </c>
      <c r="E28" s="63"/>
      <c r="F28" s="63">
        <f>0.4*F27</f>
        <v>40563.939999999995</v>
      </c>
      <c r="G28" s="63">
        <f t="shared" ref="G28:J28" si="5">0.4*G27</f>
        <v>40563.939999999995</v>
      </c>
      <c r="H28" s="63">
        <f t="shared" si="5"/>
        <v>40563.939999999995</v>
      </c>
      <c r="I28" s="63">
        <f t="shared" si="5"/>
        <v>40563.939999999995</v>
      </c>
      <c r="J28" s="65">
        <f t="shared" si="5"/>
        <v>40563.939999999995</v>
      </c>
      <c r="Q28" s="51">
        <v>17</v>
      </c>
      <c r="R28" s="110" t="s">
        <v>91</v>
      </c>
      <c r="S28" s="63"/>
      <c r="T28" s="63">
        <f>0.4*T27</f>
        <v>105040</v>
      </c>
      <c r="U28" s="63">
        <f t="shared" ref="U28:X28" si="6">0.4*U27</f>
        <v>105040</v>
      </c>
      <c r="V28" s="63">
        <f t="shared" si="6"/>
        <v>105040</v>
      </c>
      <c r="W28" s="63">
        <f t="shared" si="6"/>
        <v>105040</v>
      </c>
      <c r="X28" s="65">
        <f t="shared" si="6"/>
        <v>105040</v>
      </c>
    </row>
    <row r="29" spans="3:24" x14ac:dyDescent="0.2">
      <c r="C29" s="51">
        <v>18</v>
      </c>
      <c r="D29" s="110" t="s">
        <v>92</v>
      </c>
      <c r="E29" s="63"/>
      <c r="F29" s="63">
        <f t="shared" ref="F29:J29" si="7">F27-F28</f>
        <v>60845.909999999982</v>
      </c>
      <c r="G29" s="63">
        <f t="shared" si="7"/>
        <v>60845.909999999982</v>
      </c>
      <c r="H29" s="63">
        <f t="shared" si="7"/>
        <v>60845.909999999982</v>
      </c>
      <c r="I29" s="63">
        <f t="shared" si="7"/>
        <v>60845.909999999982</v>
      </c>
      <c r="J29" s="65">
        <f t="shared" si="7"/>
        <v>60845.909999999982</v>
      </c>
      <c r="Q29" s="51">
        <v>18</v>
      </c>
      <c r="R29" s="110" t="s">
        <v>92</v>
      </c>
      <c r="S29" s="63"/>
      <c r="T29" s="63">
        <f t="shared" ref="T29:X29" si="8">T27-T28</f>
        <v>157560</v>
      </c>
      <c r="U29" s="63">
        <f t="shared" si="8"/>
        <v>157560</v>
      </c>
      <c r="V29" s="63">
        <f t="shared" si="8"/>
        <v>157560</v>
      </c>
      <c r="W29" s="63">
        <f t="shared" si="8"/>
        <v>157560</v>
      </c>
      <c r="X29" s="65">
        <f t="shared" si="8"/>
        <v>157560</v>
      </c>
    </row>
    <row r="30" spans="3:24" x14ac:dyDescent="0.2">
      <c r="C30" s="51">
        <v>19</v>
      </c>
      <c r="D30" s="110" t="s">
        <v>93</v>
      </c>
      <c r="E30" s="68"/>
      <c r="F30" s="68">
        <f t="shared" ref="F30:J30" si="9">F29+F22</f>
        <v>127371.10999999999</v>
      </c>
      <c r="G30" s="68">
        <f t="shared" si="9"/>
        <v>127371.10999999999</v>
      </c>
      <c r="H30" s="68">
        <f t="shared" si="9"/>
        <v>127371.10999999999</v>
      </c>
      <c r="I30" s="68">
        <f t="shared" si="9"/>
        <v>127371.10999999999</v>
      </c>
      <c r="J30" s="69">
        <f t="shared" si="9"/>
        <v>127371.10999999999</v>
      </c>
      <c r="Q30" s="51">
        <v>19</v>
      </c>
      <c r="R30" s="110" t="s">
        <v>93</v>
      </c>
      <c r="S30" s="121"/>
      <c r="T30" s="68">
        <f t="shared" ref="T30:X30" si="10">T22+T29+T12</f>
        <v>157560</v>
      </c>
      <c r="U30" s="68">
        <f t="shared" si="10"/>
        <v>157560</v>
      </c>
      <c r="V30" s="68">
        <f t="shared" si="10"/>
        <v>157560</v>
      </c>
      <c r="W30" s="68">
        <f t="shared" si="10"/>
        <v>157560</v>
      </c>
      <c r="X30" s="69">
        <f t="shared" si="10"/>
        <v>157560</v>
      </c>
    </row>
    <row r="31" spans="3:24" x14ac:dyDescent="0.2">
      <c r="C31" s="51"/>
      <c r="D31" s="110"/>
      <c r="E31" s="116"/>
      <c r="F31" s="116"/>
      <c r="G31" s="116"/>
      <c r="H31" s="116"/>
      <c r="I31" s="116"/>
      <c r="J31" s="64"/>
      <c r="Q31" s="51"/>
      <c r="R31" s="110"/>
      <c r="S31" s="116"/>
      <c r="T31" s="116"/>
      <c r="U31" s="116"/>
      <c r="V31" s="116"/>
      <c r="W31" s="116"/>
      <c r="X31" s="64"/>
    </row>
    <row r="32" spans="3:24" x14ac:dyDescent="0.2">
      <c r="C32" s="59"/>
      <c r="D32" s="114" t="s">
        <v>29</v>
      </c>
      <c r="E32" s="113"/>
      <c r="F32" s="113"/>
      <c r="G32" s="113"/>
      <c r="H32" s="113"/>
      <c r="I32" s="113"/>
      <c r="J32" s="62"/>
      <c r="Q32" s="59"/>
      <c r="R32" s="114" t="s">
        <v>29</v>
      </c>
      <c r="S32" s="113"/>
      <c r="T32" s="113"/>
      <c r="U32" s="113"/>
      <c r="V32" s="113"/>
      <c r="W32" s="113"/>
      <c r="X32" s="62"/>
    </row>
    <row r="33" spans="3:24" x14ac:dyDescent="0.2">
      <c r="C33" s="51">
        <v>20</v>
      </c>
      <c r="D33" s="110" t="s">
        <v>94</v>
      </c>
      <c r="E33" s="123">
        <f>E12+E30</f>
        <v>-324926</v>
      </c>
      <c r="F33" s="124">
        <f t="shared" ref="F33:J33" si="11">F12+F30</f>
        <v>127371.10999999999</v>
      </c>
      <c r="G33" s="124">
        <f t="shared" si="11"/>
        <v>127371.10999999999</v>
      </c>
      <c r="H33" s="124">
        <f t="shared" si="11"/>
        <v>127371.10999999999</v>
      </c>
      <c r="I33" s="124">
        <f t="shared" si="11"/>
        <v>127371.10999999999</v>
      </c>
      <c r="J33" s="125">
        <f t="shared" si="11"/>
        <v>512975.80823811173</v>
      </c>
      <c r="Q33" s="51">
        <v>20</v>
      </c>
      <c r="R33" s="110" t="s">
        <v>94</v>
      </c>
      <c r="S33" s="124">
        <f>S30+S12</f>
        <v>123700</v>
      </c>
      <c r="T33" s="124">
        <f t="shared" ref="T33:X33" si="12">T30+T12</f>
        <v>157560</v>
      </c>
      <c r="U33" s="124">
        <f t="shared" si="12"/>
        <v>157560</v>
      </c>
      <c r="V33" s="124">
        <f t="shared" si="12"/>
        <v>157560</v>
      </c>
      <c r="W33" s="124">
        <f t="shared" si="12"/>
        <v>157560</v>
      </c>
      <c r="X33" s="125">
        <f t="shared" si="12"/>
        <v>157560</v>
      </c>
    </row>
    <row r="34" spans="3:24" x14ac:dyDescent="0.2">
      <c r="C34" s="51">
        <v>21</v>
      </c>
      <c r="D34" s="110" t="s">
        <v>30</v>
      </c>
      <c r="E34" s="116">
        <f>(1/(1+0.14)^E2)</f>
        <v>1</v>
      </c>
      <c r="F34" s="116">
        <f t="shared" ref="F34:J34" si="13">(1/(1+0.14)^F2)</f>
        <v>0.8771929824561403</v>
      </c>
      <c r="G34" s="116">
        <f t="shared" si="13"/>
        <v>0.76946752847029842</v>
      </c>
      <c r="H34" s="116">
        <f t="shared" si="13"/>
        <v>0.67497151620201612</v>
      </c>
      <c r="I34" s="116">
        <f t="shared" si="13"/>
        <v>0.59208027737018942</v>
      </c>
      <c r="J34" s="64">
        <f t="shared" si="13"/>
        <v>0.51936866435981521</v>
      </c>
      <c r="Q34" s="51">
        <v>21</v>
      </c>
      <c r="R34" s="110" t="s">
        <v>30</v>
      </c>
      <c r="S34" s="116">
        <f>(1/(1+0.14)^S2)</f>
        <v>1</v>
      </c>
      <c r="T34" s="116">
        <f t="shared" ref="T34:X34" si="14">(1/(1+0.14)^T2)</f>
        <v>0.8771929824561403</v>
      </c>
      <c r="U34" s="116">
        <f t="shared" si="14"/>
        <v>0.76946752847029842</v>
      </c>
      <c r="V34" s="116">
        <f t="shared" si="14"/>
        <v>0.67497151620201612</v>
      </c>
      <c r="W34" s="116">
        <f t="shared" si="14"/>
        <v>0.59208027737018942</v>
      </c>
      <c r="X34" s="64">
        <f t="shared" si="14"/>
        <v>0.51936866435981521</v>
      </c>
    </row>
    <row r="35" spans="3:24" x14ac:dyDescent="0.2">
      <c r="C35" s="51">
        <v>22</v>
      </c>
      <c r="D35" s="110" t="s">
        <v>110</v>
      </c>
      <c r="E35" s="117">
        <f>E33*E34</f>
        <v>-324926</v>
      </c>
      <c r="F35" s="117">
        <f t="shared" ref="F35:J35" si="15">F33*F34</f>
        <v>111729.0438596491</v>
      </c>
      <c r="G35" s="117">
        <f t="shared" si="15"/>
        <v>98007.9332102185</v>
      </c>
      <c r="H35" s="117">
        <f t="shared" si="15"/>
        <v>85971.871237033774</v>
      </c>
      <c r="I35" s="117">
        <f t="shared" si="15"/>
        <v>75413.922137748901</v>
      </c>
      <c r="J35" s="53">
        <f t="shared" si="15"/>
        <v>266423.56037352479</v>
      </c>
      <c r="Q35" s="51">
        <v>22</v>
      </c>
      <c r="R35" s="110" t="s">
        <v>110</v>
      </c>
      <c r="S35" s="117">
        <f>S33*S34</f>
        <v>123700</v>
      </c>
      <c r="T35" s="117">
        <f t="shared" ref="T35:X35" si="16">T33*T34</f>
        <v>138210.52631578947</v>
      </c>
      <c r="U35" s="117">
        <f t="shared" si="16"/>
        <v>121237.30378578023</v>
      </c>
      <c r="V35" s="117">
        <f t="shared" si="16"/>
        <v>106348.51209278966</v>
      </c>
      <c r="W35" s="117">
        <f t="shared" si="16"/>
        <v>93288.16850244705</v>
      </c>
      <c r="X35" s="53">
        <f t="shared" si="16"/>
        <v>81831.726756532487</v>
      </c>
    </row>
    <row r="36" spans="3:24" ht="17" thickBot="1" x14ac:dyDescent="0.25">
      <c r="C36" s="54">
        <v>23</v>
      </c>
      <c r="D36" s="70" t="s">
        <v>28</v>
      </c>
      <c r="E36" s="71">
        <f>SUM(E35:J35)</f>
        <v>312620.33081817505</v>
      </c>
      <c r="F36" s="72"/>
      <c r="G36" s="72"/>
      <c r="H36" s="72"/>
      <c r="I36" s="72"/>
      <c r="J36" s="73"/>
      <c r="Q36" s="54">
        <v>23</v>
      </c>
      <c r="R36" s="70" t="s">
        <v>28</v>
      </c>
      <c r="S36" s="71">
        <f>SUM(S35:X35)</f>
        <v>664616.23745333892</v>
      </c>
      <c r="T36" s="72"/>
      <c r="U36" s="72"/>
      <c r="V36" s="72"/>
      <c r="W36" s="72"/>
      <c r="X36" s="73"/>
    </row>
    <row r="38" spans="3:24" x14ac:dyDescent="0.2">
      <c r="C38" s="74"/>
      <c r="D38" s="60" t="s">
        <v>31</v>
      </c>
      <c r="E38" s="61"/>
      <c r="F38" s="61"/>
      <c r="G38" s="61"/>
      <c r="H38" s="61"/>
      <c r="I38" s="61"/>
      <c r="J38" s="61"/>
      <c r="Q38" s="74"/>
      <c r="R38" s="60" t="s">
        <v>31</v>
      </c>
      <c r="S38" s="61"/>
      <c r="T38" s="61"/>
      <c r="U38" s="61"/>
      <c r="V38" s="61"/>
      <c r="W38" s="61"/>
      <c r="X38" s="61"/>
    </row>
    <row r="39" spans="3:24" x14ac:dyDescent="0.2">
      <c r="C39">
        <v>24</v>
      </c>
      <c r="D39" t="s">
        <v>32</v>
      </c>
      <c r="E39" s="66">
        <f>E33</f>
        <v>-324926</v>
      </c>
      <c r="F39" s="66">
        <f>E39+F33</f>
        <v>-197554.89</v>
      </c>
      <c r="G39" s="66">
        <f t="shared" ref="G39:J39" si="17">F39+G33</f>
        <v>-70183.780000000028</v>
      </c>
      <c r="H39" s="66">
        <f t="shared" si="17"/>
        <v>57187.329999999958</v>
      </c>
      <c r="I39" s="66">
        <f t="shared" si="17"/>
        <v>184558.43999999994</v>
      </c>
      <c r="J39" s="66">
        <f t="shared" si="17"/>
        <v>697534.24823811161</v>
      </c>
      <c r="Q39">
        <v>24</v>
      </c>
      <c r="R39" t="s">
        <v>32</v>
      </c>
      <c r="S39" s="66">
        <f>S33</f>
        <v>123700</v>
      </c>
      <c r="T39" s="66">
        <f>S39+T33</f>
        <v>281260</v>
      </c>
      <c r="U39" s="66">
        <f t="shared" ref="U39:X39" si="18">T39+U33</f>
        <v>438820</v>
      </c>
      <c r="V39" s="66">
        <f t="shared" si="18"/>
        <v>596380</v>
      </c>
      <c r="W39" s="66">
        <f t="shared" si="18"/>
        <v>753940</v>
      </c>
      <c r="X39" s="66">
        <f t="shared" si="18"/>
        <v>911500</v>
      </c>
    </row>
    <row r="40" spans="3:24" x14ac:dyDescent="0.2">
      <c r="E40" s="52"/>
      <c r="F40" s="52"/>
      <c r="G40" s="52"/>
      <c r="H40" s="52"/>
      <c r="I40" s="52"/>
      <c r="J40" s="52"/>
      <c r="S40" s="52"/>
      <c r="T40" s="52"/>
      <c r="U40" s="52"/>
      <c r="V40" s="52"/>
      <c r="W40" s="52"/>
      <c r="X40" s="52"/>
    </row>
    <row r="41" spans="3:24" x14ac:dyDescent="0.2">
      <c r="C41" s="74"/>
      <c r="D41" s="60" t="s">
        <v>33</v>
      </c>
      <c r="E41" s="61"/>
      <c r="F41" s="61"/>
      <c r="G41" s="61"/>
      <c r="H41" s="61"/>
      <c r="I41" s="61"/>
      <c r="J41" s="61"/>
      <c r="Q41" s="74"/>
      <c r="R41" s="60" t="s">
        <v>33</v>
      </c>
      <c r="S41" s="61"/>
      <c r="T41" s="61"/>
      <c r="U41" s="61"/>
      <c r="V41" s="61"/>
      <c r="W41" s="61"/>
      <c r="X41" s="61"/>
    </row>
    <row r="42" spans="3:24" x14ac:dyDescent="0.2">
      <c r="C42">
        <v>25</v>
      </c>
      <c r="D42" t="s">
        <v>34</v>
      </c>
      <c r="E42" s="75">
        <v>5</v>
      </c>
      <c r="F42" s="66"/>
      <c r="G42" s="66"/>
      <c r="H42" s="66"/>
      <c r="I42" s="66"/>
      <c r="J42" s="66"/>
      <c r="Q42">
        <v>25</v>
      </c>
      <c r="R42" t="s">
        <v>34</v>
      </c>
      <c r="S42" s="75">
        <v>5</v>
      </c>
      <c r="T42" s="66"/>
      <c r="U42" s="66"/>
      <c r="V42" s="66"/>
      <c r="W42" s="66"/>
      <c r="X42" s="66"/>
    </row>
    <row r="43" spans="3:24" x14ac:dyDescent="0.2">
      <c r="C43">
        <v>26</v>
      </c>
      <c r="D43" t="s">
        <v>35</v>
      </c>
      <c r="E43" s="76">
        <f>-1*(E36 / ((1/0.14)-(1/(0.14*(1+0.14)^E42))))</f>
        <v>-91061.158665921233</v>
      </c>
      <c r="F43" s="52"/>
      <c r="G43" s="52"/>
      <c r="H43" s="52"/>
      <c r="I43" s="52"/>
      <c r="J43" s="52"/>
      <c r="Q43">
        <v>26</v>
      </c>
      <c r="R43" t="s">
        <v>35</v>
      </c>
      <c r="S43" s="76">
        <f>-1*(S36 / ((1/0.14)-(1/(0.14*(1+0.14)^S42))))</f>
        <v>-193591.77470094195</v>
      </c>
      <c r="T43" s="52"/>
      <c r="U43" s="52"/>
      <c r="V43" s="52"/>
      <c r="W43" s="52"/>
      <c r="X43" s="52"/>
    </row>
    <row r="44" spans="3:24" ht="17" thickBot="1" x14ac:dyDescent="0.25">
      <c r="E44" s="66"/>
      <c r="F44" s="66"/>
      <c r="G44" s="66"/>
      <c r="H44" s="66"/>
      <c r="I44" s="66"/>
      <c r="J44" s="66"/>
      <c r="S44" s="66"/>
      <c r="T44" s="66"/>
      <c r="U44" s="66"/>
      <c r="V44" s="66"/>
      <c r="W44" s="66"/>
      <c r="X44" s="66"/>
    </row>
    <row r="45" spans="3:24" x14ac:dyDescent="0.2">
      <c r="D45" s="55" t="s">
        <v>36</v>
      </c>
      <c r="E45" s="77">
        <f>NPV(0.14,F33:J33)+E33</f>
        <v>312620.33081817511</v>
      </c>
      <c r="F45" s="52"/>
      <c r="G45" s="52"/>
      <c r="H45" s="52"/>
      <c r="I45" s="52"/>
      <c r="J45" s="52"/>
      <c r="R45" s="55" t="s">
        <v>36</v>
      </c>
      <c r="S45" s="77">
        <f>NPV(0.14,T33:X33)+S33</f>
        <v>664616.23745333881</v>
      </c>
      <c r="T45" s="52"/>
      <c r="U45" s="52"/>
      <c r="V45" s="52"/>
      <c r="W45" s="52"/>
      <c r="X45" s="52"/>
    </row>
    <row r="46" spans="3:24" x14ac:dyDescent="0.2">
      <c r="D46" s="51" t="s">
        <v>37</v>
      </c>
      <c r="E46" s="78">
        <f>-E45/(SUM(F34:J34))</f>
        <v>-91061.158665921321</v>
      </c>
      <c r="F46" s="52"/>
      <c r="G46" s="52"/>
      <c r="H46" s="52"/>
      <c r="I46" s="52"/>
      <c r="J46" s="52"/>
      <c r="R46" s="51" t="s">
        <v>37</v>
      </c>
      <c r="S46" s="78">
        <f>-S45/(SUM(T34:X34))</f>
        <v>-193591.77470094207</v>
      </c>
      <c r="T46" s="52"/>
      <c r="U46" s="52"/>
      <c r="V46" s="52"/>
      <c r="W46" s="52"/>
      <c r="X46" s="52"/>
    </row>
    <row r="47" spans="3:24" x14ac:dyDescent="0.2">
      <c r="D47" s="51" t="s">
        <v>38</v>
      </c>
      <c r="E47" s="79">
        <f>IRR(E33:J33)</f>
        <v>0.4087815550547933</v>
      </c>
      <c r="R47" s="51" t="s">
        <v>38</v>
      </c>
      <c r="S47" s="122" t="s">
        <v>13</v>
      </c>
    </row>
    <row r="48" spans="3:24" ht="17" thickBot="1" x14ac:dyDescent="0.25">
      <c r="D48" s="54" t="s">
        <v>39</v>
      </c>
      <c r="E48" s="80">
        <f>-E33/F30</f>
        <v>2.5510180448297892</v>
      </c>
      <c r="R48" s="54" t="s">
        <v>39</v>
      </c>
      <c r="S48" s="80">
        <f>-S33/T30</f>
        <v>-0.78509774054328507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9121-1A60-D947-A15B-DDA7182AD06F}">
  <dimension ref="C1:AC48"/>
  <sheetViews>
    <sheetView zoomScaleNormal="100" workbookViewId="0">
      <selection activeCell="O13" sqref="O13"/>
    </sheetView>
  </sheetViews>
  <sheetFormatPr baseColWidth="10" defaultRowHeight="16" x14ac:dyDescent="0.2"/>
  <cols>
    <col min="1" max="1" width="3.1640625" bestFit="1" customWidth="1"/>
    <col min="2" max="2" width="4.1640625" customWidth="1"/>
    <col min="3" max="3" width="4.1640625" bestFit="1" customWidth="1"/>
    <col min="4" max="4" width="45.5" bestFit="1" customWidth="1"/>
    <col min="5" max="6" width="13.1640625" bestFit="1" customWidth="1"/>
    <col min="7" max="7" width="12.5" bestFit="1" customWidth="1"/>
    <col min="8" max="8" width="13.1640625" bestFit="1" customWidth="1"/>
    <col min="9" max="9" width="10.6640625" customWidth="1"/>
    <col min="10" max="13" width="10.83203125" style="110"/>
    <col min="16" max="16" width="24.1640625" customWidth="1"/>
    <col min="17" max="17" width="4.1640625" bestFit="1" customWidth="1"/>
    <col min="18" max="18" width="41.83203125" bestFit="1" customWidth="1"/>
    <col min="19" max="19" width="13.1640625" bestFit="1" customWidth="1"/>
    <col min="20" max="22" width="12.5" bestFit="1" customWidth="1"/>
    <col min="29" max="29" width="13.6640625" bestFit="1" customWidth="1"/>
  </cols>
  <sheetData>
    <row r="1" spans="3:29" ht="17" thickBot="1" x14ac:dyDescent="0.25"/>
    <row r="2" spans="3:29" x14ac:dyDescent="0.2">
      <c r="C2" s="55"/>
      <c r="D2" s="56"/>
      <c r="E2" s="57">
        <v>0</v>
      </c>
      <c r="F2" s="57">
        <v>1</v>
      </c>
      <c r="G2" s="57">
        <v>2</v>
      </c>
      <c r="H2" s="58">
        <v>3</v>
      </c>
      <c r="Q2" s="55"/>
      <c r="R2" s="56"/>
      <c r="S2" s="57">
        <v>0</v>
      </c>
      <c r="T2" s="57">
        <v>1</v>
      </c>
      <c r="U2" s="57">
        <v>2</v>
      </c>
      <c r="V2" s="58">
        <v>3</v>
      </c>
    </row>
    <row r="3" spans="3:29" x14ac:dyDescent="0.2">
      <c r="C3" s="59"/>
      <c r="D3" s="114" t="s">
        <v>80</v>
      </c>
      <c r="E3" s="113"/>
      <c r="F3" s="113"/>
      <c r="G3" s="113"/>
      <c r="H3" s="62"/>
      <c r="Q3" s="59"/>
      <c r="R3" s="114" t="s">
        <v>80</v>
      </c>
      <c r="S3" s="113"/>
      <c r="T3" s="113"/>
      <c r="U3" s="113"/>
      <c r="V3" s="62"/>
    </row>
    <row r="4" spans="3:29" x14ac:dyDescent="0.2">
      <c r="C4" s="51"/>
      <c r="D4" s="115" t="s">
        <v>79</v>
      </c>
      <c r="E4" s="63"/>
      <c r="F4" s="116"/>
      <c r="G4" s="116"/>
      <c r="H4" s="64"/>
      <c r="Q4" s="51"/>
      <c r="R4" s="115" t="s">
        <v>79</v>
      </c>
      <c r="S4" s="63"/>
      <c r="T4" s="116"/>
      <c r="U4" s="116"/>
      <c r="V4" s="64"/>
    </row>
    <row r="5" spans="3:29" x14ac:dyDescent="0.2">
      <c r="C5" s="51">
        <v>1</v>
      </c>
      <c r="D5" s="110" t="s">
        <v>40</v>
      </c>
      <c r="E5" s="63">
        <v>332626</v>
      </c>
      <c r="F5" s="116"/>
      <c r="G5" s="116"/>
      <c r="H5" s="65">
        <f>-E5*1.03^H2</f>
        <v>-363469.41110199998</v>
      </c>
      <c r="I5" s="107"/>
      <c r="Q5" s="51">
        <v>1</v>
      </c>
      <c r="R5" s="110" t="s">
        <v>40</v>
      </c>
      <c r="S5" s="63"/>
      <c r="T5" s="116"/>
      <c r="U5" s="116"/>
      <c r="V5" s="64"/>
    </row>
    <row r="6" spans="3:29" x14ac:dyDescent="0.2">
      <c r="C6" s="51">
        <v>2</v>
      </c>
      <c r="D6" s="110" t="s">
        <v>24</v>
      </c>
      <c r="E6" s="63">
        <v>56000</v>
      </c>
      <c r="F6" s="116"/>
      <c r="G6" s="116"/>
      <c r="H6" s="65"/>
      <c r="I6" s="108"/>
      <c r="Q6" s="51">
        <v>2</v>
      </c>
      <c r="R6" s="110" t="s">
        <v>24</v>
      </c>
      <c r="S6" s="63"/>
      <c r="T6" s="116"/>
      <c r="U6" s="116"/>
      <c r="V6" s="65"/>
    </row>
    <row r="7" spans="3:29" x14ac:dyDescent="0.2">
      <c r="C7" s="51">
        <v>3</v>
      </c>
      <c r="D7" s="110" t="s">
        <v>21</v>
      </c>
      <c r="E7" s="63">
        <v>10000</v>
      </c>
      <c r="F7" s="116"/>
      <c r="G7" s="116"/>
      <c r="H7" s="64"/>
      <c r="I7" s="109"/>
      <c r="Q7" s="51">
        <v>3</v>
      </c>
      <c r="R7" s="110" t="s">
        <v>21</v>
      </c>
      <c r="S7" s="63"/>
      <c r="T7" s="116"/>
      <c r="U7" s="116"/>
      <c r="V7" s="53"/>
    </row>
    <row r="8" spans="3:29" ht="17" thickBot="1" x14ac:dyDescent="0.25">
      <c r="C8" s="51">
        <v>4</v>
      </c>
      <c r="D8" s="110" t="s">
        <v>99</v>
      </c>
      <c r="E8" s="63">
        <v>50000</v>
      </c>
      <c r="F8" s="63"/>
      <c r="G8" s="63"/>
      <c r="H8" s="65"/>
      <c r="I8" s="109"/>
      <c r="Q8" s="51">
        <v>4</v>
      </c>
      <c r="R8" s="110" t="s">
        <v>99</v>
      </c>
      <c r="S8" s="63"/>
      <c r="T8" s="63"/>
      <c r="U8" s="63"/>
      <c r="V8" s="65"/>
    </row>
    <row r="9" spans="3:29" x14ac:dyDescent="0.2">
      <c r="C9" s="51"/>
      <c r="D9" s="115" t="s">
        <v>46</v>
      </c>
      <c r="E9" s="63"/>
      <c r="F9" s="116"/>
      <c r="G9" s="116"/>
      <c r="H9" s="65"/>
      <c r="Q9" s="51"/>
      <c r="R9" s="115" t="s">
        <v>46</v>
      </c>
      <c r="S9" s="63"/>
      <c r="T9" s="116"/>
      <c r="U9" s="116"/>
      <c r="V9" s="64"/>
      <c r="AC9" s="133" t="s">
        <v>106</v>
      </c>
    </row>
    <row r="10" spans="3:29" ht="17" thickBot="1" x14ac:dyDescent="0.25">
      <c r="C10" s="51">
        <v>5</v>
      </c>
      <c r="D10" s="110" t="s">
        <v>77</v>
      </c>
      <c r="E10" s="63">
        <v>23700</v>
      </c>
      <c r="F10" s="116"/>
      <c r="G10" s="116"/>
      <c r="H10" s="65"/>
      <c r="I10" s="107"/>
      <c r="Q10" s="51">
        <v>5</v>
      </c>
      <c r="R10" s="110" t="s">
        <v>77</v>
      </c>
      <c r="S10" s="63">
        <v>23700</v>
      </c>
      <c r="T10" s="116"/>
      <c r="U10" s="116"/>
      <c r="V10" s="64"/>
      <c r="AC10" s="134">
        <f>1+AC11</f>
        <v>1</v>
      </c>
    </row>
    <row r="11" spans="3:29" x14ac:dyDescent="0.2">
      <c r="C11" s="51">
        <v>6</v>
      </c>
      <c r="D11" s="110" t="s">
        <v>78</v>
      </c>
      <c r="E11" s="63">
        <v>100000</v>
      </c>
      <c r="F11" s="116"/>
      <c r="G11" s="116"/>
      <c r="H11" s="65"/>
      <c r="I11" s="108"/>
      <c r="Q11" s="51">
        <v>6</v>
      </c>
      <c r="R11" s="110" t="s">
        <v>78</v>
      </c>
      <c r="S11" s="63">
        <v>100000</v>
      </c>
      <c r="T11" s="116"/>
      <c r="U11" s="116"/>
      <c r="V11" s="65"/>
      <c r="AC11">
        <v>0</v>
      </c>
    </row>
    <row r="12" spans="3:29" x14ac:dyDescent="0.2">
      <c r="C12" s="51">
        <v>6.1</v>
      </c>
      <c r="D12" s="115" t="s">
        <v>84</v>
      </c>
      <c r="E12" s="63">
        <f>-E5-E6-E7-E8+E10+E11</f>
        <v>-324926</v>
      </c>
      <c r="F12" s="63"/>
      <c r="G12" s="63"/>
      <c r="H12" s="65">
        <f t="shared" ref="H12" si="0">-H5-H6-H7-H8+H10+H11</f>
        <v>363469.41110199998</v>
      </c>
      <c r="Q12" s="51">
        <v>6.1</v>
      </c>
      <c r="R12" s="115" t="s">
        <v>84</v>
      </c>
      <c r="S12" s="63">
        <f>-S5-S6-S7-S8+S10+S11</f>
        <v>123700</v>
      </c>
      <c r="T12" s="63"/>
      <c r="U12" s="63"/>
      <c r="V12" s="65"/>
    </row>
    <row r="13" spans="3:29" x14ac:dyDescent="0.2">
      <c r="C13" s="51"/>
      <c r="D13" s="110"/>
      <c r="E13" s="63"/>
      <c r="F13" s="116"/>
      <c r="G13" s="116"/>
      <c r="H13" s="64"/>
      <c r="Q13" s="51"/>
      <c r="R13" s="110"/>
      <c r="S13" s="63"/>
      <c r="T13" s="116"/>
      <c r="U13" s="116"/>
      <c r="V13" s="64"/>
    </row>
    <row r="14" spans="3:29" x14ac:dyDescent="0.2">
      <c r="C14" s="59"/>
      <c r="D14" s="114" t="s">
        <v>74</v>
      </c>
      <c r="E14" s="67"/>
      <c r="F14" s="113"/>
      <c r="G14" s="113"/>
      <c r="H14" s="62"/>
      <c r="Q14" s="59"/>
      <c r="R14" s="114" t="s">
        <v>74</v>
      </c>
      <c r="S14" s="67"/>
      <c r="T14" s="113"/>
      <c r="U14" s="113"/>
      <c r="V14" s="62"/>
    </row>
    <row r="15" spans="3:29" x14ac:dyDescent="0.2">
      <c r="C15" s="51"/>
      <c r="D15" s="120" t="s">
        <v>88</v>
      </c>
      <c r="E15" s="63"/>
      <c r="F15" s="116"/>
      <c r="G15" s="116"/>
      <c r="H15" s="64"/>
      <c r="Q15" s="51"/>
      <c r="R15" s="120" t="s">
        <v>88</v>
      </c>
      <c r="S15" s="63"/>
      <c r="T15" s="116"/>
      <c r="U15" s="116"/>
      <c r="V15" s="64"/>
    </row>
    <row r="16" spans="3:29" x14ac:dyDescent="0.2">
      <c r="C16" s="51">
        <v>7</v>
      </c>
      <c r="D16" s="110" t="s">
        <v>95</v>
      </c>
      <c r="E16" s="63"/>
      <c r="F16" s="63">
        <f>188721.55</f>
        <v>188721.55</v>
      </c>
      <c r="G16" s="63">
        <f>188721.55*$AC$10^(G2-1)</f>
        <v>188721.55</v>
      </c>
      <c r="H16" s="65">
        <f t="shared" ref="H16" si="1">188721.55*$AC$10^(H2-1)</f>
        <v>188721.55</v>
      </c>
      <c r="Q16" s="51">
        <v>7</v>
      </c>
      <c r="R16" s="110" t="s">
        <v>95</v>
      </c>
      <c r="S16" s="63"/>
      <c r="T16" s="63">
        <v>157975</v>
      </c>
      <c r="U16" s="63">
        <v>157975</v>
      </c>
      <c r="V16" s="65">
        <v>157975</v>
      </c>
    </row>
    <row r="17" spans="3:22" x14ac:dyDescent="0.2">
      <c r="C17" s="51">
        <v>8</v>
      </c>
      <c r="D17" s="110" t="s">
        <v>75</v>
      </c>
      <c r="E17" s="63"/>
      <c r="F17" s="63">
        <v>13000</v>
      </c>
      <c r="G17" s="63">
        <v>13000</v>
      </c>
      <c r="H17" s="65">
        <v>13000</v>
      </c>
      <c r="Q17" s="51">
        <v>8</v>
      </c>
      <c r="R17" s="110" t="s">
        <v>75</v>
      </c>
      <c r="S17" s="63"/>
      <c r="T17" s="63">
        <v>13000</v>
      </c>
      <c r="U17" s="63">
        <v>13000</v>
      </c>
      <c r="V17" s="65">
        <v>13000</v>
      </c>
    </row>
    <row r="18" spans="3:22" x14ac:dyDescent="0.2">
      <c r="C18" s="51">
        <v>9</v>
      </c>
      <c r="D18" s="110" t="s">
        <v>76</v>
      </c>
      <c r="E18" s="63"/>
      <c r="F18" s="63">
        <v>30000</v>
      </c>
      <c r="G18" s="63">
        <v>30000</v>
      </c>
      <c r="H18" s="65">
        <v>30000</v>
      </c>
      <c r="Q18" s="51">
        <v>9</v>
      </c>
      <c r="R18" s="110" t="s">
        <v>76</v>
      </c>
      <c r="S18" s="63"/>
      <c r="T18" s="63">
        <v>30000</v>
      </c>
      <c r="U18" s="63">
        <v>30000</v>
      </c>
      <c r="V18" s="65">
        <v>30000</v>
      </c>
    </row>
    <row r="19" spans="3:22" x14ac:dyDescent="0.2">
      <c r="C19" s="111">
        <v>10</v>
      </c>
      <c r="D19" s="110" t="s">
        <v>82</v>
      </c>
      <c r="E19" s="110"/>
      <c r="F19" s="112">
        <v>61625</v>
      </c>
      <c r="G19" s="112">
        <v>61625</v>
      </c>
      <c r="H19" s="118">
        <v>61625</v>
      </c>
      <c r="Q19" s="111">
        <v>10</v>
      </c>
      <c r="R19" s="110" t="s">
        <v>82</v>
      </c>
      <c r="S19" s="110"/>
      <c r="T19" s="112">
        <v>61625</v>
      </c>
      <c r="U19" s="112">
        <v>61625</v>
      </c>
      <c r="V19" s="118">
        <v>61625</v>
      </c>
    </row>
    <row r="20" spans="3:22" x14ac:dyDescent="0.2">
      <c r="C20" s="51">
        <v>11</v>
      </c>
      <c r="D20" s="110" t="s">
        <v>81</v>
      </c>
      <c r="E20" s="63"/>
      <c r="F20" s="117">
        <v>30812.5</v>
      </c>
      <c r="G20" s="117">
        <v>30812.5</v>
      </c>
      <c r="H20" s="53">
        <v>30812.5</v>
      </c>
      <c r="Q20" s="51">
        <v>11</v>
      </c>
      <c r="R20" s="110" t="s">
        <v>81</v>
      </c>
      <c r="S20" s="63"/>
      <c r="T20" s="117"/>
      <c r="U20" s="117"/>
      <c r="V20" s="53"/>
    </row>
    <row r="21" spans="3:22" x14ac:dyDescent="0.2">
      <c r="C21" s="51"/>
      <c r="D21" s="120" t="s">
        <v>83</v>
      </c>
      <c r="E21" s="63"/>
      <c r="F21" s="117"/>
      <c r="G21" s="117"/>
      <c r="H21" s="53"/>
      <c r="Q21" s="51"/>
      <c r="R21" s="120" t="s">
        <v>83</v>
      </c>
      <c r="S21" s="63"/>
      <c r="T21" s="117"/>
      <c r="U21" s="117"/>
      <c r="V21" s="53"/>
    </row>
    <row r="22" spans="3:22" x14ac:dyDescent="0.2">
      <c r="C22" s="51">
        <v>12</v>
      </c>
      <c r="D22" s="135" t="s">
        <v>103</v>
      </c>
      <c r="E22" s="63"/>
      <c r="F22" s="117">
        <f>$E$5/3</f>
        <v>110875.33333333333</v>
      </c>
      <c r="G22" s="117">
        <f t="shared" ref="G22:H22" si="2">$E$5/3</f>
        <v>110875.33333333333</v>
      </c>
      <c r="H22" s="53">
        <f t="shared" si="2"/>
        <v>110875.33333333333</v>
      </c>
      <c r="Q22" s="51">
        <v>12</v>
      </c>
      <c r="R22" s="126" t="s">
        <v>103</v>
      </c>
      <c r="S22" s="63"/>
      <c r="T22" s="117"/>
      <c r="U22" s="117"/>
      <c r="V22" s="53"/>
    </row>
    <row r="23" spans="3:22" x14ac:dyDescent="0.2">
      <c r="C23" s="51">
        <v>13</v>
      </c>
      <c r="D23" s="119" t="s">
        <v>85</v>
      </c>
      <c r="E23" s="63"/>
      <c r="F23" s="117">
        <v>65000</v>
      </c>
      <c r="G23" s="117">
        <v>65000</v>
      </c>
      <c r="H23" s="53">
        <v>65000</v>
      </c>
      <c r="Q23" s="51">
        <v>13</v>
      </c>
      <c r="R23" s="119" t="s">
        <v>85</v>
      </c>
      <c r="S23" s="63"/>
      <c r="T23" s="117"/>
      <c r="U23" s="117"/>
      <c r="V23" s="53"/>
    </row>
    <row r="24" spans="3:22" x14ac:dyDescent="0.2">
      <c r="C24" s="51">
        <v>14</v>
      </c>
      <c r="D24" s="119" t="s">
        <v>86</v>
      </c>
      <c r="E24" s="63"/>
      <c r="F24" s="117">
        <v>60816</v>
      </c>
      <c r="G24" s="117">
        <v>60816</v>
      </c>
      <c r="H24" s="53">
        <v>60816</v>
      </c>
      <c r="Q24" s="51">
        <v>14</v>
      </c>
      <c r="R24" s="119" t="s">
        <v>86</v>
      </c>
      <c r="S24" s="63"/>
      <c r="T24" s="117"/>
      <c r="U24" s="117"/>
      <c r="V24" s="53"/>
    </row>
    <row r="25" spans="3:22" x14ac:dyDescent="0.2">
      <c r="C25" s="51">
        <v>15</v>
      </c>
      <c r="D25" s="119" t="s">
        <v>87</v>
      </c>
      <c r="E25" s="63"/>
      <c r="F25" s="117">
        <v>30408</v>
      </c>
      <c r="G25" s="117">
        <v>30408</v>
      </c>
      <c r="H25" s="53">
        <v>30408</v>
      </c>
      <c r="Q25" s="51">
        <v>15</v>
      </c>
      <c r="R25" s="119" t="s">
        <v>87</v>
      </c>
      <c r="S25" s="63"/>
      <c r="T25" s="117"/>
      <c r="U25" s="117"/>
      <c r="V25" s="53"/>
    </row>
    <row r="26" spans="3:22" x14ac:dyDescent="0.2">
      <c r="C26" s="51"/>
      <c r="D26" s="120" t="s">
        <v>89</v>
      </c>
      <c r="E26" s="63"/>
      <c r="F26" s="117"/>
      <c r="G26" s="117"/>
      <c r="H26" s="53"/>
      <c r="Q26" s="51"/>
      <c r="R26" s="120" t="s">
        <v>89</v>
      </c>
      <c r="S26" s="63"/>
      <c r="T26" s="117"/>
      <c r="U26" s="117"/>
      <c r="V26" s="53"/>
    </row>
    <row r="27" spans="3:22" x14ac:dyDescent="0.2">
      <c r="C27" s="51">
        <v>16</v>
      </c>
      <c r="D27" s="110" t="s">
        <v>90</v>
      </c>
      <c r="E27" s="63"/>
      <c r="F27" s="63">
        <f>SUM(F16:F20)-SUM(F22:F25)</f>
        <v>57059.716666666674</v>
      </c>
      <c r="G27" s="63">
        <f t="shared" ref="G27:H27" si="3">SUM(G16:G20)-SUM(G22:G25)</f>
        <v>57059.716666666674</v>
      </c>
      <c r="H27" s="65">
        <f t="shared" si="3"/>
        <v>57059.716666666674</v>
      </c>
      <c r="Q27" s="51">
        <v>16</v>
      </c>
      <c r="R27" s="110" t="s">
        <v>90</v>
      </c>
      <c r="S27" s="63"/>
      <c r="T27" s="63">
        <f>SUM(T16:T20)-SUM(T22:T25)</f>
        <v>262600</v>
      </c>
      <c r="U27" s="63">
        <f t="shared" ref="U27:V27" si="4">SUM(U16:U20)-SUM(U22:U25)</f>
        <v>262600</v>
      </c>
      <c r="V27" s="65">
        <f t="shared" si="4"/>
        <v>262600</v>
      </c>
    </row>
    <row r="28" spans="3:22" x14ac:dyDescent="0.2">
      <c r="C28" s="51">
        <v>17</v>
      </c>
      <c r="D28" s="110" t="s">
        <v>91</v>
      </c>
      <c r="E28" s="63"/>
      <c r="F28" s="63">
        <f>0.4*F27</f>
        <v>22823.886666666673</v>
      </c>
      <c r="G28" s="63">
        <f t="shared" ref="G28:H28" si="5">0.4*G27</f>
        <v>22823.886666666673</v>
      </c>
      <c r="H28" s="65">
        <f t="shared" si="5"/>
        <v>22823.886666666673</v>
      </c>
      <c r="Q28" s="51">
        <v>17</v>
      </c>
      <c r="R28" s="110" t="s">
        <v>91</v>
      </c>
      <c r="S28" s="63"/>
      <c r="T28" s="63">
        <f>0.4*T27</f>
        <v>105040</v>
      </c>
      <c r="U28" s="63">
        <f t="shared" ref="U28:V28" si="6">0.4*U27</f>
        <v>105040</v>
      </c>
      <c r="V28" s="65">
        <f t="shared" si="6"/>
        <v>105040</v>
      </c>
    </row>
    <row r="29" spans="3:22" x14ac:dyDescent="0.2">
      <c r="C29" s="51">
        <v>18</v>
      </c>
      <c r="D29" s="110" t="s">
        <v>92</v>
      </c>
      <c r="E29" s="63"/>
      <c r="F29" s="63">
        <f t="shared" ref="F29:H29" si="7">F27-F28</f>
        <v>34235.83</v>
      </c>
      <c r="G29" s="63">
        <f t="shared" si="7"/>
        <v>34235.83</v>
      </c>
      <c r="H29" s="65">
        <f t="shared" si="7"/>
        <v>34235.83</v>
      </c>
      <c r="Q29" s="51">
        <v>18</v>
      </c>
      <c r="R29" s="110" t="s">
        <v>92</v>
      </c>
      <c r="S29" s="63"/>
      <c r="T29" s="63">
        <f t="shared" ref="T29:V29" si="8">T27-T28</f>
        <v>157560</v>
      </c>
      <c r="U29" s="63">
        <f t="shared" si="8"/>
        <v>157560</v>
      </c>
      <c r="V29" s="65">
        <f t="shared" si="8"/>
        <v>157560</v>
      </c>
    </row>
    <row r="30" spans="3:22" x14ac:dyDescent="0.2">
      <c r="C30" s="51">
        <v>19</v>
      </c>
      <c r="D30" s="110" t="s">
        <v>93</v>
      </c>
      <c r="E30" s="68"/>
      <c r="F30" s="68">
        <f t="shared" ref="F30:H30" si="9">F29+F22</f>
        <v>145111.16333333333</v>
      </c>
      <c r="G30" s="68">
        <f t="shared" si="9"/>
        <v>145111.16333333333</v>
      </c>
      <c r="H30" s="69">
        <f t="shared" si="9"/>
        <v>145111.16333333333</v>
      </c>
      <c r="Q30" s="51">
        <v>19</v>
      </c>
      <c r="R30" s="110" t="s">
        <v>93</v>
      </c>
      <c r="S30" s="121"/>
      <c r="T30" s="68">
        <f t="shared" ref="T30:V30" si="10">T22+T29+T12</f>
        <v>157560</v>
      </c>
      <c r="U30" s="68">
        <f t="shared" si="10"/>
        <v>157560</v>
      </c>
      <c r="V30" s="69">
        <f t="shared" si="10"/>
        <v>157560</v>
      </c>
    </row>
    <row r="31" spans="3:22" x14ac:dyDescent="0.2">
      <c r="C31" s="51"/>
      <c r="D31" s="110"/>
      <c r="E31" s="116"/>
      <c r="F31" s="116"/>
      <c r="G31" s="116"/>
      <c r="H31" s="64"/>
      <c r="Q31" s="51"/>
      <c r="R31" s="110"/>
      <c r="S31" s="116"/>
      <c r="T31" s="116"/>
      <c r="U31" s="116"/>
      <c r="V31" s="64"/>
    </row>
    <row r="32" spans="3:22" x14ac:dyDescent="0.2">
      <c r="C32" s="59"/>
      <c r="D32" s="114" t="s">
        <v>29</v>
      </c>
      <c r="E32" s="113"/>
      <c r="F32" s="113"/>
      <c r="G32" s="113"/>
      <c r="H32" s="62"/>
      <c r="Q32" s="59"/>
      <c r="R32" s="114" t="s">
        <v>29</v>
      </c>
      <c r="S32" s="113"/>
      <c r="T32" s="113"/>
      <c r="U32" s="113"/>
      <c r="V32" s="62"/>
    </row>
    <row r="33" spans="3:22" x14ac:dyDescent="0.2">
      <c r="C33" s="51">
        <v>20</v>
      </c>
      <c r="D33" s="110" t="s">
        <v>94</v>
      </c>
      <c r="E33" s="123">
        <f>E12+E30</f>
        <v>-324926</v>
      </c>
      <c r="F33" s="124">
        <f t="shared" ref="F33:H33" si="11">F12+F30</f>
        <v>145111.16333333333</v>
      </c>
      <c r="G33" s="124">
        <f t="shared" si="11"/>
        <v>145111.16333333333</v>
      </c>
      <c r="H33" s="125">
        <f t="shared" si="11"/>
        <v>508580.57443533331</v>
      </c>
      <c r="Q33" s="51">
        <v>20</v>
      </c>
      <c r="R33" s="110" t="s">
        <v>94</v>
      </c>
      <c r="S33" s="124">
        <f>S30+S12</f>
        <v>123700</v>
      </c>
      <c r="T33" s="124">
        <f t="shared" ref="T33:V33" si="12">T30+T12</f>
        <v>157560</v>
      </c>
      <c r="U33" s="124">
        <f t="shared" si="12"/>
        <v>157560</v>
      </c>
      <c r="V33" s="125">
        <f t="shared" si="12"/>
        <v>157560</v>
      </c>
    </row>
    <row r="34" spans="3:22" x14ac:dyDescent="0.2">
      <c r="C34" s="51">
        <v>21</v>
      </c>
      <c r="D34" s="110" t="s">
        <v>30</v>
      </c>
      <c r="E34" s="116">
        <f>(1/(1+0.14)^E2)</f>
        <v>1</v>
      </c>
      <c r="F34" s="116">
        <f t="shared" ref="F34:H34" si="13">(1/(1+0.14)^F2)</f>
        <v>0.8771929824561403</v>
      </c>
      <c r="G34" s="116">
        <f t="shared" si="13"/>
        <v>0.76946752847029842</v>
      </c>
      <c r="H34" s="64">
        <f t="shared" si="13"/>
        <v>0.67497151620201612</v>
      </c>
      <c r="Q34" s="51">
        <v>21</v>
      </c>
      <c r="R34" s="110" t="s">
        <v>30</v>
      </c>
      <c r="S34" s="116">
        <f>(1/(1+0.14)^S2)</f>
        <v>1</v>
      </c>
      <c r="T34" s="116">
        <f t="shared" ref="T34:V34" si="14">(1/(1+0.14)^T2)</f>
        <v>0.8771929824561403</v>
      </c>
      <c r="U34" s="116">
        <f t="shared" si="14"/>
        <v>0.76946752847029842</v>
      </c>
      <c r="V34" s="64">
        <f t="shared" si="14"/>
        <v>0.67497151620201612</v>
      </c>
    </row>
    <row r="35" spans="3:22" x14ac:dyDescent="0.2">
      <c r="C35" s="51">
        <v>22</v>
      </c>
      <c r="D35" s="110" t="s">
        <v>110</v>
      </c>
      <c r="E35" s="117">
        <f>E33*E34</f>
        <v>-324926</v>
      </c>
      <c r="F35" s="117">
        <f t="shared" ref="F35:H35" si="15">F33*F34</f>
        <v>127290.49415204677</v>
      </c>
      <c r="G35" s="117">
        <f t="shared" si="15"/>
        <v>111658.32820354978</v>
      </c>
      <c r="H35" s="53">
        <f t="shared" si="15"/>
        <v>343277.40143750922</v>
      </c>
      <c r="Q35" s="51">
        <v>22</v>
      </c>
      <c r="R35" s="110" t="s">
        <v>110</v>
      </c>
      <c r="S35" s="117">
        <f>S33*S34</f>
        <v>123700</v>
      </c>
      <c r="T35" s="117">
        <f t="shared" ref="T35:V35" si="16">T33*T34</f>
        <v>138210.52631578947</v>
      </c>
      <c r="U35" s="117">
        <f t="shared" si="16"/>
        <v>121237.30378578023</v>
      </c>
      <c r="V35" s="53">
        <f t="shared" si="16"/>
        <v>106348.51209278966</v>
      </c>
    </row>
    <row r="36" spans="3:22" ht="17" thickBot="1" x14ac:dyDescent="0.25">
      <c r="C36" s="54">
        <v>23</v>
      </c>
      <c r="D36" s="70" t="s">
        <v>28</v>
      </c>
      <c r="E36" s="71">
        <f>SUM(E35:H35)</f>
        <v>257300.22379310578</v>
      </c>
      <c r="F36" s="72"/>
      <c r="G36" s="72"/>
      <c r="H36" s="73"/>
      <c r="Q36" s="54">
        <v>23</v>
      </c>
      <c r="R36" s="70" t="s">
        <v>28</v>
      </c>
      <c r="S36" s="71">
        <f>SUM(S35:V35)</f>
        <v>489496.3421943594</v>
      </c>
      <c r="T36" s="72"/>
      <c r="U36" s="72"/>
      <c r="V36" s="73"/>
    </row>
    <row r="38" spans="3:22" x14ac:dyDescent="0.2">
      <c r="C38" s="74"/>
      <c r="D38" s="60" t="s">
        <v>31</v>
      </c>
      <c r="E38" s="61"/>
      <c r="F38" s="61"/>
      <c r="G38" s="61"/>
      <c r="H38" s="61"/>
      <c r="Q38" s="74"/>
      <c r="R38" s="60" t="s">
        <v>31</v>
      </c>
      <c r="S38" s="61"/>
      <c r="T38" s="61"/>
      <c r="U38" s="61"/>
      <c r="V38" s="61"/>
    </row>
    <row r="39" spans="3:22" x14ac:dyDescent="0.2">
      <c r="C39">
        <v>24</v>
      </c>
      <c r="D39" t="s">
        <v>32</v>
      </c>
      <c r="E39" s="66">
        <f>E33</f>
        <v>-324926</v>
      </c>
      <c r="F39" s="66">
        <f>E39+F33</f>
        <v>-179814.83666666667</v>
      </c>
      <c r="G39" s="66">
        <f t="shared" ref="G39:H39" si="17">F39+G33</f>
        <v>-34703.67333333334</v>
      </c>
      <c r="H39" s="66">
        <f t="shared" si="17"/>
        <v>473876.90110199997</v>
      </c>
      <c r="Q39">
        <v>24</v>
      </c>
      <c r="R39" t="s">
        <v>32</v>
      </c>
      <c r="S39" s="66">
        <f>S33</f>
        <v>123700</v>
      </c>
      <c r="T39" s="66">
        <f>S39+T33</f>
        <v>281260</v>
      </c>
      <c r="U39" s="66">
        <f t="shared" ref="U39:V39" si="18">T39+U33</f>
        <v>438820</v>
      </c>
      <c r="V39" s="66">
        <f t="shared" si="18"/>
        <v>596380</v>
      </c>
    </row>
    <row r="40" spans="3:22" x14ac:dyDescent="0.2">
      <c r="E40" s="52"/>
      <c r="F40" s="52"/>
      <c r="G40" s="52"/>
      <c r="H40" s="52"/>
      <c r="S40" s="52"/>
      <c r="T40" s="52"/>
      <c r="U40" s="52"/>
      <c r="V40" s="52"/>
    </row>
    <row r="41" spans="3:22" x14ac:dyDescent="0.2">
      <c r="C41" s="74"/>
      <c r="D41" s="60" t="s">
        <v>33</v>
      </c>
      <c r="E41" s="61"/>
      <c r="F41" s="61"/>
      <c r="G41" s="61"/>
      <c r="H41" s="61"/>
      <c r="Q41" s="74"/>
      <c r="R41" s="60" t="s">
        <v>33</v>
      </c>
      <c r="S41" s="61"/>
      <c r="T41" s="61"/>
      <c r="U41" s="61"/>
      <c r="V41" s="61"/>
    </row>
    <row r="42" spans="3:22" x14ac:dyDescent="0.2">
      <c r="C42">
        <v>25</v>
      </c>
      <c r="D42" t="s">
        <v>34</v>
      </c>
      <c r="E42" s="75">
        <v>3</v>
      </c>
      <c r="F42" s="66"/>
      <c r="G42" s="66"/>
      <c r="H42" s="66"/>
      <c r="Q42">
        <v>25</v>
      </c>
      <c r="R42" t="s">
        <v>34</v>
      </c>
      <c r="S42" s="75">
        <v>3</v>
      </c>
      <c r="T42" s="66"/>
      <c r="U42" s="66"/>
      <c r="V42" s="66"/>
    </row>
    <row r="43" spans="3:22" x14ac:dyDescent="0.2">
      <c r="C43">
        <v>26</v>
      </c>
      <c r="D43" t="s">
        <v>35</v>
      </c>
      <c r="E43" s="76">
        <f>-1*(E36 / ((1/0.14)-(1/(0.14*(1+0.14)^E42))))</f>
        <v>-110827.30630286457</v>
      </c>
      <c r="F43" s="52"/>
      <c r="G43" s="52"/>
      <c r="H43" s="52"/>
      <c r="Q43">
        <v>26</v>
      </c>
      <c r="R43" t="s">
        <v>35</v>
      </c>
      <c r="S43" s="76">
        <f>-1*(S36 / ((1/0.14)-(1/(0.14*(1+0.14)^S42))))</f>
        <v>-210841.48412606108</v>
      </c>
      <c r="T43" s="52"/>
      <c r="U43" s="52"/>
      <c r="V43" s="52"/>
    </row>
    <row r="44" spans="3:22" ht="17" thickBot="1" x14ac:dyDescent="0.25">
      <c r="E44" s="66"/>
      <c r="F44" s="66"/>
      <c r="G44" s="66"/>
      <c r="H44" s="66"/>
      <c r="S44" s="66"/>
      <c r="T44" s="66"/>
      <c r="U44" s="66"/>
      <c r="V44" s="66"/>
    </row>
    <row r="45" spans="3:22" x14ac:dyDescent="0.2">
      <c r="D45" s="55" t="s">
        <v>36</v>
      </c>
      <c r="E45" s="77">
        <f>NPV(0.14,F33:H33)+E33</f>
        <v>257300.2237931058</v>
      </c>
      <c r="F45" s="52"/>
      <c r="G45" s="52"/>
      <c r="H45" s="52"/>
      <c r="R45" s="55" t="s">
        <v>36</v>
      </c>
      <c r="S45" s="77">
        <f>NPV(0.14,T33:V33)+S33</f>
        <v>489496.34219435928</v>
      </c>
      <c r="T45" s="52"/>
      <c r="U45" s="52"/>
      <c r="V45" s="52"/>
    </row>
    <row r="46" spans="3:22" x14ac:dyDescent="0.2">
      <c r="D46" s="51" t="s">
        <v>37</v>
      </c>
      <c r="E46" s="78">
        <f>-E45/(SUM(F34:H34))</f>
        <v>-110827.30630286464</v>
      </c>
      <c r="F46" s="52"/>
      <c r="G46" s="52"/>
      <c r="H46" s="52"/>
      <c r="R46" s="51" t="s">
        <v>37</v>
      </c>
      <c r="S46" s="78">
        <f>-S45/(SUM(T34:V34))</f>
        <v>-210841.48412606117</v>
      </c>
      <c r="T46" s="52"/>
      <c r="U46" s="52"/>
      <c r="V46" s="52"/>
    </row>
    <row r="47" spans="3:22" x14ac:dyDescent="0.2">
      <c r="D47" s="51" t="s">
        <v>38</v>
      </c>
      <c r="E47" s="79">
        <f>IRR(E33:H33)</f>
        <v>0.47216578368241957</v>
      </c>
      <c r="R47" s="51" t="s">
        <v>38</v>
      </c>
      <c r="S47" s="122" t="s">
        <v>13</v>
      </c>
    </row>
    <row r="48" spans="3:22" ht="17" thickBot="1" x14ac:dyDescent="0.25">
      <c r="D48" s="54" t="s">
        <v>39</v>
      </c>
      <c r="E48" s="80">
        <f>-E33/F30</f>
        <v>2.2391523335362966</v>
      </c>
      <c r="R48" s="54" t="s">
        <v>39</v>
      </c>
      <c r="S48" s="80">
        <f>-S33/T30</f>
        <v>-0.78509774054328507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17A9-B0CF-E14C-B70F-03C390933432}">
  <dimension ref="B1:F11"/>
  <sheetViews>
    <sheetView tabSelected="1" zoomScale="200" zoomScaleNormal="200" workbookViewId="0">
      <selection activeCell="D18" sqref="D18"/>
    </sheetView>
  </sheetViews>
  <sheetFormatPr baseColWidth="10" defaultRowHeight="16" x14ac:dyDescent="0.2"/>
  <cols>
    <col min="2" max="2" width="33.6640625" bestFit="1" customWidth="1"/>
    <col min="3" max="3" width="12.5" bestFit="1" customWidth="1"/>
    <col min="4" max="6" width="11.1640625" bestFit="1" customWidth="1"/>
  </cols>
  <sheetData>
    <row r="1" spans="2:6" ht="17" thickBot="1" x14ac:dyDescent="0.25"/>
    <row r="2" spans="2:6" x14ac:dyDescent="0.2">
      <c r="B2" s="35"/>
      <c r="C2" s="36" t="s">
        <v>107</v>
      </c>
      <c r="D2" s="37" t="s">
        <v>96</v>
      </c>
      <c r="E2" s="37" t="s">
        <v>97</v>
      </c>
      <c r="F2" s="128" t="s">
        <v>98</v>
      </c>
    </row>
    <row r="3" spans="2:6" x14ac:dyDescent="0.2">
      <c r="B3" s="86" t="s">
        <v>104</v>
      </c>
      <c r="C3" s="136">
        <f>'NPV-10 Years'!$S$36</f>
        <v>945551.18123001617</v>
      </c>
      <c r="D3" s="129">
        <f>'NPV-7 Years'!$S$36</f>
        <v>799365.31044424349</v>
      </c>
      <c r="E3" s="129">
        <f>'NPV-5 Years'!$S$36</f>
        <v>664616.23745333892</v>
      </c>
      <c r="F3" s="130">
        <f>'NPV-3 Years'!$S$36</f>
        <v>489496.3421943594</v>
      </c>
    </row>
    <row r="4" spans="2:6" x14ac:dyDescent="0.2">
      <c r="B4" s="86" t="s">
        <v>108</v>
      </c>
      <c r="C4" s="136"/>
      <c r="D4" s="129"/>
      <c r="E4" s="129"/>
      <c r="F4" s="130"/>
    </row>
    <row r="5" spans="2:6" ht="17" thickBot="1" x14ac:dyDescent="0.25">
      <c r="B5" s="127" t="s">
        <v>105</v>
      </c>
      <c r="C5" s="137">
        <f>'NPV-10 Years'!E36</f>
        <v>390637.10276833235</v>
      </c>
      <c r="D5" s="131">
        <f>'NPV-7 Years'!E36</f>
        <v>801335.63251060969</v>
      </c>
      <c r="E5" s="131">
        <f>'NPV-5 Years'!E36</f>
        <v>312620.33081817505</v>
      </c>
      <c r="F5" s="132">
        <f>'NPV-3 Years'!E36</f>
        <v>257300.22379310578</v>
      </c>
    </row>
    <row r="7" spans="2:6" ht="17" thickBot="1" x14ac:dyDescent="0.25"/>
    <row r="8" spans="2:6" x14ac:dyDescent="0.2">
      <c r="B8" s="35"/>
      <c r="C8" s="36" t="s">
        <v>107</v>
      </c>
      <c r="D8" s="37" t="s">
        <v>96</v>
      </c>
      <c r="E8" s="37" t="s">
        <v>97</v>
      </c>
      <c r="F8" s="128" t="s">
        <v>98</v>
      </c>
    </row>
    <row r="9" spans="2:6" x14ac:dyDescent="0.2">
      <c r="B9" s="86" t="s">
        <v>104</v>
      </c>
      <c r="C9" s="136">
        <f>'NPV-10 Years'!$S$36</f>
        <v>945551.18123001617</v>
      </c>
      <c r="D9" s="129">
        <f>'NPV-7 Years'!$S$36</f>
        <v>799365.31044424349</v>
      </c>
      <c r="E9" s="129">
        <f>'NPV-5 Years'!$S$36</f>
        <v>664616.23745333892</v>
      </c>
      <c r="F9" s="130">
        <f>'NPV-3 Years'!$S$36</f>
        <v>489496.3421943594</v>
      </c>
    </row>
    <row r="10" spans="2:6" x14ac:dyDescent="0.2">
      <c r="B10" s="86" t="s">
        <v>109</v>
      </c>
      <c r="C10" s="138">
        <v>0.17599999999999999</v>
      </c>
      <c r="D10" s="138">
        <v>0.251</v>
      </c>
      <c r="E10" s="138">
        <v>0.37</v>
      </c>
      <c r="F10" s="139">
        <v>0.78</v>
      </c>
    </row>
    <row r="11" spans="2:6" ht="17" thickBot="1" x14ac:dyDescent="0.25">
      <c r="B11" s="127" t="s">
        <v>105</v>
      </c>
      <c r="C11" s="137">
        <v>946990.11092919169</v>
      </c>
      <c r="D11" s="131">
        <v>801335.63251060969</v>
      </c>
      <c r="E11" s="131">
        <v>665589.09183013672</v>
      </c>
      <c r="F11" s="132">
        <v>490989.54167229123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NPV-10 Years</vt:lpstr>
      <vt:lpstr>NPV-7 Years</vt:lpstr>
      <vt:lpstr>NPV-5 Years</vt:lpstr>
      <vt:lpstr>NPV-3 Years</vt:lpstr>
      <vt:lpstr>NPV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Houguet</dc:creator>
  <cp:lastModifiedBy>Florian Houguet</cp:lastModifiedBy>
  <dcterms:created xsi:type="dcterms:W3CDTF">2021-02-26T09:58:19Z</dcterms:created>
  <dcterms:modified xsi:type="dcterms:W3CDTF">2021-03-12T00:56:19Z</dcterms:modified>
</cp:coreProperties>
</file>