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s" sheetId="1" r:id="rId4"/>
    <sheet state="visible" name="Mercado" sheetId="2" r:id="rId5"/>
    <sheet state="hidden" name="Itens" sheetId="3" r:id="rId6"/>
    <sheet state="visible" name="Transporte" sheetId="4" r:id="rId7"/>
    <sheet state="visible" name="Total" sheetId="5" r:id="rId8"/>
  </sheets>
  <definedNames/>
  <calcPr/>
</workbook>
</file>

<file path=xl/sharedStrings.xml><?xml version="1.0" encoding="utf-8"?>
<sst xmlns="http://schemas.openxmlformats.org/spreadsheetml/2006/main" count="129" uniqueCount="99">
  <si>
    <t>Categoria</t>
  </si>
  <si>
    <t>Conta</t>
  </si>
  <si>
    <t>Moradia</t>
  </si>
  <si>
    <t>Aluguel</t>
  </si>
  <si>
    <t>Condomínio</t>
  </si>
  <si>
    <t>Conta de Agua</t>
  </si>
  <si>
    <t>Conta de Luz</t>
  </si>
  <si>
    <t>Internet</t>
  </si>
  <si>
    <t>Lazer</t>
  </si>
  <si>
    <t>Spotify</t>
  </si>
  <si>
    <t>Netflix</t>
  </si>
  <si>
    <t>Xbox</t>
  </si>
  <si>
    <t>Viagens</t>
  </si>
  <si>
    <t>Festas</t>
  </si>
  <si>
    <t>Presentes</t>
  </si>
  <si>
    <t>Outros</t>
  </si>
  <si>
    <t>Cabelo/Barba</t>
  </si>
  <si>
    <t>INSS</t>
  </si>
  <si>
    <t>Internet movel</t>
  </si>
  <si>
    <t>Restaurantes</t>
  </si>
  <si>
    <t>Roupas</t>
  </si>
  <si>
    <t>Saude/Farmacos</t>
  </si>
  <si>
    <t>Total</t>
  </si>
  <si>
    <t>Alimento</t>
  </si>
  <si>
    <t>Saladas</t>
  </si>
  <si>
    <t>Salada Pronta</t>
  </si>
  <si>
    <t>Alface/Rucula</t>
  </si>
  <si>
    <t>Brocolis/Couve flor</t>
  </si>
  <si>
    <t>Cenoura/Beterraba</t>
  </si>
  <si>
    <t>Tomate</t>
  </si>
  <si>
    <t>Proteinas</t>
  </si>
  <si>
    <t>Atum</t>
  </si>
  <si>
    <t>Boi</t>
  </si>
  <si>
    <t>Frango</t>
  </si>
  <si>
    <t>Porco</t>
  </si>
  <si>
    <t>Ovos</t>
  </si>
  <si>
    <t>Carboidratos</t>
  </si>
  <si>
    <t>Graos</t>
  </si>
  <si>
    <t>Pao</t>
  </si>
  <si>
    <t>Frutas</t>
  </si>
  <si>
    <t>Banana</t>
  </si>
  <si>
    <t>Maca</t>
  </si>
  <si>
    <t>Uva</t>
  </si>
  <si>
    <t>Laticinios</t>
  </si>
  <si>
    <t>Leite</t>
  </si>
  <si>
    <t>Manteiga</t>
  </si>
  <si>
    <t>Queijo</t>
  </si>
  <si>
    <t>Requeijao</t>
  </si>
  <si>
    <t>Higiene</t>
  </si>
  <si>
    <t>Banho</t>
  </si>
  <si>
    <t>Bucal</t>
  </si>
  <si>
    <t>Limpeza</t>
  </si>
  <si>
    <t>Papel</t>
  </si>
  <si>
    <t>Pos Banho</t>
  </si>
  <si>
    <t>Itens</t>
  </si>
  <si>
    <t>Cama</t>
  </si>
  <si>
    <t>Cozinha</t>
  </si>
  <si>
    <t>Agua</t>
  </si>
  <si>
    <t>Azeite</t>
  </si>
  <si>
    <t>Geleia/Doce de leite</t>
  </si>
  <si>
    <t>Junk</t>
  </si>
  <si>
    <t>Refrigerante/Suco</t>
  </si>
  <si>
    <t>Suplementos</t>
  </si>
  <si>
    <t>Temperos/Molhos</t>
  </si>
  <si>
    <t>Acessorios</t>
  </si>
  <si>
    <t>Inferiores</t>
  </si>
  <si>
    <t>Intima</t>
  </si>
  <si>
    <t>Superiores</t>
  </si>
  <si>
    <t>Tenis</t>
  </si>
  <si>
    <t>Manutencao</t>
  </si>
  <si>
    <t>Carro</t>
  </si>
  <si>
    <t>Combustivel</t>
  </si>
  <si>
    <t>Impostos</t>
  </si>
  <si>
    <t>Lavagem</t>
  </si>
  <si>
    <t>Pedagio</t>
  </si>
  <si>
    <t>Oleo</t>
  </si>
  <si>
    <t>Moto</t>
  </si>
  <si>
    <t>Cateira Habilitacao</t>
  </si>
  <si>
    <t>Onibus</t>
  </si>
  <si>
    <t>Uber</t>
  </si>
  <si>
    <t>Aviao</t>
  </si>
  <si>
    <t>Contas</t>
  </si>
  <si>
    <t>Mercado</t>
  </si>
  <si>
    <t>Transporte</t>
  </si>
  <si>
    <t>ovos</t>
  </si>
  <si>
    <t>alimento</t>
  </si>
  <si>
    <t>preço</t>
  </si>
  <si>
    <t>qtd</t>
  </si>
  <si>
    <t>preço/unidade</t>
  </si>
  <si>
    <t>frango</t>
  </si>
  <si>
    <t>carne</t>
  </si>
  <si>
    <t>queijo cheddar</t>
  </si>
  <si>
    <t>atum</t>
  </si>
  <si>
    <t>pao</t>
  </si>
  <si>
    <t xml:space="preserve">pao </t>
  </si>
  <si>
    <t>outros</t>
  </si>
  <si>
    <t>leite</t>
  </si>
  <si>
    <t>refri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</si>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</sst>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"/>
    <numFmt numFmtId="165" formatCode="[$R$]#,##0.00"/>
    <numFmt numFmtId="166" formatCode="[$$]#,##0.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3F3F3"/>
      <name val="Arial"/>
      <scheme val="minor"/>
    </font>
    <font>
      <color rgb="FF000000"/>
      <name val="&quot;Arial&quot;"/>
    </font>
    <font>
      <b/>
      <color rgb="FFF3F3F3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Fill="1" applyFont="1"/>
    <xf borderId="0" fillId="3" fontId="2" numFmtId="164" xfId="0" applyAlignment="1" applyFont="1" applyNumberFormat="1">
      <alignment readingOrder="0"/>
    </xf>
    <xf borderId="0" fillId="4" fontId="4" numFmtId="0" xfId="0" applyAlignment="1" applyFill="1" applyFont="1">
      <alignment horizontal="center" readingOrder="0" shrinkToFit="0" vertical="center" wrapText="0"/>
    </xf>
    <xf borderId="0" fillId="5" fontId="4" numFmtId="0" xfId="0" applyAlignment="1" applyFill="1" applyFont="1">
      <alignment readingOrder="0"/>
    </xf>
    <xf borderId="0" fillId="6" fontId="5" numFmtId="165" xfId="0" applyAlignment="1" applyFill="1" applyFont="1" applyNumberFormat="1">
      <alignment readingOrder="0"/>
    </xf>
    <xf borderId="0" fillId="6" fontId="3" numFmtId="165" xfId="0" applyAlignment="1" applyFont="1" applyNumberFormat="1">
      <alignment readingOrder="0"/>
    </xf>
    <xf borderId="0" fillId="3" fontId="3" numFmtId="165" xfId="0" applyAlignment="1" applyFont="1" applyNumberFormat="1">
      <alignment readingOrder="0"/>
    </xf>
    <xf borderId="0" fillId="2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left" readingOrder="0"/>
    </xf>
    <xf borderId="0" fillId="7" fontId="7" numFmtId="165" xfId="0" applyAlignment="1" applyFont="1" applyNumberFormat="1">
      <alignment readingOrder="0"/>
    </xf>
    <xf borderId="0" fillId="3" fontId="7" numFmtId="165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4" fontId="3" numFmtId="0" xfId="0" applyAlignment="1" applyFont="1">
      <alignment horizontal="center" readingOrder="0" shrinkToFit="0" vertical="center" wrapText="0"/>
    </xf>
    <xf borderId="0" fillId="5" fontId="3" numFmtId="0" xfId="0" applyAlignment="1" applyFont="1">
      <alignment readingOrder="0"/>
    </xf>
    <xf borderId="0" fillId="2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6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0"/>
    </xf>
    <xf borderId="0" fillId="3" fontId="1" numFmtId="164" xfId="0" applyAlignment="1" applyFont="1" applyNumberFormat="1">
      <alignment readingOrder="0"/>
    </xf>
    <xf borderId="0" fillId="5" fontId="3" numFmtId="0" xfId="0" applyAlignment="1" applyFont="1">
      <alignment horizontal="left" readingOrder="0" shrinkToFit="0" vertical="center" wrapText="1"/>
    </xf>
    <xf borderId="0" fillId="3" fontId="5" numFmtId="165" xfId="0" applyAlignment="1" applyFont="1" applyNumberForma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1" fillId="3" fontId="7" numFmtId="0" xfId="0" applyBorder="1" applyFont="1"/>
    <xf borderId="1" fillId="3" fontId="5" numFmtId="0" xfId="0" applyBorder="1" applyFont="1"/>
    <xf borderId="1" fillId="3" fontId="5" numFmtId="166" xfId="0" applyBorder="1" applyFont="1" applyNumberFormat="1"/>
    <xf borderId="1" fillId="3" fontId="5" numFmtId="0" xfId="0" applyAlignment="1" applyBorder="1" applyFont="1">
      <alignment readingOrder="0"/>
    </xf>
    <xf borderId="2" fillId="3" fontId="7" numFmtId="0" xfId="0" applyAlignment="1" applyBorder="1" applyFont="1">
      <alignment horizontal="right" readingOrder="0"/>
    </xf>
    <xf borderId="3" fillId="0" fontId="8" numFmtId="0" xfId="0" applyBorder="1" applyFont="1"/>
    <xf borderId="4" fillId="0" fontId="8" numFmtId="0" xfId="0" applyBorder="1" applyFont="1"/>
    <xf borderId="1" fillId="3" fontId="7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6.75"/>
    <col customWidth="1" min="3" max="4" width="13.25"/>
    <col customWidth="1" min="5" max="5" width="13.13"/>
  </cols>
  <sheetData>
    <row r="1">
      <c r="A1" s="1" t="s">
        <v>0</v>
      </c>
      <c r="B1" s="2" t="s">
        <v>1</v>
      </c>
      <c r="C1" s="3">
        <v>45474.0</v>
      </c>
      <c r="D1" s="3">
        <v>45505.0</v>
      </c>
      <c r="E1" s="3">
        <v>45536.0</v>
      </c>
      <c r="F1" s="3">
        <v>45566.0</v>
      </c>
      <c r="G1" s="3">
        <v>45597.0</v>
      </c>
      <c r="H1" s="3">
        <v>45627.0</v>
      </c>
      <c r="I1" s="3">
        <v>45658.0</v>
      </c>
      <c r="J1" s="3">
        <v>45689.0</v>
      </c>
      <c r="K1" s="3">
        <v>45717.0</v>
      </c>
      <c r="L1" s="3">
        <v>45748.0</v>
      </c>
      <c r="M1" s="3">
        <v>45778.0</v>
      </c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>
      <c r="A2" s="6" t="s">
        <v>2</v>
      </c>
      <c r="B2" s="7" t="s">
        <v>3</v>
      </c>
      <c r="C2" s="8">
        <v>3500.0</v>
      </c>
      <c r="D2" s="8">
        <v>3500.0</v>
      </c>
      <c r="E2" s="8">
        <v>3700.0</v>
      </c>
      <c r="F2" s="8">
        <v>3700.0</v>
      </c>
      <c r="G2" s="8">
        <v>3700.0</v>
      </c>
      <c r="H2" s="8">
        <v>3700.0</v>
      </c>
      <c r="I2" s="8">
        <v>4000.0</v>
      </c>
      <c r="J2" s="8">
        <v>4000.0</v>
      </c>
      <c r="K2" s="8">
        <v>4000.0</v>
      </c>
      <c r="L2" s="9"/>
      <c r="M2" s="9"/>
      <c r="N2" s="4"/>
      <c r="O2" s="4"/>
      <c r="P2" s="4"/>
      <c r="Q2" s="4"/>
      <c r="R2" s="4"/>
      <c r="S2" s="4"/>
      <c r="T2" s="4"/>
      <c r="U2" s="4"/>
      <c r="V2" s="10"/>
      <c r="W2" s="10"/>
      <c r="X2" s="10"/>
      <c r="Y2" s="10"/>
      <c r="Z2" s="10"/>
    </row>
    <row r="3">
      <c r="B3" s="7" t="s">
        <v>4</v>
      </c>
      <c r="C3" s="8">
        <v>550.0</v>
      </c>
      <c r="D3" s="8">
        <v>550.0</v>
      </c>
      <c r="E3" s="8">
        <v>680.0</v>
      </c>
      <c r="F3" s="8">
        <v>680.0</v>
      </c>
      <c r="G3" s="8">
        <v>680.0</v>
      </c>
      <c r="H3" s="8">
        <v>680.0</v>
      </c>
      <c r="I3" s="8">
        <v>800.0</v>
      </c>
      <c r="J3" s="8">
        <v>800.0</v>
      </c>
      <c r="K3" s="8">
        <v>800.0</v>
      </c>
      <c r="L3" s="9"/>
      <c r="M3" s="9"/>
      <c r="N3" s="4"/>
      <c r="O3" s="4"/>
      <c r="P3" s="4"/>
      <c r="Q3" s="4"/>
      <c r="R3" s="4"/>
      <c r="S3" s="4"/>
      <c r="T3" s="4"/>
      <c r="U3" s="4"/>
      <c r="V3" s="10"/>
      <c r="W3" s="10"/>
      <c r="X3" s="10"/>
      <c r="Y3" s="10"/>
      <c r="Z3" s="10"/>
    </row>
    <row r="4">
      <c r="B4" s="7" t="s">
        <v>5</v>
      </c>
      <c r="C4" s="8">
        <v>113.3</v>
      </c>
      <c r="D4" s="8">
        <v>87.78</v>
      </c>
      <c r="E4" s="8">
        <v>49.69</v>
      </c>
      <c r="F4" s="8">
        <f t="shared" ref="F4:G4" si="1">SUM(49.98)</f>
        <v>49.98</v>
      </c>
      <c r="G4" s="8">
        <f t="shared" si="1"/>
        <v>49.98</v>
      </c>
      <c r="H4" s="8">
        <v>71.18</v>
      </c>
      <c r="I4" s="8">
        <v>50.54</v>
      </c>
      <c r="J4" s="8">
        <v>50.54</v>
      </c>
      <c r="K4" s="8">
        <f>SUM(50.54)</f>
        <v>50.54</v>
      </c>
      <c r="L4" s="9"/>
      <c r="M4" s="9"/>
      <c r="N4" s="4"/>
      <c r="O4" s="4"/>
      <c r="P4" s="4"/>
      <c r="Q4" s="4"/>
      <c r="R4" s="4"/>
      <c r="S4" s="4"/>
      <c r="T4" s="4"/>
      <c r="U4" s="4"/>
      <c r="V4" s="10"/>
      <c r="W4" s="10"/>
      <c r="X4" s="10"/>
      <c r="Y4" s="10"/>
      <c r="Z4" s="10"/>
    </row>
    <row r="5">
      <c r="B5" s="7" t="s">
        <v>6</v>
      </c>
      <c r="C5" s="8">
        <v>133.38</v>
      </c>
      <c r="D5" s="8">
        <v>109.82</v>
      </c>
      <c r="E5" s="8">
        <v>109.26</v>
      </c>
      <c r="F5" s="8">
        <f>SUM(121.83)</f>
        <v>121.83</v>
      </c>
      <c r="G5" s="8">
        <v>175.84</v>
      </c>
      <c r="H5" s="8">
        <v>149.2</v>
      </c>
      <c r="I5" s="8">
        <v>173.59</v>
      </c>
      <c r="J5" s="8">
        <v>143.75</v>
      </c>
      <c r="K5" s="8">
        <v>162.84</v>
      </c>
      <c r="L5" s="9"/>
      <c r="M5" s="9"/>
      <c r="N5" s="4"/>
      <c r="O5" s="4"/>
      <c r="P5" s="4"/>
      <c r="Q5" s="4"/>
      <c r="R5" s="4"/>
      <c r="S5" s="4"/>
      <c r="T5" s="4"/>
      <c r="U5" s="4"/>
      <c r="V5" s="10"/>
      <c r="W5" s="10"/>
      <c r="X5" s="10"/>
      <c r="Y5" s="10"/>
      <c r="Z5" s="10"/>
    </row>
    <row r="6">
      <c r="B6" s="7" t="s">
        <v>7</v>
      </c>
      <c r="C6" s="8">
        <v>205.0</v>
      </c>
      <c r="D6" s="8">
        <v>205.0</v>
      </c>
      <c r="E6" s="8">
        <v>205.0</v>
      </c>
      <c r="F6" s="8">
        <v>205.0</v>
      </c>
      <c r="G6" s="8">
        <v>205.0</v>
      </c>
      <c r="H6" s="8">
        <v>205.0</v>
      </c>
      <c r="I6" s="8">
        <v>205.0</v>
      </c>
      <c r="J6" s="8">
        <v>205.0</v>
      </c>
      <c r="K6" s="8">
        <v>205.0</v>
      </c>
      <c r="L6" s="9"/>
      <c r="M6" s="9"/>
      <c r="N6" s="4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</row>
    <row r="7">
      <c r="A7" s="11" t="s">
        <v>8</v>
      </c>
      <c r="B7" s="7" t="s">
        <v>9</v>
      </c>
      <c r="C7" s="8">
        <v>21.9</v>
      </c>
      <c r="D7" s="8">
        <v>21.9</v>
      </c>
      <c r="E7" s="8">
        <v>21.9</v>
      </c>
      <c r="F7" s="8">
        <v>21.9</v>
      </c>
      <c r="G7" s="8">
        <v>21.9</v>
      </c>
      <c r="H7" s="8">
        <v>21.9</v>
      </c>
      <c r="I7" s="8">
        <v>21.9</v>
      </c>
      <c r="J7" s="8">
        <v>21.9</v>
      </c>
      <c r="K7" s="8">
        <v>21.9</v>
      </c>
      <c r="L7" s="9"/>
      <c r="M7" s="9"/>
      <c r="N7" s="4"/>
      <c r="O7" s="4"/>
      <c r="P7" s="4"/>
      <c r="Q7" s="4"/>
      <c r="R7" s="4"/>
      <c r="S7" s="4"/>
      <c r="T7" s="4"/>
      <c r="U7" s="4"/>
      <c r="V7" s="10"/>
      <c r="W7" s="10"/>
      <c r="X7" s="10"/>
      <c r="Y7" s="10"/>
      <c r="Z7" s="10"/>
    </row>
    <row r="8">
      <c r="B8" s="7" t="s">
        <v>10</v>
      </c>
      <c r="C8" s="8">
        <v>14.99</v>
      </c>
      <c r="D8" s="8">
        <v>85.0</v>
      </c>
      <c r="E8" s="8">
        <v>85.0</v>
      </c>
      <c r="F8" s="8">
        <v>85.0</v>
      </c>
      <c r="G8" s="8">
        <v>60.0</v>
      </c>
      <c r="H8" s="8">
        <v>60.0</v>
      </c>
      <c r="I8" s="8">
        <v>45.0</v>
      </c>
      <c r="J8" s="8">
        <v>0.0</v>
      </c>
      <c r="K8" s="8">
        <v>0.0</v>
      </c>
      <c r="L8" s="9"/>
      <c r="M8" s="9"/>
      <c r="N8" s="4"/>
      <c r="O8" s="4"/>
      <c r="P8" s="4"/>
      <c r="Q8" s="4"/>
      <c r="R8" s="4"/>
      <c r="S8" s="4"/>
      <c r="T8" s="4"/>
      <c r="U8" s="4"/>
      <c r="V8" s="10"/>
      <c r="W8" s="10"/>
      <c r="X8" s="10"/>
      <c r="Y8" s="10"/>
      <c r="Z8" s="10"/>
    </row>
    <row r="9">
      <c r="B9" s="7" t="s">
        <v>11</v>
      </c>
      <c r="C9" s="8">
        <f>SUM(0)</f>
        <v>0</v>
      </c>
      <c r="D9" s="8">
        <v>680.0</v>
      </c>
      <c r="E9" s="8">
        <f t="shared" ref="E9:F9" si="2">SUM(0)</f>
        <v>0</v>
      </c>
      <c r="F9" s="8">
        <f t="shared" si="2"/>
        <v>0</v>
      </c>
      <c r="G9" s="8">
        <v>0.0</v>
      </c>
      <c r="H9" s="8">
        <f t="shared" ref="H9:K9" si="3">SUM(0)</f>
        <v>0</v>
      </c>
      <c r="I9" s="8">
        <f t="shared" si="3"/>
        <v>0</v>
      </c>
      <c r="J9" s="8">
        <f t="shared" si="3"/>
        <v>0</v>
      </c>
      <c r="K9" s="8">
        <f t="shared" si="3"/>
        <v>0</v>
      </c>
      <c r="L9" s="9"/>
      <c r="M9" s="9"/>
      <c r="N9" s="4"/>
      <c r="O9" s="4"/>
      <c r="P9" s="4"/>
      <c r="Q9" s="4"/>
      <c r="R9" s="4"/>
      <c r="S9" s="4"/>
      <c r="T9" s="4"/>
      <c r="U9" s="4"/>
      <c r="V9" s="10"/>
      <c r="W9" s="10"/>
      <c r="X9" s="10"/>
      <c r="Y9" s="10"/>
      <c r="Z9" s="10"/>
    </row>
    <row r="10">
      <c r="B10" s="7" t="s">
        <v>12</v>
      </c>
      <c r="C10" s="8">
        <f>SUM(102,102,102,102)</f>
        <v>408</v>
      </c>
      <c r="D10" s="8">
        <v>102.0</v>
      </c>
      <c r="E10" s="8">
        <v>102.0</v>
      </c>
      <c r="F10" s="8">
        <f t="shared" ref="F10:G10" si="4">SUM(0)</f>
        <v>0</v>
      </c>
      <c r="G10" s="8">
        <f t="shared" si="4"/>
        <v>0</v>
      </c>
      <c r="H10" s="8">
        <f>SUM(100)</f>
        <v>100</v>
      </c>
      <c r="I10" s="8">
        <f t="shared" ref="I10:K10" si="5">SUM(0)</f>
        <v>0</v>
      </c>
      <c r="J10" s="8">
        <f t="shared" si="5"/>
        <v>0</v>
      </c>
      <c r="K10" s="8">
        <f t="shared" si="5"/>
        <v>0</v>
      </c>
      <c r="L10" s="9"/>
      <c r="M10" s="9"/>
      <c r="N10" s="4"/>
      <c r="O10" s="4"/>
      <c r="P10" s="4"/>
      <c r="Q10" s="4"/>
      <c r="R10" s="4"/>
      <c r="S10" s="4"/>
      <c r="T10" s="4"/>
      <c r="U10" s="4"/>
      <c r="V10" s="10"/>
      <c r="W10" s="10"/>
      <c r="X10" s="10"/>
      <c r="Y10" s="10"/>
      <c r="Z10" s="10"/>
    </row>
    <row r="11">
      <c r="B11" s="7" t="s">
        <v>13</v>
      </c>
      <c r="C11" s="8">
        <f>SUM(32,44,53,92.5,25.9,95,213.8,55,21.5)</f>
        <v>632.7</v>
      </c>
      <c r="D11" s="8">
        <f t="shared" ref="D11:D12" si="8">SUM(0)</f>
        <v>0</v>
      </c>
      <c r="E11" s="8">
        <f>SUM(50)</f>
        <v>50</v>
      </c>
      <c r="F11" s="8">
        <f t="shared" ref="F11:H11" si="6">SUM(0)</f>
        <v>0</v>
      </c>
      <c r="G11" s="8">
        <f t="shared" si="6"/>
        <v>0</v>
      </c>
      <c r="H11" s="8">
        <f t="shared" si="6"/>
        <v>0</v>
      </c>
      <c r="I11" s="8">
        <f>SUM(45)</f>
        <v>45</v>
      </c>
      <c r="J11" s="8">
        <f t="shared" ref="J11:K11" si="7">SUM(0)</f>
        <v>0</v>
      </c>
      <c r="K11" s="8">
        <f t="shared" si="7"/>
        <v>0</v>
      </c>
      <c r="L11" s="9"/>
      <c r="M11" s="9"/>
      <c r="N11" s="4"/>
      <c r="O11" s="4"/>
      <c r="P11" s="4"/>
      <c r="Q11" s="4"/>
      <c r="R11" s="4"/>
      <c r="S11" s="4"/>
      <c r="T11" s="4"/>
      <c r="U11" s="4"/>
      <c r="V11" s="10"/>
      <c r="W11" s="10"/>
      <c r="X11" s="10"/>
      <c r="Y11" s="10"/>
      <c r="Z11" s="10"/>
    </row>
    <row r="12">
      <c r="B12" s="7" t="s">
        <v>14</v>
      </c>
      <c r="C12" s="8">
        <f>SUM(130,20)</f>
        <v>150</v>
      </c>
      <c r="D12" s="8">
        <f t="shared" si="8"/>
        <v>0</v>
      </c>
      <c r="E12" s="8">
        <f t="shared" ref="E12:K12" si="9">SUM(0)</f>
        <v>0</v>
      </c>
      <c r="F12" s="8">
        <f t="shared" si="9"/>
        <v>0</v>
      </c>
      <c r="G12" s="8">
        <f t="shared" si="9"/>
        <v>0</v>
      </c>
      <c r="H12" s="8">
        <f t="shared" si="9"/>
        <v>0</v>
      </c>
      <c r="I12" s="8">
        <f t="shared" si="9"/>
        <v>0</v>
      </c>
      <c r="J12" s="8">
        <f t="shared" si="9"/>
        <v>0</v>
      </c>
      <c r="K12" s="8">
        <f t="shared" si="9"/>
        <v>0</v>
      </c>
      <c r="L12" s="9"/>
      <c r="M12" s="9"/>
      <c r="N12" s="4"/>
      <c r="O12" s="4"/>
      <c r="P12" s="4"/>
      <c r="Q12" s="4"/>
      <c r="R12" s="4"/>
      <c r="S12" s="4"/>
      <c r="T12" s="4"/>
      <c r="U12" s="4"/>
      <c r="V12" s="10"/>
      <c r="W12" s="10"/>
      <c r="X12" s="10"/>
      <c r="Y12" s="10"/>
      <c r="Z12" s="10"/>
    </row>
    <row r="13">
      <c r="A13" s="6" t="s">
        <v>15</v>
      </c>
      <c r="B13" s="7" t="s">
        <v>16</v>
      </c>
      <c r="C13" s="8">
        <f t="shared" ref="C13:D13" si="10">SUM(70)</f>
        <v>70</v>
      </c>
      <c r="D13" s="8">
        <f t="shared" si="10"/>
        <v>70</v>
      </c>
      <c r="E13" s="8">
        <f t="shared" ref="E13:K13" si="11">SUM(0)</f>
        <v>0</v>
      </c>
      <c r="F13" s="8">
        <f t="shared" si="11"/>
        <v>0</v>
      </c>
      <c r="G13" s="8">
        <f t="shared" si="11"/>
        <v>0</v>
      </c>
      <c r="H13" s="8">
        <f t="shared" si="11"/>
        <v>0</v>
      </c>
      <c r="I13" s="8">
        <f t="shared" si="11"/>
        <v>0</v>
      </c>
      <c r="J13" s="8">
        <f t="shared" si="11"/>
        <v>0</v>
      </c>
      <c r="K13" s="8">
        <f t="shared" si="11"/>
        <v>0</v>
      </c>
      <c r="L13" s="9"/>
      <c r="M13" s="9"/>
      <c r="N13" s="4"/>
      <c r="O13" s="4"/>
      <c r="P13" s="4"/>
      <c r="Q13" s="4"/>
      <c r="R13" s="4"/>
      <c r="S13" s="4"/>
      <c r="T13" s="4"/>
      <c r="U13" s="4"/>
      <c r="V13" s="10"/>
      <c r="W13" s="10"/>
      <c r="X13" s="10"/>
      <c r="Y13" s="10"/>
      <c r="Z13" s="10"/>
    </row>
    <row r="14">
      <c r="B14" s="7" t="s">
        <v>17</v>
      </c>
      <c r="C14" s="8">
        <f t="shared" ref="C14:K14" si="12">SUM(0)</f>
        <v>0</v>
      </c>
      <c r="D14" s="8">
        <f t="shared" si="12"/>
        <v>0</v>
      </c>
      <c r="E14" s="8">
        <f t="shared" si="12"/>
        <v>0</v>
      </c>
      <c r="F14" s="8">
        <f t="shared" si="12"/>
        <v>0</v>
      </c>
      <c r="G14" s="8">
        <f t="shared" si="12"/>
        <v>0</v>
      </c>
      <c r="H14" s="8">
        <f t="shared" si="12"/>
        <v>0</v>
      </c>
      <c r="I14" s="8">
        <f t="shared" si="12"/>
        <v>0</v>
      </c>
      <c r="J14" s="8">
        <f t="shared" si="12"/>
        <v>0</v>
      </c>
      <c r="K14" s="8">
        <f t="shared" si="12"/>
        <v>0</v>
      </c>
      <c r="L14" s="9"/>
      <c r="M14" s="9"/>
      <c r="N14" s="4"/>
      <c r="O14" s="4"/>
      <c r="P14" s="4"/>
      <c r="Q14" s="4"/>
      <c r="R14" s="4"/>
      <c r="S14" s="4"/>
      <c r="T14" s="4"/>
      <c r="U14" s="4"/>
      <c r="V14" s="10"/>
      <c r="W14" s="10"/>
      <c r="X14" s="10"/>
      <c r="Y14" s="10"/>
      <c r="Z14" s="10"/>
    </row>
    <row r="15">
      <c r="B15" s="7" t="s">
        <v>18</v>
      </c>
      <c r="C15" s="8">
        <v>90.0</v>
      </c>
      <c r="D15" s="8">
        <v>90.0</v>
      </c>
      <c r="E15" s="8">
        <v>30.0</v>
      </c>
      <c r="F15" s="8">
        <f t="shared" ref="F15:J15" si="13">SUM(15)</f>
        <v>15</v>
      </c>
      <c r="G15" s="8">
        <f t="shared" si="13"/>
        <v>15</v>
      </c>
      <c r="H15" s="8">
        <f t="shared" si="13"/>
        <v>15</v>
      </c>
      <c r="I15" s="8">
        <f t="shared" si="13"/>
        <v>15</v>
      </c>
      <c r="J15" s="8">
        <f t="shared" si="13"/>
        <v>15</v>
      </c>
      <c r="K15" s="8">
        <f>SUM(0)</f>
        <v>0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10"/>
      <c r="W15" s="10"/>
      <c r="X15" s="10"/>
      <c r="Y15" s="10"/>
      <c r="Z15" s="10"/>
    </row>
    <row r="16">
      <c r="B16" s="7" t="s">
        <v>19</v>
      </c>
      <c r="C16" s="8">
        <f>sum(30,45.7,45,89,7.8)</f>
        <v>217.5</v>
      </c>
      <c r="D16" s="8">
        <f>sum(42,42,40,42)</f>
        <v>166</v>
      </c>
      <c r="E16" s="8">
        <f>sum(142,27.4)</f>
        <v>169.4</v>
      </c>
      <c r="F16" s="8">
        <f>SUM(37.9,119.7,42,80,8.5)</f>
        <v>288.1</v>
      </c>
      <c r="G16" s="8">
        <f>SUM(96.8,43)</f>
        <v>139.8</v>
      </c>
      <c r="H16" s="8">
        <f>SUM(42)</f>
        <v>42</v>
      </c>
      <c r="I16" s="8">
        <f>SUM(32,10.5)</f>
        <v>42.5</v>
      </c>
      <c r="J16" s="8">
        <f t="shared" ref="J16:K16" si="14">SUM(0)</f>
        <v>0</v>
      </c>
      <c r="K16" s="8">
        <f t="shared" si="14"/>
        <v>0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10"/>
      <c r="W16" s="10"/>
      <c r="X16" s="10"/>
      <c r="Y16" s="10"/>
      <c r="Z16" s="10"/>
    </row>
    <row r="17">
      <c r="B17" s="7" t="s">
        <v>20</v>
      </c>
      <c r="C17" s="8">
        <f t="shared" ref="C17:E17" si="15">sum(0)</f>
        <v>0</v>
      </c>
      <c r="D17" s="8">
        <f t="shared" si="15"/>
        <v>0</v>
      </c>
      <c r="E17" s="8">
        <f t="shared" si="15"/>
        <v>0</v>
      </c>
      <c r="F17" s="8">
        <f>sum(6.9)</f>
        <v>6.9</v>
      </c>
      <c r="G17" s="8">
        <f t="shared" ref="G17:I17" si="16">sum(0)</f>
        <v>0</v>
      </c>
      <c r="H17" s="8">
        <f t="shared" si="16"/>
        <v>0</v>
      </c>
      <c r="I17" s="8">
        <f t="shared" si="16"/>
        <v>0</v>
      </c>
      <c r="J17" s="8">
        <f t="shared" ref="J17:K17" si="17">SUM(0)</f>
        <v>0</v>
      </c>
      <c r="K17" s="8">
        <f t="shared" si="17"/>
        <v>0</v>
      </c>
      <c r="L17" s="9"/>
      <c r="M17" s="9"/>
      <c r="N17" s="4"/>
      <c r="O17" s="4"/>
      <c r="P17" s="4"/>
      <c r="Q17" s="4"/>
      <c r="R17" s="4"/>
      <c r="S17" s="4"/>
      <c r="T17" s="4"/>
      <c r="U17" s="4"/>
      <c r="V17" s="10"/>
      <c r="W17" s="10"/>
      <c r="X17" s="10"/>
      <c r="Y17" s="10"/>
      <c r="Z17" s="10"/>
    </row>
    <row r="18">
      <c r="B18" s="7" t="s">
        <v>21</v>
      </c>
      <c r="C18" s="8">
        <f>SUM(200)</f>
        <v>200</v>
      </c>
      <c r="D18" s="8">
        <f>SUM(0)</f>
        <v>0</v>
      </c>
      <c r="E18" s="8">
        <f>SUM(49)</f>
        <v>49</v>
      </c>
      <c r="F18" s="8">
        <f>SUM(0)</f>
        <v>0</v>
      </c>
      <c r="G18" s="8">
        <f>SUM(10,14.9)</f>
        <v>24.9</v>
      </c>
      <c r="H18" s="8">
        <f t="shared" ref="H18:J18" si="18">SUM(0)</f>
        <v>0</v>
      </c>
      <c r="I18" s="8">
        <f t="shared" si="18"/>
        <v>0</v>
      </c>
      <c r="J18" s="8">
        <f t="shared" si="18"/>
        <v>0</v>
      </c>
      <c r="K18" s="8">
        <v>14.9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10"/>
      <c r="W18" s="10"/>
      <c r="X18" s="10"/>
      <c r="Y18" s="10"/>
      <c r="Z18" s="10"/>
    </row>
    <row r="19">
      <c r="A19" s="12" t="s">
        <v>22</v>
      </c>
      <c r="C19" s="13">
        <f t="shared" ref="C19:M19" si="19">SUM(C2:C18)</f>
        <v>6306.77</v>
      </c>
      <c r="D19" s="13">
        <f t="shared" si="19"/>
        <v>5667.5</v>
      </c>
      <c r="E19" s="13">
        <f t="shared" si="19"/>
        <v>5251.25</v>
      </c>
      <c r="F19" s="13">
        <f t="shared" si="19"/>
        <v>5173.71</v>
      </c>
      <c r="G19" s="13">
        <f t="shared" si="19"/>
        <v>5072.42</v>
      </c>
      <c r="H19" s="13">
        <f t="shared" si="19"/>
        <v>5044.28</v>
      </c>
      <c r="I19" s="13">
        <f t="shared" si="19"/>
        <v>5398.53</v>
      </c>
      <c r="J19" s="13">
        <f t="shared" si="19"/>
        <v>5236.19</v>
      </c>
      <c r="K19" s="13">
        <f t="shared" si="19"/>
        <v>5255.18</v>
      </c>
      <c r="L19" s="13">
        <f t="shared" si="19"/>
        <v>0</v>
      </c>
      <c r="M19" s="13">
        <f t="shared" si="19"/>
        <v>0</v>
      </c>
      <c r="N19" s="4"/>
      <c r="O19" s="4"/>
      <c r="P19" s="4"/>
      <c r="Q19" s="4"/>
      <c r="R19" s="4"/>
      <c r="S19" s="4"/>
      <c r="T19" s="4"/>
      <c r="U19" s="4"/>
      <c r="V19" s="14"/>
      <c r="W19" s="14"/>
      <c r="X19" s="14"/>
      <c r="Y19" s="14"/>
      <c r="Z19" s="1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mergeCells count="4">
    <mergeCell ref="A2:A6"/>
    <mergeCell ref="A7:A12"/>
    <mergeCell ref="A13:A18"/>
    <mergeCell ref="A19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7.0"/>
    <col customWidth="1" min="3" max="3" width="13.13"/>
    <col customWidth="1" min="4" max="4" width="13.0"/>
    <col customWidth="1" min="5" max="5" width="13.13"/>
    <col customWidth="1" min="10" max="10" width="12.63"/>
  </cols>
  <sheetData>
    <row r="1">
      <c r="A1" s="1" t="s">
        <v>0</v>
      </c>
      <c r="B1" s="1" t="s">
        <v>23</v>
      </c>
      <c r="C1" s="15">
        <v>45474.0</v>
      </c>
      <c r="D1" s="15">
        <v>45505.0</v>
      </c>
      <c r="E1" s="15">
        <v>45536.0</v>
      </c>
      <c r="F1" s="15">
        <v>45566.0</v>
      </c>
      <c r="G1" s="15">
        <v>45597.0</v>
      </c>
      <c r="H1" s="15">
        <v>45627.0</v>
      </c>
      <c r="I1" s="15">
        <v>45658.0</v>
      </c>
      <c r="J1" s="15">
        <v>45689.0</v>
      </c>
      <c r="K1" s="15">
        <v>45717.0</v>
      </c>
      <c r="L1" s="15">
        <v>45748.0</v>
      </c>
      <c r="M1" s="15">
        <v>45778.0</v>
      </c>
      <c r="N1" s="16"/>
      <c r="O1" s="16"/>
      <c r="P1" s="16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7" t="s">
        <v>24</v>
      </c>
      <c r="B2" s="18" t="s">
        <v>25</v>
      </c>
      <c r="C2" s="8">
        <f>SUM(7.79,7.79,7.79,4.69,4.69,7.79,7.79,7.69,7.69,7.89,7.29,7.29)</f>
        <v>86.18</v>
      </c>
      <c r="D2" s="8">
        <f>SUM(7.29)</f>
        <v>7.29</v>
      </c>
      <c r="E2" s="8">
        <f>SUM(7.29,5)</f>
        <v>12.29</v>
      </c>
      <c r="F2" s="8">
        <f>SUM(7.49,7.7,5)</f>
        <v>20.19</v>
      </c>
      <c r="G2" s="8">
        <f>SUM(8,11.39,10)</f>
        <v>29.39</v>
      </c>
      <c r="H2" s="8">
        <f>SUM(3.69,8,15,8,16)</f>
        <v>50.69</v>
      </c>
      <c r="I2" s="8">
        <f>SUM(11,8,7,4.2,8)</f>
        <v>38.2</v>
      </c>
      <c r="J2" s="8">
        <f>SUM(16,8,6.29,10,10,6)</f>
        <v>56.29</v>
      </c>
      <c r="K2" s="8">
        <f>SUM(8,8,8,8,8,8,8)</f>
        <v>56</v>
      </c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18" t="s">
        <v>26</v>
      </c>
      <c r="C3" s="8">
        <f>SUM(5,5,8,5,5,5)</f>
        <v>33</v>
      </c>
      <c r="D3" s="8">
        <f>SUM(0)</f>
        <v>0</v>
      </c>
      <c r="E3" s="8">
        <f>SUM(5)</f>
        <v>5</v>
      </c>
      <c r="F3" s="8">
        <f>SUM(6)</f>
        <v>6</v>
      </c>
      <c r="G3" s="8">
        <f>SUM(5,4.59)</f>
        <v>9.59</v>
      </c>
      <c r="H3" s="8">
        <f>SUM(4.19)</f>
        <v>4.19</v>
      </c>
      <c r="I3" s="8">
        <f>SUM(5,8,4)</f>
        <v>17</v>
      </c>
      <c r="J3" s="8">
        <f t="shared" ref="J3:K3" si="1">SUM(0)</f>
        <v>0</v>
      </c>
      <c r="K3" s="8">
        <f t="shared" si="1"/>
        <v>0</v>
      </c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18" t="s">
        <v>27</v>
      </c>
      <c r="C4" s="8">
        <f>SUM(7.99,7.99,8,6,5.5,5,6)</f>
        <v>46.48</v>
      </c>
      <c r="D4" s="8">
        <f>SUM(14)</f>
        <v>14</v>
      </c>
      <c r="E4" s="8">
        <f>SUM(14,7,12)</f>
        <v>33</v>
      </c>
      <c r="F4" s="8">
        <f>SUM(14,8)</f>
        <v>22</v>
      </c>
      <c r="G4" s="8">
        <f>SUM(8,8,6)</f>
        <v>22</v>
      </c>
      <c r="H4" s="8">
        <f t="shared" ref="H4:H5" si="4">SUM(0)</f>
        <v>0</v>
      </c>
      <c r="I4" s="8">
        <f>SUM(14)</f>
        <v>14</v>
      </c>
      <c r="J4" s="8">
        <f t="shared" ref="J4:K4" si="2">SUM(0)</f>
        <v>0</v>
      </c>
      <c r="K4" s="8">
        <f t="shared" si="2"/>
        <v>0</v>
      </c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18" t="s">
        <v>28</v>
      </c>
      <c r="C5" s="8">
        <f>SUM(12.69,10)</f>
        <v>22.69</v>
      </c>
      <c r="D5" s="8">
        <f t="shared" ref="D5:E5" si="3">SUM(0)</f>
        <v>0</v>
      </c>
      <c r="E5" s="8">
        <f t="shared" si="3"/>
        <v>0</v>
      </c>
      <c r="F5" s="8">
        <f>SUM(4.69)</f>
        <v>4.69</v>
      </c>
      <c r="G5" s="8">
        <f>SUM(3.8,3.8,5)</f>
        <v>12.6</v>
      </c>
      <c r="H5" s="8">
        <f t="shared" si="4"/>
        <v>0</v>
      </c>
      <c r="I5" s="8">
        <f>SUM(0)</f>
        <v>0</v>
      </c>
      <c r="J5" s="8">
        <f>SUM(10.5)</f>
        <v>10.5</v>
      </c>
      <c r="K5" s="8">
        <f t="shared" ref="K5:K6" si="5">SUM(0)</f>
        <v>0</v>
      </c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18" t="s">
        <v>29</v>
      </c>
      <c r="C6" s="8">
        <f>SUM(6.98,3.49,3.49,7,4,3,3.5,7,4)</f>
        <v>42.46</v>
      </c>
      <c r="D6" s="8">
        <f>SUM(4)</f>
        <v>4</v>
      </c>
      <c r="E6" s="8">
        <f>SUM(3,7,3,3.5,3.5)</f>
        <v>20</v>
      </c>
      <c r="F6" s="8">
        <f>SUM(3.5,4,4)</f>
        <v>11.5</v>
      </c>
      <c r="G6" s="8">
        <f>SUM(3.5,6,4)</f>
        <v>13.5</v>
      </c>
      <c r="H6" s="8">
        <f>SUM(3.5,6)</f>
        <v>9.5</v>
      </c>
      <c r="I6" s="8">
        <f>SUM(3,3.5)</f>
        <v>6.5</v>
      </c>
      <c r="J6" s="8">
        <f>SUM(4)</f>
        <v>4</v>
      </c>
      <c r="K6" s="8">
        <f t="shared" si="5"/>
        <v>0</v>
      </c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 t="s">
        <v>30</v>
      </c>
      <c r="B7" s="18" t="s">
        <v>31</v>
      </c>
      <c r="C7" s="8">
        <f>SUM(62-6.4)</f>
        <v>55.6</v>
      </c>
      <c r="D7" s="8">
        <f>SUM(39.3)</f>
        <v>39.3</v>
      </c>
      <c r="E7" s="8">
        <f>SUM(0)</f>
        <v>0</v>
      </c>
      <c r="F7" s="8">
        <f>SUM(23.12,35.7)</f>
        <v>58.82</v>
      </c>
      <c r="G7" s="8">
        <f>SUM(65.88)</f>
        <v>65.88</v>
      </c>
      <c r="H7" s="8">
        <f>SUM(0)</f>
        <v>0</v>
      </c>
      <c r="I7" s="8">
        <f>SUM(81.8)</f>
        <v>81.8</v>
      </c>
      <c r="J7" s="8">
        <f t="shared" ref="J7:K7" si="6">SUM(0)</f>
        <v>0</v>
      </c>
      <c r="K7" s="8">
        <f t="shared" si="6"/>
        <v>0</v>
      </c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18" t="s">
        <v>32</v>
      </c>
      <c r="C8" s="8">
        <f>SUM(13.45,77.75,21)</f>
        <v>112.2</v>
      </c>
      <c r="D8" s="8">
        <f>SUM(0)</f>
        <v>0</v>
      </c>
      <c r="E8" s="8">
        <f>SUM(20.9,31.9)</f>
        <v>52.8</v>
      </c>
      <c r="F8" s="8">
        <f>SUM(42.9)</f>
        <v>42.9</v>
      </c>
      <c r="G8" s="8">
        <f>SUM(43.9,19.23,25.9)</f>
        <v>89.03</v>
      </c>
      <c r="H8" s="8">
        <f>SUM(50,40,40)</f>
        <v>130</v>
      </c>
      <c r="I8" s="8">
        <f>SUM(40,22,22,48,48)</f>
        <v>180</v>
      </c>
      <c r="J8" s="8">
        <f>SUM(24,24)</f>
        <v>48</v>
      </c>
      <c r="K8" s="8">
        <f>SUM(24,24,24,24)</f>
        <v>96</v>
      </c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18" t="s">
        <v>33</v>
      </c>
      <c r="C9" s="8">
        <f>SUM(38,63,41,62.7,41,4.8)</f>
        <v>250.5</v>
      </c>
      <c r="D9" s="8">
        <f>SUM(62.7,83.6)</f>
        <v>146.3</v>
      </c>
      <c r="E9" s="8">
        <f>SUM(82.2,18,20.9,20.9,20.9,20.9,17.9)</f>
        <v>201.7</v>
      </c>
      <c r="F9" s="8">
        <f>SUM(80.6,86,21.5)</f>
        <v>188.1</v>
      </c>
      <c r="G9" s="8">
        <f>SUM(21.5,21.5,20.9,20.9,21.5,21.5,21.5,21.5)</f>
        <v>170.8</v>
      </c>
      <c r="H9" s="8">
        <f>SUM(66,66,44)</f>
        <v>176</v>
      </c>
      <c r="I9" s="8">
        <f>SUM(66,45,46)</f>
        <v>157</v>
      </c>
      <c r="J9" s="8">
        <f>SUM(23,91.6)</f>
        <v>114.6</v>
      </c>
      <c r="K9" s="8">
        <f>SUM(23.5,23.5,23.5,23.5,23.5)</f>
        <v>117.5</v>
      </c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8" t="s">
        <v>34</v>
      </c>
      <c r="C10" s="8">
        <f>SUM(0)</f>
        <v>0</v>
      </c>
      <c r="D10" s="8">
        <f>SUM(8.44)</f>
        <v>8.44</v>
      </c>
      <c r="E10" s="8">
        <f>SUM(11.16,17.86)</f>
        <v>29.02</v>
      </c>
      <c r="F10" s="8">
        <f>SUM(0)</f>
        <v>0</v>
      </c>
      <c r="G10" s="8">
        <f>SUM(9.38,9.7)</f>
        <v>19.08</v>
      </c>
      <c r="H10" s="8">
        <f>SUM(0)</f>
        <v>0</v>
      </c>
      <c r="I10" s="8">
        <f>SUM(8.3)</f>
        <v>8.3</v>
      </c>
      <c r="J10" s="8">
        <f t="shared" ref="J10:K10" si="7">SUM(0)</f>
        <v>0</v>
      </c>
      <c r="K10" s="8">
        <f t="shared" si="7"/>
        <v>0</v>
      </c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18" t="s">
        <v>35</v>
      </c>
      <c r="C11" s="8">
        <f>SUM(16,20,16,21)</f>
        <v>73</v>
      </c>
      <c r="D11" s="8">
        <f>SUM(17,17,10.9,8.9)</f>
        <v>53.8</v>
      </c>
      <c r="E11" s="8">
        <f>SUM(26)</f>
        <v>26</v>
      </c>
      <c r="F11" s="8">
        <f>SUM(19.6,9.8,14.9)</f>
        <v>44.3</v>
      </c>
      <c r="G11" s="8">
        <f>SUM(12.9,8.9,19,20)</f>
        <v>60.8</v>
      </c>
      <c r="H11" s="8">
        <f>SUM(19,38.7)</f>
        <v>57.7</v>
      </c>
      <c r="I11" s="8">
        <f>SUM(12,18.9,38)</f>
        <v>68.9</v>
      </c>
      <c r="J11" s="8">
        <f>SUM(33.8)</f>
        <v>33.8</v>
      </c>
      <c r="K11" s="8">
        <f>SUM(26)</f>
        <v>26</v>
      </c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0" t="s">
        <v>36</v>
      </c>
      <c r="B12" s="18" t="s">
        <v>37</v>
      </c>
      <c r="C12" s="8">
        <f>SUM(0)</f>
        <v>0</v>
      </c>
      <c r="D12" s="8">
        <f>SUM(6,6,12,14)</f>
        <v>38</v>
      </c>
      <c r="E12" s="8">
        <f t="shared" ref="E12:K12" si="8">SUM(0)</f>
        <v>0</v>
      </c>
      <c r="F12" s="8">
        <f t="shared" si="8"/>
        <v>0</v>
      </c>
      <c r="G12" s="8">
        <f t="shared" si="8"/>
        <v>0</v>
      </c>
      <c r="H12" s="8">
        <f t="shared" si="8"/>
        <v>0</v>
      </c>
      <c r="I12" s="8">
        <f t="shared" si="8"/>
        <v>0</v>
      </c>
      <c r="J12" s="8">
        <f t="shared" si="8"/>
        <v>0</v>
      </c>
      <c r="K12" s="8">
        <f t="shared" si="8"/>
        <v>0</v>
      </c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18" t="s">
        <v>38</v>
      </c>
      <c r="C13" s="8">
        <f>SUM(11,11,20)</f>
        <v>42</v>
      </c>
      <c r="D13" s="8">
        <f>SUM(10.7,30,20)</f>
        <v>60.7</v>
      </c>
      <c r="E13" s="8">
        <f>SUM(22,11)</f>
        <v>33</v>
      </c>
      <c r="F13" s="8">
        <f>SUM(22,11,22,7.75)</f>
        <v>62.75</v>
      </c>
      <c r="G13" s="8">
        <f>SUM(7.75,7.75,11,15.5,7.8)</f>
        <v>49.8</v>
      </c>
      <c r="H13" s="8">
        <f>SUM(15.5,7.75,6,11,15.5)</f>
        <v>55.75</v>
      </c>
      <c r="I13" s="8">
        <f>SUM(11,37.5,15,28.5)</f>
        <v>92</v>
      </c>
      <c r="J13" s="8">
        <f>SUM(15.5,6.9,8.4)</f>
        <v>30.8</v>
      </c>
      <c r="K13" s="8">
        <f>SUM(19,6,6.7,6)</f>
        <v>37.7</v>
      </c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18" t="s">
        <v>15</v>
      </c>
      <c r="C14" s="8">
        <f>SUM(16,7.89)</f>
        <v>23.89</v>
      </c>
      <c r="D14" s="8">
        <f t="shared" ref="D14:F14" si="9">SUM(0)</f>
        <v>0</v>
      </c>
      <c r="E14" s="8">
        <f t="shared" si="9"/>
        <v>0</v>
      </c>
      <c r="F14" s="8">
        <f t="shared" si="9"/>
        <v>0</v>
      </c>
      <c r="G14" s="8">
        <f>SUM(6,7.15)</f>
        <v>13.15</v>
      </c>
      <c r="H14" s="8">
        <f t="shared" ref="H14:K14" si="10">SUM(0)</f>
        <v>0</v>
      </c>
      <c r="I14" s="8">
        <f t="shared" si="10"/>
        <v>0</v>
      </c>
      <c r="J14" s="8">
        <f t="shared" si="10"/>
        <v>0</v>
      </c>
      <c r="K14" s="8">
        <f t="shared" si="10"/>
        <v>0</v>
      </c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1" t="s">
        <v>39</v>
      </c>
      <c r="B15" s="18" t="s">
        <v>40</v>
      </c>
      <c r="C15" s="8">
        <f>Sum(6.61,5.8,9.34,5.8,6.3,11.86)</f>
        <v>45.71</v>
      </c>
      <c r="D15" s="8">
        <f>SUM(11.05)</f>
        <v>11.05</v>
      </c>
      <c r="E15" s="8">
        <f>SUM(14.23,7.79,8.09,10.06,15,10.71,14.26,10.21,11.23)</f>
        <v>101.58</v>
      </c>
      <c r="F15" s="8">
        <f>SUM(14.44,17.85,17.45,15.66,24,8.54)</f>
        <v>97.94</v>
      </c>
      <c r="G15" s="8">
        <f>SUM(19.5,18.7,20.85,9.11,11.39,21)</f>
        <v>100.55</v>
      </c>
      <c r="H15" s="8">
        <f>SUM(17.41,19,14.67,14.85,13.5)</f>
        <v>79.43</v>
      </c>
      <c r="I15" s="8">
        <f>SUM(14.28,6.3,5.9,8.2,25.5)</f>
        <v>60.18</v>
      </c>
      <c r="J15" s="8">
        <f>SUM(10.5,8.14,9.81,9.37,10.95)</f>
        <v>48.77</v>
      </c>
      <c r="K15" s="8">
        <f>SUM(8.28,8.23,19.62)</f>
        <v>36.13</v>
      </c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18" t="s">
        <v>41</v>
      </c>
      <c r="C16" s="8">
        <f t="shared" ref="C16:K16" si="11">SUM(0)</f>
        <v>0</v>
      </c>
      <c r="D16" s="8">
        <f t="shared" si="11"/>
        <v>0</v>
      </c>
      <c r="E16" s="8">
        <f t="shared" si="11"/>
        <v>0</v>
      </c>
      <c r="F16" s="8">
        <f t="shared" si="11"/>
        <v>0</v>
      </c>
      <c r="G16" s="8">
        <f t="shared" si="11"/>
        <v>0</v>
      </c>
      <c r="H16" s="8">
        <f t="shared" si="11"/>
        <v>0</v>
      </c>
      <c r="I16" s="8">
        <f t="shared" si="11"/>
        <v>0</v>
      </c>
      <c r="J16" s="8">
        <f t="shared" si="11"/>
        <v>0</v>
      </c>
      <c r="K16" s="8">
        <f t="shared" si="11"/>
        <v>0</v>
      </c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18" t="s">
        <v>42</v>
      </c>
      <c r="C17" s="8">
        <f>SUM(5.99,8)</f>
        <v>13.99</v>
      </c>
      <c r="D17" s="8">
        <f t="shared" ref="D17:K17" si="12">SUM(0)</f>
        <v>0</v>
      </c>
      <c r="E17" s="8">
        <f t="shared" si="12"/>
        <v>0</v>
      </c>
      <c r="F17" s="8">
        <f t="shared" si="12"/>
        <v>0</v>
      </c>
      <c r="G17" s="8">
        <f t="shared" si="12"/>
        <v>0</v>
      </c>
      <c r="H17" s="8">
        <f t="shared" si="12"/>
        <v>0</v>
      </c>
      <c r="I17" s="8">
        <f t="shared" si="12"/>
        <v>0</v>
      </c>
      <c r="J17" s="8">
        <f t="shared" si="12"/>
        <v>0</v>
      </c>
      <c r="K17" s="8">
        <f t="shared" si="12"/>
        <v>0</v>
      </c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0" t="s">
        <v>43</v>
      </c>
      <c r="B18" s="18" t="s">
        <v>44</v>
      </c>
      <c r="C18" s="8">
        <f>SUM(6.49,8.79,8.59,7.89,23.4-1.8,7.89)</f>
        <v>61.25</v>
      </c>
      <c r="D18" s="8">
        <f>SUM(6.5,7.79,8,21.6,10.6)</f>
        <v>54.49</v>
      </c>
      <c r="E18" s="8">
        <f>SUM(6.49,22.2,19.77)</f>
        <v>48.46</v>
      </c>
      <c r="F18" s="8">
        <f>SUM(10.6,10.6,6,7,14)</f>
        <v>48.2</v>
      </c>
      <c r="G18" s="8">
        <f>SUM(10,6.5,21,6,13)</f>
        <v>56.5</v>
      </c>
      <c r="H18" s="8">
        <f>SUM(13,7,13.8)</f>
        <v>33.8</v>
      </c>
      <c r="I18" s="8">
        <f>SUM(6,8.6,6,7,13.8)</f>
        <v>41.4</v>
      </c>
      <c r="J18" s="8">
        <f>SUM(7,12.9,7.8,7)</f>
        <v>34.7</v>
      </c>
      <c r="K18" s="8">
        <f>SUM(6,22.2)</f>
        <v>28.2</v>
      </c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B19" s="18" t="s">
        <v>45</v>
      </c>
      <c r="C19" s="8">
        <f t="shared" ref="C19:E19" si="13">SUM(0)</f>
        <v>0</v>
      </c>
      <c r="D19" s="8">
        <f t="shared" si="13"/>
        <v>0</v>
      </c>
      <c r="E19" s="8">
        <f t="shared" si="13"/>
        <v>0</v>
      </c>
      <c r="F19" s="8">
        <f>SUM(38.4)</f>
        <v>38.4</v>
      </c>
      <c r="G19" s="8">
        <f t="shared" ref="G19:I19" si="14">SUM(0)</f>
        <v>0</v>
      </c>
      <c r="H19" s="8">
        <f t="shared" si="14"/>
        <v>0</v>
      </c>
      <c r="I19" s="8">
        <f t="shared" si="14"/>
        <v>0</v>
      </c>
      <c r="J19" s="8">
        <f>SUM(22.8)</f>
        <v>22.8</v>
      </c>
      <c r="K19" s="8">
        <f>SUM(0)</f>
        <v>0</v>
      </c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18" t="s">
        <v>46</v>
      </c>
      <c r="C20" s="8">
        <f>SUM(13.66,15.64,15.46,13.24,14,13.66,11.83)</f>
        <v>97.49</v>
      </c>
      <c r="D20" s="8">
        <f t="shared" ref="D20:E20" si="15">SUM(0)</f>
        <v>0</v>
      </c>
      <c r="E20" s="8">
        <f t="shared" si="15"/>
        <v>0</v>
      </c>
      <c r="F20" s="8">
        <f>SUM(17.55,14)</f>
        <v>31.55</v>
      </c>
      <c r="G20" s="8">
        <f>SUM(13.84,10.93,12.46,13)</f>
        <v>50.23</v>
      </c>
      <c r="H20" s="8">
        <f>SUM(10,11.88,16.8)</f>
        <v>38.68</v>
      </c>
      <c r="I20" s="8">
        <f>SUM(14.7,9.34,11)</f>
        <v>35.04</v>
      </c>
      <c r="J20" s="8">
        <f>SUM(26.7,13.92,16.56,10.19,13.79)</f>
        <v>81.16</v>
      </c>
      <c r="K20" s="8">
        <f>SUM(10.85,13,13.8)</f>
        <v>37.65</v>
      </c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18" t="s">
        <v>47</v>
      </c>
      <c r="C21" s="8">
        <f>SUM(50.7-3)</f>
        <v>47.7</v>
      </c>
      <c r="D21" s="8">
        <f>SUM(21)</f>
        <v>21</v>
      </c>
      <c r="E21" s="8">
        <f>SUM(0)</f>
        <v>0</v>
      </c>
      <c r="F21" s="8">
        <f>SUM(22.17)</f>
        <v>22.17</v>
      </c>
      <c r="G21" s="8">
        <f>SUM(21)</f>
        <v>21</v>
      </c>
      <c r="H21" s="8">
        <f t="shared" ref="H21:J21" si="16">SUM(0)</f>
        <v>0</v>
      </c>
      <c r="I21" s="8">
        <f t="shared" si="16"/>
        <v>0</v>
      </c>
      <c r="J21" s="8">
        <f t="shared" si="16"/>
        <v>0</v>
      </c>
      <c r="K21" s="8">
        <f>SUM(7)</f>
        <v>7</v>
      </c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B22" s="18" t="s">
        <v>15</v>
      </c>
      <c r="C22" s="8">
        <f t="shared" ref="C22:E22" si="17">SUM(0)</f>
        <v>0</v>
      </c>
      <c r="D22" s="8">
        <f t="shared" si="17"/>
        <v>0</v>
      </c>
      <c r="E22" s="8">
        <f t="shared" si="17"/>
        <v>0</v>
      </c>
      <c r="F22" s="8">
        <f>SUM(8.65)</f>
        <v>8.65</v>
      </c>
      <c r="G22" s="8">
        <f>SUM(7)</f>
        <v>7</v>
      </c>
      <c r="H22" s="8">
        <f>SUM(0)</f>
        <v>0</v>
      </c>
      <c r="I22" s="8">
        <f>SUM(12)</f>
        <v>12</v>
      </c>
      <c r="J22" s="8">
        <f t="shared" ref="J22:J23" si="19">SUM(0)</f>
        <v>0</v>
      </c>
      <c r="K22" s="8">
        <f>SUM(5.6)</f>
        <v>5.6</v>
      </c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1" t="s">
        <v>48</v>
      </c>
      <c r="B23" s="18" t="s">
        <v>49</v>
      </c>
      <c r="C23" s="8">
        <f t="shared" ref="C23:C25" si="20">SUM(0)</f>
        <v>0</v>
      </c>
      <c r="D23" s="8">
        <f>SUM(147)</f>
        <v>147</v>
      </c>
      <c r="E23" s="8">
        <f t="shared" ref="E23:H23" si="18">SUM(0)</f>
        <v>0</v>
      </c>
      <c r="F23" s="8">
        <f t="shared" si="18"/>
        <v>0</v>
      </c>
      <c r="G23" s="8">
        <f t="shared" si="18"/>
        <v>0</v>
      </c>
      <c r="H23" s="8">
        <f t="shared" si="18"/>
        <v>0</v>
      </c>
      <c r="I23" s="8">
        <f>SUM(7,13)</f>
        <v>20</v>
      </c>
      <c r="J23" s="8">
        <f t="shared" si="19"/>
        <v>0</v>
      </c>
      <c r="K23" s="8">
        <f t="shared" ref="K23:K24" si="22">SUM(0)</f>
        <v>0</v>
      </c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18" t="s">
        <v>50</v>
      </c>
      <c r="C24" s="8">
        <f t="shared" si="20"/>
        <v>0</v>
      </c>
      <c r="D24" s="8">
        <f>SUM(0)</f>
        <v>0</v>
      </c>
      <c r="E24" s="8">
        <v>40.0</v>
      </c>
      <c r="F24" s="8">
        <f t="shared" ref="F24:G24" si="21">SUM(0)</f>
        <v>0</v>
      </c>
      <c r="G24" s="8">
        <f t="shared" si="21"/>
        <v>0</v>
      </c>
      <c r="H24" s="8">
        <v>37.8</v>
      </c>
      <c r="I24" s="8">
        <f>SUM(0)</f>
        <v>0</v>
      </c>
      <c r="J24" s="8">
        <v>22.0</v>
      </c>
      <c r="K24" s="8">
        <f t="shared" si="22"/>
        <v>0</v>
      </c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18" t="s">
        <v>51</v>
      </c>
      <c r="C25" s="8">
        <f t="shared" si="20"/>
        <v>0</v>
      </c>
      <c r="D25" s="8">
        <f>SUM(12.4)</f>
        <v>12.4</v>
      </c>
      <c r="E25" s="8">
        <f>SUM(0)</f>
        <v>0</v>
      </c>
      <c r="F25" s="8">
        <f>SUM(33)</f>
        <v>33</v>
      </c>
      <c r="G25" s="8">
        <f>SUM(6.5)</f>
        <v>6.5</v>
      </c>
      <c r="H25" s="8">
        <f>SUM(7.65,4.4)</f>
        <v>12.05</v>
      </c>
      <c r="I25" s="8">
        <f>SUM(4.6,6,7,2.05,2.2)</f>
        <v>21.85</v>
      </c>
      <c r="J25" s="8">
        <f t="shared" ref="J25:K25" si="23">SUM(0)</f>
        <v>0</v>
      </c>
      <c r="K25" s="8">
        <f t="shared" si="23"/>
        <v>0</v>
      </c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B26" s="18" t="s">
        <v>52</v>
      </c>
      <c r="C26" s="8">
        <v>100.0</v>
      </c>
      <c r="D26" s="8">
        <v>100.0</v>
      </c>
      <c r="E26" s="8">
        <v>100.0</v>
      </c>
      <c r="F26" s="8">
        <v>100.0</v>
      </c>
      <c r="G26" s="8">
        <v>100.0</v>
      </c>
      <c r="H26" s="8">
        <v>100.0</v>
      </c>
      <c r="I26" s="8">
        <v>100.0</v>
      </c>
      <c r="J26" s="8">
        <v>100.0</v>
      </c>
      <c r="K26" s="8">
        <v>100.0</v>
      </c>
      <c r="L26" s="8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B27" s="18" t="s">
        <v>53</v>
      </c>
      <c r="C27" s="8">
        <f t="shared" ref="C27:C32" si="26">SUM(0)</f>
        <v>0</v>
      </c>
      <c r="D27" s="8">
        <f>SUM(7)</f>
        <v>7</v>
      </c>
      <c r="E27" s="8">
        <f t="shared" ref="E27:E28" si="27">SUM(0)</f>
        <v>0</v>
      </c>
      <c r="F27" s="8">
        <f>SUM(62.4)</f>
        <v>62.4</v>
      </c>
      <c r="G27" s="8">
        <f t="shared" ref="G27:H27" si="24">SUM(0)</f>
        <v>0</v>
      </c>
      <c r="H27" s="8">
        <f t="shared" si="24"/>
        <v>0</v>
      </c>
      <c r="I27" s="8">
        <f>SUM(4.8,7)</f>
        <v>11.8</v>
      </c>
      <c r="J27" s="8">
        <f t="shared" ref="J27:K27" si="25">SUM(0)</f>
        <v>0</v>
      </c>
      <c r="K27" s="8">
        <f t="shared" si="25"/>
        <v>0</v>
      </c>
      <c r="L27" s="8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B28" s="18" t="s">
        <v>15</v>
      </c>
      <c r="C28" s="8">
        <f t="shared" si="26"/>
        <v>0</v>
      </c>
      <c r="D28" s="8">
        <f>SUM(15)</f>
        <v>15</v>
      </c>
      <c r="E28" s="8">
        <f t="shared" si="27"/>
        <v>0</v>
      </c>
      <c r="F28" s="8">
        <f t="shared" ref="F28:K28" si="28">SUM(0)</f>
        <v>0</v>
      </c>
      <c r="G28" s="8">
        <f t="shared" si="28"/>
        <v>0</v>
      </c>
      <c r="H28" s="8">
        <f t="shared" si="28"/>
        <v>0</v>
      </c>
      <c r="I28" s="8">
        <f t="shared" si="28"/>
        <v>0</v>
      </c>
      <c r="J28" s="8">
        <f t="shared" si="28"/>
        <v>0</v>
      </c>
      <c r="K28" s="8">
        <f t="shared" si="28"/>
        <v>0</v>
      </c>
      <c r="L28" s="8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2" t="s">
        <v>54</v>
      </c>
      <c r="B29" s="18" t="s">
        <v>49</v>
      </c>
      <c r="C29" s="8">
        <f t="shared" si="26"/>
        <v>0</v>
      </c>
      <c r="D29" s="8">
        <f t="shared" ref="D29:D32" si="30">SUM(0)</f>
        <v>0</v>
      </c>
      <c r="E29" s="8">
        <f>SUM(12)</f>
        <v>12</v>
      </c>
      <c r="F29" s="8">
        <f t="shared" ref="F29:K29" si="29">SUM(0)</f>
        <v>0</v>
      </c>
      <c r="G29" s="8">
        <f t="shared" si="29"/>
        <v>0</v>
      </c>
      <c r="H29" s="8">
        <f t="shared" si="29"/>
        <v>0</v>
      </c>
      <c r="I29" s="8">
        <f t="shared" si="29"/>
        <v>0</v>
      </c>
      <c r="J29" s="8">
        <f t="shared" si="29"/>
        <v>0</v>
      </c>
      <c r="K29" s="8">
        <f t="shared" si="29"/>
        <v>0</v>
      </c>
      <c r="L29" s="8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B30" s="18" t="s">
        <v>55</v>
      </c>
      <c r="C30" s="8">
        <f t="shared" si="26"/>
        <v>0</v>
      </c>
      <c r="D30" s="8">
        <f t="shared" si="30"/>
        <v>0</v>
      </c>
      <c r="E30" s="8">
        <f t="shared" ref="E30:K30" si="31">SUM(0)</f>
        <v>0</v>
      </c>
      <c r="F30" s="8">
        <f t="shared" si="31"/>
        <v>0</v>
      </c>
      <c r="G30" s="8">
        <f t="shared" si="31"/>
        <v>0</v>
      </c>
      <c r="H30" s="8">
        <f t="shared" si="31"/>
        <v>0</v>
      </c>
      <c r="I30" s="8">
        <f t="shared" si="31"/>
        <v>0</v>
      </c>
      <c r="J30" s="8">
        <f t="shared" si="31"/>
        <v>0</v>
      </c>
      <c r="K30" s="8">
        <f t="shared" si="31"/>
        <v>0</v>
      </c>
      <c r="L30" s="8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B31" s="18" t="s">
        <v>56</v>
      </c>
      <c r="C31" s="8">
        <f t="shared" si="26"/>
        <v>0</v>
      </c>
      <c r="D31" s="8">
        <f t="shared" si="30"/>
        <v>0</v>
      </c>
      <c r="E31" s="8">
        <f>SUM(7.5)</f>
        <v>7.5</v>
      </c>
      <c r="F31" s="8">
        <f>SUM(4)</f>
        <v>4</v>
      </c>
      <c r="G31" s="8">
        <f>SUM(0)</f>
        <v>0</v>
      </c>
      <c r="H31" s="8">
        <f>SUM(3.75)</f>
        <v>3.75</v>
      </c>
      <c r="I31" s="8">
        <f t="shared" ref="I31:K31" si="32">SUM(0)</f>
        <v>0</v>
      </c>
      <c r="J31" s="8">
        <f t="shared" si="32"/>
        <v>0</v>
      </c>
      <c r="K31" s="8">
        <f t="shared" si="32"/>
        <v>0</v>
      </c>
      <c r="L31" s="8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B32" s="18" t="s">
        <v>51</v>
      </c>
      <c r="C32" s="8">
        <f t="shared" si="26"/>
        <v>0</v>
      </c>
      <c r="D32" s="8">
        <f t="shared" si="30"/>
        <v>0</v>
      </c>
      <c r="E32" s="8">
        <f t="shared" ref="E32:H32" si="33">SUM(0)</f>
        <v>0</v>
      </c>
      <c r="F32" s="8">
        <f t="shared" si="33"/>
        <v>0</v>
      </c>
      <c r="G32" s="8">
        <f t="shared" si="33"/>
        <v>0</v>
      </c>
      <c r="H32" s="8">
        <f t="shared" si="33"/>
        <v>0</v>
      </c>
      <c r="I32" s="8">
        <f>SUM(7.5)</f>
        <v>7.5</v>
      </c>
      <c r="J32" s="8">
        <f t="shared" ref="J32:K32" si="34">SUM(0)</f>
        <v>0</v>
      </c>
      <c r="K32" s="8">
        <f t="shared" si="34"/>
        <v>0</v>
      </c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1" t="s">
        <v>15</v>
      </c>
      <c r="B33" s="18" t="s">
        <v>57</v>
      </c>
      <c r="C33" s="8">
        <f>SUM(23,23,23)</f>
        <v>69</v>
      </c>
      <c r="D33" s="8">
        <f>SUM(1.4,23)</f>
        <v>24.4</v>
      </c>
      <c r="E33" s="8">
        <f>SUM(23,23)</f>
        <v>46</v>
      </c>
      <c r="F33" s="8">
        <f>SUM(23,4,23)</f>
        <v>50</v>
      </c>
      <c r="G33" s="8">
        <f>SUM(23,23,7)</f>
        <v>53</v>
      </c>
      <c r="H33" s="8">
        <f>SUM(23,23)</f>
        <v>46</v>
      </c>
      <c r="I33" s="8">
        <f>SUM(23,25)</f>
        <v>48</v>
      </c>
      <c r="J33" s="8">
        <f>SUM(24,24)</f>
        <v>48</v>
      </c>
      <c r="K33" s="8">
        <f>SUM(24)</f>
        <v>24</v>
      </c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B34" s="18" t="s">
        <v>58</v>
      </c>
      <c r="C34" s="8">
        <f>SUM(42.9)</f>
        <v>42.9</v>
      </c>
      <c r="D34" s="8">
        <f>SUM(54)</f>
        <v>54</v>
      </c>
      <c r="E34" s="8">
        <f t="shared" ref="E34:H34" si="35">SUM(0)</f>
        <v>0</v>
      </c>
      <c r="F34" s="8">
        <f t="shared" si="35"/>
        <v>0</v>
      </c>
      <c r="G34" s="8">
        <f t="shared" si="35"/>
        <v>0</v>
      </c>
      <c r="H34" s="8">
        <f t="shared" si="35"/>
        <v>0</v>
      </c>
      <c r="I34" s="8">
        <f>SUM(37)</f>
        <v>37</v>
      </c>
      <c r="J34" s="8">
        <f>SUM(0)</f>
        <v>0</v>
      </c>
      <c r="K34" s="8">
        <f>SUM(36)</f>
        <v>36</v>
      </c>
      <c r="L34" s="8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B35" s="18" t="s">
        <v>59</v>
      </c>
      <c r="C35" s="8">
        <f>SUM(14.9)</f>
        <v>14.9</v>
      </c>
      <c r="D35" s="8">
        <f>SUM(43.5)</f>
        <v>43.5</v>
      </c>
      <c r="E35" s="8">
        <f>SUM(0)</f>
        <v>0</v>
      </c>
      <c r="F35" s="8">
        <f>SUM(25.8,11.9)</f>
        <v>37.7</v>
      </c>
      <c r="G35" s="8">
        <f t="shared" ref="G35:K35" si="36">SUM(0)</f>
        <v>0</v>
      </c>
      <c r="H35" s="8">
        <f t="shared" si="36"/>
        <v>0</v>
      </c>
      <c r="I35" s="8">
        <f t="shared" si="36"/>
        <v>0</v>
      </c>
      <c r="J35" s="8">
        <f t="shared" si="36"/>
        <v>0</v>
      </c>
      <c r="K35" s="8">
        <f t="shared" si="36"/>
        <v>0</v>
      </c>
      <c r="L35" s="8"/>
      <c r="M35" s="8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B36" s="18" t="s">
        <v>60</v>
      </c>
      <c r="C36" s="8">
        <f>Sum(4.1,4.67,4.82,16,27.5,6.79,16.5,10,16)</f>
        <v>106.38</v>
      </c>
      <c r="D36" s="8">
        <f>SUM(24.56,6.79,6.59,5,3.29,12.29,5,6.59,27,32,8,27,11.3)</f>
        <v>175.41</v>
      </c>
      <c r="E36" s="8">
        <f>SUM(4.93,10.23,8,5,8.71,9,5.65,27.61,5,36,20,5.31,10.5,21,11.37,10.6,2.25,26.79,7.09,8.5,19,1.7)</f>
        <v>264.24</v>
      </c>
      <c r="F36" s="8">
        <f>SUM(29.49,8,14,25.7,12.86,28,16,10,15.5,50.4,10.65,16,14,11.37,5.62,4,4.9,10,11.37,4,3.4,3,6,4)</f>
        <v>318.26</v>
      </c>
      <c r="G36" s="8">
        <f>SUM(13,21,14,3,21,14,5.17,56.7,18,8,24,6.7,5.85,14.76,21,10.4,16,14.76,10.4,86)</f>
        <v>383.74</v>
      </c>
      <c r="H36" s="8">
        <f>SUM(41,10.45,8.43,25,16,5,21,21,30,3.2)</f>
        <v>181.08</v>
      </c>
      <c r="I36" s="8">
        <f>SUM(8.59,30,14,7.5,8.13,31,2.4,4.7,12,22,10.6,5.3,5)</f>
        <v>161.22</v>
      </c>
      <c r="J36" s="8">
        <f>SUM(22,6.4,11.3,44,22,9,6.53,3.3,22,28)</f>
        <v>174.53</v>
      </c>
      <c r="K36" s="8">
        <f>SUM(12,44,6.36,17,22,8,22,12)</f>
        <v>143.36</v>
      </c>
      <c r="L36" s="8"/>
      <c r="M36" s="8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B37" s="18" t="s">
        <v>61</v>
      </c>
      <c r="C37" s="8">
        <f>SUM(15,5.39)</f>
        <v>20.39</v>
      </c>
      <c r="D37" s="8">
        <f>SUM(11.37,5.4)</f>
        <v>16.77</v>
      </c>
      <c r="E37" s="8">
        <f>SUM(2.79,1.89,1.89)</f>
        <v>6.57</v>
      </c>
      <c r="F37" s="8">
        <f>SUM(0)</f>
        <v>0</v>
      </c>
      <c r="G37" s="8">
        <f>SUM(4.3,3.59)</f>
        <v>7.89</v>
      </c>
      <c r="H37" s="8">
        <f t="shared" ref="H37:K37" si="37">SUM(0)</f>
        <v>0</v>
      </c>
      <c r="I37" s="8">
        <f t="shared" si="37"/>
        <v>0</v>
      </c>
      <c r="J37" s="8">
        <f t="shared" si="37"/>
        <v>0</v>
      </c>
      <c r="K37" s="8">
        <f t="shared" si="37"/>
        <v>0</v>
      </c>
      <c r="L37" s="8"/>
      <c r="M37" s="8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B38" s="18" t="s">
        <v>62</v>
      </c>
      <c r="C38" s="8">
        <f>SUM(108,108,28)</f>
        <v>244</v>
      </c>
      <c r="D38" s="8">
        <f t="shared" ref="D38:H38" si="38">SUM(0)</f>
        <v>0</v>
      </c>
      <c r="E38" s="8">
        <f t="shared" si="38"/>
        <v>0</v>
      </c>
      <c r="F38" s="8">
        <f t="shared" si="38"/>
        <v>0</v>
      </c>
      <c r="G38" s="8">
        <f t="shared" si="38"/>
        <v>0</v>
      </c>
      <c r="H38" s="8">
        <f t="shared" si="38"/>
        <v>0</v>
      </c>
      <c r="I38" s="8">
        <f>SUM(120,120,110)</f>
        <v>350</v>
      </c>
      <c r="J38" s="8">
        <f t="shared" ref="J38:K38" si="39">SUM(0)</f>
        <v>0</v>
      </c>
      <c r="K38" s="8">
        <f t="shared" si="39"/>
        <v>0</v>
      </c>
      <c r="L38" s="8"/>
      <c r="M38" s="8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B39" s="18" t="s">
        <v>63</v>
      </c>
      <c r="C39" s="8">
        <f>SUM(5,5,25)</f>
        <v>35</v>
      </c>
      <c r="D39" s="8">
        <f t="shared" ref="D39:E39" si="40">SUM(0)</f>
        <v>0</v>
      </c>
      <c r="E39" s="8">
        <f t="shared" si="40"/>
        <v>0</v>
      </c>
      <c r="F39" s="8">
        <f>SUM(7,5.89,5.89)</f>
        <v>18.78</v>
      </c>
      <c r="G39" s="8">
        <f>SUM(0)</f>
        <v>0</v>
      </c>
      <c r="H39" s="8">
        <f>SUM(19)</f>
        <v>19</v>
      </c>
      <c r="I39" s="8">
        <f>SUM(10,1.65,1.9)</f>
        <v>13.55</v>
      </c>
      <c r="J39" s="8">
        <f t="shared" ref="J39:K39" si="41">SUM(0)</f>
        <v>0</v>
      </c>
      <c r="K39" s="8">
        <f t="shared" si="41"/>
        <v>0</v>
      </c>
      <c r="L39" s="8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 t="s">
        <v>22</v>
      </c>
      <c r="C40" s="13">
        <f t="shared" ref="C40:M40" si="42">SUM(C2:C39)</f>
        <v>1686.71</v>
      </c>
      <c r="D40" s="13">
        <f t="shared" si="42"/>
        <v>1053.85</v>
      </c>
      <c r="E40" s="13">
        <f t="shared" si="42"/>
        <v>1039.16</v>
      </c>
      <c r="F40" s="13">
        <f t="shared" si="42"/>
        <v>1332.3</v>
      </c>
      <c r="G40" s="13">
        <f t="shared" si="42"/>
        <v>1342.03</v>
      </c>
      <c r="H40" s="13">
        <f t="shared" si="42"/>
        <v>1035.42</v>
      </c>
      <c r="I40" s="13">
        <f t="shared" si="42"/>
        <v>1583.24</v>
      </c>
      <c r="J40" s="13">
        <f t="shared" si="42"/>
        <v>829.95</v>
      </c>
      <c r="K40" s="13">
        <f t="shared" si="42"/>
        <v>751.14</v>
      </c>
      <c r="L40" s="13">
        <f t="shared" si="42"/>
        <v>0</v>
      </c>
      <c r="M40" s="13">
        <f t="shared" si="42"/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</sheetData>
  <mergeCells count="9">
    <mergeCell ref="A33:A39"/>
    <mergeCell ref="A40:B40"/>
    <mergeCell ref="A2:A6"/>
    <mergeCell ref="A7:A11"/>
    <mergeCell ref="A12:A14"/>
    <mergeCell ref="A15:A17"/>
    <mergeCell ref="A18:A22"/>
    <mergeCell ref="A23:A28"/>
    <mergeCell ref="A29:A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6.88"/>
    <col customWidth="1" min="3" max="4" width="13.25"/>
    <col customWidth="1" min="5" max="5" width="13.13"/>
  </cols>
  <sheetData>
    <row r="1">
      <c r="A1" s="1" t="s">
        <v>0</v>
      </c>
      <c r="B1" s="1" t="s">
        <v>1</v>
      </c>
      <c r="C1" s="15">
        <v>45474.0</v>
      </c>
      <c r="D1" s="15">
        <v>45505.0</v>
      </c>
      <c r="E1" s="15">
        <v>45536.0</v>
      </c>
      <c r="F1" s="15">
        <v>45566.0</v>
      </c>
      <c r="G1" s="15">
        <v>45597.0</v>
      </c>
      <c r="H1" s="15">
        <v>45627.0</v>
      </c>
      <c r="I1" s="15">
        <v>45658.0</v>
      </c>
      <c r="J1" s="15">
        <v>45689.0</v>
      </c>
      <c r="K1" s="15">
        <v>45717.0</v>
      </c>
      <c r="L1" s="15">
        <v>45748.0</v>
      </c>
      <c r="M1" s="16"/>
      <c r="N1" s="16"/>
      <c r="O1" s="16"/>
      <c r="P1" s="16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3" t="s">
        <v>20</v>
      </c>
      <c r="B2" s="18" t="s">
        <v>64</v>
      </c>
      <c r="C2" s="8">
        <f t="shared" ref="C2:I2" si="1">SUM(0)</f>
        <v>0</v>
      </c>
      <c r="D2" s="8">
        <f t="shared" si="1"/>
        <v>0</v>
      </c>
      <c r="E2" s="8">
        <f t="shared" si="1"/>
        <v>0</v>
      </c>
      <c r="F2" s="8">
        <f t="shared" si="1"/>
        <v>0</v>
      </c>
      <c r="G2" s="8">
        <f t="shared" si="1"/>
        <v>0</v>
      </c>
      <c r="H2" s="8">
        <f t="shared" si="1"/>
        <v>0</v>
      </c>
      <c r="I2" s="8">
        <f t="shared" si="1"/>
        <v>0</v>
      </c>
      <c r="J2" s="8"/>
      <c r="K2" s="8"/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18" t="s">
        <v>65</v>
      </c>
      <c r="C3" s="8">
        <f t="shared" ref="C3:I3" si="2">SUM(0)</f>
        <v>0</v>
      </c>
      <c r="D3" s="8">
        <f t="shared" si="2"/>
        <v>0</v>
      </c>
      <c r="E3" s="8">
        <f t="shared" si="2"/>
        <v>0</v>
      </c>
      <c r="F3" s="8">
        <f t="shared" si="2"/>
        <v>0</v>
      </c>
      <c r="G3" s="8">
        <f t="shared" si="2"/>
        <v>0</v>
      </c>
      <c r="H3" s="8">
        <f t="shared" si="2"/>
        <v>0</v>
      </c>
      <c r="I3" s="8">
        <f t="shared" si="2"/>
        <v>0</v>
      </c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18" t="s">
        <v>66</v>
      </c>
      <c r="C4" s="8">
        <f t="shared" ref="C4:I4" si="3">SUM(0)</f>
        <v>0</v>
      </c>
      <c r="D4" s="8">
        <f t="shared" si="3"/>
        <v>0</v>
      </c>
      <c r="E4" s="8">
        <f t="shared" si="3"/>
        <v>0</v>
      </c>
      <c r="F4" s="8">
        <f t="shared" si="3"/>
        <v>0</v>
      </c>
      <c r="G4" s="8">
        <f t="shared" si="3"/>
        <v>0</v>
      </c>
      <c r="H4" s="8">
        <f t="shared" si="3"/>
        <v>0</v>
      </c>
      <c r="I4" s="8">
        <f t="shared" si="3"/>
        <v>0</v>
      </c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18" t="s">
        <v>67</v>
      </c>
      <c r="C5" s="8">
        <f t="shared" ref="C5:I5" si="4">SUM(0)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/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18" t="s">
        <v>68</v>
      </c>
      <c r="C6" s="8">
        <f t="shared" ref="C6:I6" si="5">SUM(0)</f>
        <v>0</v>
      </c>
      <c r="D6" s="8">
        <f t="shared" si="5"/>
        <v>0</v>
      </c>
      <c r="E6" s="8">
        <f t="shared" si="5"/>
        <v>0</v>
      </c>
      <c r="F6" s="8">
        <f t="shared" si="5"/>
        <v>0</v>
      </c>
      <c r="G6" s="8">
        <f t="shared" si="5"/>
        <v>0</v>
      </c>
      <c r="H6" s="8">
        <f t="shared" si="5"/>
        <v>0</v>
      </c>
      <c r="I6" s="8">
        <f t="shared" si="5"/>
        <v>0</v>
      </c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18" t="s">
        <v>69</v>
      </c>
      <c r="C7" s="8">
        <f t="shared" ref="C7:E7" si="6">SUM(0)</f>
        <v>0</v>
      </c>
      <c r="D7" s="8">
        <f t="shared" si="6"/>
        <v>0</v>
      </c>
      <c r="E7" s="8">
        <f t="shared" si="6"/>
        <v>0</v>
      </c>
      <c r="F7" s="8">
        <f>SUM(6.9)</f>
        <v>6.9</v>
      </c>
      <c r="G7" s="8">
        <f t="shared" ref="G7:I7" si="7">SUM(0)</f>
        <v>0</v>
      </c>
      <c r="H7" s="8">
        <f t="shared" si="7"/>
        <v>0</v>
      </c>
      <c r="I7" s="8">
        <f t="shared" si="7"/>
        <v>0</v>
      </c>
      <c r="J7" s="8"/>
      <c r="K7" s="8"/>
      <c r="L7" s="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15</v>
      </c>
      <c r="B8" s="18" t="s">
        <v>49</v>
      </c>
      <c r="C8" s="8">
        <f t="shared" ref="C8:D8" si="8">SUM(0)</f>
        <v>0</v>
      </c>
      <c r="D8" s="8">
        <f t="shared" si="8"/>
        <v>0</v>
      </c>
      <c r="E8" s="8">
        <f>SUM(12)</f>
        <v>12</v>
      </c>
      <c r="F8" s="8">
        <f t="shared" ref="F8:I8" si="9">SUM(0)</f>
        <v>0</v>
      </c>
      <c r="G8" s="8">
        <f t="shared" si="9"/>
        <v>0</v>
      </c>
      <c r="H8" s="8">
        <f t="shared" si="9"/>
        <v>0</v>
      </c>
      <c r="I8" s="8">
        <f t="shared" si="9"/>
        <v>0</v>
      </c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18" t="s">
        <v>55</v>
      </c>
      <c r="C9" s="8">
        <f t="shared" ref="C9:I9" si="10">SUM(0)</f>
        <v>0</v>
      </c>
      <c r="D9" s="8">
        <f t="shared" si="10"/>
        <v>0</v>
      </c>
      <c r="E9" s="8">
        <f t="shared" si="10"/>
        <v>0</v>
      </c>
      <c r="F9" s="8">
        <f t="shared" si="10"/>
        <v>0</v>
      </c>
      <c r="G9" s="8">
        <f t="shared" si="10"/>
        <v>0</v>
      </c>
      <c r="H9" s="8">
        <f t="shared" si="10"/>
        <v>0</v>
      </c>
      <c r="I9" s="8">
        <f t="shared" si="10"/>
        <v>0</v>
      </c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8" t="s">
        <v>56</v>
      </c>
      <c r="C10" s="8">
        <f t="shared" ref="C10:D10" si="11">SUM(0)</f>
        <v>0</v>
      </c>
      <c r="D10" s="8">
        <f t="shared" si="11"/>
        <v>0</v>
      </c>
      <c r="E10" s="8">
        <f>SUM(7.5)</f>
        <v>7.5</v>
      </c>
      <c r="F10" s="8">
        <f>SUM(4)</f>
        <v>4</v>
      </c>
      <c r="G10" s="8">
        <f>SUM(0)</f>
        <v>0</v>
      </c>
      <c r="H10" s="8">
        <f>SUM(3.75)</f>
        <v>3.75</v>
      </c>
      <c r="I10" s="8">
        <f>SUM(0)</f>
        <v>0</v>
      </c>
      <c r="J10" s="8"/>
      <c r="K10" s="8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22</v>
      </c>
      <c r="C11" s="13">
        <f t="shared" ref="C11:L11" si="12">SUM(C2:C10)</f>
        <v>0</v>
      </c>
      <c r="D11" s="13">
        <f t="shared" si="12"/>
        <v>0</v>
      </c>
      <c r="E11" s="13">
        <f t="shared" si="12"/>
        <v>19.5</v>
      </c>
      <c r="F11" s="13">
        <f t="shared" si="12"/>
        <v>10.9</v>
      </c>
      <c r="G11" s="13">
        <f t="shared" si="12"/>
        <v>0</v>
      </c>
      <c r="H11" s="13">
        <f t="shared" si="12"/>
        <v>3.75</v>
      </c>
      <c r="I11" s="13">
        <f t="shared" si="12"/>
        <v>0</v>
      </c>
      <c r="J11" s="13">
        <f t="shared" si="12"/>
        <v>0</v>
      </c>
      <c r="K11" s="13">
        <f t="shared" si="12"/>
        <v>0</v>
      </c>
      <c r="L11" s="13">
        <f t="shared" si="12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mergeCells count="3">
    <mergeCell ref="A2:A7"/>
    <mergeCell ref="A8:A10"/>
    <mergeCell ref="A11:B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6.88"/>
    <col customWidth="1" min="3" max="4" width="13.25"/>
    <col customWidth="1" min="5" max="5" width="13.13"/>
  </cols>
  <sheetData>
    <row r="1">
      <c r="A1" s="1" t="s">
        <v>0</v>
      </c>
      <c r="B1" s="1" t="s">
        <v>1</v>
      </c>
      <c r="C1" s="15">
        <v>45474.0</v>
      </c>
      <c r="D1" s="15">
        <v>45505.0</v>
      </c>
      <c r="E1" s="15">
        <v>45536.0</v>
      </c>
      <c r="F1" s="15">
        <v>45566.0</v>
      </c>
      <c r="G1" s="15">
        <v>45597.0</v>
      </c>
      <c r="H1" s="15">
        <v>45627.0</v>
      </c>
      <c r="I1" s="15">
        <v>45658.0</v>
      </c>
      <c r="J1" s="15">
        <v>45689.0</v>
      </c>
      <c r="K1" s="15">
        <v>45717.0</v>
      </c>
      <c r="L1" s="15">
        <v>45748.0</v>
      </c>
      <c r="M1" s="15">
        <v>45778.0</v>
      </c>
      <c r="N1" s="16"/>
      <c r="O1" s="16"/>
      <c r="P1" s="16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7" t="s">
        <v>70</v>
      </c>
      <c r="B2" s="18" t="s">
        <v>71</v>
      </c>
      <c r="C2" s="8">
        <f>SUM(200)</f>
        <v>200</v>
      </c>
      <c r="D2" s="8">
        <f>SUM(126.58)</f>
        <v>126.58</v>
      </c>
      <c r="E2" s="8">
        <f>SUM(260.17)</f>
        <v>260.17</v>
      </c>
      <c r="F2" s="8">
        <f>SUM(0)</f>
        <v>0</v>
      </c>
      <c r="G2" s="8">
        <f>SUM(274.34,3.76)</f>
        <v>278.1</v>
      </c>
      <c r="H2" s="8">
        <f>SUM(171.73,167.69)</f>
        <v>339.42</v>
      </c>
      <c r="I2" s="8">
        <f>SUM(0)</f>
        <v>0</v>
      </c>
      <c r="J2" s="8">
        <f>SUM(240.65)</f>
        <v>240.65</v>
      </c>
      <c r="K2" s="8">
        <f>SUM(0)</f>
        <v>0</v>
      </c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18" t="s">
        <v>72</v>
      </c>
      <c r="C3" s="8">
        <f t="shared" ref="C3:H3" si="1">SUM(0)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>SUM(1082.63)</f>
        <v>1082.63</v>
      </c>
      <c r="J3" s="8">
        <f t="shared" ref="J3:K3" si="2">SUM(0)</f>
        <v>0</v>
      </c>
      <c r="K3" s="8">
        <f t="shared" si="2"/>
        <v>0</v>
      </c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18" t="s">
        <v>73</v>
      </c>
      <c r="C4" s="8">
        <v>80.0</v>
      </c>
      <c r="D4" s="8">
        <v>80.0</v>
      </c>
      <c r="E4" s="8">
        <v>80.0</v>
      </c>
      <c r="F4" s="8">
        <v>40.0</v>
      </c>
      <c r="G4" s="8">
        <v>40.0</v>
      </c>
      <c r="H4" s="8">
        <v>40.0</v>
      </c>
      <c r="I4" s="8">
        <v>40.0</v>
      </c>
      <c r="J4" s="8">
        <f t="shared" ref="J4:K4" si="3">SUM(0)</f>
        <v>0</v>
      </c>
      <c r="K4" s="8">
        <f t="shared" si="3"/>
        <v>0</v>
      </c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18" t="s">
        <v>69</v>
      </c>
      <c r="C5" s="8">
        <f t="shared" ref="C5:K5" si="4">SUM(0)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18" t="s">
        <v>74</v>
      </c>
      <c r="C6" s="8">
        <f t="shared" ref="C6:D6" si="5">SUM(0)</f>
        <v>0</v>
      </c>
      <c r="D6" s="8">
        <f t="shared" si="5"/>
        <v>0</v>
      </c>
      <c r="E6" s="8">
        <f>SUM(10.1)</f>
        <v>10.1</v>
      </c>
      <c r="F6" s="8">
        <f>SUM(10.1,2.9,2.9)</f>
        <v>15.9</v>
      </c>
      <c r="G6" s="8">
        <f>SUM(5.8)</f>
        <v>5.8</v>
      </c>
      <c r="H6" s="8">
        <f>SUM(5.8,5.8,6)</f>
        <v>17.6</v>
      </c>
      <c r="I6" s="8">
        <f t="shared" ref="I6:K6" si="6">SUM(0)</f>
        <v>0</v>
      </c>
      <c r="J6" s="8">
        <f t="shared" si="6"/>
        <v>0</v>
      </c>
      <c r="K6" s="8">
        <f t="shared" si="6"/>
        <v>0</v>
      </c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18" t="s">
        <v>75</v>
      </c>
      <c r="C7" s="8">
        <f t="shared" ref="C7:K7" si="7">SUM(0)</f>
        <v>0</v>
      </c>
      <c r="D7" s="8">
        <f t="shared" si="7"/>
        <v>0</v>
      </c>
      <c r="E7" s="8">
        <f t="shared" si="7"/>
        <v>0</v>
      </c>
      <c r="F7" s="8">
        <f t="shared" si="7"/>
        <v>0</v>
      </c>
      <c r="G7" s="8">
        <f t="shared" si="7"/>
        <v>0</v>
      </c>
      <c r="H7" s="8">
        <f t="shared" si="7"/>
        <v>0</v>
      </c>
      <c r="I7" s="8">
        <f t="shared" si="7"/>
        <v>0</v>
      </c>
      <c r="J7" s="8">
        <f t="shared" si="7"/>
        <v>0</v>
      </c>
      <c r="K7" s="8">
        <f t="shared" si="7"/>
        <v>0</v>
      </c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4" t="s">
        <v>76</v>
      </c>
      <c r="B8" s="18" t="s">
        <v>71</v>
      </c>
      <c r="C8" s="8">
        <f t="shared" ref="C8:C9" si="10">SUM(0)</f>
        <v>0</v>
      </c>
      <c r="D8" s="8">
        <f>SUM(27.51,52.15,60)</f>
        <v>139.66</v>
      </c>
      <c r="E8" s="8">
        <f>SUM(49.15)</f>
        <v>49.15</v>
      </c>
      <c r="F8" s="8">
        <f t="shared" ref="F8:G8" si="8">SUM(0)</f>
        <v>0</v>
      </c>
      <c r="G8" s="8">
        <f t="shared" si="8"/>
        <v>0</v>
      </c>
      <c r="H8" s="8">
        <f>SUM(44.01)</f>
        <v>44.01</v>
      </c>
      <c r="I8" s="8">
        <f t="shared" ref="I8:K8" si="9">SUM(0)</f>
        <v>0</v>
      </c>
      <c r="J8" s="8">
        <f t="shared" si="9"/>
        <v>0</v>
      </c>
      <c r="K8" s="8">
        <f t="shared" si="9"/>
        <v>0</v>
      </c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18" t="s">
        <v>72</v>
      </c>
      <c r="C9" s="8">
        <f t="shared" si="10"/>
        <v>0</v>
      </c>
      <c r="D9" s="8">
        <f t="shared" ref="D9:H9" si="11">SUM(0)</f>
        <v>0</v>
      </c>
      <c r="E9" s="8">
        <f t="shared" si="11"/>
        <v>0</v>
      </c>
      <c r="F9" s="8">
        <f t="shared" si="11"/>
        <v>0</v>
      </c>
      <c r="G9" s="8">
        <f t="shared" si="11"/>
        <v>0</v>
      </c>
      <c r="H9" s="8">
        <f t="shared" si="11"/>
        <v>0</v>
      </c>
      <c r="I9" s="8">
        <f>SUM(164.91)</f>
        <v>164.91</v>
      </c>
      <c r="J9" s="8">
        <f t="shared" ref="J9:K9" si="12">SUM(0)</f>
        <v>0</v>
      </c>
      <c r="K9" s="8">
        <f t="shared" si="12"/>
        <v>0</v>
      </c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8" t="s">
        <v>73</v>
      </c>
      <c r="C10" s="8">
        <v>45.0</v>
      </c>
      <c r="D10" s="8">
        <v>45.0</v>
      </c>
      <c r="E10" s="8">
        <v>50.0</v>
      </c>
      <c r="F10" s="8">
        <v>50.0</v>
      </c>
      <c r="G10" s="8">
        <v>50.0</v>
      </c>
      <c r="H10" s="8">
        <v>50.0</v>
      </c>
      <c r="I10" s="8">
        <f t="shared" ref="I10:K10" si="13">SUM(0)</f>
        <v>0</v>
      </c>
      <c r="J10" s="8">
        <f t="shared" si="13"/>
        <v>0</v>
      </c>
      <c r="K10" s="8">
        <f t="shared" si="13"/>
        <v>0</v>
      </c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18" t="s">
        <v>69</v>
      </c>
      <c r="C11" s="8">
        <f t="shared" ref="C11:C17" si="15">SUM(0)</f>
        <v>0</v>
      </c>
      <c r="D11" s="8">
        <f>SUM(59,40)</f>
        <v>99</v>
      </c>
      <c r="E11" s="8">
        <f>SUM(346.29)</f>
        <v>346.29</v>
      </c>
      <c r="F11" s="8">
        <f t="shared" ref="F11:K11" si="14">SUM(0)</f>
        <v>0</v>
      </c>
      <c r="G11" s="8">
        <f t="shared" si="14"/>
        <v>0</v>
      </c>
      <c r="H11" s="8">
        <f t="shared" si="14"/>
        <v>0</v>
      </c>
      <c r="I11" s="8">
        <f t="shared" si="14"/>
        <v>0</v>
      </c>
      <c r="J11" s="8">
        <f t="shared" si="14"/>
        <v>0</v>
      </c>
      <c r="K11" s="8">
        <f t="shared" si="14"/>
        <v>0</v>
      </c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18" t="s">
        <v>74</v>
      </c>
      <c r="C12" s="8">
        <f t="shared" si="15"/>
        <v>0</v>
      </c>
      <c r="D12" s="8">
        <f t="shared" ref="D12:K12" si="16">SUM(0)</f>
        <v>0</v>
      </c>
      <c r="E12" s="8">
        <f t="shared" si="16"/>
        <v>0</v>
      </c>
      <c r="F12" s="8">
        <f t="shared" si="16"/>
        <v>0</v>
      </c>
      <c r="G12" s="8">
        <f t="shared" si="16"/>
        <v>0</v>
      </c>
      <c r="H12" s="8">
        <f t="shared" si="16"/>
        <v>0</v>
      </c>
      <c r="I12" s="8">
        <f t="shared" si="16"/>
        <v>0</v>
      </c>
      <c r="J12" s="8">
        <f t="shared" si="16"/>
        <v>0</v>
      </c>
      <c r="K12" s="8">
        <f t="shared" si="16"/>
        <v>0</v>
      </c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18" t="s">
        <v>75</v>
      </c>
      <c r="C13" s="8">
        <f t="shared" si="15"/>
        <v>0</v>
      </c>
      <c r="D13" s="8">
        <f>SUM(105)</f>
        <v>105</v>
      </c>
      <c r="E13" s="8">
        <f t="shared" ref="E13:K13" si="17">SUM(0)</f>
        <v>0</v>
      </c>
      <c r="F13" s="8">
        <f t="shared" si="17"/>
        <v>0</v>
      </c>
      <c r="G13" s="8">
        <f t="shared" si="17"/>
        <v>0</v>
      </c>
      <c r="H13" s="8">
        <f t="shared" si="17"/>
        <v>0</v>
      </c>
      <c r="I13" s="8">
        <f t="shared" si="17"/>
        <v>0</v>
      </c>
      <c r="J13" s="8">
        <f t="shared" si="17"/>
        <v>0</v>
      </c>
      <c r="K13" s="8">
        <f t="shared" si="17"/>
        <v>0</v>
      </c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" t="s">
        <v>15</v>
      </c>
      <c r="B14" s="18" t="s">
        <v>77</v>
      </c>
      <c r="C14" s="8">
        <f t="shared" si="15"/>
        <v>0</v>
      </c>
      <c r="D14" s="8">
        <f t="shared" ref="D14:E14" si="18">SUM(0)</f>
        <v>0</v>
      </c>
      <c r="E14" s="8">
        <f t="shared" si="18"/>
        <v>0</v>
      </c>
      <c r="F14" s="8">
        <f>SUM(116.69,127.69)</f>
        <v>244.38</v>
      </c>
      <c r="G14" s="8">
        <f t="shared" ref="G14:K14" si="19">SUM(0)</f>
        <v>0</v>
      </c>
      <c r="H14" s="8">
        <f t="shared" si="19"/>
        <v>0</v>
      </c>
      <c r="I14" s="8">
        <f t="shared" si="19"/>
        <v>0</v>
      </c>
      <c r="J14" s="8">
        <f t="shared" si="19"/>
        <v>0</v>
      </c>
      <c r="K14" s="8">
        <f t="shared" si="19"/>
        <v>0</v>
      </c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18" t="s">
        <v>78</v>
      </c>
      <c r="C15" s="8">
        <f t="shared" si="15"/>
        <v>0</v>
      </c>
      <c r="D15" s="8">
        <f t="shared" ref="D15:K15" si="20">SUM(0)</f>
        <v>0</v>
      </c>
      <c r="E15" s="8">
        <f t="shared" si="20"/>
        <v>0</v>
      </c>
      <c r="F15" s="8">
        <f t="shared" si="20"/>
        <v>0</v>
      </c>
      <c r="G15" s="8">
        <f t="shared" si="20"/>
        <v>0</v>
      </c>
      <c r="H15" s="8">
        <f t="shared" si="20"/>
        <v>0</v>
      </c>
      <c r="I15" s="8">
        <f t="shared" si="20"/>
        <v>0</v>
      </c>
      <c r="J15" s="8">
        <f t="shared" si="20"/>
        <v>0</v>
      </c>
      <c r="K15" s="8">
        <f t="shared" si="20"/>
        <v>0</v>
      </c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18" t="s">
        <v>79</v>
      </c>
      <c r="C16" s="8">
        <f t="shared" si="15"/>
        <v>0</v>
      </c>
      <c r="D16" s="8">
        <f t="shared" ref="D16:G16" si="21">SUM(0)</f>
        <v>0</v>
      </c>
      <c r="E16" s="8">
        <f t="shared" si="21"/>
        <v>0</v>
      </c>
      <c r="F16" s="8">
        <f t="shared" si="21"/>
        <v>0</v>
      </c>
      <c r="G16" s="8">
        <f t="shared" si="21"/>
        <v>0</v>
      </c>
      <c r="H16" s="8">
        <f>SUM(17.4)</f>
        <v>17.4</v>
      </c>
      <c r="I16" s="8">
        <f t="shared" ref="I16:K16" si="22">SUM(0)</f>
        <v>0</v>
      </c>
      <c r="J16" s="8">
        <f t="shared" si="22"/>
        <v>0</v>
      </c>
      <c r="K16" s="8">
        <f t="shared" si="22"/>
        <v>0</v>
      </c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18" t="s">
        <v>80</v>
      </c>
      <c r="C17" s="8">
        <f t="shared" si="15"/>
        <v>0</v>
      </c>
      <c r="D17" s="8">
        <f t="shared" ref="D17:K17" si="23">SUM(0)</f>
        <v>0</v>
      </c>
      <c r="E17" s="8">
        <f t="shared" si="23"/>
        <v>0</v>
      </c>
      <c r="F17" s="8">
        <f t="shared" si="23"/>
        <v>0</v>
      </c>
      <c r="G17" s="8">
        <f t="shared" si="23"/>
        <v>0</v>
      </c>
      <c r="H17" s="8">
        <f t="shared" si="23"/>
        <v>0</v>
      </c>
      <c r="I17" s="8">
        <f t="shared" si="23"/>
        <v>0</v>
      </c>
      <c r="J17" s="8">
        <f t="shared" si="23"/>
        <v>0</v>
      </c>
      <c r="K17" s="8">
        <f t="shared" si="23"/>
        <v>0</v>
      </c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 t="s">
        <v>22</v>
      </c>
      <c r="C18" s="13">
        <f t="shared" ref="C18:M18" si="24">SUM(C2:C17)</f>
        <v>325</v>
      </c>
      <c r="D18" s="13">
        <f t="shared" si="24"/>
        <v>595.24</v>
      </c>
      <c r="E18" s="13">
        <f t="shared" si="24"/>
        <v>795.71</v>
      </c>
      <c r="F18" s="13">
        <f t="shared" si="24"/>
        <v>350.28</v>
      </c>
      <c r="G18" s="13">
        <f t="shared" si="24"/>
        <v>373.9</v>
      </c>
      <c r="H18" s="13">
        <f t="shared" si="24"/>
        <v>508.43</v>
      </c>
      <c r="I18" s="13">
        <f t="shared" si="24"/>
        <v>1287.54</v>
      </c>
      <c r="J18" s="13">
        <f t="shared" si="24"/>
        <v>240.65</v>
      </c>
      <c r="K18" s="13">
        <f t="shared" si="24"/>
        <v>0</v>
      </c>
      <c r="L18" s="13">
        <f t="shared" si="24"/>
        <v>0</v>
      </c>
      <c r="M18" s="13">
        <f t="shared" si="24"/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mergeCells count="4">
    <mergeCell ref="A2:A7"/>
    <mergeCell ref="A8:A13"/>
    <mergeCell ref="A14:A17"/>
    <mergeCell ref="A18:B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4.0"/>
    <col customWidth="1" min="3" max="3" width="13.75"/>
    <col customWidth="1" min="4" max="4" width="13.13"/>
  </cols>
  <sheetData>
    <row r="1">
      <c r="A1" s="1" t="s">
        <v>0</v>
      </c>
      <c r="B1" s="15">
        <v>45474.0</v>
      </c>
      <c r="C1" s="15">
        <v>45505.0</v>
      </c>
      <c r="D1" s="15">
        <v>45536.0</v>
      </c>
      <c r="E1" s="15">
        <v>45566.0</v>
      </c>
      <c r="F1" s="15">
        <v>45597.0</v>
      </c>
      <c r="G1" s="15">
        <v>45627.0</v>
      </c>
      <c r="H1" s="15">
        <v>45658.0</v>
      </c>
      <c r="I1" s="15">
        <v>45689.0</v>
      </c>
      <c r="J1" s="15">
        <v>45717.0</v>
      </c>
      <c r="K1" s="15">
        <v>45748.0</v>
      </c>
      <c r="L1" s="15">
        <v>45778.0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81</v>
      </c>
      <c r="B2" s="8">
        <f>Contas!C19</f>
        <v>6306.77</v>
      </c>
      <c r="C2" s="8">
        <f>Contas!D19</f>
        <v>5667.5</v>
      </c>
      <c r="D2" s="8">
        <f>Contas!E19</f>
        <v>5251.25</v>
      </c>
      <c r="E2" s="8">
        <f>Contas!F19</f>
        <v>5173.71</v>
      </c>
      <c r="F2" s="8">
        <f>Contas!G19</f>
        <v>5072.42</v>
      </c>
      <c r="G2" s="8">
        <f>Contas!H19</f>
        <v>5044.28</v>
      </c>
      <c r="H2" s="8">
        <f>Contas!I19</f>
        <v>5398.53</v>
      </c>
      <c r="I2" s="8">
        <f>Contas!J19</f>
        <v>5236.19</v>
      </c>
      <c r="J2" s="8">
        <f>Contas!K19</f>
        <v>5255.18</v>
      </c>
      <c r="K2" s="8"/>
      <c r="L2" s="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 t="s">
        <v>82</v>
      </c>
      <c r="B3" s="8">
        <f>Mercado!C40</f>
        <v>1686.71</v>
      </c>
      <c r="C3" s="8">
        <f>Mercado!D40</f>
        <v>1053.85</v>
      </c>
      <c r="D3" s="8">
        <f>Mercado!E40</f>
        <v>1039.16</v>
      </c>
      <c r="E3" s="8">
        <f>Mercado!F40</f>
        <v>1332.3</v>
      </c>
      <c r="F3" s="8">
        <f>Mercado!G40</f>
        <v>1342.03</v>
      </c>
      <c r="G3" s="8">
        <f>Mercado!H40</f>
        <v>1035.42</v>
      </c>
      <c r="H3" s="8">
        <f>Mercado!I40</f>
        <v>1583.24</v>
      </c>
      <c r="I3" s="8">
        <f>Mercado!J40</f>
        <v>829.95</v>
      </c>
      <c r="J3" s="8">
        <f>Mercado!K40</f>
        <v>751.14</v>
      </c>
      <c r="K3" s="8"/>
      <c r="L3" s="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 t="s">
        <v>83</v>
      </c>
      <c r="B4" s="8">
        <f>Transporte!C18</f>
        <v>325</v>
      </c>
      <c r="C4" s="8">
        <f>Transporte!D18</f>
        <v>595.24</v>
      </c>
      <c r="D4" s="8">
        <f>Transporte!E18</f>
        <v>795.71</v>
      </c>
      <c r="E4" s="8">
        <f>Transporte!F18</f>
        <v>350.28</v>
      </c>
      <c r="F4" s="8">
        <f>Transporte!G18</f>
        <v>373.9</v>
      </c>
      <c r="G4" s="8">
        <f>Transporte!H18</f>
        <v>508.43</v>
      </c>
      <c r="H4" s="8">
        <f>Transporte!I18</f>
        <v>1287.54</v>
      </c>
      <c r="I4" s="8">
        <f>Transporte!J18</f>
        <v>240.65</v>
      </c>
      <c r="J4" s="8">
        <f>Transporte!K18</f>
        <v>0</v>
      </c>
      <c r="K4" s="8"/>
      <c r="L4" s="8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2" t="s">
        <v>22</v>
      </c>
      <c r="B5" s="13">
        <f t="shared" ref="B5:L5" si="1">SUM(B2:B4)</f>
        <v>8318.48</v>
      </c>
      <c r="C5" s="13">
        <f t="shared" si="1"/>
        <v>7316.59</v>
      </c>
      <c r="D5" s="13">
        <f t="shared" si="1"/>
        <v>7086.12</v>
      </c>
      <c r="E5" s="13">
        <f t="shared" si="1"/>
        <v>6856.29</v>
      </c>
      <c r="F5" s="13">
        <f t="shared" si="1"/>
        <v>6788.35</v>
      </c>
      <c r="G5" s="13">
        <f t="shared" si="1"/>
        <v>6588.13</v>
      </c>
      <c r="H5" s="13">
        <f t="shared" si="1"/>
        <v>8269.31</v>
      </c>
      <c r="I5" s="13">
        <f t="shared" si="1"/>
        <v>6306.79</v>
      </c>
      <c r="J5" s="13">
        <f t="shared" si="1"/>
        <v>6006.32</v>
      </c>
      <c r="K5" s="13">
        <f t="shared" si="1"/>
        <v>0</v>
      </c>
      <c r="L5" s="13">
        <f t="shared" si="1"/>
        <v>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8"/>
      <c r="C7" s="28"/>
      <c r="D7" s="28"/>
      <c r="E7" s="28"/>
      <c r="F7" s="28"/>
      <c r="G7" s="28"/>
      <c r="H7" s="2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8"/>
      <c r="C8" s="29" t="s">
        <v>84</v>
      </c>
      <c r="D8" s="29">
        <v>2.5</v>
      </c>
      <c r="E8" s="28">
        <f t="shared" ref="E8:E13" si="2">D8*30</f>
        <v>75</v>
      </c>
      <c r="F8" s="28"/>
      <c r="G8" s="30" t="s">
        <v>85</v>
      </c>
      <c r="H8" s="30" t="s">
        <v>86</v>
      </c>
      <c r="I8" s="30" t="s">
        <v>87</v>
      </c>
      <c r="J8" s="30" t="s">
        <v>88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8"/>
      <c r="C9" s="29" t="s">
        <v>89</v>
      </c>
      <c r="D9" s="29">
        <v>5.5</v>
      </c>
      <c r="E9" s="28">
        <f t="shared" si="2"/>
        <v>165</v>
      </c>
      <c r="F9" s="28"/>
      <c r="G9" s="31" t="s">
        <v>90</v>
      </c>
      <c r="H9" s="31">
        <v>20.0</v>
      </c>
      <c r="I9" s="31">
        <v>4.0</v>
      </c>
      <c r="J9" s="32">
        <f t="shared" ref="J9:J13" si="3">H9/I9</f>
        <v>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8"/>
      <c r="C10" s="29" t="s">
        <v>90</v>
      </c>
      <c r="D10" s="29">
        <v>6.5</v>
      </c>
      <c r="E10" s="28">
        <f t="shared" si="2"/>
        <v>195</v>
      </c>
      <c r="F10" s="28"/>
      <c r="G10" s="33" t="s">
        <v>91</v>
      </c>
      <c r="H10" s="33">
        <v>18.0</v>
      </c>
      <c r="I10" s="33">
        <v>5.0</v>
      </c>
      <c r="J10" s="32">
        <f t="shared" si="3"/>
        <v>3.6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8"/>
      <c r="C11" s="29" t="s">
        <v>92</v>
      </c>
      <c r="D11" s="29">
        <v>3.5</v>
      </c>
      <c r="E11" s="28">
        <f t="shared" si="2"/>
        <v>105</v>
      </c>
      <c r="F11" s="28"/>
      <c r="G11" s="33" t="s">
        <v>93</v>
      </c>
      <c r="H11" s="33">
        <v>10.0</v>
      </c>
      <c r="I11" s="33">
        <v>6.0</v>
      </c>
      <c r="J11" s="32">
        <f t="shared" si="3"/>
        <v>1.666666667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8"/>
      <c r="C12" s="29" t="s">
        <v>94</v>
      </c>
      <c r="D12" s="29">
        <v>1.5</v>
      </c>
      <c r="E12" s="28">
        <f t="shared" si="2"/>
        <v>45</v>
      </c>
      <c r="F12" s="28"/>
      <c r="G12" s="33" t="s">
        <v>95</v>
      </c>
      <c r="H12" s="33">
        <v>5.0</v>
      </c>
      <c r="I12" s="33">
        <v>1.0</v>
      </c>
      <c r="J12" s="32">
        <f t="shared" si="3"/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28"/>
      <c r="C13" s="29" t="s">
        <v>96</v>
      </c>
      <c r="D13" s="29">
        <v>1.5</v>
      </c>
      <c r="E13" s="28">
        <f t="shared" si="2"/>
        <v>45</v>
      </c>
      <c r="F13" s="28"/>
      <c r="G13" s="33" t="s">
        <v>97</v>
      </c>
      <c r="H13" s="33">
        <v>5.0</v>
      </c>
      <c r="I13" s="33">
        <v>1.0</v>
      </c>
      <c r="J13" s="32">
        <f t="shared" si="3"/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28"/>
      <c r="C14" s="28"/>
      <c r="D14" s="28"/>
      <c r="E14" s="28">
        <f>SUM(E8:E13)</f>
        <v>630</v>
      </c>
      <c r="F14" s="28"/>
      <c r="G14" s="34" t="s">
        <v>98</v>
      </c>
      <c r="H14" s="35"/>
      <c r="I14" s="36"/>
      <c r="J14" s="37">
        <f>sum(J9:J13)</f>
        <v>20.26666667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28"/>
      <c r="C15" s="28"/>
      <c r="D15" s="28"/>
      <c r="E15" s="28"/>
      <c r="F15" s="28"/>
      <c r="G15" s="28"/>
      <c r="H15" s="28"/>
      <c r="I15" s="28"/>
      <c r="J15" s="2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</sheetData>
  <mergeCells count="1">
    <mergeCell ref="G14:I14"/>
  </mergeCells>
  <drawing r:id="rId1"/>
</worksheet>
</file>