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dora Atuarial" sheetId="1" r:id="rId4"/>
    <sheet state="visible" name="AT2000" sheetId="2" r:id="rId5"/>
    <sheet state="visible" name="Lista 7" sheetId="3" r:id="rId6"/>
    <sheet state="visible" name="Método Recursivo" sheetId="4" r:id="rId7"/>
    <sheet state="visible" name="Planilha1" sheetId="5" r:id="rId8"/>
  </sheets>
  <definedNames/>
  <calcPr/>
  <extLst>
    <ext uri="GoogleSheetsCustomDataVersion1">
      <go:sheetsCustomData xmlns:go="http://customooxmlschemas.google.com/" r:id="rId9" roundtripDataSignature="AMtx7mj4E/BwntaNVEEcZrd5+aC4eEF+Ng=="/>
    </ext>
  </extLst>
</workbook>
</file>

<file path=xl/sharedStrings.xml><?xml version="1.0" encoding="utf-8"?>
<sst xmlns="http://schemas.openxmlformats.org/spreadsheetml/2006/main" count="144" uniqueCount="121">
  <si>
    <t>Só para anuidade</t>
  </si>
  <si>
    <t>Fracionamento</t>
  </si>
  <si>
    <t>Prêmios Periódicos</t>
  </si>
  <si>
    <t>Idade x</t>
  </si>
  <si>
    <t>Modalidade</t>
  </si>
  <si>
    <t>Pagamento</t>
  </si>
  <si>
    <t>Diferido</t>
  </si>
  <si>
    <t>Temporário</t>
  </si>
  <si>
    <t>do Benefício</t>
  </si>
  <si>
    <t>Pgto Crescentes</t>
  </si>
  <si>
    <t>Seguro Dotal/Misto</t>
  </si>
  <si>
    <t>Prêmios</t>
  </si>
  <si>
    <t>Ant ou Post</t>
  </si>
  <si>
    <t>P. Temporário</t>
  </si>
  <si>
    <t>Fracionado</t>
  </si>
  <si>
    <t>Altere nessa linha -&gt;</t>
  </si>
  <si>
    <t>Anuidade</t>
  </si>
  <si>
    <t>Antecipado</t>
  </si>
  <si>
    <t>Sim</t>
  </si>
  <si>
    <t>Não</t>
  </si>
  <si>
    <t>Único</t>
  </si>
  <si>
    <t>Seguro</t>
  </si>
  <si>
    <t>Postecipado</t>
  </si>
  <si>
    <t>Periódico</t>
  </si>
  <si>
    <t>=</t>
  </si>
  <si>
    <t>Valor monetário</t>
  </si>
  <si>
    <t>Prêmio</t>
  </si>
  <si>
    <t>seguro vitalicio + 20</t>
  </si>
  <si>
    <t>seguro misto</t>
  </si>
  <si>
    <t>seguro vitalício</t>
  </si>
  <si>
    <t>dote puro</t>
  </si>
  <si>
    <t>x</t>
  </si>
  <si>
    <t>qx</t>
  </si>
  <si>
    <t>px</t>
  </si>
  <si>
    <t>lx</t>
  </si>
  <si>
    <t>dx</t>
  </si>
  <si>
    <t>Lx'</t>
  </si>
  <si>
    <t>Tx</t>
  </si>
  <si>
    <t>e0x</t>
  </si>
  <si>
    <t>ex</t>
  </si>
  <si>
    <t>Coluna3</t>
  </si>
  <si>
    <t>DX'</t>
  </si>
  <si>
    <t>Nx</t>
  </si>
  <si>
    <t>Sx</t>
  </si>
  <si>
    <t>Cx</t>
  </si>
  <si>
    <t>Mx</t>
  </si>
  <si>
    <t>Rx</t>
  </si>
  <si>
    <t>i</t>
  </si>
  <si>
    <t>Dx</t>
  </si>
  <si>
    <t>Lista - 6</t>
  </si>
  <si>
    <t>Reserva Matemática</t>
  </si>
  <si>
    <t>Questão 2</t>
  </si>
  <si>
    <t>Questão 3</t>
  </si>
  <si>
    <t>x = 40</t>
  </si>
  <si>
    <t>$ = 400000</t>
  </si>
  <si>
    <t>x = 30</t>
  </si>
  <si>
    <t>Reserva Matemática para</t>
  </si>
  <si>
    <t>Reserva no 10º ano - modelo prospectivo</t>
  </si>
  <si>
    <t>Rendas anuais de $ 6.000</t>
  </si>
  <si>
    <t>t=5</t>
  </si>
  <si>
    <t>Reserva no 10º ano - modelo retrospectivo</t>
  </si>
  <si>
    <t>Temporária por 15 anos</t>
  </si>
  <si>
    <t>t=15</t>
  </si>
  <si>
    <t>VABF</t>
  </si>
  <si>
    <t>Ax+t</t>
  </si>
  <si>
    <t>Valor no instante t do Benefício Futuro</t>
  </si>
  <si>
    <t>VAPF</t>
  </si>
  <si>
    <t>Px*äx+t</t>
  </si>
  <si>
    <t>Valor no instante t do Prêmio Futuro</t>
  </si>
  <si>
    <t>10V40</t>
  </si>
  <si>
    <t>A40+10 - P40*ä40+10</t>
  </si>
  <si>
    <t>Rendas anuais de $ 10.000</t>
  </si>
  <si>
    <t>m=10</t>
  </si>
  <si>
    <t>VABF-VAPF</t>
  </si>
  <si>
    <t>Temporária por 20 anos</t>
  </si>
  <si>
    <t>Prêmios pagos por 10 anos</t>
  </si>
  <si>
    <t>äx+t:n-t</t>
  </si>
  <si>
    <t>ä35:10</t>
  </si>
  <si>
    <t>10P(ä30:15)</t>
  </si>
  <si>
    <t>ä35:5</t>
  </si>
  <si>
    <t>ä45</t>
  </si>
  <si>
    <t>m-t|äx+t:n - kP(m|äx:n) * äx+t:k-t</t>
  </si>
  <si>
    <t>10ä35:20</t>
  </si>
  <si>
    <t>-10P(15ä30:20)</t>
  </si>
  <si>
    <t>ä45:20</t>
  </si>
  <si>
    <t>P40*ä40:10 - A40:10</t>
  </si>
  <si>
    <t>10E40</t>
  </si>
  <si>
    <t>l80</t>
  </si>
  <si>
    <t>p80</t>
  </si>
  <si>
    <t>l81</t>
  </si>
  <si>
    <t>p81</t>
  </si>
  <si>
    <t>letra a''</t>
  </si>
  <si>
    <t>l82</t>
  </si>
  <si>
    <t>p82</t>
  </si>
  <si>
    <t>letra a'</t>
  </si>
  <si>
    <t>l83</t>
  </si>
  <si>
    <t>p83</t>
  </si>
  <si>
    <t>letra b'</t>
  </si>
  <si>
    <t>letra b''</t>
  </si>
  <si>
    <t>c1</t>
  </si>
  <si>
    <t>c2</t>
  </si>
  <si>
    <t>c3</t>
  </si>
  <si>
    <t>b1</t>
  </si>
  <si>
    <t>b2</t>
  </si>
  <si>
    <t>Letra c</t>
  </si>
  <si>
    <t>Letra e</t>
  </si>
  <si>
    <t>Letra d</t>
  </si>
  <si>
    <t>x = 60</t>
  </si>
  <si>
    <t>n=10</t>
  </si>
  <si>
    <t>PAP (Px*$)</t>
  </si>
  <si>
    <t>lx * PAP</t>
  </si>
  <si>
    <t>Taxa de Juros</t>
  </si>
  <si>
    <t>$ * dx</t>
  </si>
  <si>
    <t>Receita - despesa</t>
  </si>
  <si>
    <t>Reserva/lx+1</t>
  </si>
  <si>
    <t>M40</t>
  </si>
  <si>
    <t>M30</t>
  </si>
  <si>
    <t>N40</t>
  </si>
  <si>
    <t>N30</t>
  </si>
  <si>
    <t>D40</t>
  </si>
  <si>
    <t>Px:n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</si>
</sst>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00"/>
    <numFmt numFmtId="165" formatCode="_-[$$-409]* #,##0.00_ ;_-[$$-409]* \-#,##0.00\ ;_-[$$-409]* &quot;-&quot;??_ ;_-@_ "/>
    <numFmt numFmtId="166" formatCode="#,##0.000000"/>
    <numFmt numFmtId="167" formatCode="0.0000000000000"/>
    <numFmt numFmtId="168" formatCode="0.000000000"/>
    <numFmt numFmtId="169" formatCode="0.0000000"/>
    <numFmt numFmtId="170" formatCode="_-&quot;R$&quot;* #,##0.00_-;\-&quot;R$&quot;* #,##0.00_-;_-&quot;R$&quot;* &quot;-&quot;??_-;_-@"/>
  </numFmts>
  <fonts count="12">
    <font>
      <sz val="11.0"/>
      <color theme="1"/>
      <name val="Calibri"/>
      <scheme val="minor"/>
    </font>
    <font>
      <sz val="11.0"/>
      <color theme="0"/>
      <name val="Calibri"/>
    </font>
    <font>
      <b/>
      <sz val="11.0"/>
      <color theme="0"/>
      <name val="Calibri"/>
    </font>
    <font/>
    <font>
      <sz val="11.0"/>
      <color theme="1"/>
      <name val="Calibri"/>
    </font>
    <font>
      <b/>
      <sz val="11.0"/>
      <color rgb="FFFA7D00"/>
      <name val="Calibri"/>
    </font>
    <font>
      <color theme="1"/>
      <name val="Calibri"/>
      <scheme val="minor"/>
    </font>
    <font>
      <sz val="11.0"/>
      <color rgb="FFFFFFFF"/>
      <name val="Calibri"/>
    </font>
    <font>
      <sz val="11.0"/>
      <color rgb="FF006100"/>
      <name val="Calibri"/>
    </font>
    <font>
      <sz val="11.0"/>
      <color rgb="FF3F3F76"/>
      <name val="Calibri"/>
    </font>
    <font>
      <b/>
      <sz val="11.0"/>
      <color theme="1"/>
      <name val="Poppins"/>
    </font>
    <font>
      <sz val="9.0"/>
      <color theme="1"/>
      <name val="&quot;Open Sans&quot;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/>
    </xf>
    <xf borderId="5" fillId="3" fontId="5" numFmtId="0" xfId="0" applyAlignment="1" applyBorder="1" applyFill="1" applyFont="1">
      <alignment horizontal="center"/>
    </xf>
    <xf borderId="0" fillId="0" fontId="6" numFmtId="0" xfId="0" applyFont="1"/>
    <xf borderId="6" fillId="4" fontId="1" numFmtId="0" xfId="0" applyBorder="1" applyFill="1" applyFont="1"/>
    <xf borderId="1" fillId="0" fontId="4" numFmtId="0" xfId="0" applyBorder="1" applyFont="1"/>
    <xf borderId="6" fillId="5" fontId="4" numFmtId="0" xfId="0" applyBorder="1" applyFill="1" applyFont="1"/>
    <xf borderId="5" fillId="5" fontId="5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6" fillId="4" fontId="7" numFmtId="0" xfId="0" applyAlignment="1" applyBorder="1" applyFont="1">
      <alignment horizontal="center" readingOrder="0"/>
    </xf>
    <xf borderId="0" fillId="0" fontId="6" numFmtId="0" xfId="0" applyFont="1"/>
    <xf borderId="6" fillId="6" fontId="8" numFmtId="0" xfId="0" applyAlignment="1" applyBorder="1" applyFill="1" applyFont="1">
      <alignment horizontal="center"/>
    </xf>
    <xf borderId="0" fillId="0" fontId="4" numFmtId="0" xfId="0" applyFont="1"/>
    <xf borderId="6" fillId="2" fontId="1" numFmtId="0" xfId="0" applyBorder="1" applyFont="1"/>
    <xf borderId="6" fillId="2" fontId="1" numFmtId="164" xfId="0" applyBorder="1" applyFont="1" applyNumberFormat="1"/>
    <xf borderId="6" fillId="2" fontId="1" numFmtId="0" xfId="0" applyAlignment="1" applyBorder="1" applyFont="1">
      <alignment horizontal="center"/>
    </xf>
    <xf borderId="5" fillId="3" fontId="5" numFmtId="0" xfId="0" applyBorder="1" applyFont="1"/>
    <xf borderId="5" fillId="3" fontId="5" numFmtId="165" xfId="0" applyAlignment="1" applyBorder="1" applyFont="1" applyNumberFormat="1">
      <alignment readingOrder="0"/>
    </xf>
    <xf borderId="5" fillId="7" fontId="9" numFmtId="0" xfId="0" applyBorder="1" applyFill="1" applyFont="1"/>
    <xf borderId="5" fillId="7" fontId="9" numFmtId="165" xfId="0" applyBorder="1" applyFont="1" applyNumberFormat="1"/>
    <xf borderId="0" fillId="0" fontId="4" numFmtId="164" xfId="0" applyFont="1" applyNumberFormat="1"/>
    <xf borderId="0" fillId="0" fontId="4" numFmtId="165" xfId="0" applyFont="1" applyNumberFormat="1"/>
    <xf borderId="1" fillId="0" fontId="10" numFmtId="166" xfId="0" applyAlignment="1" applyBorder="1" applyFont="1" applyNumberFormat="1">
      <alignment horizontal="center"/>
    </xf>
    <xf borderId="0" fillId="0" fontId="11" numFmtId="166" xfId="0" applyAlignment="1" applyFont="1" applyNumberFormat="1">
      <alignment horizontal="center" vertical="bottom"/>
    </xf>
    <xf borderId="0" fillId="0" fontId="6" numFmtId="166" xfId="0" applyFont="1" applyNumberFormat="1"/>
    <xf borderId="0" fillId="0" fontId="6" numFmtId="0" xfId="0" applyAlignment="1" applyFont="1">
      <alignment readingOrder="0"/>
    </xf>
    <xf borderId="0" fillId="0" fontId="4" numFmtId="167" xfId="0" applyFont="1" applyNumberFormat="1"/>
    <xf borderId="1" fillId="0" fontId="11" numFmtId="166" xfId="0" applyAlignment="1" applyBorder="1" applyFont="1" applyNumberFormat="1">
      <alignment horizontal="center" vertical="bottom"/>
    </xf>
    <xf borderId="0" fillId="0" fontId="4" numFmtId="168" xfId="0" applyFont="1" applyNumberFormat="1"/>
    <xf borderId="0" fillId="0" fontId="4" numFmtId="169" xfId="0" applyFont="1" applyNumberFormat="1"/>
    <xf borderId="0" fillId="0" fontId="4" numFmtId="170" xfId="0" applyFont="1" applyNumberForma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5" fillId="3" fontId="5" numFmtId="170" xfId="0" applyBorder="1" applyFont="1" applyNumberFormat="1"/>
    <xf borderId="11" fillId="7" fontId="9" numFmtId="0" xfId="0" applyBorder="1" applyFont="1"/>
    <xf borderId="12" fillId="0" fontId="4" numFmtId="0" xfId="0" applyBorder="1" applyFont="1"/>
    <xf borderId="13" fillId="7" fontId="9" numFmtId="0" xfId="0" applyBorder="1" applyFont="1"/>
    <xf borderId="14" fillId="0" fontId="4" numFmtId="0" xfId="0" applyBorder="1" applyFont="1"/>
    <xf borderId="15" fillId="0" fontId="4" numFmtId="0" xfId="0" applyBorder="1" applyFont="1"/>
    <xf quotePrefix="1" borderId="0" fillId="0" fontId="4" numFmtId="0" xfId="0" applyFont="1"/>
    <xf borderId="0" fillId="0" fontId="4" numFmtId="49" xfId="0" applyFont="1" applyNumberFormat="1"/>
    <xf borderId="14" fillId="0" fontId="4" numFmtId="165" xfId="0" applyBorder="1" applyFont="1" applyNumberForma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8" fontId="4" numFmtId="0" xfId="0" applyAlignment="1" applyBorder="1" applyFill="1" applyFont="1">
      <alignment horizontal="center"/>
    </xf>
    <xf borderId="21" fillId="8" fontId="4" numFmtId="0" xfId="0" applyAlignment="1" applyBorder="1" applyFont="1">
      <alignment horizontal="center"/>
    </xf>
    <xf borderId="22" fillId="8" fontId="4" numFmtId="0" xfId="0" applyAlignment="1" applyBorder="1" applyFont="1">
      <alignment horizontal="center"/>
    </xf>
    <xf borderId="23" fillId="8" fontId="4" numFmtId="0" xfId="0" applyAlignment="1" applyBorder="1" applyFont="1">
      <alignment horizontal="center"/>
    </xf>
    <xf borderId="24" fillId="8" fontId="4" numFmtId="0" xfId="0" applyAlignment="1" applyBorder="1" applyFont="1">
      <alignment horizontal="center"/>
    </xf>
    <xf borderId="25" fillId="8" fontId="4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0" fillId="0" fontId="6" numFmtId="170" xfId="0" applyFont="1" applyNumberFormat="1"/>
  </cellXfs>
  <cellStyles count="1">
    <cellStyle xfId="0" name="Normal" builtinId="0"/>
  </cellStyles>
  <dxfs count="7">
    <dxf>
      <font>
        <color theme="0"/>
      </font>
      <fill>
        <patternFill patternType="solid">
          <fgColor theme="4"/>
          <bgColor theme="4"/>
        </patternFill>
      </fill>
      <border/>
    </dxf>
    <dxf>
      <font>
        <color theme="1"/>
      </font>
      <fill>
        <patternFill patternType="solid">
          <fgColor rgb="FFD8D8D8"/>
          <bgColor rgb="FFD8D8D8"/>
        </patternFill>
      </fill>
      <border/>
    </dxf>
    <dxf>
      <font>
        <color theme="1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alculadora Atuaria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285750</xdr:colOff>
      <xdr:row>32</xdr:row>
      <xdr:rowOff>9525</xdr:rowOff>
    </xdr:from>
    <xdr:ext cx="4210050" cy="933450"/>
    <xdr:sp>
      <xdr:nvSpPr>
        <xdr:cNvPr id="3" name="Shape 3"/>
        <xdr:cNvSpPr txBox="1"/>
      </xdr:nvSpPr>
      <xdr:spPr>
        <a:xfrm>
          <a:off x="3241864" y="3317895"/>
          <a:ext cx="4208272" cy="924211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2:M3" displayName="Table_1" id="1">
  <tableColumns count="11">
    <tableColumn name="Modalidade" id="1"/>
    <tableColumn name="Pagamento" id="2"/>
    <tableColumn name="Diferido" id="3"/>
    <tableColumn name="Temporário" id="4"/>
    <tableColumn name="do Benefício" id="5"/>
    <tableColumn name="Pgto Crescentes" id="6"/>
    <tableColumn name="Seguro Dotal/Misto" id="7"/>
    <tableColumn name="Prêmios" id="8"/>
    <tableColumn name="Ant ou Post" id="9"/>
    <tableColumn name="P. Temporário" id="10"/>
    <tableColumn name="Fracionado" id="11"/>
  </tableColumns>
  <tableStyleInfo name="Calculadora Atuari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8.71"/>
    <col customWidth="1" min="3" max="3" width="14.43"/>
    <col customWidth="1" min="4" max="4" width="15.43"/>
    <col customWidth="1" min="5" max="5" width="11.86"/>
    <col customWidth="1" min="6" max="6" width="12.57"/>
    <col customWidth="1" min="7" max="7" width="13.14"/>
    <col customWidth="1" min="8" max="8" width="15.86"/>
    <col customWidth="1" min="9" max="9" width="17.14"/>
    <col customWidth="1" min="10" max="10" width="8.57"/>
    <col customWidth="1" min="11" max="11" width="10.86"/>
    <col customWidth="1" min="12" max="12" width="12.71"/>
    <col customWidth="1" min="13" max="13" width="11.86"/>
    <col customWidth="1" min="14" max="14" width="8.71"/>
    <col customWidth="1" min="15" max="16" width="8.57"/>
    <col customWidth="1" min="17" max="17" width="8.71"/>
    <col customWidth="1" min="18" max="19" width="8.86"/>
    <col customWidth="1" min="20" max="20" width="10.86"/>
    <col customWidth="1" min="21" max="21" width="8.57"/>
    <col customWidth="1" min="22" max="22" width="4.14"/>
    <col customWidth="1" min="23" max="26" width="8.71"/>
  </cols>
  <sheetData>
    <row r="1" ht="14.25" customHeight="1">
      <c r="D1" s="1" t="s">
        <v>0</v>
      </c>
      <c r="G1" s="2" t="s">
        <v>1</v>
      </c>
      <c r="K1" s="3" t="s">
        <v>2</v>
      </c>
      <c r="L1" s="4"/>
      <c r="M1" s="5"/>
      <c r="T1" s="6">
        <f>(IF('Calculadora Atuarial'!$K$3=T4,1,0))</f>
        <v>0</v>
      </c>
    </row>
    <row r="2" ht="14.25" customHeight="1">
      <c r="B2" s="7" t="s">
        <v>3</v>
      </c>
      <c r="C2" s="8" t="s">
        <v>4</v>
      </c>
      <c r="D2" s="9" t="s">
        <v>5</v>
      </c>
      <c r="E2" s="8" t="s">
        <v>6</v>
      </c>
      <c r="F2" s="8" t="s">
        <v>7</v>
      </c>
      <c r="G2" s="10" t="s">
        <v>8</v>
      </c>
      <c r="H2" s="8" t="s">
        <v>9</v>
      </c>
      <c r="I2" s="9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T2" s="6">
        <f>IF('Calculadora Atuarial'!$C$3=S3,(IF('Calculadora Atuarial'!$D$3=T4,1,0)),0)</f>
        <v>0</v>
      </c>
    </row>
    <row r="3" ht="14.25" customHeight="1">
      <c r="A3" s="11" t="s">
        <v>15</v>
      </c>
      <c r="B3" s="12">
        <v>16.0</v>
      </c>
      <c r="C3" s="13" t="s">
        <v>16</v>
      </c>
      <c r="D3" s="14" t="s">
        <v>17</v>
      </c>
      <c r="E3" s="15">
        <v>5.0</v>
      </c>
      <c r="F3" s="15">
        <v>10.0</v>
      </c>
      <c r="G3" s="15">
        <v>12.0</v>
      </c>
      <c r="H3" s="15" t="s">
        <v>18</v>
      </c>
      <c r="I3" s="16" t="s">
        <v>19</v>
      </c>
      <c r="J3" s="15" t="s">
        <v>20</v>
      </c>
      <c r="K3" s="15" t="s">
        <v>17</v>
      </c>
      <c r="L3" s="15">
        <v>10.0</v>
      </c>
      <c r="M3" s="15">
        <v>12.0</v>
      </c>
      <c r="S3" s="17" t="s">
        <v>16</v>
      </c>
      <c r="T3" s="17" t="s">
        <v>17</v>
      </c>
      <c r="U3" s="17" t="s">
        <v>20</v>
      </c>
      <c r="V3" s="17" t="s">
        <v>18</v>
      </c>
    </row>
    <row r="4" ht="14.25" customHeight="1">
      <c r="E4" s="18">
        <f>B3+'Calculadora Atuarial'!$E$3+T2</f>
        <v>21</v>
      </c>
      <c r="F4" s="18">
        <f>IF('Calculadora Atuarial'!$F$3=0,"",B3+'Calculadora Atuarial'!$F$3+'Calculadora Atuarial'!$E$3+T2)</f>
        <v>31</v>
      </c>
      <c r="G4" s="6">
        <f>IF('Calculadora Atuarial'!$C$3=S3,IFERROR(('Calculadora Atuarial'!$G$3-1)/(2*'Calculadora Atuarial'!$G$3),""),0)</f>
        <v>0.4583333333</v>
      </c>
      <c r="H4" s="6">
        <f>IF('Calculadora Atuarial'!$H$3=V3,IF('Calculadora Atuarial'!$F$3&gt;0,'Calculadora Atuarial'!$F$3*VLOOKUP(F4,'AT2000'!$A$1:$P$117,IF('Calculadora Atuarial'!$C$3=S3,12,15),FALSE),"0"),"0")</f>
        <v>2638311.891</v>
      </c>
      <c r="I4" s="6">
        <f>IF('Calculadora Atuarial'!$C$3=S4,IF(I3="Sim",IF('Calculadora Atuarial'!$H$3="Sim",VLOOKUP(F4,'AT2000'!$A$1:$P$117,11,FALSE)*'Calculadora Atuarial'!$F$3,VLOOKUP(F4,'AT2000'!$A$1:$P$117,11,FALSE)),0),0)</f>
        <v>0</v>
      </c>
      <c r="K4" s="18">
        <f>B3+T1</f>
        <v>16</v>
      </c>
      <c r="L4" s="18">
        <f>IF('Calculadora Atuarial'!$L$3=0,"",B3+'Calculadora Atuarial'!$L$3+T1)</f>
        <v>26</v>
      </c>
      <c r="M4" s="6">
        <f>IF('Calculadora Atuarial'!$C$3=S3,IFERROR(('Calculadora Atuarial'!$M$3-1)/(2*'Calculadora Atuarial'!$M$3),""),0)</f>
        <v>0.4583333333</v>
      </c>
      <c r="S4" s="17" t="s">
        <v>21</v>
      </c>
      <c r="T4" s="17" t="s">
        <v>22</v>
      </c>
      <c r="U4" s="17" t="s">
        <v>23</v>
      </c>
      <c r="V4" s="17" t="s">
        <v>19</v>
      </c>
    </row>
    <row r="5" ht="14.25" customHeight="1">
      <c r="B5" s="18" t="str">
        <f>CONCATENATE("D",B3)</f>
        <v>D16</v>
      </c>
      <c r="C5" s="18" t="str">
        <f>IF('Calculadora Atuarial'!$H$3=V4,CONCATENATE("D",B3+'Calculadora Atuarial'!$E$3+T2),CONCATENATE(IF('Calculadora Atuarial'!$C$3=S3,"N","M"),T2+B3+'Calculadora Atuarial'!$E$3))</f>
        <v>N21</v>
      </c>
      <c r="E5" s="18" t="str">
        <f>IF('Calculadora Atuarial'!$H$3="Não",(IF('Calculadora Atuarial'!$C$3=S3,CONCATENATE("N",E4),CONCATENATE("M",E4))),(IF('Calculadora Atuarial'!$C$3=S3,CONCATENATE("S",E4),CONCATENATE("R",E4))))</f>
        <v>S21</v>
      </c>
      <c r="F5" s="18" t="str">
        <f>IF('Calculadora Atuarial'!$H$3="Não",(IF('Calculadora Atuarial'!$C$3=S3,CONCATENATE("N",F4),CONCATENATE("M",F4))),(IF('Calculadora Atuarial'!$C$3=S3,CONCATENATE("S",F4),CONCATENATE("R",F4))))</f>
        <v>S31</v>
      </c>
      <c r="G5" s="6" t="str">
        <f>IF('Calculadora Atuarial'!$G$3&gt;0,IF('Calculadora Atuarial'!$H$3=V4,CONCATENATE("D",B3+'Calculadora Atuarial'!$F$3+'Calculadora Atuarial'!$E$3),CONCATENATE(IF('Calculadora Atuarial'!$C$3=S3,"N","M"),B3+'Calculadora Atuarial'!$F$3+'Calculadora Atuarial'!$E$3)),"")</f>
        <v>N31</v>
      </c>
      <c r="K5" s="18" t="str">
        <f t="shared" ref="K5:L5" si="1">CONCATENATE("N",K4)</f>
        <v>N16</v>
      </c>
      <c r="L5" s="18" t="str">
        <f t="shared" si="1"/>
        <v>N26</v>
      </c>
      <c r="M5" s="6" t="str">
        <f>IF('Calculadora Atuarial'!$M$3&gt;0,CONCATENATE("D",K4+'Calculadora Atuarial'!$L$3-T1),"")</f>
        <v>D26</v>
      </c>
    </row>
    <row r="6" ht="14.25" customHeight="1">
      <c r="B6" s="6" t="s">
        <v>24</v>
      </c>
      <c r="E6" s="6" t="s">
        <v>24</v>
      </c>
      <c r="F6" s="6" t="s">
        <v>24</v>
      </c>
      <c r="G6" s="19"/>
      <c r="K6" s="6" t="s">
        <v>24</v>
      </c>
      <c r="L6" s="6" t="s">
        <v>24</v>
      </c>
    </row>
    <row r="7" ht="14.25" customHeight="1">
      <c r="B7" s="20">
        <f>VLOOKUP(B3,'AT2000'!$A$1:$P$117,11,FALSE)</f>
        <v>39023.6733</v>
      </c>
      <c r="C7" s="20">
        <f>IF('Calculadora Atuarial'!$H$3=V4,VLOOKUP(T2+B3+'Calculadora Atuarial'!$E$3,'AT2000'!$A$1:$P$117,11,FALSE),VLOOKUP(T2+B3+'Calculadora Atuarial'!$E$3,'AT2000'!$A$1:$P$117,12,FALSE))</f>
        <v>490167.0153</v>
      </c>
      <c r="E7" s="21">
        <f>VLOOKUP(E4,'AT2000'!$A$1:$P$117,(IF('Calculadora Atuarial'!$H$3="Não",(IF('Calculadora Atuarial'!$C$3=S3,12,15)),(IF('Calculadora Atuarial'!$C$3=S3,13,16)))),FALSE)</f>
        <v>7646561.687</v>
      </c>
      <c r="F7" s="20">
        <f>IFERROR(VLOOKUP(F4,'AT2000'!$A$1:$P$117,(IF('Calculadora Atuarial'!$H$3="Não",(IF('Calculadora Atuarial'!$C$3=S3,12,15)),(IF('Calculadora Atuarial'!$C$3=S3,13,16)))),FALSE),0)</f>
        <v>3872832.904</v>
      </c>
      <c r="G7" s="6">
        <f>IF('Calculadora Atuarial'!$G$3&gt;0,IF('Calculadora Atuarial'!$F$3&lt;1,0,IF('Calculadora Atuarial'!$H$3=V4,VLOOKUP(T2+B3+'Calculadora Atuarial'!$F$3+'Calculadora Atuarial'!$E$3,'AT2000'!$A$1:$P$117,11,FALSE),VLOOKUP(T2+B3+'Calculadora Atuarial'!$F$3+'Calculadora Atuarial'!$E$3,'AT2000'!$A$1:$P$117,12,FALSE))),"")</f>
        <v>263831.1891</v>
      </c>
      <c r="H7" s="17">
        <f>IF('Calculadora Atuarial'!$H$3=V3,IF('Calculadora Atuarial'!$F$3&gt;0,IF('Calculadora Atuarial'!$G$3&gt;0,(VLOOKUP(E4,'AT2000'!$A$1:$P$117,12,FALSE)-VLOOKUP(F4,'AT2000'!$A$1:$P$117,12,FALSE)-('Calculadora Atuarial'!$F$3*B8))/B7,""),""),"")</f>
        <v>1.66666508</v>
      </c>
      <c r="K7" s="22" t="str">
        <f>IF('Calculadora Atuarial'!$J$3=U3,"",VLOOKUP(K4,'AT2000'!$A$1:$P$117,12,FALSE))</f>
        <v/>
      </c>
      <c r="L7" s="22" t="str">
        <f>IFERROR(IF('Calculadora Atuarial'!$J$3=U3,"",VLOOKUP(L4,'AT2000'!$A$1:$P$117,12,FALSE)),0)</f>
        <v/>
      </c>
      <c r="M7" s="17">
        <f>IF('Calculadora Atuarial'!$M$3&lt;1,0,VLOOKUP(K4+'Calculadora Atuarial'!$L$3-T1,'AT2000'!$A$1:$P$117,11,FALSE))</f>
        <v>21666.61807</v>
      </c>
    </row>
    <row r="8" ht="14.25" customHeight="1">
      <c r="B8" s="17">
        <f>VLOOKUP(B3+E3+F3,'AT2000'!$A$1:$P$117,11,FALSE)</f>
        <v>16129.64326</v>
      </c>
    </row>
    <row r="9" ht="14.25" customHeight="1">
      <c r="B9" s="17">
        <f>B8*10</f>
        <v>161296.4326</v>
      </c>
      <c r="I9" s="17">
        <f>K7-L7</f>
        <v>0</v>
      </c>
      <c r="K9" s="19">
        <f>IFERROR(IF('Calculadora Atuarial'!$K$3=T3,((K7-L7)/B7)-((('Calculadora Atuarial'!$M$3-1)/(2*'Calculadora Atuarial'!$M$3))*((B7-M7)/B7)),((K7-L7)/B7)+((('Calculadora Atuarial'!$M$3-1)/(2*'Calculadora Atuarial'!$M$3))*((B7-M7)/B7))),"")</f>
        <v>-0.2038587429</v>
      </c>
    </row>
    <row r="10" ht="14.25" customHeight="1">
      <c r="C10" s="23" t="s">
        <v>25</v>
      </c>
      <c r="L10" s="17">
        <f>K7-L7</f>
        <v>0</v>
      </c>
    </row>
    <row r="11" ht="14.25" customHeight="1">
      <c r="C11" s="24">
        <v>1000.0</v>
      </c>
      <c r="E11" s="19">
        <f>IF('Calculadora Atuarial'!$G$3&gt;0,(IF('Calculadora Atuarial'!$D$3=T3,((E7-F7-H4+I4)/B7)-(G4*((C7-G7)/B7)),((E7-F7-H4+I4)/B7)+(G4*((C7-G7)/B7)))),(E7-F7-H4+I4)/B7)</f>
        <v>26.43727642</v>
      </c>
    </row>
    <row r="12" ht="14.25" customHeight="1">
      <c r="E12" s="25">
        <f>IF('Calculadora Atuarial'!$J$3=U4,E11/K9,E11)</f>
        <v>26.43727642</v>
      </c>
    </row>
    <row r="13" ht="14.25" customHeight="1">
      <c r="B13" s="25" t="s">
        <v>26</v>
      </c>
      <c r="C13" s="26">
        <f>C11*E12</f>
        <v>26437.27642</v>
      </c>
      <c r="H13" s="27">
        <f>E7-F7+I4</f>
        <v>3773728.782</v>
      </c>
    </row>
    <row r="14" ht="14.25" customHeight="1">
      <c r="C14" s="28"/>
      <c r="F14" s="17" t="str">
        <f>E11/((K7-L7)/C7)</f>
        <v>#DIV/0!</v>
      </c>
      <c r="H14" s="17">
        <f>H13/B7</f>
        <v>96.70357666</v>
      </c>
    </row>
    <row r="15" ht="14.25" customHeight="1">
      <c r="F15" s="17" t="str">
        <f>F14*10</f>
        <v>#DIV/0!</v>
      </c>
    </row>
    <row r="16" ht="14.25" customHeight="1">
      <c r="F16" s="17">
        <f>(E7-F7)/B7</f>
        <v>96.70357666</v>
      </c>
    </row>
    <row r="17" ht="14.25" customHeight="1">
      <c r="L17" s="17" t="s">
        <v>27</v>
      </c>
    </row>
    <row r="18" ht="14.25" customHeight="1">
      <c r="B18" s="17">
        <f>1/(1+0.05)</f>
        <v>0.9523809524</v>
      </c>
      <c r="H18" s="17" t="s">
        <v>28</v>
      </c>
      <c r="I18" s="17" t="s">
        <v>29</v>
      </c>
      <c r="L18" s="19">
        <v>0.34763967913599814</v>
      </c>
    </row>
    <row r="19" ht="14.25" customHeight="1">
      <c r="D19" s="17">
        <v>0.788508314105887</v>
      </c>
      <c r="E19" s="17">
        <f>0.803455099897474/10</f>
        <v>0.08034550999</v>
      </c>
      <c r="F19" s="17">
        <v>4.441325403776366</v>
      </c>
      <c r="H19" s="17">
        <v>0.3876766773508473</v>
      </c>
      <c r="I19" s="17">
        <v>0.15811601234545897</v>
      </c>
      <c r="J19" s="17">
        <f>H19-I19</f>
        <v>0.229560665</v>
      </c>
    </row>
    <row r="20" ht="14.25" customHeight="1">
      <c r="B20" s="17">
        <v>0.9480700680272109</v>
      </c>
      <c r="E20" s="17">
        <f>D19-((E19)*F19)</f>
        <v>0.4316677595</v>
      </c>
      <c r="F20" s="28">
        <f>E20*C11</f>
        <v>431.6677595</v>
      </c>
      <c r="J20" s="19">
        <v>0.34763967913599814</v>
      </c>
      <c r="L20" s="17">
        <f>L18/H19</f>
        <v>0.8967258013</v>
      </c>
    </row>
    <row r="21" ht="14.25" customHeight="1">
      <c r="B21" s="17">
        <v>1.0905285714285713</v>
      </c>
      <c r="J21" s="17">
        <f>J19/J20</f>
        <v>0.6603408034</v>
      </c>
    </row>
    <row r="22" ht="14.25" customHeight="1">
      <c r="B22" s="17">
        <f>B20/B21</f>
        <v>0.8693674727</v>
      </c>
      <c r="H22" s="17">
        <v>4872.321895017393</v>
      </c>
      <c r="J22" s="17">
        <f>J19*J20</f>
        <v>0.07980439592</v>
      </c>
    </row>
    <row r="23" ht="14.25" customHeight="1">
      <c r="H23" s="17">
        <v>13846.054482860294</v>
      </c>
      <c r="L23" s="17">
        <f>H19-H24</f>
        <v>0.03578423745</v>
      </c>
    </row>
    <row r="24" ht="14.25" customHeight="1">
      <c r="G24" s="17" t="s">
        <v>30</v>
      </c>
      <c r="H24" s="17">
        <f>H22/H23</f>
        <v>0.3518924399</v>
      </c>
      <c r="J24" s="17">
        <v>0.03578423744684973</v>
      </c>
      <c r="L24" s="17">
        <f>L18*J19</f>
        <v>0.07980439592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K1:M1"/>
  </mergeCells>
  <conditionalFormatting sqref="I2">
    <cfRule type="expression" dxfId="0" priority="1">
      <formula>$C$3=$S$4</formula>
    </cfRule>
  </conditionalFormatting>
  <conditionalFormatting sqref="I3">
    <cfRule type="expression" dxfId="1" priority="2">
      <formula>$C$3:$H$3=$S$4</formula>
    </cfRule>
  </conditionalFormatting>
  <conditionalFormatting sqref="D3">
    <cfRule type="expression" dxfId="1" priority="3">
      <formula>$C$3=$S$3</formula>
    </cfRule>
  </conditionalFormatting>
  <conditionalFormatting sqref="D1">
    <cfRule type="expression" dxfId="2" priority="4">
      <formula>$C$3=$S$3</formula>
    </cfRule>
  </conditionalFormatting>
  <conditionalFormatting sqref="D2">
    <cfRule type="expression" dxfId="0" priority="5">
      <formula>$C$3=$S$3</formula>
    </cfRule>
  </conditionalFormatting>
  <dataValidations>
    <dataValidation type="decimal" operator="greaterThanOrEqual" allowBlank="1" showInputMessage="1" showErrorMessage="1" prompt="Escolha por quanto tempo - Colocar em anos por quanto tempo será temporário, se vitalício, deixar em branco ou o número 0" sqref="F3 L3">
      <formula1>0.0</formula1>
    </dataValidation>
    <dataValidation type="list" allowBlank="1" showInputMessage="1" showErrorMessage="1" prompt="Escolha a modalidade - Se é seguro ou uma anuidade (rendas aleatórias)" sqref="C3">
      <formula1>$S$3:$S$4</formula1>
    </dataValidation>
    <dataValidation type="list" allowBlank="1" showInputMessage="1" showErrorMessage="1" prompt="Escolha o momento do pagamento - Pago no ínicio ou no fim do período" sqref="D3 K3">
      <formula1>$T$3:$T$4</formula1>
    </dataValidation>
    <dataValidation type="decimal" operator="greaterThanOrEqual" allowBlank="1" showInputMessage="1" showErrorMessage="1" prompt="Escolha o tempo de diferimento - Colocar em anos o tempo de diferimento, se nenhum, deixar em branco ou o número 0" sqref="E3">
      <formula1>0.0</formula1>
    </dataValidation>
    <dataValidation type="list" allowBlank="1" showInputMessage="1" showErrorMessage="1" prompt="Pagamentos Crescentes em P.A. - Sim ou não" sqref="H3">
      <formula1>$V$3:$V$4</formula1>
    </dataValidation>
    <dataValidation type="list" allowBlank="1" showInputMessage="1" showErrorMessage="1" prompt="Escolha a forma do prêmio - Prêmio único ou periódico" sqref="J3">
      <formula1>$U$3:$U$4</formula1>
    </dataValidation>
    <dataValidation type="decimal" operator="greaterThan" allowBlank="1" showInputMessage="1" showErrorMessage="1" prompt="Escolha a idade x do indivíduo - Colocar em anos a idade x do indivíduo" sqref="B3">
      <formula1>0.0</formula1>
    </dataValidation>
    <dataValidation type="list" allowBlank="1" showErrorMessage="1" sqref="I3">
      <formula1>$V$3:$V$4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3" width="8.71"/>
    <col customWidth="1" min="4" max="4" width="15.43"/>
    <col customWidth="1" min="5" max="9" width="8.71"/>
    <col customWidth="1" min="10" max="10" width="9.57"/>
    <col customWidth="1" min="11" max="16" width="14.43"/>
    <col customWidth="1" min="17" max="18" width="8.71"/>
    <col customWidth="1" min="19" max="19" width="13.43"/>
    <col customWidth="1" min="20" max="20" width="16.86"/>
    <col customWidth="1" min="21" max="21" width="8.71"/>
    <col customWidth="1" min="22" max="22" width="14.86"/>
    <col customWidth="1" min="23" max="23" width="11.86"/>
    <col customWidth="1" min="24" max="26" width="8.71"/>
  </cols>
  <sheetData>
    <row r="1" ht="14.25" customHeight="1">
      <c r="A1" s="6" t="s">
        <v>31</v>
      </c>
      <c r="B1" s="29" t="s">
        <v>32</v>
      </c>
      <c r="C1" s="29" t="s">
        <v>33</v>
      </c>
      <c r="D1" s="29" t="s">
        <v>34</v>
      </c>
      <c r="E1" s="29" t="s">
        <v>35</v>
      </c>
      <c r="F1" s="29" t="s">
        <v>36</v>
      </c>
      <c r="G1" s="29" t="s">
        <v>37</v>
      </c>
      <c r="H1" s="29" t="s">
        <v>38</v>
      </c>
      <c r="I1" s="29" t="s">
        <v>39</v>
      </c>
      <c r="J1" s="17" t="s">
        <v>40</v>
      </c>
      <c r="K1" s="29" t="s">
        <v>41</v>
      </c>
      <c r="L1" s="29" t="s">
        <v>42</v>
      </c>
      <c r="M1" s="29" t="s">
        <v>43</v>
      </c>
      <c r="N1" s="29" t="s">
        <v>44</v>
      </c>
      <c r="O1" s="29" t="s">
        <v>45</v>
      </c>
      <c r="P1" s="29" t="s">
        <v>46</v>
      </c>
      <c r="Q1" s="29" t="s">
        <v>47</v>
      </c>
    </row>
    <row r="2" ht="14.25" customHeight="1">
      <c r="A2" s="17">
        <v>0.0</v>
      </c>
      <c r="B2" s="30">
        <v>0.002311</v>
      </c>
      <c r="C2" s="31">
        <f t="shared" ref="C2:C117" si="1">1-B2</f>
        <v>0.997689</v>
      </c>
      <c r="D2" s="17">
        <v>100000.0</v>
      </c>
      <c r="E2" s="17">
        <f t="shared" ref="E2:E117" si="2">D2*B2</f>
        <v>231.1</v>
      </c>
      <c r="F2" s="17">
        <f t="shared" ref="F2:F117" si="3">(D2+D3)/2</f>
        <v>99884.45</v>
      </c>
      <c r="G2" s="17">
        <f t="shared" ref="G2:G117" si="4">SUM($F2:F$117)</f>
        <v>8006910.911</v>
      </c>
      <c r="H2" s="17">
        <f t="shared" ref="H2:H117" si="5">G2/D2</f>
        <v>80.06910911</v>
      </c>
      <c r="I2" s="17">
        <f t="shared" ref="I2:I117" si="6">H2-0.5</f>
        <v>79.56910911</v>
      </c>
      <c r="K2" s="17">
        <f t="shared" ref="K2:K117" si="7">D2*((1/(1+$Q$2))^A2)</f>
        <v>100000</v>
      </c>
      <c r="L2" s="17">
        <f t="shared" ref="L2:L117" si="8">SUM($K2:K$117)</f>
        <v>1730595.566</v>
      </c>
      <c r="M2" s="17">
        <f t="shared" ref="M2:M117" si="9">SUM($L2:L$117)</f>
        <v>28979767.52</v>
      </c>
      <c r="N2" s="17">
        <f t="shared" ref="N2:N117" si="10">E2*((1/(1+$Q$2))^(A2+1))</f>
        <v>218.0188679</v>
      </c>
      <c r="O2" s="17">
        <f t="shared" ref="O2:O117" si="11">SUM($N2:N$117)</f>
        <v>2041.760393</v>
      </c>
      <c r="P2" s="17">
        <f t="shared" ref="P2:P117" si="12">SUM($O2:O$117)</f>
        <v>90231.36686</v>
      </c>
      <c r="Q2" s="32">
        <v>0.06</v>
      </c>
      <c r="S2" s="17">
        <f>L42/K42</f>
        <v>15.60359958</v>
      </c>
      <c r="T2" s="33">
        <f>S2-(1/4)</f>
        <v>15.35359958</v>
      </c>
    </row>
    <row r="3" ht="14.25" customHeight="1">
      <c r="A3" s="17">
        <v>1.0</v>
      </c>
      <c r="B3" s="34">
        <v>9.06E-4</v>
      </c>
      <c r="C3" s="31">
        <f t="shared" si="1"/>
        <v>0.999094</v>
      </c>
      <c r="D3" s="17">
        <f t="shared" ref="D3:D117" si="13">D2*C2</f>
        <v>99768.9</v>
      </c>
      <c r="E3" s="17">
        <f t="shared" si="2"/>
        <v>90.3906234</v>
      </c>
      <c r="F3" s="17">
        <f t="shared" si="3"/>
        <v>99723.70469</v>
      </c>
      <c r="G3" s="17">
        <f t="shared" si="4"/>
        <v>7907026.461</v>
      </c>
      <c r="H3" s="17">
        <f t="shared" si="5"/>
        <v>79.25341927</v>
      </c>
      <c r="I3" s="17">
        <f t="shared" si="6"/>
        <v>78.75341927</v>
      </c>
      <c r="K3" s="17">
        <f t="shared" si="7"/>
        <v>94121.60377</v>
      </c>
      <c r="L3" s="17">
        <f t="shared" si="8"/>
        <v>1630595.566</v>
      </c>
      <c r="M3" s="17">
        <f t="shared" si="9"/>
        <v>27249171.96</v>
      </c>
      <c r="N3" s="17">
        <f t="shared" si="10"/>
        <v>80.44733304</v>
      </c>
      <c r="O3" s="17">
        <f t="shared" si="11"/>
        <v>1823.741525</v>
      </c>
      <c r="P3" s="17">
        <f t="shared" si="12"/>
        <v>88189.60647</v>
      </c>
      <c r="S3" s="17">
        <f>L42</f>
        <v>147872.7622</v>
      </c>
    </row>
    <row r="4" ht="14.25" customHeight="1">
      <c r="A4" s="17">
        <v>2.0</v>
      </c>
      <c r="B4" s="34">
        <v>5.04E-4</v>
      </c>
      <c r="C4" s="31">
        <f t="shared" si="1"/>
        <v>0.999496</v>
      </c>
      <c r="D4" s="35">
        <f t="shared" si="13"/>
        <v>99678.50938</v>
      </c>
      <c r="E4" s="17">
        <f t="shared" si="2"/>
        <v>50.23796873</v>
      </c>
      <c r="F4" s="17">
        <f t="shared" si="3"/>
        <v>99653.39039</v>
      </c>
      <c r="G4" s="17">
        <f t="shared" si="4"/>
        <v>7807302.757</v>
      </c>
      <c r="H4" s="17">
        <f t="shared" si="5"/>
        <v>78.32483457</v>
      </c>
      <c r="I4" s="17">
        <f t="shared" si="6"/>
        <v>77.82483457</v>
      </c>
      <c r="K4" s="17">
        <f t="shared" si="7"/>
        <v>88713.51849</v>
      </c>
      <c r="L4" s="17">
        <f t="shared" si="8"/>
        <v>1536473.963</v>
      </c>
      <c r="M4" s="17">
        <f t="shared" si="9"/>
        <v>25618576.39</v>
      </c>
      <c r="N4" s="17">
        <f t="shared" si="10"/>
        <v>42.18076728</v>
      </c>
      <c r="O4" s="17">
        <f t="shared" si="11"/>
        <v>1743.294192</v>
      </c>
      <c r="P4" s="17">
        <f t="shared" si="12"/>
        <v>86365.86495</v>
      </c>
      <c r="S4" s="17">
        <f>K42</f>
        <v>9476.836509</v>
      </c>
      <c r="T4" s="17">
        <f>10000/T2</f>
        <v>651.3130649</v>
      </c>
      <c r="W4" s="17">
        <f>N4/K4</f>
        <v>0.0004754716981</v>
      </c>
      <c r="X4" s="17">
        <f>K4*W4</f>
        <v>42.18076728</v>
      </c>
    </row>
    <row r="5" ht="14.25" customHeight="1">
      <c r="A5" s="17">
        <v>3.0</v>
      </c>
      <c r="B5" s="34">
        <v>4.08E-4</v>
      </c>
      <c r="C5" s="31">
        <f t="shared" si="1"/>
        <v>0.999592</v>
      </c>
      <c r="D5" s="17">
        <f t="shared" si="13"/>
        <v>99628.27141</v>
      </c>
      <c r="E5" s="17">
        <f t="shared" si="2"/>
        <v>40.64833473</v>
      </c>
      <c r="F5" s="17">
        <f t="shared" si="3"/>
        <v>99607.94724</v>
      </c>
      <c r="G5" s="17">
        <f t="shared" si="4"/>
        <v>7707649.366</v>
      </c>
      <c r="H5" s="17">
        <f t="shared" si="5"/>
        <v>77.36407806</v>
      </c>
      <c r="I5" s="17">
        <f t="shared" si="6"/>
        <v>76.86407806</v>
      </c>
      <c r="K5" s="17">
        <f t="shared" si="7"/>
        <v>83649.81781</v>
      </c>
      <c r="L5" s="17">
        <f t="shared" si="8"/>
        <v>1447760.444</v>
      </c>
      <c r="M5" s="17">
        <f t="shared" si="9"/>
        <v>24082102.43</v>
      </c>
      <c r="N5" s="17">
        <f t="shared" si="10"/>
        <v>32.19728836</v>
      </c>
      <c r="O5" s="17">
        <f t="shared" si="11"/>
        <v>1701.113425</v>
      </c>
      <c r="P5" s="17">
        <f t="shared" si="12"/>
        <v>84622.57075</v>
      </c>
      <c r="T5" s="17">
        <f>T4/2</f>
        <v>325.6565325</v>
      </c>
      <c r="W5" s="17">
        <f>W4^(1/3)</f>
        <v>0.07805035638</v>
      </c>
    </row>
    <row r="6" ht="14.25" customHeight="1">
      <c r="A6" s="17">
        <v>4.0</v>
      </c>
      <c r="B6" s="34">
        <v>3.57E-4</v>
      </c>
      <c r="C6" s="31">
        <f t="shared" si="1"/>
        <v>0.999643</v>
      </c>
      <c r="D6" s="17">
        <f t="shared" si="13"/>
        <v>99587.62307</v>
      </c>
      <c r="E6" s="17">
        <f t="shared" si="2"/>
        <v>35.55278144</v>
      </c>
      <c r="F6" s="17">
        <f t="shared" si="3"/>
        <v>99569.84668</v>
      </c>
      <c r="G6" s="17">
        <f t="shared" si="4"/>
        <v>7608041.419</v>
      </c>
      <c r="H6" s="17">
        <f t="shared" si="5"/>
        <v>76.3954514</v>
      </c>
      <c r="I6" s="17">
        <f t="shared" si="6"/>
        <v>75.8954514</v>
      </c>
      <c r="K6" s="17">
        <f t="shared" si="7"/>
        <v>78882.72517</v>
      </c>
      <c r="L6" s="17">
        <f t="shared" si="8"/>
        <v>1364110.626</v>
      </c>
      <c r="M6" s="17">
        <f t="shared" si="9"/>
        <v>22634341.99</v>
      </c>
      <c r="N6" s="17">
        <f t="shared" si="10"/>
        <v>26.5671065</v>
      </c>
      <c r="O6" s="17">
        <f t="shared" si="11"/>
        <v>1668.916137</v>
      </c>
      <c r="P6" s="17">
        <f t="shared" si="12"/>
        <v>82921.45733</v>
      </c>
      <c r="S6" s="17">
        <f>20000*T2</f>
        <v>307071.9916</v>
      </c>
      <c r="W6" s="17">
        <f>1/W5</f>
        <v>12.81224131</v>
      </c>
    </row>
    <row r="7" ht="14.25" customHeight="1">
      <c r="A7" s="17">
        <v>5.0</v>
      </c>
      <c r="B7" s="34">
        <v>3.24E-4</v>
      </c>
      <c r="C7" s="31">
        <f t="shared" si="1"/>
        <v>0.999676</v>
      </c>
      <c r="D7" s="17">
        <f t="shared" si="13"/>
        <v>99552.07029</v>
      </c>
      <c r="E7" s="17">
        <f t="shared" si="2"/>
        <v>32.25487077</v>
      </c>
      <c r="F7" s="17">
        <f t="shared" si="3"/>
        <v>99535.94286</v>
      </c>
      <c r="G7" s="17">
        <f t="shared" si="4"/>
        <v>7508471.572</v>
      </c>
      <c r="H7" s="17">
        <f t="shared" si="5"/>
        <v>75.42255576</v>
      </c>
      <c r="I7" s="17">
        <f t="shared" si="6"/>
        <v>74.92255576</v>
      </c>
      <c r="K7" s="17">
        <f t="shared" si="7"/>
        <v>74391.09815</v>
      </c>
      <c r="L7" s="17">
        <f t="shared" si="8"/>
        <v>1285227.901</v>
      </c>
      <c r="M7" s="17">
        <f t="shared" si="9"/>
        <v>21270231.36</v>
      </c>
      <c r="N7" s="17">
        <f t="shared" si="10"/>
        <v>22.73841113</v>
      </c>
      <c r="O7" s="17">
        <f t="shared" si="11"/>
        <v>1642.34903</v>
      </c>
      <c r="P7" s="17">
        <f t="shared" si="12"/>
        <v>81252.54119</v>
      </c>
      <c r="W7" s="17">
        <f>W6-1</f>
        <v>11.81224131</v>
      </c>
    </row>
    <row r="8" ht="14.25" customHeight="1">
      <c r="A8" s="17">
        <v>6.0</v>
      </c>
      <c r="B8" s="34">
        <v>3.01E-4</v>
      </c>
      <c r="C8" s="31">
        <f t="shared" si="1"/>
        <v>0.999699</v>
      </c>
      <c r="D8" s="17">
        <f t="shared" si="13"/>
        <v>99519.81542</v>
      </c>
      <c r="E8" s="17">
        <f t="shared" si="2"/>
        <v>29.95546444</v>
      </c>
      <c r="F8" s="17">
        <f t="shared" si="3"/>
        <v>99504.83769</v>
      </c>
      <c r="G8" s="17">
        <f t="shared" si="4"/>
        <v>7408935.629</v>
      </c>
      <c r="H8" s="17">
        <f t="shared" si="5"/>
        <v>74.44683853</v>
      </c>
      <c r="I8" s="17">
        <f t="shared" si="6"/>
        <v>73.94683853</v>
      </c>
      <c r="K8" s="17">
        <f t="shared" si="7"/>
        <v>70157.54286</v>
      </c>
      <c r="L8" s="17">
        <f t="shared" si="8"/>
        <v>1210836.803</v>
      </c>
      <c r="M8" s="17">
        <f t="shared" si="9"/>
        <v>19985003.46</v>
      </c>
      <c r="N8" s="17">
        <f t="shared" si="10"/>
        <v>19.92209472</v>
      </c>
      <c r="O8" s="17">
        <f t="shared" si="11"/>
        <v>1619.610619</v>
      </c>
      <c r="P8" s="17">
        <f t="shared" si="12"/>
        <v>79610.19216</v>
      </c>
      <c r="S8" s="17">
        <f>L43/K42</f>
        <v>14.60359958</v>
      </c>
      <c r="T8" s="17">
        <f>S8+0.25</f>
        <v>14.85359958</v>
      </c>
    </row>
    <row r="9" ht="14.25" customHeight="1">
      <c r="A9" s="17">
        <v>7.0</v>
      </c>
      <c r="B9" s="34">
        <v>2.86E-4</v>
      </c>
      <c r="C9" s="31">
        <f t="shared" si="1"/>
        <v>0.999714</v>
      </c>
      <c r="D9" s="17">
        <f t="shared" si="13"/>
        <v>99489.85996</v>
      </c>
      <c r="E9" s="17">
        <f t="shared" si="2"/>
        <v>28.45409995</v>
      </c>
      <c r="F9" s="17">
        <f t="shared" si="3"/>
        <v>99475.63291</v>
      </c>
      <c r="G9" s="17">
        <f t="shared" si="4"/>
        <v>7309430.792</v>
      </c>
      <c r="H9" s="17">
        <f t="shared" si="5"/>
        <v>73.46910323</v>
      </c>
      <c r="I9" s="17">
        <f t="shared" si="6"/>
        <v>72.96910323</v>
      </c>
      <c r="K9" s="17">
        <f t="shared" si="7"/>
        <v>66166.4391</v>
      </c>
      <c r="L9" s="17">
        <f t="shared" si="8"/>
        <v>1140679.26</v>
      </c>
      <c r="M9" s="17">
        <f t="shared" si="9"/>
        <v>18774166.65</v>
      </c>
      <c r="N9" s="17">
        <f t="shared" si="10"/>
        <v>17.85245432</v>
      </c>
      <c r="O9" s="17">
        <f t="shared" si="11"/>
        <v>1599.688524</v>
      </c>
      <c r="P9" s="17">
        <f t="shared" si="12"/>
        <v>77990.58154</v>
      </c>
      <c r="S9" s="17">
        <f>L43</f>
        <v>138395.9257</v>
      </c>
      <c r="T9" s="17">
        <f>12000*T8</f>
        <v>178243.195</v>
      </c>
    </row>
    <row r="10" ht="14.25" customHeight="1">
      <c r="A10" s="17">
        <v>8.0</v>
      </c>
      <c r="B10" s="34">
        <v>3.28E-4</v>
      </c>
      <c r="C10" s="31">
        <f t="shared" si="1"/>
        <v>0.999672</v>
      </c>
      <c r="D10" s="17">
        <f t="shared" si="13"/>
        <v>99461.40586</v>
      </c>
      <c r="E10" s="17">
        <f t="shared" si="2"/>
        <v>32.62334112</v>
      </c>
      <c r="F10" s="17">
        <f t="shared" si="3"/>
        <v>99445.09419</v>
      </c>
      <c r="G10" s="17">
        <f t="shared" si="4"/>
        <v>7209955.159</v>
      </c>
      <c r="H10" s="17">
        <f t="shared" si="5"/>
        <v>72.48997837</v>
      </c>
      <c r="I10" s="17">
        <f t="shared" si="6"/>
        <v>71.98997837</v>
      </c>
      <c r="K10" s="17">
        <f t="shared" si="7"/>
        <v>62403.31651</v>
      </c>
      <c r="L10" s="17">
        <f t="shared" si="8"/>
        <v>1074512.821</v>
      </c>
      <c r="M10" s="17">
        <f t="shared" si="9"/>
        <v>17633487.39</v>
      </c>
      <c r="N10" s="17">
        <f t="shared" si="10"/>
        <v>19.30970548</v>
      </c>
      <c r="O10" s="17">
        <f t="shared" si="11"/>
        <v>1581.83607</v>
      </c>
      <c r="P10" s="17">
        <f t="shared" si="12"/>
        <v>76390.89302</v>
      </c>
      <c r="S10" s="17">
        <f>K42</f>
        <v>9476.836509</v>
      </c>
    </row>
    <row r="11" ht="14.25" customHeight="1">
      <c r="A11" s="17">
        <v>9.0</v>
      </c>
      <c r="B11" s="34">
        <v>3.62E-4</v>
      </c>
      <c r="C11" s="31">
        <f t="shared" si="1"/>
        <v>0.999638</v>
      </c>
      <c r="D11" s="17">
        <f t="shared" si="13"/>
        <v>99428.78252</v>
      </c>
      <c r="E11" s="17">
        <f t="shared" si="2"/>
        <v>35.99321927</v>
      </c>
      <c r="F11" s="17">
        <f t="shared" si="3"/>
        <v>99410.78591</v>
      </c>
      <c r="G11" s="17">
        <f t="shared" si="4"/>
        <v>7110510.065</v>
      </c>
      <c r="H11" s="17">
        <f t="shared" si="5"/>
        <v>71.51359883</v>
      </c>
      <c r="I11" s="17">
        <f t="shared" si="6"/>
        <v>71.01359883</v>
      </c>
      <c r="K11" s="17">
        <f t="shared" si="7"/>
        <v>58851.7436</v>
      </c>
      <c r="L11" s="17">
        <f t="shared" si="8"/>
        <v>1012109.505</v>
      </c>
      <c r="M11" s="17">
        <f t="shared" si="9"/>
        <v>16558974.57</v>
      </c>
      <c r="N11" s="17">
        <f t="shared" si="10"/>
        <v>20.09842565</v>
      </c>
      <c r="O11" s="17">
        <f t="shared" si="11"/>
        <v>1562.526365</v>
      </c>
      <c r="P11" s="17">
        <f t="shared" si="12"/>
        <v>74809.05695</v>
      </c>
      <c r="W11" s="17">
        <f>K5/N4</f>
        <v>1983.126984</v>
      </c>
      <c r="X11" s="17">
        <f>N4/K5</f>
        <v>0.0005042541441</v>
      </c>
    </row>
    <row r="12" ht="14.25" customHeight="1">
      <c r="A12" s="17">
        <v>10.0</v>
      </c>
      <c r="B12" s="34">
        <v>3.9E-4</v>
      </c>
      <c r="C12" s="31">
        <f t="shared" si="1"/>
        <v>0.99961</v>
      </c>
      <c r="D12" s="17">
        <f t="shared" si="13"/>
        <v>99392.7893</v>
      </c>
      <c r="E12" s="17">
        <f t="shared" si="2"/>
        <v>38.76318783</v>
      </c>
      <c r="F12" s="17">
        <f t="shared" si="3"/>
        <v>99373.4077</v>
      </c>
      <c r="G12" s="17">
        <f t="shared" si="4"/>
        <v>7011099.279</v>
      </c>
      <c r="H12" s="17">
        <f t="shared" si="5"/>
        <v>70.53931506</v>
      </c>
      <c r="I12" s="17">
        <f t="shared" si="6"/>
        <v>70.03931506</v>
      </c>
      <c r="K12" s="17">
        <f t="shared" si="7"/>
        <v>55500.41441</v>
      </c>
      <c r="L12" s="17">
        <f t="shared" si="8"/>
        <v>953257.7609</v>
      </c>
      <c r="M12" s="17">
        <f t="shared" si="9"/>
        <v>15546865.07</v>
      </c>
      <c r="N12" s="17">
        <f t="shared" si="10"/>
        <v>20.41996379</v>
      </c>
      <c r="O12" s="17">
        <f t="shared" si="11"/>
        <v>1542.427939</v>
      </c>
      <c r="P12" s="17">
        <f t="shared" si="12"/>
        <v>73246.53058</v>
      </c>
      <c r="S12" s="36">
        <f>L62</f>
        <v>34547.44211</v>
      </c>
      <c r="T12" s="36">
        <v>0.25</v>
      </c>
      <c r="W12" s="17">
        <f>C4/B4</f>
        <v>1983.126984</v>
      </c>
      <c r="X12" s="17">
        <f>B4/C4</f>
        <v>0.0005042541441</v>
      </c>
    </row>
    <row r="13" ht="14.25" customHeight="1">
      <c r="A13" s="17">
        <v>11.0</v>
      </c>
      <c r="B13" s="34">
        <v>4.13E-4</v>
      </c>
      <c r="C13" s="31">
        <f t="shared" si="1"/>
        <v>0.999587</v>
      </c>
      <c r="D13" s="17">
        <f t="shared" si="13"/>
        <v>99354.02611</v>
      </c>
      <c r="E13" s="17">
        <f t="shared" si="2"/>
        <v>41.03321278</v>
      </c>
      <c r="F13" s="17">
        <f t="shared" si="3"/>
        <v>99333.5095</v>
      </c>
      <c r="G13" s="17">
        <f t="shared" si="4"/>
        <v>6911725.871</v>
      </c>
      <c r="H13" s="17">
        <f t="shared" si="5"/>
        <v>69.56664105</v>
      </c>
      <c r="I13" s="17">
        <f t="shared" si="6"/>
        <v>69.06664105</v>
      </c>
      <c r="K13" s="17">
        <f t="shared" si="7"/>
        <v>52338.46155</v>
      </c>
      <c r="L13" s="17">
        <f t="shared" si="8"/>
        <v>897757.3465</v>
      </c>
      <c r="M13" s="17">
        <f t="shared" si="9"/>
        <v>14593607.31</v>
      </c>
      <c r="N13" s="17">
        <f t="shared" si="10"/>
        <v>20.39224964</v>
      </c>
      <c r="O13" s="17">
        <f t="shared" si="11"/>
        <v>1522.007975</v>
      </c>
      <c r="P13" s="17">
        <f t="shared" si="12"/>
        <v>71704.10264</v>
      </c>
      <c r="S13" s="36">
        <f>K42</f>
        <v>9476.836509</v>
      </c>
      <c r="T13" s="36">
        <f>K62</f>
        <v>2758.938382</v>
      </c>
    </row>
    <row r="14" ht="14.25" customHeight="1">
      <c r="A14" s="17">
        <v>12.0</v>
      </c>
      <c r="B14" s="34">
        <v>4.31E-4</v>
      </c>
      <c r="C14" s="31">
        <f t="shared" si="1"/>
        <v>0.999569</v>
      </c>
      <c r="D14" s="17">
        <f t="shared" si="13"/>
        <v>99312.9929</v>
      </c>
      <c r="E14" s="17">
        <f t="shared" si="2"/>
        <v>42.80389994</v>
      </c>
      <c r="F14" s="17">
        <f t="shared" si="3"/>
        <v>99291.59095</v>
      </c>
      <c r="G14" s="17">
        <f t="shared" si="4"/>
        <v>6812392.362</v>
      </c>
      <c r="H14" s="17">
        <f t="shared" si="5"/>
        <v>68.59517736</v>
      </c>
      <c r="I14" s="17">
        <f t="shared" si="6"/>
        <v>68.09517736</v>
      </c>
      <c r="K14" s="17">
        <f t="shared" si="7"/>
        <v>49355.51487</v>
      </c>
      <c r="L14" s="17">
        <f t="shared" si="8"/>
        <v>845418.885</v>
      </c>
      <c r="M14" s="17">
        <f t="shared" si="9"/>
        <v>13695849.96</v>
      </c>
      <c r="N14" s="17">
        <f t="shared" si="10"/>
        <v>20.0681386</v>
      </c>
      <c r="O14" s="17">
        <f t="shared" si="11"/>
        <v>1501.615725</v>
      </c>
      <c r="P14" s="17">
        <f t="shared" si="12"/>
        <v>70182.09467</v>
      </c>
    </row>
    <row r="15" ht="14.25" customHeight="1">
      <c r="A15" s="17">
        <v>13.0</v>
      </c>
      <c r="B15" s="34">
        <v>4.46E-4</v>
      </c>
      <c r="C15" s="31">
        <f t="shared" si="1"/>
        <v>0.999554</v>
      </c>
      <c r="D15" s="17">
        <f t="shared" si="13"/>
        <v>99270.189</v>
      </c>
      <c r="E15" s="17">
        <f t="shared" si="2"/>
        <v>44.27450429</v>
      </c>
      <c r="F15" s="17">
        <f t="shared" si="3"/>
        <v>99248.05174</v>
      </c>
      <c r="G15" s="17">
        <f t="shared" si="4"/>
        <v>6713100.771</v>
      </c>
      <c r="H15" s="17">
        <f t="shared" si="5"/>
        <v>67.62453903</v>
      </c>
      <c r="I15" s="17">
        <f t="shared" si="6"/>
        <v>67.12453903</v>
      </c>
      <c r="K15" s="17">
        <f t="shared" si="7"/>
        <v>46541.73835</v>
      </c>
      <c r="L15" s="17">
        <f t="shared" si="8"/>
        <v>796063.3701</v>
      </c>
      <c r="M15" s="17">
        <f t="shared" si="9"/>
        <v>12850431.08</v>
      </c>
      <c r="N15" s="17">
        <f t="shared" si="10"/>
        <v>19.58265595</v>
      </c>
      <c r="O15" s="17">
        <f t="shared" si="11"/>
        <v>1481.547587</v>
      </c>
      <c r="P15" s="17">
        <f t="shared" si="12"/>
        <v>68680.47894</v>
      </c>
      <c r="T15" s="17">
        <f>T12*(T13/S13)</f>
        <v>0.07278110103</v>
      </c>
    </row>
    <row r="16" ht="14.25" customHeight="1">
      <c r="A16" s="17">
        <v>14.0</v>
      </c>
      <c r="B16" s="34">
        <v>4.58E-4</v>
      </c>
      <c r="C16" s="31">
        <f t="shared" si="1"/>
        <v>0.999542</v>
      </c>
      <c r="D16" s="17">
        <f t="shared" si="13"/>
        <v>99225.91449</v>
      </c>
      <c r="E16" s="17">
        <f t="shared" si="2"/>
        <v>45.44546884</v>
      </c>
      <c r="F16" s="17">
        <f t="shared" si="3"/>
        <v>99203.19176</v>
      </c>
      <c r="G16" s="17">
        <f t="shared" si="4"/>
        <v>6613852.719</v>
      </c>
      <c r="H16" s="17">
        <f t="shared" si="5"/>
        <v>66.65448994</v>
      </c>
      <c r="I16" s="17">
        <f t="shared" si="6"/>
        <v>66.15448994</v>
      </c>
      <c r="K16" s="17">
        <f t="shared" si="7"/>
        <v>43887.71767</v>
      </c>
      <c r="L16" s="17">
        <f t="shared" si="8"/>
        <v>749521.6317</v>
      </c>
      <c r="M16" s="17">
        <f t="shared" si="9"/>
        <v>12054367.71</v>
      </c>
      <c r="N16" s="17">
        <f t="shared" si="10"/>
        <v>18.96280631</v>
      </c>
      <c r="O16" s="17">
        <f t="shared" si="11"/>
        <v>1461.964931</v>
      </c>
      <c r="P16" s="17">
        <f t="shared" si="12"/>
        <v>67198.93136</v>
      </c>
      <c r="T16" s="17">
        <f>(S12/S13)-T15</f>
        <v>3.572680344</v>
      </c>
    </row>
    <row r="17" ht="14.25" customHeight="1">
      <c r="A17" s="17">
        <v>15.0</v>
      </c>
      <c r="B17" s="34">
        <v>4.7E-4</v>
      </c>
      <c r="C17" s="31">
        <f t="shared" si="1"/>
        <v>0.99953</v>
      </c>
      <c r="D17" s="17">
        <f t="shared" si="13"/>
        <v>99180.46902</v>
      </c>
      <c r="E17" s="17">
        <f t="shared" si="2"/>
        <v>46.61482044</v>
      </c>
      <c r="F17" s="17">
        <f t="shared" si="3"/>
        <v>99157.16161</v>
      </c>
      <c r="G17" s="17">
        <f t="shared" si="4"/>
        <v>6514649.527</v>
      </c>
      <c r="H17" s="17">
        <f t="shared" si="5"/>
        <v>65.68480258</v>
      </c>
      <c r="I17" s="17">
        <f t="shared" si="6"/>
        <v>65.18480258</v>
      </c>
      <c r="K17" s="17">
        <f t="shared" si="7"/>
        <v>41384.54443</v>
      </c>
      <c r="L17" s="17">
        <f t="shared" si="8"/>
        <v>705633.9141</v>
      </c>
      <c r="M17" s="17">
        <f t="shared" si="9"/>
        <v>11304846.08</v>
      </c>
      <c r="N17" s="17">
        <f t="shared" si="10"/>
        <v>18.34975083</v>
      </c>
      <c r="O17" s="17">
        <f t="shared" si="11"/>
        <v>1443.002125</v>
      </c>
      <c r="P17" s="17">
        <f t="shared" si="12"/>
        <v>65736.96643</v>
      </c>
      <c r="T17" s="17">
        <f>T16*12000</f>
        <v>42872.16412</v>
      </c>
    </row>
    <row r="18" ht="14.25" customHeight="1">
      <c r="A18" s="17">
        <v>16.0</v>
      </c>
      <c r="B18" s="34">
        <v>4.81E-4</v>
      </c>
      <c r="C18" s="31">
        <f t="shared" si="1"/>
        <v>0.999519</v>
      </c>
      <c r="D18" s="17">
        <f t="shared" si="13"/>
        <v>99133.8542</v>
      </c>
      <c r="E18" s="17">
        <f t="shared" si="2"/>
        <v>47.68338387</v>
      </c>
      <c r="F18" s="17">
        <f t="shared" si="3"/>
        <v>99110.01251</v>
      </c>
      <c r="G18" s="17">
        <f t="shared" si="4"/>
        <v>6415492.366</v>
      </c>
      <c r="H18" s="17">
        <f t="shared" si="5"/>
        <v>64.71545384</v>
      </c>
      <c r="I18" s="17">
        <f t="shared" si="6"/>
        <v>64.21545384</v>
      </c>
      <c r="K18" s="17">
        <f t="shared" si="7"/>
        <v>39023.6733</v>
      </c>
      <c r="L18" s="17">
        <f t="shared" si="8"/>
        <v>664249.3696</v>
      </c>
      <c r="M18" s="17">
        <f t="shared" si="9"/>
        <v>10599212.16</v>
      </c>
      <c r="N18" s="17">
        <f t="shared" si="10"/>
        <v>17.70791213</v>
      </c>
      <c r="O18" s="17">
        <f t="shared" si="11"/>
        <v>1424.652374</v>
      </c>
      <c r="P18" s="17">
        <f t="shared" si="12"/>
        <v>64293.9643</v>
      </c>
    </row>
    <row r="19" ht="14.25" customHeight="1">
      <c r="A19" s="17">
        <v>17.0</v>
      </c>
      <c r="B19" s="34">
        <v>4.95E-4</v>
      </c>
      <c r="C19" s="31">
        <f t="shared" si="1"/>
        <v>0.999505</v>
      </c>
      <c r="D19" s="17">
        <f t="shared" si="13"/>
        <v>99086.17082</v>
      </c>
      <c r="E19" s="17">
        <f t="shared" si="2"/>
        <v>49.04765455</v>
      </c>
      <c r="F19" s="17">
        <f t="shared" si="3"/>
        <v>99061.64699</v>
      </c>
      <c r="G19" s="17">
        <f t="shared" si="4"/>
        <v>6316382.353</v>
      </c>
      <c r="H19" s="17">
        <f t="shared" si="5"/>
        <v>63.74635634</v>
      </c>
      <c r="I19" s="17">
        <f t="shared" si="6"/>
        <v>63.24635634</v>
      </c>
      <c r="K19" s="17">
        <f t="shared" si="7"/>
        <v>36797.07822</v>
      </c>
      <c r="L19" s="17">
        <f t="shared" si="8"/>
        <v>625225.6963</v>
      </c>
      <c r="M19" s="17">
        <f t="shared" si="9"/>
        <v>9934962.791</v>
      </c>
      <c r="N19" s="17">
        <f t="shared" si="10"/>
        <v>17.18354124</v>
      </c>
      <c r="O19" s="17">
        <f t="shared" si="11"/>
        <v>1406.944462</v>
      </c>
      <c r="P19" s="17">
        <f t="shared" si="12"/>
        <v>62869.31193</v>
      </c>
      <c r="S19" s="17" t="s">
        <v>42</v>
      </c>
      <c r="T19" s="17">
        <v>60.0</v>
      </c>
      <c r="U19" s="17">
        <f>VLOOKUP(T19,$A$2:$L$118,12,)</f>
        <v>34547.44211</v>
      </c>
      <c r="W19" s="17">
        <f>U19-U21</f>
        <v>33898.30386</v>
      </c>
    </row>
    <row r="20" ht="14.25" customHeight="1">
      <c r="A20" s="17">
        <v>18.0</v>
      </c>
      <c r="B20" s="34">
        <v>5.1E-4</v>
      </c>
      <c r="C20" s="31">
        <f t="shared" si="1"/>
        <v>0.99949</v>
      </c>
      <c r="D20" s="17">
        <f t="shared" si="13"/>
        <v>99037.12316</v>
      </c>
      <c r="E20" s="17">
        <f t="shared" si="2"/>
        <v>50.50893281</v>
      </c>
      <c r="F20" s="17">
        <f t="shared" si="3"/>
        <v>99011.8687</v>
      </c>
      <c r="G20" s="17">
        <f t="shared" si="4"/>
        <v>6217320.706</v>
      </c>
      <c r="H20" s="17">
        <f t="shared" si="5"/>
        <v>62.77767879</v>
      </c>
      <c r="I20" s="17">
        <f t="shared" si="6"/>
        <v>62.27767879</v>
      </c>
      <c r="K20" s="17">
        <f t="shared" si="7"/>
        <v>34697.04119</v>
      </c>
      <c r="L20" s="17">
        <f t="shared" si="8"/>
        <v>588428.6181</v>
      </c>
      <c r="M20" s="17">
        <f t="shared" si="9"/>
        <v>9309737.095</v>
      </c>
      <c r="N20" s="17">
        <f t="shared" si="10"/>
        <v>16.69385944</v>
      </c>
      <c r="O20" s="17">
        <f t="shared" si="11"/>
        <v>1389.76092</v>
      </c>
      <c r="P20" s="17">
        <f t="shared" si="12"/>
        <v>61462.36747</v>
      </c>
      <c r="S20" s="17" t="s">
        <v>48</v>
      </c>
      <c r="T20" s="17">
        <v>40.0</v>
      </c>
      <c r="U20" s="17">
        <f>VLOOKUP(T20,$A$2:$L$118,11,)</f>
        <v>9476.836509</v>
      </c>
      <c r="W20" s="17">
        <f>W19/U20</f>
        <v>3.576964088</v>
      </c>
    </row>
    <row r="21" ht="14.25" customHeight="1">
      <c r="A21" s="17">
        <v>19.0</v>
      </c>
      <c r="B21" s="34">
        <v>5.28E-4</v>
      </c>
      <c r="C21" s="31">
        <f t="shared" si="1"/>
        <v>0.999472</v>
      </c>
      <c r="D21" s="17">
        <f t="shared" si="13"/>
        <v>98986.61423</v>
      </c>
      <c r="E21" s="17">
        <f t="shared" si="2"/>
        <v>52.26493231</v>
      </c>
      <c r="F21" s="17">
        <f t="shared" si="3"/>
        <v>98960.48176</v>
      </c>
      <c r="G21" s="17">
        <f t="shared" si="4"/>
        <v>6118308.837</v>
      </c>
      <c r="H21" s="17">
        <f t="shared" si="5"/>
        <v>61.80945661</v>
      </c>
      <c r="I21" s="17">
        <f t="shared" si="6"/>
        <v>61.30945661</v>
      </c>
      <c r="K21" s="17">
        <f t="shared" si="7"/>
        <v>32716.36387</v>
      </c>
      <c r="L21" s="17">
        <f t="shared" si="8"/>
        <v>553731.5769</v>
      </c>
      <c r="M21" s="17">
        <f t="shared" si="9"/>
        <v>8721308.477</v>
      </c>
      <c r="N21" s="17">
        <f t="shared" si="10"/>
        <v>16.29645295</v>
      </c>
      <c r="O21" s="17">
        <f t="shared" si="11"/>
        <v>1373.067061</v>
      </c>
      <c r="P21" s="17">
        <f t="shared" si="12"/>
        <v>60072.60655</v>
      </c>
      <c r="S21" s="17" t="s">
        <v>42</v>
      </c>
      <c r="T21" s="17">
        <v>90.0</v>
      </c>
      <c r="U21" s="17">
        <f>VLOOKUP(T21,$A$2:$L$118,12,)</f>
        <v>649.1382528</v>
      </c>
      <c r="W21" s="17">
        <f>U22-U23</f>
        <v>2623.100093</v>
      </c>
    </row>
    <row r="22" ht="14.25" customHeight="1">
      <c r="A22" s="17">
        <v>20.0</v>
      </c>
      <c r="B22" s="34">
        <v>5.49E-4</v>
      </c>
      <c r="C22" s="31">
        <f t="shared" si="1"/>
        <v>0.999451</v>
      </c>
      <c r="D22" s="17">
        <f t="shared" si="13"/>
        <v>98934.3493</v>
      </c>
      <c r="E22" s="17">
        <f t="shared" si="2"/>
        <v>54.31495776</v>
      </c>
      <c r="F22" s="17">
        <f t="shared" si="3"/>
        <v>98907.19182</v>
      </c>
      <c r="G22" s="17">
        <f t="shared" si="4"/>
        <v>6019348.356</v>
      </c>
      <c r="H22" s="17">
        <f t="shared" si="5"/>
        <v>60.8418451</v>
      </c>
      <c r="I22" s="17">
        <f t="shared" si="6"/>
        <v>60.3418451</v>
      </c>
      <c r="K22" s="17">
        <f t="shared" si="7"/>
        <v>30848.19776</v>
      </c>
      <c r="L22" s="17">
        <f t="shared" si="8"/>
        <v>521015.2131</v>
      </c>
      <c r="M22" s="17">
        <f t="shared" si="9"/>
        <v>8167576.9</v>
      </c>
      <c r="N22" s="17">
        <f t="shared" si="10"/>
        <v>15.97703828</v>
      </c>
      <c r="O22" s="17">
        <f t="shared" si="11"/>
        <v>1356.770608</v>
      </c>
      <c r="P22" s="17">
        <f t="shared" si="12"/>
        <v>58699.53948</v>
      </c>
      <c r="S22" s="17" t="s">
        <v>48</v>
      </c>
      <c r="T22" s="17">
        <v>60.0</v>
      </c>
      <c r="U22" s="17">
        <f t="shared" ref="U22:U23" si="14">VLOOKUP(T22,$A$2:$L$118,11,)</f>
        <v>2758.938382</v>
      </c>
      <c r="W22" s="17">
        <f>W21/U20</f>
        <v>0.2767906876</v>
      </c>
    </row>
    <row r="23" ht="14.25" customHeight="1">
      <c r="A23" s="17">
        <v>21.0</v>
      </c>
      <c r="B23" s="34">
        <v>5.73E-4</v>
      </c>
      <c r="C23" s="31">
        <f t="shared" si="1"/>
        <v>0.999427</v>
      </c>
      <c r="D23" s="17">
        <f t="shared" si="13"/>
        <v>98880.03434</v>
      </c>
      <c r="E23" s="17">
        <f t="shared" si="2"/>
        <v>56.65825968</v>
      </c>
      <c r="F23" s="17">
        <f t="shared" si="3"/>
        <v>98851.70521</v>
      </c>
      <c r="G23" s="17">
        <f t="shared" si="4"/>
        <v>5920441.164</v>
      </c>
      <c r="H23" s="17">
        <f t="shared" si="5"/>
        <v>59.87499097</v>
      </c>
      <c r="I23" s="17">
        <f t="shared" si="6"/>
        <v>59.37499097</v>
      </c>
      <c r="K23" s="17">
        <f t="shared" si="7"/>
        <v>29086.09632</v>
      </c>
      <c r="L23" s="17">
        <f t="shared" si="8"/>
        <v>490167.0153</v>
      </c>
      <c r="M23" s="17">
        <f t="shared" si="9"/>
        <v>7646561.687</v>
      </c>
      <c r="N23" s="17">
        <f t="shared" si="10"/>
        <v>15.72295584</v>
      </c>
      <c r="O23" s="17">
        <f t="shared" si="11"/>
        <v>1340.79357</v>
      </c>
      <c r="P23" s="17">
        <f t="shared" si="12"/>
        <v>57342.76888</v>
      </c>
      <c r="S23" s="17" t="s">
        <v>48</v>
      </c>
      <c r="T23" s="17">
        <v>90.0</v>
      </c>
      <c r="U23" s="17">
        <f t="shared" si="14"/>
        <v>135.8382883</v>
      </c>
      <c r="W23" s="17">
        <f>W22*0.25</f>
        <v>0.06919767189</v>
      </c>
    </row>
    <row r="24" ht="14.25" customHeight="1">
      <c r="A24" s="17">
        <v>22.0</v>
      </c>
      <c r="B24" s="34">
        <v>5.99E-4</v>
      </c>
      <c r="C24" s="31">
        <f t="shared" si="1"/>
        <v>0.999401</v>
      </c>
      <c r="D24" s="17">
        <f t="shared" si="13"/>
        <v>98823.37608</v>
      </c>
      <c r="E24" s="17">
        <f t="shared" si="2"/>
        <v>59.19520227</v>
      </c>
      <c r="F24" s="17">
        <f t="shared" si="3"/>
        <v>98793.77848</v>
      </c>
      <c r="G24" s="17">
        <f t="shared" si="4"/>
        <v>5821589.459</v>
      </c>
      <c r="H24" s="17">
        <f t="shared" si="5"/>
        <v>58.90903235</v>
      </c>
      <c r="I24" s="17">
        <f t="shared" si="6"/>
        <v>58.40903235</v>
      </c>
      <c r="K24" s="17">
        <f t="shared" si="7"/>
        <v>27423.99056</v>
      </c>
      <c r="L24" s="17">
        <f t="shared" si="8"/>
        <v>461080.919</v>
      </c>
      <c r="M24" s="17">
        <f t="shared" si="9"/>
        <v>7156394.672</v>
      </c>
      <c r="N24" s="17">
        <f t="shared" si="10"/>
        <v>15.49714183</v>
      </c>
      <c r="O24" s="17">
        <f t="shared" si="11"/>
        <v>1325.070614</v>
      </c>
      <c r="P24" s="17">
        <f t="shared" si="12"/>
        <v>56001.97531</v>
      </c>
      <c r="W24" s="17">
        <f>W20-W23</f>
        <v>3.507766416</v>
      </c>
    </row>
    <row r="25" ht="14.25" customHeight="1">
      <c r="A25" s="17">
        <v>23.0</v>
      </c>
      <c r="B25" s="34">
        <v>6.27E-4</v>
      </c>
      <c r="C25" s="31">
        <f t="shared" si="1"/>
        <v>0.999373</v>
      </c>
      <c r="D25" s="17">
        <f t="shared" si="13"/>
        <v>98764.18088</v>
      </c>
      <c r="E25" s="17">
        <f t="shared" si="2"/>
        <v>61.92514141</v>
      </c>
      <c r="F25" s="17">
        <f t="shared" si="3"/>
        <v>98733.21831</v>
      </c>
      <c r="G25" s="17">
        <f t="shared" si="4"/>
        <v>5722795.68</v>
      </c>
      <c r="H25" s="17">
        <f t="shared" si="5"/>
        <v>57.94404033</v>
      </c>
      <c r="I25" s="17">
        <f t="shared" si="6"/>
        <v>57.44404033</v>
      </c>
      <c r="K25" s="17">
        <f t="shared" si="7"/>
        <v>25856.19206</v>
      </c>
      <c r="L25" s="17">
        <f t="shared" si="8"/>
        <v>433656.9284</v>
      </c>
      <c r="M25" s="17">
        <f t="shared" si="9"/>
        <v>6695313.753</v>
      </c>
      <c r="N25" s="17">
        <f t="shared" si="10"/>
        <v>15.29418153</v>
      </c>
      <c r="O25" s="17">
        <f t="shared" si="11"/>
        <v>1309.573472</v>
      </c>
      <c r="P25" s="17">
        <f t="shared" si="12"/>
        <v>54676.90469</v>
      </c>
      <c r="W25" s="17">
        <f>12000*W24</f>
        <v>42093.19699</v>
      </c>
    </row>
    <row r="26" ht="14.25" customHeight="1">
      <c r="A26" s="17">
        <v>24.0</v>
      </c>
      <c r="B26" s="34">
        <v>6.57E-4</v>
      </c>
      <c r="C26" s="31">
        <f t="shared" si="1"/>
        <v>0.999343</v>
      </c>
      <c r="D26" s="17">
        <f t="shared" si="13"/>
        <v>98702.25574</v>
      </c>
      <c r="E26" s="17">
        <f t="shared" si="2"/>
        <v>64.84738202</v>
      </c>
      <c r="F26" s="17">
        <f t="shared" si="3"/>
        <v>98669.83205</v>
      </c>
      <c r="G26" s="17">
        <f t="shared" si="4"/>
        <v>5624062.462</v>
      </c>
      <c r="H26" s="17">
        <f t="shared" si="5"/>
        <v>56.98008034</v>
      </c>
      <c r="I26" s="17">
        <f t="shared" si="6"/>
        <v>56.48008034</v>
      </c>
      <c r="K26" s="17">
        <f t="shared" si="7"/>
        <v>24377.33984</v>
      </c>
      <c r="L26" s="17">
        <f t="shared" si="8"/>
        <v>407800.7364</v>
      </c>
      <c r="M26" s="17">
        <f t="shared" si="9"/>
        <v>6261656.824</v>
      </c>
      <c r="N26" s="17">
        <f t="shared" si="10"/>
        <v>15.1093512</v>
      </c>
      <c r="O26" s="17">
        <f t="shared" si="11"/>
        <v>1294.279291</v>
      </c>
      <c r="P26" s="17">
        <f t="shared" si="12"/>
        <v>53367.33122</v>
      </c>
    </row>
    <row r="27" ht="14.25" customHeight="1">
      <c r="A27" s="17">
        <v>25.0</v>
      </c>
      <c r="B27" s="34">
        <v>6.86E-4</v>
      </c>
      <c r="C27" s="31">
        <f t="shared" si="1"/>
        <v>0.999314</v>
      </c>
      <c r="D27" s="17">
        <f t="shared" si="13"/>
        <v>98637.40836</v>
      </c>
      <c r="E27" s="17">
        <f t="shared" si="2"/>
        <v>67.66526213</v>
      </c>
      <c r="F27" s="17">
        <f t="shared" si="3"/>
        <v>98603.57572</v>
      </c>
      <c r="G27" s="17">
        <f t="shared" si="4"/>
        <v>5525392.63</v>
      </c>
      <c r="H27" s="17">
        <f t="shared" si="5"/>
        <v>56.01721215</v>
      </c>
      <c r="I27" s="17">
        <f t="shared" si="6"/>
        <v>55.51721215</v>
      </c>
      <c r="K27" s="17">
        <f t="shared" si="7"/>
        <v>22982.38106</v>
      </c>
      <c r="L27" s="17">
        <f t="shared" si="8"/>
        <v>383423.3965</v>
      </c>
      <c r="M27" s="17">
        <f t="shared" si="9"/>
        <v>5853856.088</v>
      </c>
      <c r="N27" s="17">
        <f t="shared" si="10"/>
        <v>14.87350322</v>
      </c>
      <c r="O27" s="17">
        <f t="shared" si="11"/>
        <v>1279.169939</v>
      </c>
      <c r="P27" s="17">
        <f t="shared" si="12"/>
        <v>52073.05193</v>
      </c>
      <c r="S27" s="17" t="s">
        <v>43</v>
      </c>
      <c r="T27" s="17">
        <v>50.0</v>
      </c>
      <c r="U27" s="17">
        <f>VLOOKUP(T27,$A$2:$M$118,13,)</f>
        <v>895812.2888</v>
      </c>
    </row>
    <row r="28" ht="14.25" customHeight="1">
      <c r="A28" s="17">
        <v>26.0</v>
      </c>
      <c r="B28" s="34">
        <v>7.14E-4</v>
      </c>
      <c r="C28" s="31">
        <f t="shared" si="1"/>
        <v>0.999286</v>
      </c>
      <c r="D28" s="17">
        <f t="shared" si="13"/>
        <v>98569.74309</v>
      </c>
      <c r="E28" s="17">
        <f t="shared" si="2"/>
        <v>70.37879657</v>
      </c>
      <c r="F28" s="17">
        <f t="shared" si="3"/>
        <v>98534.55369</v>
      </c>
      <c r="G28" s="17">
        <f t="shared" si="4"/>
        <v>5426789.054</v>
      </c>
      <c r="H28" s="17">
        <f t="shared" si="5"/>
        <v>55.0553231</v>
      </c>
      <c r="I28" s="17">
        <f t="shared" si="6"/>
        <v>54.5553231</v>
      </c>
      <c r="K28" s="17">
        <f t="shared" si="7"/>
        <v>21666.61807</v>
      </c>
      <c r="L28" s="17">
        <f t="shared" si="8"/>
        <v>360441.0155</v>
      </c>
      <c r="M28" s="17">
        <f t="shared" si="9"/>
        <v>5470432.691</v>
      </c>
      <c r="N28" s="17">
        <f t="shared" si="10"/>
        <v>14.59430689</v>
      </c>
      <c r="O28" s="17">
        <f t="shared" si="11"/>
        <v>1264.296436</v>
      </c>
      <c r="P28" s="17">
        <f t="shared" si="12"/>
        <v>50793.88199</v>
      </c>
      <c r="S28" s="17" t="s">
        <v>48</v>
      </c>
      <c r="T28" s="17">
        <v>50.0</v>
      </c>
      <c r="U28" s="17">
        <f>VLOOKUP(T28,$A$2:$M$118,11,)</f>
        <v>5191.439706</v>
      </c>
      <c r="V28" s="17">
        <f>U27/U28</f>
        <v>172.5556569</v>
      </c>
      <c r="W28" s="17">
        <f>(U27-U29)</f>
        <v>784390.9921</v>
      </c>
      <c r="X28" s="17">
        <f>W28/U28</f>
        <v>151.0931527</v>
      </c>
    </row>
    <row r="29" ht="14.25" customHeight="1">
      <c r="A29" s="17">
        <v>27.0</v>
      </c>
      <c r="B29" s="34">
        <v>7.38E-4</v>
      </c>
      <c r="C29" s="31">
        <f t="shared" si="1"/>
        <v>0.999262</v>
      </c>
      <c r="D29" s="17">
        <f t="shared" si="13"/>
        <v>98499.3643</v>
      </c>
      <c r="E29" s="17">
        <f t="shared" si="2"/>
        <v>72.69253085</v>
      </c>
      <c r="F29" s="17">
        <f t="shared" si="3"/>
        <v>98463.01803</v>
      </c>
      <c r="G29" s="17">
        <f t="shared" si="4"/>
        <v>5328254.5</v>
      </c>
      <c r="H29" s="17">
        <f t="shared" si="5"/>
        <v>54.09430343</v>
      </c>
      <c r="I29" s="17">
        <f t="shared" si="6"/>
        <v>53.59430343</v>
      </c>
      <c r="K29" s="17">
        <f t="shared" si="7"/>
        <v>20425.61142</v>
      </c>
      <c r="L29" s="17">
        <f t="shared" si="8"/>
        <v>338774.3974</v>
      </c>
      <c r="M29" s="17">
        <f t="shared" si="9"/>
        <v>5109991.676</v>
      </c>
      <c r="N29" s="17">
        <f t="shared" si="10"/>
        <v>14.22085021</v>
      </c>
      <c r="O29" s="17">
        <f t="shared" si="11"/>
        <v>1249.702129</v>
      </c>
      <c r="P29" s="17">
        <f t="shared" si="12"/>
        <v>49529.58556</v>
      </c>
      <c r="S29" s="17" t="s">
        <v>43</v>
      </c>
      <c r="T29" s="17">
        <v>70.0</v>
      </c>
      <c r="U29" s="17">
        <f>VLOOKUP(T29,$A$2:$M$118,13,)</f>
        <v>111421.2967</v>
      </c>
      <c r="V29" s="17">
        <f>V28*10000</f>
        <v>1725556.569</v>
      </c>
      <c r="W29" s="17">
        <f>U30-U31</f>
        <v>20762.36438</v>
      </c>
      <c r="X29" s="17">
        <f>(U30-U31)/U28</f>
        <v>3.999346146</v>
      </c>
    </row>
    <row r="30" ht="14.25" customHeight="1">
      <c r="A30" s="17">
        <v>28.0</v>
      </c>
      <c r="B30" s="34">
        <v>7.58E-4</v>
      </c>
      <c r="C30" s="31">
        <f t="shared" si="1"/>
        <v>0.999242</v>
      </c>
      <c r="D30" s="17">
        <f t="shared" si="13"/>
        <v>98426.67177</v>
      </c>
      <c r="E30" s="17">
        <f t="shared" si="2"/>
        <v>74.6074172</v>
      </c>
      <c r="F30" s="17">
        <f t="shared" si="3"/>
        <v>98389.36806</v>
      </c>
      <c r="G30" s="17">
        <f t="shared" si="4"/>
        <v>5229791.482</v>
      </c>
      <c r="H30" s="17">
        <f t="shared" si="5"/>
        <v>53.13388524</v>
      </c>
      <c r="I30" s="17">
        <f t="shared" si="6"/>
        <v>52.63388524</v>
      </c>
      <c r="K30" s="17">
        <f t="shared" si="7"/>
        <v>19255.22388</v>
      </c>
      <c r="L30" s="17">
        <f t="shared" si="8"/>
        <v>318348.786</v>
      </c>
      <c r="M30" s="17">
        <f t="shared" si="9"/>
        <v>4771217.278</v>
      </c>
      <c r="N30" s="17">
        <f t="shared" si="10"/>
        <v>13.76930161</v>
      </c>
      <c r="O30" s="17">
        <f t="shared" si="11"/>
        <v>1235.481279</v>
      </c>
      <c r="P30" s="17">
        <f t="shared" si="12"/>
        <v>48279.88343</v>
      </c>
      <c r="S30" s="17" t="s">
        <v>42</v>
      </c>
      <c r="T30" s="17">
        <v>60.0</v>
      </c>
      <c r="U30" s="17">
        <f t="shared" ref="U30:U31" si="15">VLOOKUP(T30,$A$2:$M$118,12,)</f>
        <v>34547.44211</v>
      </c>
      <c r="V30" s="37">
        <f>V29+50000</f>
        <v>1775556.569</v>
      </c>
      <c r="W30" s="17">
        <f>W28-W29</f>
        <v>763628.6278</v>
      </c>
      <c r="X30" s="17">
        <f>X29*(3/8)</f>
        <v>1.499754805</v>
      </c>
    </row>
    <row r="31" ht="14.25" customHeight="1">
      <c r="A31" s="17">
        <v>29.0</v>
      </c>
      <c r="B31" s="34">
        <v>7.74E-4</v>
      </c>
      <c r="C31" s="31">
        <f t="shared" si="1"/>
        <v>0.999226</v>
      </c>
      <c r="D31" s="17">
        <f t="shared" si="13"/>
        <v>98352.06435</v>
      </c>
      <c r="E31" s="17">
        <f t="shared" si="2"/>
        <v>76.12449781</v>
      </c>
      <c r="F31" s="17">
        <f t="shared" si="3"/>
        <v>98314.0021</v>
      </c>
      <c r="G31" s="17">
        <f t="shared" si="4"/>
        <v>5131402.114</v>
      </c>
      <c r="H31" s="17">
        <f t="shared" si="5"/>
        <v>52.17381199</v>
      </c>
      <c r="I31" s="17">
        <f t="shared" si="6"/>
        <v>51.67381199</v>
      </c>
      <c r="K31" s="17">
        <f t="shared" si="7"/>
        <v>18151.53625</v>
      </c>
      <c r="L31" s="17">
        <f t="shared" si="8"/>
        <v>299093.5621</v>
      </c>
      <c r="M31" s="17">
        <f t="shared" si="9"/>
        <v>4452868.492</v>
      </c>
      <c r="N31" s="17">
        <f t="shared" si="10"/>
        <v>13.25404628</v>
      </c>
      <c r="O31" s="17">
        <f t="shared" si="11"/>
        <v>1221.711977</v>
      </c>
      <c r="P31" s="17">
        <f t="shared" si="12"/>
        <v>47044.40215</v>
      </c>
      <c r="S31" s="17" t="s">
        <v>42</v>
      </c>
      <c r="T31" s="17">
        <v>70.0</v>
      </c>
      <c r="U31" s="17">
        <f t="shared" si="15"/>
        <v>13785.07773</v>
      </c>
      <c r="W31" s="17">
        <f>W30/U28</f>
        <v>147.0938065</v>
      </c>
      <c r="X31" s="17">
        <f>X28-X30</f>
        <v>149.5933979</v>
      </c>
    </row>
    <row r="32" ht="14.25" customHeight="1">
      <c r="A32" s="17">
        <v>30.0</v>
      </c>
      <c r="B32" s="34">
        <v>7.84E-4</v>
      </c>
      <c r="C32" s="31">
        <f t="shared" si="1"/>
        <v>0.999216</v>
      </c>
      <c r="D32" s="17">
        <f t="shared" si="13"/>
        <v>98275.93985</v>
      </c>
      <c r="E32" s="17">
        <f t="shared" si="2"/>
        <v>77.04833684</v>
      </c>
      <c r="F32" s="17">
        <f t="shared" si="3"/>
        <v>98237.41568</v>
      </c>
      <c r="G32" s="17">
        <f t="shared" si="4"/>
        <v>5033088.112</v>
      </c>
      <c r="H32" s="17">
        <f t="shared" si="5"/>
        <v>51.2138385</v>
      </c>
      <c r="I32" s="17">
        <f t="shared" si="6"/>
        <v>50.7138385</v>
      </c>
      <c r="K32" s="17">
        <f t="shared" si="7"/>
        <v>17110.83675</v>
      </c>
      <c r="L32" s="17">
        <f t="shared" si="8"/>
        <v>280942.0258</v>
      </c>
      <c r="M32" s="17">
        <f t="shared" si="9"/>
        <v>4153774.93</v>
      </c>
      <c r="N32" s="17">
        <f t="shared" si="10"/>
        <v>12.65556228</v>
      </c>
      <c r="O32" s="17">
        <f t="shared" si="11"/>
        <v>1208.457931</v>
      </c>
      <c r="P32" s="17">
        <f t="shared" si="12"/>
        <v>45822.69017</v>
      </c>
      <c r="W32" s="17">
        <f>W31*1000</f>
        <v>147093.8065</v>
      </c>
      <c r="X32" s="17">
        <f>X31*2000</f>
        <v>299186.7957</v>
      </c>
    </row>
    <row r="33" ht="14.25" customHeight="1">
      <c r="A33" s="17">
        <v>31.0</v>
      </c>
      <c r="B33" s="34">
        <v>7.89E-4</v>
      </c>
      <c r="C33" s="31">
        <f t="shared" si="1"/>
        <v>0.999211</v>
      </c>
      <c r="D33" s="17">
        <f t="shared" si="13"/>
        <v>98198.89151</v>
      </c>
      <c r="E33" s="17">
        <f t="shared" si="2"/>
        <v>77.4789254</v>
      </c>
      <c r="F33" s="17">
        <f t="shared" si="3"/>
        <v>98160.15205</v>
      </c>
      <c r="G33" s="17">
        <f t="shared" si="4"/>
        <v>4934850.696</v>
      </c>
      <c r="H33" s="17">
        <f t="shared" si="5"/>
        <v>50.25362935</v>
      </c>
      <c r="I33" s="17">
        <f t="shared" si="6"/>
        <v>49.75362935</v>
      </c>
      <c r="K33" s="17">
        <f t="shared" si="7"/>
        <v>16129.64326</v>
      </c>
      <c r="L33" s="17">
        <f t="shared" si="8"/>
        <v>263831.1891</v>
      </c>
      <c r="M33" s="17">
        <f t="shared" si="9"/>
        <v>3872832.904</v>
      </c>
      <c r="N33" s="17">
        <f t="shared" si="10"/>
        <v>12.00593258</v>
      </c>
      <c r="O33" s="17">
        <f t="shared" si="11"/>
        <v>1195.802369</v>
      </c>
      <c r="P33" s="17">
        <f t="shared" si="12"/>
        <v>44614.23224</v>
      </c>
    </row>
    <row r="34" ht="14.25" customHeight="1">
      <c r="A34" s="17">
        <v>32.0</v>
      </c>
      <c r="B34" s="34">
        <v>7.89E-4</v>
      </c>
      <c r="C34" s="31">
        <f t="shared" si="1"/>
        <v>0.999211</v>
      </c>
      <c r="D34" s="17">
        <f t="shared" si="13"/>
        <v>98121.41259</v>
      </c>
      <c r="E34" s="17">
        <f t="shared" si="2"/>
        <v>77.41779453</v>
      </c>
      <c r="F34" s="17">
        <f t="shared" si="3"/>
        <v>98082.70369</v>
      </c>
      <c r="G34" s="17">
        <f t="shared" si="4"/>
        <v>4836690.544</v>
      </c>
      <c r="H34" s="17">
        <f t="shared" si="5"/>
        <v>49.29291596</v>
      </c>
      <c r="I34" s="17">
        <f t="shared" si="6"/>
        <v>48.79291596</v>
      </c>
      <c r="K34" s="17">
        <f t="shared" si="7"/>
        <v>15204.63865</v>
      </c>
      <c r="L34" s="17">
        <f t="shared" si="8"/>
        <v>247701.5458</v>
      </c>
      <c r="M34" s="17">
        <f t="shared" si="9"/>
        <v>3609001.715</v>
      </c>
      <c r="N34" s="17">
        <f t="shared" si="10"/>
        <v>11.317415</v>
      </c>
      <c r="O34" s="17">
        <f t="shared" si="11"/>
        <v>1183.796436</v>
      </c>
      <c r="P34" s="17">
        <f t="shared" si="12"/>
        <v>43418.42987</v>
      </c>
    </row>
    <row r="35" ht="14.25" customHeight="1">
      <c r="A35" s="17">
        <v>33.0</v>
      </c>
      <c r="B35" s="34">
        <v>7.9E-4</v>
      </c>
      <c r="C35" s="31">
        <f t="shared" si="1"/>
        <v>0.99921</v>
      </c>
      <c r="D35" s="17">
        <f t="shared" si="13"/>
        <v>98043.99479</v>
      </c>
      <c r="E35" s="17">
        <f t="shared" si="2"/>
        <v>77.45475589</v>
      </c>
      <c r="F35" s="17">
        <f t="shared" si="3"/>
        <v>98005.26742</v>
      </c>
      <c r="G35" s="17">
        <f t="shared" si="4"/>
        <v>4738607.841</v>
      </c>
      <c r="H35" s="17">
        <f t="shared" si="5"/>
        <v>48.33144397</v>
      </c>
      <c r="I35" s="17">
        <f t="shared" si="6"/>
        <v>47.83144397</v>
      </c>
      <c r="K35" s="17">
        <f t="shared" si="7"/>
        <v>14332.68131</v>
      </c>
      <c r="L35" s="17">
        <f t="shared" si="8"/>
        <v>232496.9072</v>
      </c>
      <c r="M35" s="17">
        <f t="shared" si="9"/>
        <v>3361300.17</v>
      </c>
      <c r="N35" s="17">
        <f t="shared" si="10"/>
        <v>10.681904</v>
      </c>
      <c r="O35" s="17">
        <f t="shared" si="11"/>
        <v>1172.479021</v>
      </c>
      <c r="P35" s="17">
        <f t="shared" si="12"/>
        <v>42234.63343</v>
      </c>
      <c r="S35" s="17">
        <f>N3-N4</f>
        <v>38.26656575</v>
      </c>
    </row>
    <row r="36" ht="14.25" customHeight="1">
      <c r="A36" s="17">
        <v>34.0</v>
      </c>
      <c r="B36" s="34">
        <v>7.91E-4</v>
      </c>
      <c r="C36" s="31">
        <f t="shared" si="1"/>
        <v>0.999209</v>
      </c>
      <c r="D36" s="17">
        <f t="shared" si="13"/>
        <v>97966.54004</v>
      </c>
      <c r="E36" s="17">
        <f t="shared" si="2"/>
        <v>77.49153317</v>
      </c>
      <c r="F36" s="17">
        <f t="shared" si="3"/>
        <v>97927.79427</v>
      </c>
      <c r="G36" s="17">
        <f t="shared" si="4"/>
        <v>4640602.573</v>
      </c>
      <c r="H36" s="17">
        <f t="shared" si="5"/>
        <v>47.36926068</v>
      </c>
      <c r="I36" s="17">
        <f t="shared" si="6"/>
        <v>46.86926068</v>
      </c>
      <c r="K36" s="17">
        <f t="shared" si="7"/>
        <v>13510.71556</v>
      </c>
      <c r="L36" s="17">
        <f t="shared" si="8"/>
        <v>218164.2259</v>
      </c>
      <c r="M36" s="17">
        <f t="shared" si="9"/>
        <v>3128803.262</v>
      </c>
      <c r="N36" s="17">
        <f t="shared" si="10"/>
        <v>10.08205284</v>
      </c>
      <c r="O36" s="17">
        <f t="shared" si="11"/>
        <v>1161.797117</v>
      </c>
      <c r="P36" s="17">
        <f t="shared" si="12"/>
        <v>41062.15441</v>
      </c>
      <c r="S36" s="17">
        <f>K3-K5</f>
        <v>10471.78596</v>
      </c>
    </row>
    <row r="37" ht="14.25" customHeight="1">
      <c r="A37" s="17">
        <v>35.0</v>
      </c>
      <c r="B37" s="34">
        <v>7.92E-4</v>
      </c>
      <c r="C37" s="31">
        <f t="shared" si="1"/>
        <v>0.999208</v>
      </c>
      <c r="D37" s="17">
        <f t="shared" si="13"/>
        <v>97889.0485</v>
      </c>
      <c r="E37" s="17">
        <f t="shared" si="2"/>
        <v>77.52812642</v>
      </c>
      <c r="F37" s="17">
        <f t="shared" si="3"/>
        <v>97850.28444</v>
      </c>
      <c r="G37" s="17">
        <f t="shared" si="4"/>
        <v>4542674.779</v>
      </c>
      <c r="H37" s="17">
        <f t="shared" si="5"/>
        <v>46.40636362</v>
      </c>
      <c r="I37" s="17">
        <f t="shared" si="6"/>
        <v>45.90636362</v>
      </c>
      <c r="K37" s="17">
        <f t="shared" si="7"/>
        <v>12735.87603</v>
      </c>
      <c r="L37" s="17">
        <f t="shared" si="8"/>
        <v>204653.5103</v>
      </c>
      <c r="M37" s="17">
        <f t="shared" si="9"/>
        <v>2910639.037</v>
      </c>
      <c r="N37" s="17">
        <f t="shared" si="10"/>
        <v>9.515862087</v>
      </c>
      <c r="O37" s="17">
        <f t="shared" si="11"/>
        <v>1151.715064</v>
      </c>
      <c r="P37" s="17">
        <f t="shared" si="12"/>
        <v>39900.35729</v>
      </c>
      <c r="S37" s="17">
        <f>S35/S36</f>
        <v>0.003654254001</v>
      </c>
    </row>
    <row r="38" ht="14.25" customHeight="1">
      <c r="A38" s="17">
        <v>36.0</v>
      </c>
      <c r="B38" s="34">
        <v>7.94E-4</v>
      </c>
      <c r="C38" s="31">
        <f t="shared" si="1"/>
        <v>0.999206</v>
      </c>
      <c r="D38" s="17">
        <f t="shared" si="13"/>
        <v>97811.52038</v>
      </c>
      <c r="E38" s="17">
        <f t="shared" si="2"/>
        <v>77.66234718</v>
      </c>
      <c r="F38" s="17">
        <f t="shared" si="3"/>
        <v>97772.6892</v>
      </c>
      <c r="G38" s="17">
        <f t="shared" si="4"/>
        <v>4444824.495</v>
      </c>
      <c r="H38" s="17">
        <f t="shared" si="5"/>
        <v>45.44275027</v>
      </c>
      <c r="I38" s="17">
        <f t="shared" si="6"/>
        <v>44.94275027</v>
      </c>
      <c r="K38" s="17">
        <f t="shared" si="7"/>
        <v>12005.46152</v>
      </c>
      <c r="L38" s="17">
        <f t="shared" si="8"/>
        <v>191917.6343</v>
      </c>
      <c r="M38" s="17">
        <f t="shared" si="9"/>
        <v>2705985.526</v>
      </c>
      <c r="N38" s="17">
        <f t="shared" si="10"/>
        <v>8.992770233</v>
      </c>
      <c r="O38" s="17">
        <f t="shared" si="11"/>
        <v>1142.199202</v>
      </c>
      <c r="P38" s="17">
        <f t="shared" si="12"/>
        <v>38748.64223</v>
      </c>
      <c r="S38" s="31">
        <f>C4-C3</f>
        <v>0.000402</v>
      </c>
    </row>
    <row r="39" ht="14.25" customHeight="1">
      <c r="A39" s="17">
        <v>37.0</v>
      </c>
      <c r="B39" s="34">
        <v>8.23E-4</v>
      </c>
      <c r="C39" s="31">
        <f t="shared" si="1"/>
        <v>0.999177</v>
      </c>
      <c r="D39" s="17">
        <f t="shared" si="13"/>
        <v>97733.85803</v>
      </c>
      <c r="E39" s="17">
        <f t="shared" si="2"/>
        <v>80.43496516</v>
      </c>
      <c r="F39" s="17">
        <f t="shared" si="3"/>
        <v>97693.64055</v>
      </c>
      <c r="G39" s="17">
        <f t="shared" si="4"/>
        <v>4347051.805</v>
      </c>
      <c r="H39" s="17">
        <f t="shared" si="5"/>
        <v>44.47846317</v>
      </c>
      <c r="I39" s="17">
        <f t="shared" si="6"/>
        <v>43.97846317</v>
      </c>
      <c r="K39" s="17">
        <f t="shared" si="7"/>
        <v>11316.91432</v>
      </c>
      <c r="L39" s="17">
        <f t="shared" si="8"/>
        <v>179912.1728</v>
      </c>
      <c r="M39" s="17">
        <f t="shared" si="9"/>
        <v>2514067.892</v>
      </c>
      <c r="N39" s="17">
        <f t="shared" si="10"/>
        <v>8.786623103</v>
      </c>
      <c r="O39" s="17">
        <f t="shared" si="11"/>
        <v>1133.206432</v>
      </c>
      <c r="P39" s="17">
        <f t="shared" si="12"/>
        <v>37606.44303</v>
      </c>
    </row>
    <row r="40" ht="14.25" customHeight="1">
      <c r="A40" s="17">
        <v>38.0</v>
      </c>
      <c r="B40" s="34">
        <v>8.72E-4</v>
      </c>
      <c r="C40" s="31">
        <f t="shared" si="1"/>
        <v>0.999128</v>
      </c>
      <c r="D40" s="17">
        <f t="shared" si="13"/>
        <v>97653.42307</v>
      </c>
      <c r="E40" s="17">
        <f t="shared" si="2"/>
        <v>85.15378491</v>
      </c>
      <c r="F40" s="17">
        <f t="shared" si="3"/>
        <v>97610.84617</v>
      </c>
      <c r="G40" s="17">
        <f t="shared" si="4"/>
        <v>4249358.165</v>
      </c>
      <c r="H40" s="17">
        <f t="shared" si="5"/>
        <v>43.51468726</v>
      </c>
      <c r="I40" s="17">
        <f t="shared" si="6"/>
        <v>43.01468726</v>
      </c>
      <c r="K40" s="17">
        <f t="shared" si="7"/>
        <v>10667.54764</v>
      </c>
      <c r="L40" s="17">
        <f t="shared" si="8"/>
        <v>168595.2584</v>
      </c>
      <c r="M40" s="17">
        <f t="shared" si="9"/>
        <v>2334155.719</v>
      </c>
      <c r="N40" s="17">
        <f t="shared" si="10"/>
        <v>8.775567497</v>
      </c>
      <c r="O40" s="17">
        <f t="shared" si="11"/>
        <v>1124.419809</v>
      </c>
      <c r="P40" s="17">
        <f t="shared" si="12"/>
        <v>36473.2366</v>
      </c>
    </row>
    <row r="41" ht="14.25" customHeight="1">
      <c r="A41" s="17">
        <v>39.0</v>
      </c>
      <c r="B41" s="34">
        <v>9.45E-4</v>
      </c>
      <c r="C41" s="31">
        <f t="shared" si="1"/>
        <v>0.999055</v>
      </c>
      <c r="D41" s="17">
        <f t="shared" si="13"/>
        <v>97568.26928</v>
      </c>
      <c r="E41" s="17">
        <f t="shared" si="2"/>
        <v>92.20201447</v>
      </c>
      <c r="F41" s="17">
        <f t="shared" si="3"/>
        <v>97522.16827</v>
      </c>
      <c r="G41" s="17">
        <f t="shared" si="4"/>
        <v>4151747.319</v>
      </c>
      <c r="H41" s="17">
        <f t="shared" si="5"/>
        <v>42.55222881</v>
      </c>
      <c r="I41" s="17">
        <f t="shared" si="6"/>
        <v>42.05222881</v>
      </c>
      <c r="K41" s="17">
        <f t="shared" si="7"/>
        <v>10054.94863</v>
      </c>
      <c r="L41" s="17">
        <f t="shared" si="8"/>
        <v>157927.7108</v>
      </c>
      <c r="M41" s="17">
        <f t="shared" si="9"/>
        <v>2165560.461</v>
      </c>
      <c r="N41" s="17">
        <f t="shared" si="10"/>
        <v>8.964081558</v>
      </c>
      <c r="O41" s="17">
        <f t="shared" si="11"/>
        <v>1115.644242</v>
      </c>
      <c r="P41" s="17">
        <f t="shared" si="12"/>
        <v>35348.81679</v>
      </c>
    </row>
    <row r="42" ht="14.25" customHeight="1">
      <c r="A42" s="17">
        <v>40.0</v>
      </c>
      <c r="B42" s="34">
        <v>0.001043</v>
      </c>
      <c r="C42" s="31">
        <f t="shared" si="1"/>
        <v>0.998957</v>
      </c>
      <c r="D42" s="17">
        <f t="shared" si="13"/>
        <v>97476.06727</v>
      </c>
      <c r="E42" s="17">
        <f t="shared" si="2"/>
        <v>101.6675382</v>
      </c>
      <c r="F42" s="17">
        <f t="shared" si="3"/>
        <v>97425.2335</v>
      </c>
      <c r="G42" s="17">
        <f t="shared" si="4"/>
        <v>4054225.15</v>
      </c>
      <c r="H42" s="17">
        <f t="shared" si="5"/>
        <v>41.59200575</v>
      </c>
      <c r="I42" s="17">
        <f t="shared" si="6"/>
        <v>41.09200575</v>
      </c>
      <c r="K42" s="17">
        <f t="shared" si="7"/>
        <v>9476.836509</v>
      </c>
      <c r="L42" s="17">
        <f t="shared" si="8"/>
        <v>147872.7622</v>
      </c>
      <c r="M42" s="17">
        <f t="shared" si="9"/>
        <v>2007632.75</v>
      </c>
      <c r="N42" s="17">
        <f t="shared" si="10"/>
        <v>9.324849508</v>
      </c>
      <c r="O42" s="17">
        <f t="shared" si="11"/>
        <v>1106.68016</v>
      </c>
      <c r="P42" s="17">
        <f t="shared" si="12"/>
        <v>34233.17255</v>
      </c>
    </row>
    <row r="43" ht="14.25" customHeight="1">
      <c r="A43" s="17">
        <v>41.0</v>
      </c>
      <c r="B43" s="34">
        <v>0.001168</v>
      </c>
      <c r="C43" s="31">
        <f t="shared" si="1"/>
        <v>0.998832</v>
      </c>
      <c r="D43" s="17">
        <f t="shared" si="13"/>
        <v>97374.39973</v>
      </c>
      <c r="E43" s="17">
        <f t="shared" si="2"/>
        <v>113.7332989</v>
      </c>
      <c r="F43" s="17">
        <f t="shared" si="3"/>
        <v>97317.53308</v>
      </c>
      <c r="G43" s="17">
        <f t="shared" si="4"/>
        <v>3956799.917</v>
      </c>
      <c r="H43" s="17">
        <f t="shared" si="5"/>
        <v>40.63490946</v>
      </c>
      <c r="I43" s="17">
        <f t="shared" si="6"/>
        <v>40.13490946</v>
      </c>
      <c r="K43" s="17">
        <f t="shared" si="7"/>
        <v>8931.086951</v>
      </c>
      <c r="L43" s="17">
        <f t="shared" si="8"/>
        <v>138395.9257</v>
      </c>
      <c r="M43" s="17">
        <f t="shared" si="9"/>
        <v>1859759.988</v>
      </c>
      <c r="N43" s="17">
        <f t="shared" si="10"/>
        <v>9.841046754</v>
      </c>
      <c r="O43" s="17">
        <f t="shared" si="11"/>
        <v>1097.35531</v>
      </c>
      <c r="P43" s="17">
        <f t="shared" si="12"/>
        <v>33126.49239</v>
      </c>
    </row>
    <row r="44" ht="14.25" customHeight="1">
      <c r="A44" s="17">
        <v>42.0</v>
      </c>
      <c r="B44" s="34">
        <v>0.001322</v>
      </c>
      <c r="C44" s="31">
        <f t="shared" si="1"/>
        <v>0.998678</v>
      </c>
      <c r="D44" s="17">
        <f t="shared" si="13"/>
        <v>97260.66643</v>
      </c>
      <c r="E44" s="17">
        <f t="shared" si="2"/>
        <v>128.578601</v>
      </c>
      <c r="F44" s="17">
        <f t="shared" si="3"/>
        <v>97196.37713</v>
      </c>
      <c r="G44" s="17">
        <f t="shared" si="4"/>
        <v>3859482.384</v>
      </c>
      <c r="H44" s="17">
        <f t="shared" si="5"/>
        <v>39.68184185</v>
      </c>
      <c r="I44" s="17">
        <f t="shared" si="6"/>
        <v>39.18184185</v>
      </c>
      <c r="K44" s="17">
        <f t="shared" si="7"/>
        <v>8415.712681</v>
      </c>
      <c r="L44" s="17">
        <f t="shared" si="8"/>
        <v>129464.8387</v>
      </c>
      <c r="M44" s="17">
        <f t="shared" si="9"/>
        <v>1721364.062</v>
      </c>
      <c r="N44" s="17">
        <f t="shared" si="10"/>
        <v>10.4958228</v>
      </c>
      <c r="O44" s="17">
        <f t="shared" si="11"/>
        <v>1087.514264</v>
      </c>
      <c r="P44" s="17">
        <f t="shared" si="12"/>
        <v>32029.13707</v>
      </c>
    </row>
    <row r="45" ht="14.25" customHeight="1">
      <c r="A45" s="17">
        <v>43.0</v>
      </c>
      <c r="B45" s="34">
        <v>0.001505</v>
      </c>
      <c r="C45" s="31">
        <f t="shared" si="1"/>
        <v>0.998495</v>
      </c>
      <c r="D45" s="17">
        <f t="shared" si="13"/>
        <v>97132.08783</v>
      </c>
      <c r="E45" s="17">
        <f t="shared" si="2"/>
        <v>146.1837922</v>
      </c>
      <c r="F45" s="17">
        <f t="shared" si="3"/>
        <v>97058.99593</v>
      </c>
      <c r="G45" s="17">
        <f t="shared" si="4"/>
        <v>3762286.007</v>
      </c>
      <c r="H45" s="17">
        <f t="shared" si="5"/>
        <v>38.73370882</v>
      </c>
      <c r="I45" s="17">
        <f t="shared" si="6"/>
        <v>38.23370882</v>
      </c>
      <c r="K45" s="17">
        <f t="shared" si="7"/>
        <v>7928.855763</v>
      </c>
      <c r="L45" s="17">
        <f t="shared" si="8"/>
        <v>121049.126</v>
      </c>
      <c r="M45" s="17">
        <f t="shared" si="9"/>
        <v>1591899.223</v>
      </c>
      <c r="N45" s="17">
        <f t="shared" si="10"/>
        <v>11.25747917</v>
      </c>
      <c r="O45" s="17">
        <f t="shared" si="11"/>
        <v>1077.018441</v>
      </c>
      <c r="P45" s="17">
        <f t="shared" si="12"/>
        <v>30941.62281</v>
      </c>
    </row>
    <row r="46" ht="14.25" customHeight="1">
      <c r="A46" s="17">
        <v>44.0</v>
      </c>
      <c r="B46" s="34">
        <v>0.001715</v>
      </c>
      <c r="C46" s="31">
        <f t="shared" si="1"/>
        <v>0.998285</v>
      </c>
      <c r="D46" s="17">
        <f t="shared" si="13"/>
        <v>96985.90404</v>
      </c>
      <c r="E46" s="17">
        <f t="shared" si="2"/>
        <v>166.3308254</v>
      </c>
      <c r="F46" s="17">
        <f t="shared" si="3"/>
        <v>96902.73862</v>
      </c>
      <c r="G46" s="17">
        <f t="shared" si="4"/>
        <v>3665227.011</v>
      </c>
      <c r="H46" s="17">
        <f t="shared" si="5"/>
        <v>37.79133728</v>
      </c>
      <c r="I46" s="17">
        <f t="shared" si="6"/>
        <v>37.29133728</v>
      </c>
      <c r="K46" s="17">
        <f t="shared" si="7"/>
        <v>7468.795127</v>
      </c>
      <c r="L46" s="17">
        <f t="shared" si="8"/>
        <v>113120.2703</v>
      </c>
      <c r="M46" s="17">
        <f t="shared" si="9"/>
        <v>1470850.097</v>
      </c>
      <c r="N46" s="17">
        <f t="shared" si="10"/>
        <v>12.08394683</v>
      </c>
      <c r="O46" s="17">
        <f t="shared" si="11"/>
        <v>1065.760962</v>
      </c>
      <c r="P46" s="17">
        <f t="shared" si="12"/>
        <v>29864.60437</v>
      </c>
    </row>
    <row r="47" ht="14.25" customHeight="1">
      <c r="A47" s="17">
        <v>45.0</v>
      </c>
      <c r="B47" s="34">
        <v>0.001948</v>
      </c>
      <c r="C47" s="31">
        <f t="shared" si="1"/>
        <v>0.998052</v>
      </c>
      <c r="D47" s="17">
        <f t="shared" si="13"/>
        <v>96819.57321</v>
      </c>
      <c r="E47" s="17">
        <f t="shared" si="2"/>
        <v>188.6045286</v>
      </c>
      <c r="F47" s="17">
        <f t="shared" si="3"/>
        <v>96725.27095</v>
      </c>
      <c r="G47" s="17">
        <f t="shared" si="4"/>
        <v>3568324.272</v>
      </c>
      <c r="H47" s="17">
        <f t="shared" si="5"/>
        <v>36.85540179</v>
      </c>
      <c r="I47" s="17">
        <f t="shared" si="6"/>
        <v>36.35540179</v>
      </c>
      <c r="K47" s="17">
        <f t="shared" si="7"/>
        <v>7033.949192</v>
      </c>
      <c r="L47" s="17">
        <f t="shared" si="8"/>
        <v>105651.4751</v>
      </c>
      <c r="M47" s="17">
        <f t="shared" si="9"/>
        <v>1357729.827</v>
      </c>
      <c r="N47" s="17">
        <f t="shared" si="10"/>
        <v>12.92654059</v>
      </c>
      <c r="O47" s="17">
        <f t="shared" si="11"/>
        <v>1053.677015</v>
      </c>
      <c r="P47" s="17">
        <f t="shared" si="12"/>
        <v>28798.84341</v>
      </c>
    </row>
    <row r="48" ht="14.25" customHeight="1">
      <c r="A48" s="17">
        <v>46.0</v>
      </c>
      <c r="B48" s="34">
        <v>0.002198</v>
      </c>
      <c r="C48" s="31">
        <f t="shared" si="1"/>
        <v>0.997802</v>
      </c>
      <c r="D48" s="17">
        <f t="shared" si="13"/>
        <v>96630.96868</v>
      </c>
      <c r="E48" s="17">
        <f t="shared" si="2"/>
        <v>212.3948692</v>
      </c>
      <c r="F48" s="17">
        <f t="shared" si="3"/>
        <v>96524.77125</v>
      </c>
      <c r="G48" s="17">
        <f t="shared" si="4"/>
        <v>3471599.001</v>
      </c>
      <c r="H48" s="17">
        <f t="shared" si="5"/>
        <v>35.92636034</v>
      </c>
      <c r="I48" s="17">
        <f t="shared" si="6"/>
        <v>35.42636034</v>
      </c>
      <c r="K48" s="17">
        <f t="shared" si="7"/>
        <v>6622.874584</v>
      </c>
      <c r="L48" s="17">
        <f t="shared" si="8"/>
        <v>98617.52594</v>
      </c>
      <c r="M48" s="17">
        <f t="shared" si="9"/>
        <v>1252078.352</v>
      </c>
      <c r="N48" s="17">
        <f t="shared" si="10"/>
        <v>13.73309277</v>
      </c>
      <c r="O48" s="17">
        <f t="shared" si="11"/>
        <v>1040.750474</v>
      </c>
      <c r="P48" s="17">
        <f t="shared" si="12"/>
        <v>27745.16639</v>
      </c>
    </row>
    <row r="49" ht="14.25" customHeight="1">
      <c r="A49" s="17">
        <v>47.0</v>
      </c>
      <c r="B49" s="34">
        <v>0.002463</v>
      </c>
      <c r="C49" s="31">
        <f t="shared" si="1"/>
        <v>0.997537</v>
      </c>
      <c r="D49" s="17">
        <f t="shared" si="13"/>
        <v>96418.57381</v>
      </c>
      <c r="E49" s="17">
        <f t="shared" si="2"/>
        <v>237.4789473</v>
      </c>
      <c r="F49" s="17">
        <f t="shared" si="3"/>
        <v>96299.83434</v>
      </c>
      <c r="G49" s="17">
        <f t="shared" si="4"/>
        <v>3375074.23</v>
      </c>
      <c r="H49" s="17">
        <f t="shared" si="5"/>
        <v>35.00439901</v>
      </c>
      <c r="I49" s="17">
        <f t="shared" si="6"/>
        <v>34.50439901</v>
      </c>
      <c r="K49" s="17">
        <f t="shared" si="7"/>
        <v>6234.261798</v>
      </c>
      <c r="L49" s="17">
        <f t="shared" si="8"/>
        <v>91994.65136</v>
      </c>
      <c r="M49" s="17">
        <f t="shared" si="9"/>
        <v>1153460.826</v>
      </c>
      <c r="N49" s="17">
        <f t="shared" si="10"/>
        <v>14.48583661</v>
      </c>
      <c r="O49" s="17">
        <f t="shared" si="11"/>
        <v>1027.017382</v>
      </c>
      <c r="P49" s="17">
        <f t="shared" si="12"/>
        <v>26704.41592</v>
      </c>
    </row>
    <row r="50" ht="14.25" customHeight="1">
      <c r="A50" s="17">
        <v>48.0</v>
      </c>
      <c r="B50" s="34">
        <v>0.00274</v>
      </c>
      <c r="C50" s="31">
        <f t="shared" si="1"/>
        <v>0.99726</v>
      </c>
      <c r="D50" s="17">
        <f t="shared" si="13"/>
        <v>96181.09487</v>
      </c>
      <c r="E50" s="17">
        <f t="shared" si="2"/>
        <v>263.5361999</v>
      </c>
      <c r="F50" s="17">
        <f t="shared" si="3"/>
        <v>96049.32677</v>
      </c>
      <c r="G50" s="17">
        <f t="shared" si="4"/>
        <v>3278774.396</v>
      </c>
      <c r="H50" s="17">
        <f t="shared" si="5"/>
        <v>34.08959318</v>
      </c>
      <c r="I50" s="17">
        <f t="shared" si="6"/>
        <v>33.58959318</v>
      </c>
      <c r="K50" s="17">
        <f t="shared" si="7"/>
        <v>5866.893218</v>
      </c>
      <c r="L50" s="17">
        <f t="shared" si="8"/>
        <v>85760.38956</v>
      </c>
      <c r="M50" s="17">
        <f t="shared" si="9"/>
        <v>1061466.175</v>
      </c>
      <c r="N50" s="17">
        <f t="shared" si="10"/>
        <v>15.16536549</v>
      </c>
      <c r="O50" s="17">
        <f t="shared" si="11"/>
        <v>1012.531545</v>
      </c>
      <c r="P50" s="17">
        <f t="shared" si="12"/>
        <v>25677.39854</v>
      </c>
    </row>
    <row r="51" ht="14.25" customHeight="1">
      <c r="A51" s="17">
        <v>49.0</v>
      </c>
      <c r="B51" s="34">
        <v>0.003028</v>
      </c>
      <c r="C51" s="31">
        <f t="shared" si="1"/>
        <v>0.996972</v>
      </c>
      <c r="D51" s="17">
        <f t="shared" si="13"/>
        <v>95917.55867</v>
      </c>
      <c r="E51" s="17">
        <f t="shared" si="2"/>
        <v>290.4383676</v>
      </c>
      <c r="F51" s="17">
        <f t="shared" si="3"/>
        <v>95772.33948</v>
      </c>
      <c r="G51" s="17">
        <f t="shared" si="4"/>
        <v>3182725.069</v>
      </c>
      <c r="H51" s="17">
        <f t="shared" si="5"/>
        <v>33.18188153</v>
      </c>
      <c r="I51" s="17">
        <f t="shared" si="6"/>
        <v>32.68188153</v>
      </c>
      <c r="K51" s="17">
        <f t="shared" si="7"/>
        <v>5519.639557</v>
      </c>
      <c r="L51" s="17">
        <f t="shared" si="8"/>
        <v>79893.49634</v>
      </c>
      <c r="M51" s="17">
        <f t="shared" si="9"/>
        <v>975705.7851</v>
      </c>
      <c r="N51" s="17">
        <f t="shared" si="10"/>
        <v>15.76742319</v>
      </c>
      <c r="O51" s="17">
        <f t="shared" si="11"/>
        <v>997.3661794</v>
      </c>
      <c r="P51" s="17">
        <f t="shared" si="12"/>
        <v>24664.86699</v>
      </c>
    </row>
    <row r="52" ht="14.25" customHeight="1">
      <c r="A52" s="17">
        <v>50.0</v>
      </c>
      <c r="B52" s="34">
        <v>0.00333</v>
      </c>
      <c r="C52" s="31">
        <f t="shared" si="1"/>
        <v>0.99667</v>
      </c>
      <c r="D52" s="17">
        <f t="shared" si="13"/>
        <v>95627.1203</v>
      </c>
      <c r="E52" s="17">
        <f t="shared" si="2"/>
        <v>318.4383106</v>
      </c>
      <c r="F52" s="17">
        <f t="shared" si="3"/>
        <v>95467.90114</v>
      </c>
      <c r="G52" s="17">
        <f t="shared" si="4"/>
        <v>3086952.729</v>
      </c>
      <c r="H52" s="17">
        <f t="shared" si="5"/>
        <v>32.28114284</v>
      </c>
      <c r="I52" s="17">
        <f t="shared" si="6"/>
        <v>31.78114284</v>
      </c>
      <c r="K52" s="17">
        <f t="shared" si="7"/>
        <v>5191.439706</v>
      </c>
      <c r="L52" s="17">
        <f t="shared" si="8"/>
        <v>74373.85678</v>
      </c>
      <c r="M52" s="17">
        <f t="shared" si="9"/>
        <v>895812.2888</v>
      </c>
      <c r="N52" s="17">
        <f t="shared" si="10"/>
        <v>16.30895681</v>
      </c>
      <c r="O52" s="17">
        <f t="shared" si="11"/>
        <v>981.5987562</v>
      </c>
      <c r="P52" s="17">
        <f t="shared" si="12"/>
        <v>23667.50081</v>
      </c>
    </row>
    <row r="53" ht="14.25" customHeight="1">
      <c r="A53" s="17">
        <v>51.0</v>
      </c>
      <c r="B53" s="34">
        <v>0.003647</v>
      </c>
      <c r="C53" s="31">
        <f t="shared" si="1"/>
        <v>0.996353</v>
      </c>
      <c r="D53" s="17">
        <f t="shared" si="13"/>
        <v>95308.68199</v>
      </c>
      <c r="E53" s="17">
        <f t="shared" si="2"/>
        <v>347.5907632</v>
      </c>
      <c r="F53" s="17">
        <f t="shared" si="3"/>
        <v>95134.88661</v>
      </c>
      <c r="G53" s="17">
        <f t="shared" si="4"/>
        <v>2991484.828</v>
      </c>
      <c r="H53" s="17">
        <f t="shared" si="5"/>
        <v>31.38732764</v>
      </c>
      <c r="I53" s="17">
        <f t="shared" si="6"/>
        <v>30.88732764</v>
      </c>
      <c r="K53" s="17">
        <f t="shared" si="7"/>
        <v>4881.275672</v>
      </c>
      <c r="L53" s="17">
        <f t="shared" si="8"/>
        <v>69182.41708</v>
      </c>
      <c r="M53" s="17">
        <f t="shared" si="9"/>
        <v>821438.432</v>
      </c>
      <c r="N53" s="17">
        <f t="shared" si="10"/>
        <v>16.7943513</v>
      </c>
      <c r="O53" s="17">
        <f t="shared" si="11"/>
        <v>965.2897994</v>
      </c>
      <c r="P53" s="17">
        <f t="shared" si="12"/>
        <v>22685.90206</v>
      </c>
    </row>
    <row r="54" ht="14.25" customHeight="1">
      <c r="A54" s="17">
        <v>52.0</v>
      </c>
      <c r="B54" s="34">
        <v>0.00398</v>
      </c>
      <c r="C54" s="31">
        <f t="shared" si="1"/>
        <v>0.99602</v>
      </c>
      <c r="D54" s="17">
        <f t="shared" si="13"/>
        <v>94961.09122</v>
      </c>
      <c r="E54" s="17">
        <f t="shared" si="2"/>
        <v>377.9451431</v>
      </c>
      <c r="F54" s="17">
        <f t="shared" si="3"/>
        <v>94772.11865</v>
      </c>
      <c r="G54" s="17">
        <f t="shared" si="4"/>
        <v>2896349.942</v>
      </c>
      <c r="H54" s="17">
        <f t="shared" si="5"/>
        <v>30.50038604</v>
      </c>
      <c r="I54" s="17">
        <f t="shared" si="6"/>
        <v>30.00038604</v>
      </c>
      <c r="K54" s="17">
        <f t="shared" si="7"/>
        <v>4588.182698</v>
      </c>
      <c r="L54" s="17">
        <f t="shared" si="8"/>
        <v>64301.14141</v>
      </c>
      <c r="M54" s="17">
        <f t="shared" si="9"/>
        <v>752256.0149</v>
      </c>
      <c r="N54" s="17">
        <f t="shared" si="10"/>
        <v>17.22732749</v>
      </c>
      <c r="O54" s="17">
        <f t="shared" si="11"/>
        <v>948.4954481</v>
      </c>
      <c r="P54" s="17">
        <f t="shared" si="12"/>
        <v>21720.61226</v>
      </c>
    </row>
    <row r="55" ht="14.25" customHeight="1">
      <c r="A55" s="17">
        <v>53.0</v>
      </c>
      <c r="B55" s="34">
        <v>0.004331</v>
      </c>
      <c r="C55" s="31">
        <f t="shared" si="1"/>
        <v>0.995669</v>
      </c>
      <c r="D55" s="17">
        <f t="shared" si="13"/>
        <v>94583.14608</v>
      </c>
      <c r="E55" s="17">
        <f t="shared" si="2"/>
        <v>409.6396057</v>
      </c>
      <c r="F55" s="17">
        <f t="shared" si="3"/>
        <v>94378.32628</v>
      </c>
      <c r="G55" s="17">
        <f t="shared" si="4"/>
        <v>2801577.823</v>
      </c>
      <c r="H55" s="17">
        <f t="shared" si="5"/>
        <v>29.6202647</v>
      </c>
      <c r="I55" s="17">
        <f t="shared" si="6"/>
        <v>29.1202647</v>
      </c>
      <c r="K55" s="17">
        <f t="shared" si="7"/>
        <v>4311.246915</v>
      </c>
      <c r="L55" s="17">
        <f t="shared" si="8"/>
        <v>59712.95871</v>
      </c>
      <c r="M55" s="17">
        <f t="shared" si="9"/>
        <v>687954.8735</v>
      </c>
      <c r="N55" s="17">
        <f t="shared" si="10"/>
        <v>17.61510414</v>
      </c>
      <c r="O55" s="17">
        <f t="shared" si="11"/>
        <v>931.2681206</v>
      </c>
      <c r="P55" s="17">
        <f t="shared" si="12"/>
        <v>20772.11681</v>
      </c>
    </row>
    <row r="56" ht="14.25" customHeight="1">
      <c r="A56" s="17">
        <v>54.0</v>
      </c>
      <c r="B56" s="34">
        <v>0.004698</v>
      </c>
      <c r="C56" s="31">
        <f t="shared" si="1"/>
        <v>0.995302</v>
      </c>
      <c r="D56" s="17">
        <f t="shared" si="13"/>
        <v>94173.50648</v>
      </c>
      <c r="E56" s="17">
        <f t="shared" si="2"/>
        <v>442.4271334</v>
      </c>
      <c r="F56" s="17">
        <f t="shared" si="3"/>
        <v>93952.29291</v>
      </c>
      <c r="G56" s="17">
        <f t="shared" si="4"/>
        <v>2707199.497</v>
      </c>
      <c r="H56" s="17">
        <f t="shared" si="5"/>
        <v>28.74693317</v>
      </c>
      <c r="I56" s="17">
        <f t="shared" si="6"/>
        <v>28.24693317</v>
      </c>
      <c r="K56" s="17">
        <f t="shared" si="7"/>
        <v>4049.598967</v>
      </c>
      <c r="L56" s="17">
        <f t="shared" si="8"/>
        <v>55401.71179</v>
      </c>
      <c r="M56" s="17">
        <f t="shared" si="9"/>
        <v>628241.9148</v>
      </c>
      <c r="N56" s="17">
        <f t="shared" si="10"/>
        <v>17.94812825</v>
      </c>
      <c r="O56" s="17">
        <f t="shared" si="11"/>
        <v>913.6530165</v>
      </c>
      <c r="P56" s="17">
        <f t="shared" si="12"/>
        <v>19840.84869</v>
      </c>
    </row>
    <row r="57" ht="14.25" customHeight="1">
      <c r="A57" s="17">
        <v>55.0</v>
      </c>
      <c r="B57" s="34">
        <v>0.005077</v>
      </c>
      <c r="C57" s="31">
        <f t="shared" si="1"/>
        <v>0.994923</v>
      </c>
      <c r="D57" s="17">
        <f t="shared" si="13"/>
        <v>93731.07934</v>
      </c>
      <c r="E57" s="17">
        <f t="shared" si="2"/>
        <v>475.8726898</v>
      </c>
      <c r="F57" s="17">
        <f t="shared" si="3"/>
        <v>93493.143</v>
      </c>
      <c r="G57" s="17">
        <f t="shared" si="4"/>
        <v>2613247.204</v>
      </c>
      <c r="H57" s="17">
        <f t="shared" si="5"/>
        <v>27.88026364</v>
      </c>
      <c r="I57" s="17">
        <f t="shared" si="6"/>
        <v>27.38026364</v>
      </c>
      <c r="K57" s="17">
        <f t="shared" si="7"/>
        <v>3802.428256</v>
      </c>
      <c r="L57" s="17">
        <f t="shared" si="8"/>
        <v>51352.11283</v>
      </c>
      <c r="M57" s="17">
        <f t="shared" si="9"/>
        <v>572840.203</v>
      </c>
      <c r="N57" s="17">
        <f t="shared" si="10"/>
        <v>18.21219647</v>
      </c>
      <c r="O57" s="17">
        <f t="shared" si="11"/>
        <v>895.7048882</v>
      </c>
      <c r="P57" s="17">
        <f t="shared" si="12"/>
        <v>18927.19567</v>
      </c>
    </row>
    <row r="58" ht="14.25" customHeight="1">
      <c r="A58" s="17">
        <v>56.0</v>
      </c>
      <c r="B58" s="34">
        <v>0.005465</v>
      </c>
      <c r="C58" s="31">
        <f t="shared" si="1"/>
        <v>0.994535</v>
      </c>
      <c r="D58" s="17">
        <f t="shared" si="13"/>
        <v>93255.20665</v>
      </c>
      <c r="E58" s="17">
        <f t="shared" si="2"/>
        <v>509.6397044</v>
      </c>
      <c r="F58" s="17">
        <f t="shared" si="3"/>
        <v>93000.3868</v>
      </c>
      <c r="G58" s="17">
        <f t="shared" si="4"/>
        <v>2519754.061</v>
      </c>
      <c r="H58" s="17">
        <f t="shared" si="5"/>
        <v>27.0199826</v>
      </c>
      <c r="I58" s="17">
        <f t="shared" si="6"/>
        <v>26.5199826</v>
      </c>
      <c r="K58" s="17">
        <f t="shared" si="7"/>
        <v>3568.984271</v>
      </c>
      <c r="L58" s="17">
        <f t="shared" si="8"/>
        <v>47549.68457</v>
      </c>
      <c r="M58" s="17">
        <f t="shared" si="9"/>
        <v>521488.0902</v>
      </c>
      <c r="N58" s="17">
        <f t="shared" si="10"/>
        <v>18.40047079</v>
      </c>
      <c r="O58" s="17">
        <f t="shared" si="11"/>
        <v>877.4926918</v>
      </c>
      <c r="P58" s="17">
        <f t="shared" si="12"/>
        <v>18031.49078</v>
      </c>
    </row>
    <row r="59" ht="14.25" customHeight="1">
      <c r="A59" s="17">
        <v>57.0</v>
      </c>
      <c r="B59" s="34">
        <v>0.005861</v>
      </c>
      <c r="C59" s="31">
        <f t="shared" si="1"/>
        <v>0.994139</v>
      </c>
      <c r="D59" s="17">
        <f t="shared" si="13"/>
        <v>92745.56695</v>
      </c>
      <c r="E59" s="17">
        <f t="shared" si="2"/>
        <v>543.5817679</v>
      </c>
      <c r="F59" s="17">
        <f t="shared" si="3"/>
        <v>92473.77606</v>
      </c>
      <c r="G59" s="17">
        <f t="shared" si="4"/>
        <v>2426753.674</v>
      </c>
      <c r="H59" s="17">
        <f t="shared" si="5"/>
        <v>26.1657107</v>
      </c>
      <c r="I59" s="17">
        <f t="shared" si="6"/>
        <v>25.6657107</v>
      </c>
      <c r="K59" s="17">
        <f t="shared" si="7"/>
        <v>3348.565823</v>
      </c>
      <c r="L59" s="17">
        <f t="shared" si="8"/>
        <v>43980.7003</v>
      </c>
      <c r="M59" s="17">
        <f t="shared" si="9"/>
        <v>473938.4056</v>
      </c>
      <c r="N59" s="17">
        <f t="shared" si="10"/>
        <v>18.51504178</v>
      </c>
      <c r="O59" s="17">
        <f t="shared" si="11"/>
        <v>859.092221</v>
      </c>
      <c r="P59" s="17">
        <f t="shared" si="12"/>
        <v>17153.99809</v>
      </c>
    </row>
    <row r="60" ht="14.25" customHeight="1">
      <c r="A60" s="17">
        <v>58.0</v>
      </c>
      <c r="B60" s="34">
        <v>0.006265</v>
      </c>
      <c r="C60" s="31">
        <f t="shared" si="1"/>
        <v>0.993735</v>
      </c>
      <c r="D60" s="17">
        <f t="shared" si="13"/>
        <v>92201.98518</v>
      </c>
      <c r="E60" s="17">
        <f t="shared" si="2"/>
        <v>577.6454372</v>
      </c>
      <c r="F60" s="17">
        <f t="shared" si="3"/>
        <v>91913.16246</v>
      </c>
      <c r="G60" s="17">
        <f t="shared" si="4"/>
        <v>2334279.898</v>
      </c>
      <c r="H60" s="17">
        <f t="shared" si="5"/>
        <v>25.31702428</v>
      </c>
      <c r="I60" s="17">
        <f t="shared" si="6"/>
        <v>24.81702428</v>
      </c>
      <c r="K60" s="17">
        <f t="shared" si="7"/>
        <v>3140.509319</v>
      </c>
      <c r="L60" s="17">
        <f t="shared" si="8"/>
        <v>40632.13448</v>
      </c>
      <c r="M60" s="17">
        <f t="shared" si="9"/>
        <v>429957.7053</v>
      </c>
      <c r="N60" s="17">
        <f t="shared" si="10"/>
        <v>18.56159518</v>
      </c>
      <c r="O60" s="17">
        <f t="shared" si="11"/>
        <v>840.5771792</v>
      </c>
      <c r="P60" s="17">
        <f t="shared" si="12"/>
        <v>16294.90587</v>
      </c>
    </row>
    <row r="61" ht="14.25" customHeight="1">
      <c r="A61" s="17">
        <v>59.0</v>
      </c>
      <c r="B61" s="34">
        <v>0.006694</v>
      </c>
      <c r="C61" s="31">
        <f t="shared" si="1"/>
        <v>0.993306</v>
      </c>
      <c r="D61" s="17">
        <f t="shared" si="13"/>
        <v>91624.33974</v>
      </c>
      <c r="E61" s="17">
        <f t="shared" si="2"/>
        <v>613.3333302</v>
      </c>
      <c r="F61" s="17">
        <f t="shared" si="3"/>
        <v>91317.67308</v>
      </c>
      <c r="G61" s="17">
        <f t="shared" si="4"/>
        <v>2242366.735</v>
      </c>
      <c r="H61" s="17">
        <f t="shared" si="5"/>
        <v>24.47348316</v>
      </c>
      <c r="I61" s="17">
        <f t="shared" si="6"/>
        <v>23.97348316</v>
      </c>
      <c r="K61" s="17">
        <f t="shared" si="7"/>
        <v>2944.183046</v>
      </c>
      <c r="L61" s="17">
        <f t="shared" si="8"/>
        <v>37491.62516</v>
      </c>
      <c r="M61" s="17">
        <f t="shared" si="9"/>
        <v>389325.5709</v>
      </c>
      <c r="N61" s="17">
        <f t="shared" si="10"/>
        <v>18.59279369</v>
      </c>
      <c r="O61" s="17">
        <f t="shared" si="11"/>
        <v>822.015584</v>
      </c>
      <c r="P61" s="17">
        <f t="shared" si="12"/>
        <v>15454.32869</v>
      </c>
    </row>
    <row r="62" ht="14.25" customHeight="1">
      <c r="A62" s="17">
        <v>60.0</v>
      </c>
      <c r="B62" s="34">
        <v>0.00717</v>
      </c>
      <c r="C62" s="31">
        <f t="shared" si="1"/>
        <v>0.99283</v>
      </c>
      <c r="D62" s="17">
        <f t="shared" si="13"/>
        <v>91011.00641</v>
      </c>
      <c r="E62" s="17">
        <f t="shared" si="2"/>
        <v>652.548916</v>
      </c>
      <c r="F62" s="17">
        <f t="shared" si="3"/>
        <v>90684.73196</v>
      </c>
      <c r="G62" s="17">
        <f t="shared" si="4"/>
        <v>2151049.062</v>
      </c>
      <c r="H62" s="17">
        <f t="shared" si="5"/>
        <v>23.63504313</v>
      </c>
      <c r="I62" s="17">
        <f t="shared" si="6"/>
        <v>23.13504313</v>
      </c>
      <c r="K62" s="17">
        <f t="shared" si="7"/>
        <v>2758.938382</v>
      </c>
      <c r="L62" s="17">
        <f t="shared" si="8"/>
        <v>34547.44211</v>
      </c>
      <c r="M62" s="17">
        <f t="shared" si="9"/>
        <v>351833.9457</v>
      </c>
      <c r="N62" s="17">
        <f t="shared" si="10"/>
        <v>18.66187566</v>
      </c>
      <c r="O62" s="17">
        <f t="shared" si="11"/>
        <v>803.4227903</v>
      </c>
      <c r="P62" s="17">
        <f t="shared" si="12"/>
        <v>14632.31311</v>
      </c>
    </row>
    <row r="63" ht="14.25" customHeight="1">
      <c r="A63" s="17">
        <v>61.0</v>
      </c>
      <c r="B63" s="34">
        <v>0.007714</v>
      </c>
      <c r="C63" s="31">
        <f t="shared" si="1"/>
        <v>0.992286</v>
      </c>
      <c r="D63" s="17">
        <f t="shared" si="13"/>
        <v>90358.4575</v>
      </c>
      <c r="E63" s="17">
        <f t="shared" si="2"/>
        <v>697.0251411</v>
      </c>
      <c r="F63" s="17">
        <f t="shared" si="3"/>
        <v>90009.94493</v>
      </c>
      <c r="G63" s="17">
        <f t="shared" si="4"/>
        <v>2060364.33</v>
      </c>
      <c r="H63" s="17">
        <f t="shared" si="5"/>
        <v>22.80211933</v>
      </c>
      <c r="I63" s="17">
        <f t="shared" si="6"/>
        <v>22.30211933</v>
      </c>
      <c r="K63" s="17">
        <f t="shared" si="7"/>
        <v>2584.110182</v>
      </c>
      <c r="L63" s="17">
        <f t="shared" si="8"/>
        <v>31788.50373</v>
      </c>
      <c r="M63" s="17">
        <f t="shared" si="9"/>
        <v>317286.5036</v>
      </c>
      <c r="N63" s="17">
        <f t="shared" si="10"/>
        <v>18.80549618</v>
      </c>
      <c r="O63" s="17">
        <f t="shared" si="11"/>
        <v>784.7609147</v>
      </c>
      <c r="P63" s="17">
        <f t="shared" si="12"/>
        <v>13828.89032</v>
      </c>
    </row>
    <row r="64" ht="14.25" customHeight="1">
      <c r="A64" s="17">
        <v>62.0</v>
      </c>
      <c r="B64" s="34">
        <v>0.008348</v>
      </c>
      <c r="C64" s="31">
        <f t="shared" si="1"/>
        <v>0.991652</v>
      </c>
      <c r="D64" s="17">
        <f t="shared" si="13"/>
        <v>89661.43236</v>
      </c>
      <c r="E64" s="17">
        <f t="shared" si="2"/>
        <v>748.4936373</v>
      </c>
      <c r="F64" s="17">
        <f t="shared" si="3"/>
        <v>89287.18554</v>
      </c>
      <c r="G64" s="17">
        <f t="shared" si="4"/>
        <v>1970354.385</v>
      </c>
      <c r="H64" s="17">
        <f t="shared" si="5"/>
        <v>21.9754953</v>
      </c>
      <c r="I64" s="17">
        <f t="shared" si="6"/>
        <v>21.4754953</v>
      </c>
      <c r="K64" s="17">
        <f t="shared" si="7"/>
        <v>2419.034299</v>
      </c>
      <c r="L64" s="17">
        <f t="shared" si="8"/>
        <v>29204.39355</v>
      </c>
      <c r="M64" s="17">
        <f t="shared" si="9"/>
        <v>285497.9999</v>
      </c>
      <c r="N64" s="17">
        <f t="shared" si="10"/>
        <v>19.05103615</v>
      </c>
      <c r="O64" s="17">
        <f t="shared" si="11"/>
        <v>765.9554185</v>
      </c>
      <c r="P64" s="17">
        <f t="shared" si="12"/>
        <v>13044.1294</v>
      </c>
    </row>
    <row r="65" ht="14.25" customHeight="1">
      <c r="A65" s="17">
        <v>63.0</v>
      </c>
      <c r="B65" s="34">
        <v>0.009093</v>
      </c>
      <c r="C65" s="31">
        <f t="shared" si="1"/>
        <v>0.990907</v>
      </c>
      <c r="D65" s="17">
        <f t="shared" si="13"/>
        <v>88912.93872</v>
      </c>
      <c r="E65" s="17">
        <f t="shared" si="2"/>
        <v>808.4853518</v>
      </c>
      <c r="F65" s="17">
        <f t="shared" si="3"/>
        <v>88508.69604</v>
      </c>
      <c r="G65" s="17">
        <f t="shared" si="4"/>
        <v>1881067.2</v>
      </c>
      <c r="H65" s="17">
        <f t="shared" si="5"/>
        <v>21.15628194</v>
      </c>
      <c r="I65" s="17">
        <f t="shared" si="6"/>
        <v>20.65628194</v>
      </c>
      <c r="K65" s="17">
        <f t="shared" si="7"/>
        <v>2263.056793</v>
      </c>
      <c r="L65" s="17">
        <f t="shared" si="8"/>
        <v>26785.35925</v>
      </c>
      <c r="M65" s="17">
        <f t="shared" si="9"/>
        <v>256293.6063</v>
      </c>
      <c r="N65" s="17">
        <f t="shared" si="10"/>
        <v>19.41318435</v>
      </c>
      <c r="O65" s="17">
        <f t="shared" si="11"/>
        <v>746.9043823</v>
      </c>
      <c r="P65" s="17">
        <f t="shared" si="12"/>
        <v>12278.17399</v>
      </c>
    </row>
    <row r="66" ht="14.25" customHeight="1">
      <c r="A66" s="17">
        <v>64.0</v>
      </c>
      <c r="B66" s="34">
        <v>0.009968</v>
      </c>
      <c r="C66" s="31">
        <f t="shared" si="1"/>
        <v>0.990032</v>
      </c>
      <c r="D66" s="17">
        <f t="shared" si="13"/>
        <v>88104.45337</v>
      </c>
      <c r="E66" s="17">
        <f t="shared" si="2"/>
        <v>878.2251912</v>
      </c>
      <c r="F66" s="17">
        <f t="shared" si="3"/>
        <v>87665.34077</v>
      </c>
      <c r="G66" s="17">
        <f t="shared" si="4"/>
        <v>1792558.504</v>
      </c>
      <c r="H66" s="17">
        <f t="shared" si="5"/>
        <v>20.3458331</v>
      </c>
      <c r="I66" s="17">
        <f t="shared" si="6"/>
        <v>19.8458331</v>
      </c>
      <c r="K66" s="17">
        <f t="shared" si="7"/>
        <v>2115.546054</v>
      </c>
      <c r="L66" s="17">
        <f t="shared" si="8"/>
        <v>24522.30246</v>
      </c>
      <c r="M66" s="17">
        <f t="shared" si="9"/>
        <v>229508.2471</v>
      </c>
      <c r="N66" s="17">
        <f t="shared" si="10"/>
        <v>19.8941161</v>
      </c>
      <c r="O66" s="17">
        <f t="shared" si="11"/>
        <v>727.491198</v>
      </c>
      <c r="P66" s="17">
        <f t="shared" si="12"/>
        <v>11531.2696</v>
      </c>
    </row>
    <row r="67" ht="14.25" customHeight="1">
      <c r="A67" s="17">
        <v>65.0</v>
      </c>
      <c r="B67" s="34">
        <v>0.010993</v>
      </c>
      <c r="C67" s="31">
        <f t="shared" si="1"/>
        <v>0.989007</v>
      </c>
      <c r="D67" s="17">
        <f t="shared" si="13"/>
        <v>87226.22818</v>
      </c>
      <c r="E67" s="17">
        <f t="shared" si="2"/>
        <v>958.8779263</v>
      </c>
      <c r="F67" s="17">
        <f t="shared" si="3"/>
        <v>86746.78921</v>
      </c>
      <c r="G67" s="17">
        <f t="shared" si="4"/>
        <v>1704893.163</v>
      </c>
      <c r="H67" s="17">
        <f t="shared" si="5"/>
        <v>19.54564812</v>
      </c>
      <c r="I67" s="17">
        <f t="shared" si="6"/>
        <v>19.04564812</v>
      </c>
      <c r="K67" s="17">
        <f t="shared" si="7"/>
        <v>1975.904048</v>
      </c>
      <c r="L67" s="17">
        <f t="shared" si="8"/>
        <v>22406.7564</v>
      </c>
      <c r="M67" s="17">
        <f t="shared" si="9"/>
        <v>204985.9446</v>
      </c>
      <c r="N67" s="17">
        <f t="shared" si="10"/>
        <v>20.49161623</v>
      </c>
      <c r="O67" s="17">
        <f t="shared" si="11"/>
        <v>707.5970819</v>
      </c>
      <c r="P67" s="17">
        <f t="shared" si="12"/>
        <v>10803.7784</v>
      </c>
    </row>
    <row r="68" ht="14.25" customHeight="1">
      <c r="A68" s="17">
        <v>66.0</v>
      </c>
      <c r="B68" s="34">
        <v>0.012188</v>
      </c>
      <c r="C68" s="31">
        <f t="shared" si="1"/>
        <v>0.987812</v>
      </c>
      <c r="D68" s="17">
        <f t="shared" si="13"/>
        <v>86267.35025</v>
      </c>
      <c r="E68" s="17">
        <f t="shared" si="2"/>
        <v>1051.426465</v>
      </c>
      <c r="F68" s="17">
        <f t="shared" si="3"/>
        <v>85741.63702</v>
      </c>
      <c r="G68" s="17">
        <f t="shared" si="4"/>
        <v>1618146.374</v>
      </c>
      <c r="H68" s="17">
        <f t="shared" si="5"/>
        <v>18.75734411</v>
      </c>
      <c r="I68" s="17">
        <f t="shared" si="6"/>
        <v>18.25734411</v>
      </c>
      <c r="K68" s="17">
        <f t="shared" si="7"/>
        <v>1843.568806</v>
      </c>
      <c r="L68" s="17">
        <f t="shared" si="8"/>
        <v>20430.85235</v>
      </c>
      <c r="M68" s="17">
        <f t="shared" si="9"/>
        <v>182579.1882</v>
      </c>
      <c r="N68" s="17">
        <f t="shared" si="10"/>
        <v>21.19756284</v>
      </c>
      <c r="O68" s="17">
        <f t="shared" si="11"/>
        <v>687.1054657</v>
      </c>
      <c r="P68" s="17">
        <f t="shared" si="12"/>
        <v>10096.18132</v>
      </c>
    </row>
    <row r="69" ht="14.25" customHeight="1">
      <c r="A69" s="17">
        <v>67.0</v>
      </c>
      <c r="B69" s="34">
        <v>0.013572</v>
      </c>
      <c r="C69" s="31">
        <f t="shared" si="1"/>
        <v>0.986428</v>
      </c>
      <c r="D69" s="17">
        <f t="shared" si="13"/>
        <v>85215.92378</v>
      </c>
      <c r="E69" s="17">
        <f t="shared" si="2"/>
        <v>1156.550518</v>
      </c>
      <c r="F69" s="17">
        <f t="shared" si="3"/>
        <v>84637.64853</v>
      </c>
      <c r="G69" s="17">
        <f t="shared" si="4"/>
        <v>1532404.737</v>
      </c>
      <c r="H69" s="17">
        <f t="shared" si="5"/>
        <v>17.98261016</v>
      </c>
      <c r="I69" s="17">
        <f t="shared" si="6"/>
        <v>17.48261016</v>
      </c>
      <c r="K69" s="17">
        <f t="shared" si="7"/>
        <v>1718.018292</v>
      </c>
      <c r="L69" s="17">
        <f t="shared" si="8"/>
        <v>18587.28355</v>
      </c>
      <c r="M69" s="17">
        <f t="shared" si="9"/>
        <v>162148.3359</v>
      </c>
      <c r="N69" s="17">
        <f t="shared" si="10"/>
        <v>21.99711723</v>
      </c>
      <c r="O69" s="17">
        <f t="shared" si="11"/>
        <v>665.9079028</v>
      </c>
      <c r="P69" s="17">
        <f t="shared" si="12"/>
        <v>9409.075857</v>
      </c>
    </row>
    <row r="70" ht="14.25" customHeight="1">
      <c r="A70" s="17">
        <v>68.0</v>
      </c>
      <c r="B70" s="34">
        <v>0.01516</v>
      </c>
      <c r="C70" s="31">
        <f t="shared" si="1"/>
        <v>0.98484</v>
      </c>
      <c r="D70" s="17">
        <f t="shared" si="13"/>
        <v>84059.37327</v>
      </c>
      <c r="E70" s="17">
        <f t="shared" si="2"/>
        <v>1274.340099</v>
      </c>
      <c r="F70" s="17">
        <f t="shared" si="3"/>
        <v>83422.20322</v>
      </c>
      <c r="G70" s="17">
        <f t="shared" si="4"/>
        <v>1447767.088</v>
      </c>
      <c r="H70" s="17">
        <f t="shared" si="5"/>
        <v>17.22314873</v>
      </c>
      <c r="I70" s="17">
        <f t="shared" si="6"/>
        <v>16.72314873</v>
      </c>
      <c r="K70" s="17">
        <f t="shared" si="7"/>
        <v>1598.774857</v>
      </c>
      <c r="L70" s="17">
        <f t="shared" si="8"/>
        <v>16869.26526</v>
      </c>
      <c r="M70" s="17">
        <f t="shared" si="9"/>
        <v>143561.0523</v>
      </c>
      <c r="N70" s="17">
        <f t="shared" si="10"/>
        <v>22.86549701</v>
      </c>
      <c r="O70" s="17">
        <f t="shared" si="11"/>
        <v>643.9107856</v>
      </c>
      <c r="P70" s="17">
        <f t="shared" si="12"/>
        <v>8743.167954</v>
      </c>
    </row>
    <row r="71" ht="14.25" customHeight="1">
      <c r="A71" s="17">
        <v>69.0</v>
      </c>
      <c r="B71" s="34">
        <v>0.016946</v>
      </c>
      <c r="C71" s="31">
        <f t="shared" si="1"/>
        <v>0.983054</v>
      </c>
      <c r="D71" s="17">
        <f t="shared" si="13"/>
        <v>82785.03317</v>
      </c>
      <c r="E71" s="17">
        <f t="shared" si="2"/>
        <v>1402.875172</v>
      </c>
      <c r="F71" s="17">
        <f t="shared" si="3"/>
        <v>82083.59558</v>
      </c>
      <c r="G71" s="17">
        <f t="shared" si="4"/>
        <v>1364344.885</v>
      </c>
      <c r="H71" s="17">
        <f t="shared" si="5"/>
        <v>16.48057424</v>
      </c>
      <c r="I71" s="17">
        <f t="shared" si="6"/>
        <v>15.98057424</v>
      </c>
      <c r="K71" s="17">
        <f t="shared" si="7"/>
        <v>1485.41267</v>
      </c>
      <c r="L71" s="17">
        <f t="shared" si="8"/>
        <v>15270.4904</v>
      </c>
      <c r="M71" s="17">
        <f t="shared" si="9"/>
        <v>126691.7871</v>
      </c>
      <c r="N71" s="17">
        <f t="shared" si="10"/>
        <v>23.74698406</v>
      </c>
      <c r="O71" s="17">
        <f t="shared" si="11"/>
        <v>621.0452886</v>
      </c>
      <c r="P71" s="17">
        <f t="shared" si="12"/>
        <v>8099.257169</v>
      </c>
    </row>
    <row r="72" ht="14.25" customHeight="1">
      <c r="A72" s="17">
        <v>70.0</v>
      </c>
      <c r="B72" s="34">
        <v>0.01892</v>
      </c>
      <c r="C72" s="31">
        <f t="shared" si="1"/>
        <v>0.98108</v>
      </c>
      <c r="D72" s="17">
        <f t="shared" si="13"/>
        <v>81382.158</v>
      </c>
      <c r="E72" s="17">
        <f t="shared" si="2"/>
        <v>1539.750429</v>
      </c>
      <c r="F72" s="17">
        <f t="shared" si="3"/>
        <v>80612.28278</v>
      </c>
      <c r="G72" s="17">
        <f t="shared" si="4"/>
        <v>1282261.289</v>
      </c>
      <c r="H72" s="17">
        <f t="shared" si="5"/>
        <v>15.75604925</v>
      </c>
      <c r="I72" s="17">
        <f t="shared" si="6"/>
        <v>15.25604925</v>
      </c>
      <c r="K72" s="17">
        <f t="shared" si="7"/>
        <v>1377.585723</v>
      </c>
      <c r="L72" s="17">
        <f t="shared" si="8"/>
        <v>13785.07773</v>
      </c>
      <c r="M72" s="17">
        <f t="shared" si="9"/>
        <v>111421.2967</v>
      </c>
      <c r="N72" s="17">
        <f t="shared" si="10"/>
        <v>24.58860555</v>
      </c>
      <c r="O72" s="17">
        <f t="shared" si="11"/>
        <v>597.2983045</v>
      </c>
      <c r="P72" s="17">
        <f t="shared" si="12"/>
        <v>7478.21188</v>
      </c>
    </row>
    <row r="73" ht="14.25" customHeight="1">
      <c r="A73" s="17">
        <v>71.0</v>
      </c>
      <c r="B73" s="34">
        <v>0.021071</v>
      </c>
      <c r="C73" s="31">
        <f t="shared" si="1"/>
        <v>0.978929</v>
      </c>
      <c r="D73" s="17">
        <f t="shared" si="13"/>
        <v>79842.40757</v>
      </c>
      <c r="E73" s="17">
        <f t="shared" si="2"/>
        <v>1682.35937</v>
      </c>
      <c r="F73" s="17">
        <f t="shared" si="3"/>
        <v>79001.22788</v>
      </c>
      <c r="G73" s="17">
        <f t="shared" si="4"/>
        <v>1201649.007</v>
      </c>
      <c r="H73" s="17">
        <f t="shared" si="5"/>
        <v>15.05026017</v>
      </c>
      <c r="I73" s="17">
        <f t="shared" si="6"/>
        <v>14.55026017</v>
      </c>
      <c r="K73" s="17">
        <f t="shared" si="7"/>
        <v>1275.020567</v>
      </c>
      <c r="L73" s="17">
        <f t="shared" si="8"/>
        <v>12407.49201</v>
      </c>
      <c r="M73" s="17">
        <f t="shared" si="9"/>
        <v>97636.21893</v>
      </c>
      <c r="N73" s="17">
        <f t="shared" si="10"/>
        <v>25.34524375</v>
      </c>
      <c r="O73" s="17">
        <f t="shared" si="11"/>
        <v>572.709699</v>
      </c>
      <c r="P73" s="17">
        <f t="shared" si="12"/>
        <v>6880.913576</v>
      </c>
    </row>
    <row r="74" ht="14.25" customHeight="1">
      <c r="A74" s="17">
        <v>72.0</v>
      </c>
      <c r="B74" s="34">
        <v>0.023388</v>
      </c>
      <c r="C74" s="31">
        <f t="shared" si="1"/>
        <v>0.976612</v>
      </c>
      <c r="D74" s="17">
        <f t="shared" si="13"/>
        <v>78160.0482</v>
      </c>
      <c r="E74" s="17">
        <f t="shared" si="2"/>
        <v>1828.007207</v>
      </c>
      <c r="F74" s="17">
        <f t="shared" si="3"/>
        <v>77246.04459</v>
      </c>
      <c r="G74" s="17">
        <f t="shared" si="4"/>
        <v>1122647.779</v>
      </c>
      <c r="H74" s="17">
        <f t="shared" si="5"/>
        <v>14.36344788</v>
      </c>
      <c r="I74" s="17">
        <f t="shared" si="6"/>
        <v>13.86344788</v>
      </c>
      <c r="K74" s="17">
        <f t="shared" si="7"/>
        <v>1177.504348</v>
      </c>
      <c r="L74" s="17">
        <f t="shared" si="8"/>
        <v>11132.47144</v>
      </c>
      <c r="M74" s="17">
        <f t="shared" si="9"/>
        <v>85228.72693</v>
      </c>
      <c r="N74" s="17">
        <f t="shared" si="10"/>
        <v>25.98063367</v>
      </c>
      <c r="O74" s="17">
        <f t="shared" si="11"/>
        <v>547.3644552</v>
      </c>
      <c r="P74" s="17">
        <f t="shared" si="12"/>
        <v>6308.203877</v>
      </c>
    </row>
    <row r="75" ht="14.25" customHeight="1">
      <c r="A75" s="17">
        <v>73.0</v>
      </c>
      <c r="B75" s="34">
        <v>0.025871</v>
      </c>
      <c r="C75" s="31">
        <f t="shared" si="1"/>
        <v>0.974129</v>
      </c>
      <c r="D75" s="17">
        <f t="shared" si="13"/>
        <v>76332.04099</v>
      </c>
      <c r="E75" s="17">
        <f t="shared" si="2"/>
        <v>1974.786232</v>
      </c>
      <c r="F75" s="17">
        <f t="shared" si="3"/>
        <v>75344.64787</v>
      </c>
      <c r="G75" s="17">
        <f t="shared" si="4"/>
        <v>1045401.734</v>
      </c>
      <c r="H75" s="17">
        <f t="shared" si="5"/>
        <v>13.69545109</v>
      </c>
      <c r="I75" s="17">
        <f t="shared" si="6"/>
        <v>13.19545109</v>
      </c>
      <c r="K75" s="17">
        <f t="shared" si="7"/>
        <v>1084.872525</v>
      </c>
      <c r="L75" s="17">
        <f t="shared" si="8"/>
        <v>9954.96709</v>
      </c>
      <c r="M75" s="17">
        <f t="shared" si="9"/>
        <v>74096.25549</v>
      </c>
      <c r="N75" s="17">
        <f t="shared" si="10"/>
        <v>26.47805386</v>
      </c>
      <c r="O75" s="17">
        <f t="shared" si="11"/>
        <v>521.3838216</v>
      </c>
      <c r="P75" s="17">
        <f t="shared" si="12"/>
        <v>5760.839421</v>
      </c>
    </row>
    <row r="76" ht="14.25" customHeight="1">
      <c r="A76" s="17">
        <v>74.0</v>
      </c>
      <c r="B76" s="34">
        <v>0.028552</v>
      </c>
      <c r="C76" s="31">
        <f t="shared" si="1"/>
        <v>0.971448</v>
      </c>
      <c r="D76" s="17">
        <f t="shared" si="13"/>
        <v>74357.25476</v>
      </c>
      <c r="E76" s="17">
        <f t="shared" si="2"/>
        <v>2123.048338</v>
      </c>
      <c r="F76" s="17">
        <f t="shared" si="3"/>
        <v>73295.73059</v>
      </c>
      <c r="G76" s="17">
        <f t="shared" si="4"/>
        <v>970057.0864</v>
      </c>
      <c r="H76" s="17">
        <f t="shared" si="5"/>
        <v>13.04589699</v>
      </c>
      <c r="I76" s="17">
        <f t="shared" si="6"/>
        <v>12.54589699</v>
      </c>
      <c r="K76" s="17">
        <f t="shared" si="7"/>
        <v>996.9865922</v>
      </c>
      <c r="L76" s="17">
        <f t="shared" si="8"/>
        <v>8870.094566</v>
      </c>
      <c r="M76" s="17">
        <f t="shared" si="9"/>
        <v>64141.2884</v>
      </c>
      <c r="N76" s="17">
        <f t="shared" si="10"/>
        <v>26.85468036</v>
      </c>
      <c r="O76" s="17">
        <f t="shared" si="11"/>
        <v>494.9057677</v>
      </c>
      <c r="P76" s="17">
        <f t="shared" si="12"/>
        <v>5239.4556</v>
      </c>
    </row>
    <row r="77" ht="14.25" customHeight="1">
      <c r="A77" s="17">
        <v>75.0</v>
      </c>
      <c r="B77" s="34">
        <v>0.031477</v>
      </c>
      <c r="C77" s="31">
        <f t="shared" si="1"/>
        <v>0.968523</v>
      </c>
      <c r="D77" s="17">
        <f t="shared" si="13"/>
        <v>72234.20642</v>
      </c>
      <c r="E77" s="17">
        <f t="shared" si="2"/>
        <v>2273.716115</v>
      </c>
      <c r="F77" s="17">
        <f t="shared" si="3"/>
        <v>71097.34836</v>
      </c>
      <c r="G77" s="17">
        <f t="shared" si="4"/>
        <v>896761.3558</v>
      </c>
      <c r="H77" s="17">
        <f t="shared" si="5"/>
        <v>12.41463567</v>
      </c>
      <c r="I77" s="17">
        <f t="shared" si="6"/>
        <v>11.91463567</v>
      </c>
      <c r="K77" s="17">
        <f t="shared" si="7"/>
        <v>913.6987085</v>
      </c>
      <c r="L77" s="17">
        <f t="shared" si="8"/>
        <v>7873.107973</v>
      </c>
      <c r="M77" s="17">
        <f t="shared" si="9"/>
        <v>55271.19383</v>
      </c>
      <c r="N77" s="17">
        <f t="shared" si="10"/>
        <v>27.13254174</v>
      </c>
      <c r="O77" s="17">
        <f t="shared" si="11"/>
        <v>468.0510874</v>
      </c>
      <c r="P77" s="17">
        <f t="shared" si="12"/>
        <v>4744.549832</v>
      </c>
    </row>
    <row r="78" ht="14.25" customHeight="1">
      <c r="A78" s="17">
        <v>76.0</v>
      </c>
      <c r="B78" s="34">
        <v>0.034686</v>
      </c>
      <c r="C78" s="31">
        <f t="shared" si="1"/>
        <v>0.965314</v>
      </c>
      <c r="D78" s="17">
        <f t="shared" si="13"/>
        <v>69960.4903</v>
      </c>
      <c r="E78" s="17">
        <f t="shared" si="2"/>
        <v>2426.649567</v>
      </c>
      <c r="F78" s="17">
        <f t="shared" si="3"/>
        <v>68747.16552</v>
      </c>
      <c r="G78" s="17">
        <f t="shared" si="4"/>
        <v>825664.0074</v>
      </c>
      <c r="H78" s="17">
        <f t="shared" si="5"/>
        <v>11.80186136</v>
      </c>
      <c r="I78" s="17">
        <f t="shared" si="6"/>
        <v>11.30186136</v>
      </c>
      <c r="K78" s="17">
        <f t="shared" si="7"/>
        <v>834.8473719</v>
      </c>
      <c r="L78" s="17">
        <f t="shared" si="8"/>
        <v>6959.409265</v>
      </c>
      <c r="M78" s="17">
        <f t="shared" si="9"/>
        <v>47398.08586</v>
      </c>
      <c r="N78" s="17">
        <f t="shared" si="10"/>
        <v>27.31841127</v>
      </c>
      <c r="O78" s="17">
        <f t="shared" si="11"/>
        <v>440.9185456</v>
      </c>
      <c r="P78" s="17">
        <f t="shared" si="12"/>
        <v>4276.498745</v>
      </c>
    </row>
    <row r="79" ht="14.25" customHeight="1">
      <c r="A79" s="17">
        <v>77.0</v>
      </c>
      <c r="B79" s="34">
        <v>0.038225</v>
      </c>
      <c r="C79" s="31">
        <f t="shared" si="1"/>
        <v>0.961775</v>
      </c>
      <c r="D79" s="17">
        <f t="shared" si="13"/>
        <v>67533.84074</v>
      </c>
      <c r="E79" s="17">
        <f t="shared" si="2"/>
        <v>2581.481062</v>
      </c>
      <c r="F79" s="17">
        <f t="shared" si="3"/>
        <v>66243.10021</v>
      </c>
      <c r="G79" s="17">
        <f t="shared" si="4"/>
        <v>756916.8419</v>
      </c>
      <c r="H79" s="17">
        <f t="shared" si="5"/>
        <v>11.20796379</v>
      </c>
      <c r="I79" s="17">
        <f t="shared" si="6"/>
        <v>10.70796379</v>
      </c>
      <c r="K79" s="17">
        <f t="shared" si="7"/>
        <v>760.273449</v>
      </c>
      <c r="L79" s="17">
        <f t="shared" si="8"/>
        <v>6124.561893</v>
      </c>
      <c r="M79" s="17">
        <f t="shared" si="9"/>
        <v>40438.67659</v>
      </c>
      <c r="N79" s="17">
        <f t="shared" si="10"/>
        <v>27.41646471</v>
      </c>
      <c r="O79" s="17">
        <f t="shared" si="11"/>
        <v>413.6001343</v>
      </c>
      <c r="P79" s="17">
        <f t="shared" si="12"/>
        <v>3835.580199</v>
      </c>
    </row>
    <row r="80" ht="14.25" customHeight="1">
      <c r="A80" s="17">
        <v>78.0</v>
      </c>
      <c r="B80" s="34">
        <v>0.042132</v>
      </c>
      <c r="C80" s="31">
        <f t="shared" si="1"/>
        <v>0.957868</v>
      </c>
      <c r="D80" s="17">
        <f t="shared" si="13"/>
        <v>64952.35968</v>
      </c>
      <c r="E80" s="17">
        <f t="shared" si="2"/>
        <v>2736.572818</v>
      </c>
      <c r="F80" s="17">
        <f t="shared" si="3"/>
        <v>63584.07327</v>
      </c>
      <c r="G80" s="17">
        <f t="shared" si="4"/>
        <v>690673.7417</v>
      </c>
      <c r="H80" s="17">
        <f t="shared" si="5"/>
        <v>10.63354349</v>
      </c>
      <c r="I80" s="17">
        <f t="shared" si="6"/>
        <v>10.13354349</v>
      </c>
      <c r="K80" s="17">
        <f t="shared" si="7"/>
        <v>689.8226382</v>
      </c>
      <c r="L80" s="17">
        <f t="shared" si="8"/>
        <v>5364.288444</v>
      </c>
      <c r="M80" s="17">
        <f t="shared" si="9"/>
        <v>34314.1147</v>
      </c>
      <c r="N80" s="17">
        <f t="shared" si="10"/>
        <v>27.41849754</v>
      </c>
      <c r="O80" s="17">
        <f t="shared" si="11"/>
        <v>386.1836696</v>
      </c>
      <c r="P80" s="17">
        <f t="shared" si="12"/>
        <v>3421.980065</v>
      </c>
    </row>
    <row r="81" ht="14.25" customHeight="1">
      <c r="A81" s="17">
        <v>79.0</v>
      </c>
      <c r="B81" s="34">
        <v>0.046427</v>
      </c>
      <c r="C81" s="31">
        <f t="shared" si="1"/>
        <v>0.953573</v>
      </c>
      <c r="D81" s="17">
        <f t="shared" si="13"/>
        <v>62215.78686</v>
      </c>
      <c r="E81" s="17">
        <f t="shared" si="2"/>
        <v>2888.492336</v>
      </c>
      <c r="F81" s="17">
        <f t="shared" si="3"/>
        <v>60771.54069</v>
      </c>
      <c r="G81" s="17">
        <f t="shared" si="4"/>
        <v>627089.6684</v>
      </c>
      <c r="H81" s="17">
        <f t="shared" si="5"/>
        <v>10.07926927</v>
      </c>
      <c r="I81" s="17">
        <f t="shared" si="6"/>
        <v>9.579269267</v>
      </c>
      <c r="K81" s="17">
        <f t="shared" si="7"/>
        <v>623.3575762</v>
      </c>
      <c r="L81" s="17">
        <f t="shared" si="8"/>
        <v>4674.465806</v>
      </c>
      <c r="M81" s="17">
        <f t="shared" si="9"/>
        <v>28949.82626</v>
      </c>
      <c r="N81" s="17">
        <f t="shared" si="10"/>
        <v>27.30247376</v>
      </c>
      <c r="O81" s="17">
        <f t="shared" si="11"/>
        <v>358.7651721</v>
      </c>
      <c r="P81" s="17">
        <f t="shared" si="12"/>
        <v>3035.796395</v>
      </c>
    </row>
    <row r="82" ht="14.25" customHeight="1">
      <c r="A82" s="17">
        <v>80.0</v>
      </c>
      <c r="B82" s="34">
        <v>0.051128</v>
      </c>
      <c r="C82" s="31">
        <f t="shared" si="1"/>
        <v>0.948872</v>
      </c>
      <c r="D82" s="17">
        <f t="shared" si="13"/>
        <v>59327.29452</v>
      </c>
      <c r="E82" s="17">
        <f t="shared" si="2"/>
        <v>3033.285914</v>
      </c>
      <c r="F82" s="17">
        <f t="shared" si="3"/>
        <v>57810.65156</v>
      </c>
      <c r="G82" s="17">
        <f t="shared" si="4"/>
        <v>566318.1277</v>
      </c>
      <c r="H82" s="17">
        <f t="shared" si="5"/>
        <v>9.545659081</v>
      </c>
      <c r="I82" s="17">
        <f t="shared" si="6"/>
        <v>9.045659081</v>
      </c>
      <c r="K82" s="17">
        <f t="shared" si="7"/>
        <v>560.7707113</v>
      </c>
      <c r="L82" s="17">
        <f t="shared" si="8"/>
        <v>4051.10823</v>
      </c>
      <c r="M82" s="17">
        <f t="shared" si="9"/>
        <v>24275.36045</v>
      </c>
      <c r="N82" s="17">
        <f t="shared" si="10"/>
        <v>27.04819333</v>
      </c>
      <c r="O82" s="17">
        <f t="shared" si="11"/>
        <v>331.4626983</v>
      </c>
      <c r="P82" s="17">
        <f t="shared" si="12"/>
        <v>2677.031223</v>
      </c>
    </row>
    <row r="83" ht="14.25" customHeight="1">
      <c r="A83" s="17">
        <v>81.0</v>
      </c>
      <c r="B83" s="34">
        <v>0.05625</v>
      </c>
      <c r="C83" s="31">
        <f t="shared" si="1"/>
        <v>0.94375</v>
      </c>
      <c r="D83" s="17">
        <f t="shared" si="13"/>
        <v>56294.00861</v>
      </c>
      <c r="E83" s="17">
        <f t="shared" si="2"/>
        <v>3166.537984</v>
      </c>
      <c r="F83" s="17">
        <f t="shared" si="3"/>
        <v>54710.73961</v>
      </c>
      <c r="G83" s="17">
        <f t="shared" si="4"/>
        <v>508507.4762</v>
      </c>
      <c r="H83" s="17">
        <f t="shared" si="5"/>
        <v>9.033065663</v>
      </c>
      <c r="I83" s="17">
        <f t="shared" si="6"/>
        <v>8.533065663</v>
      </c>
      <c r="K83" s="17">
        <f t="shared" si="7"/>
        <v>501.9807796</v>
      </c>
      <c r="L83" s="17">
        <f t="shared" si="8"/>
        <v>3490.337518</v>
      </c>
      <c r="M83" s="17">
        <f t="shared" si="9"/>
        <v>20224.25222</v>
      </c>
      <c r="N83" s="17">
        <f t="shared" si="10"/>
        <v>26.63813099</v>
      </c>
      <c r="O83" s="17">
        <f t="shared" si="11"/>
        <v>304.414505</v>
      </c>
      <c r="P83" s="17">
        <f t="shared" si="12"/>
        <v>2345.568525</v>
      </c>
    </row>
    <row r="84" ht="14.25" customHeight="1">
      <c r="A84" s="17">
        <v>82.0</v>
      </c>
      <c r="B84" s="34">
        <v>0.061809</v>
      </c>
      <c r="C84" s="31">
        <f t="shared" si="1"/>
        <v>0.938191</v>
      </c>
      <c r="D84" s="17">
        <f t="shared" si="13"/>
        <v>53127.47062</v>
      </c>
      <c r="E84" s="17">
        <f t="shared" si="2"/>
        <v>3283.755832</v>
      </c>
      <c r="F84" s="17">
        <f t="shared" si="3"/>
        <v>51485.59271</v>
      </c>
      <c r="G84" s="17">
        <f t="shared" si="4"/>
        <v>453796.7365</v>
      </c>
      <c r="H84" s="17">
        <f t="shared" si="5"/>
        <v>8.54165898</v>
      </c>
      <c r="I84" s="17">
        <f t="shared" si="6"/>
        <v>8.04165898</v>
      </c>
      <c r="K84" s="17">
        <f t="shared" si="7"/>
        <v>446.9286422</v>
      </c>
      <c r="L84" s="17">
        <f t="shared" si="8"/>
        <v>2988.356739</v>
      </c>
      <c r="M84" s="17">
        <f t="shared" si="9"/>
        <v>16733.9147</v>
      </c>
      <c r="N84" s="17">
        <f t="shared" si="10"/>
        <v>26.06057778</v>
      </c>
      <c r="O84" s="17">
        <f t="shared" si="11"/>
        <v>277.776374</v>
      </c>
      <c r="P84" s="17">
        <f t="shared" si="12"/>
        <v>2041.15402</v>
      </c>
    </row>
    <row r="85" ht="14.25" customHeight="1">
      <c r="A85" s="17">
        <v>83.0</v>
      </c>
      <c r="B85" s="34">
        <v>0.067826</v>
      </c>
      <c r="C85" s="31">
        <f t="shared" si="1"/>
        <v>0.932174</v>
      </c>
      <c r="D85" s="17">
        <f t="shared" si="13"/>
        <v>49843.71479</v>
      </c>
      <c r="E85" s="17">
        <f t="shared" si="2"/>
        <v>3380.699799</v>
      </c>
      <c r="F85" s="17">
        <f t="shared" si="3"/>
        <v>48153.36489</v>
      </c>
      <c r="G85" s="17">
        <f t="shared" si="4"/>
        <v>402311.1438</v>
      </c>
      <c r="H85" s="17">
        <f t="shared" si="5"/>
        <v>8.071451848</v>
      </c>
      <c r="I85" s="17">
        <f t="shared" si="6"/>
        <v>7.571451848</v>
      </c>
      <c r="K85" s="17">
        <f t="shared" si="7"/>
        <v>395.5702168</v>
      </c>
      <c r="L85" s="17">
        <f t="shared" si="8"/>
        <v>2541.428096</v>
      </c>
      <c r="M85" s="17">
        <f t="shared" si="9"/>
        <v>13745.55796</v>
      </c>
      <c r="N85" s="17">
        <f t="shared" si="10"/>
        <v>25.31126936</v>
      </c>
      <c r="O85" s="17">
        <f t="shared" si="11"/>
        <v>251.7157962</v>
      </c>
      <c r="P85" s="17">
        <f t="shared" si="12"/>
        <v>1763.377646</v>
      </c>
    </row>
    <row r="86" ht="14.25" customHeight="1">
      <c r="A86" s="17">
        <v>84.0</v>
      </c>
      <c r="B86" s="34">
        <v>0.074322</v>
      </c>
      <c r="C86" s="31">
        <f t="shared" si="1"/>
        <v>0.925678</v>
      </c>
      <c r="D86" s="17">
        <f t="shared" si="13"/>
        <v>46463.01499</v>
      </c>
      <c r="E86" s="17">
        <f t="shared" si="2"/>
        <v>3453.2242</v>
      </c>
      <c r="F86" s="17">
        <f t="shared" si="3"/>
        <v>44736.40289</v>
      </c>
      <c r="G86" s="17">
        <f t="shared" si="4"/>
        <v>354157.7789</v>
      </c>
      <c r="H86" s="17">
        <f t="shared" si="5"/>
        <v>7.622358967</v>
      </c>
      <c r="I86" s="17">
        <f t="shared" si="6"/>
        <v>7.122358967</v>
      </c>
      <c r="K86" s="17">
        <f t="shared" si="7"/>
        <v>347.8681804</v>
      </c>
      <c r="L86" s="17">
        <f t="shared" si="8"/>
        <v>2145.85788</v>
      </c>
      <c r="M86" s="17">
        <f t="shared" si="9"/>
        <v>11204.12987</v>
      </c>
      <c r="N86" s="17">
        <f t="shared" si="10"/>
        <v>24.39081029</v>
      </c>
      <c r="O86" s="17">
        <f t="shared" si="11"/>
        <v>226.4045269</v>
      </c>
      <c r="P86" s="17">
        <f t="shared" si="12"/>
        <v>1511.66185</v>
      </c>
    </row>
    <row r="87" ht="14.25" customHeight="1">
      <c r="A87" s="17">
        <v>85.0</v>
      </c>
      <c r="B87" s="34">
        <v>0.081326</v>
      </c>
      <c r="C87" s="31">
        <f t="shared" si="1"/>
        <v>0.918674</v>
      </c>
      <c r="D87" s="17">
        <f t="shared" si="13"/>
        <v>43009.79079</v>
      </c>
      <c r="E87" s="17">
        <f t="shared" si="2"/>
        <v>3497.814246</v>
      </c>
      <c r="F87" s="17">
        <f t="shared" si="3"/>
        <v>41260.88367</v>
      </c>
      <c r="G87" s="17">
        <f t="shared" si="4"/>
        <v>309421.3761</v>
      </c>
      <c r="H87" s="17">
        <f t="shared" si="5"/>
        <v>7.194207885</v>
      </c>
      <c r="I87" s="17">
        <f t="shared" si="6"/>
        <v>6.694207885</v>
      </c>
      <c r="K87" s="17">
        <f t="shared" si="7"/>
        <v>303.7867184</v>
      </c>
      <c r="L87" s="17">
        <f t="shared" si="8"/>
        <v>1797.989699</v>
      </c>
      <c r="M87" s="17">
        <f t="shared" si="9"/>
        <v>9058.271987</v>
      </c>
      <c r="N87" s="17">
        <f t="shared" si="10"/>
        <v>23.30731949</v>
      </c>
      <c r="O87" s="17">
        <f t="shared" si="11"/>
        <v>202.0137166</v>
      </c>
      <c r="P87" s="17">
        <f t="shared" si="12"/>
        <v>1285.257323</v>
      </c>
    </row>
    <row r="88" ht="14.25" customHeight="1">
      <c r="A88" s="17">
        <v>86.0</v>
      </c>
      <c r="B88" s="34">
        <v>0.088863</v>
      </c>
      <c r="C88" s="31">
        <f t="shared" si="1"/>
        <v>0.911137</v>
      </c>
      <c r="D88" s="17">
        <f t="shared" si="13"/>
        <v>39511.97655</v>
      </c>
      <c r="E88" s="17">
        <f t="shared" si="2"/>
        <v>3511.152772</v>
      </c>
      <c r="F88" s="17">
        <f t="shared" si="3"/>
        <v>37756.40016</v>
      </c>
      <c r="G88" s="17">
        <f t="shared" si="4"/>
        <v>268160.4924</v>
      </c>
      <c r="H88" s="17">
        <f t="shared" si="5"/>
        <v>6.786815438</v>
      </c>
      <c r="I88" s="17">
        <f t="shared" si="6"/>
        <v>6.286815438</v>
      </c>
      <c r="K88" s="17">
        <f t="shared" si="7"/>
        <v>263.2839243</v>
      </c>
      <c r="L88" s="17">
        <f t="shared" si="8"/>
        <v>1494.202981</v>
      </c>
      <c r="M88" s="17">
        <f t="shared" si="9"/>
        <v>7260.282287</v>
      </c>
      <c r="N88" s="17">
        <f t="shared" si="10"/>
        <v>22.07188619</v>
      </c>
      <c r="O88" s="17">
        <f t="shared" si="11"/>
        <v>178.7063971</v>
      </c>
      <c r="P88" s="17">
        <f t="shared" si="12"/>
        <v>1083.243606</v>
      </c>
    </row>
    <row r="89" ht="14.25" customHeight="1">
      <c r="A89" s="17">
        <v>87.0</v>
      </c>
      <c r="B89" s="34">
        <v>0.096958</v>
      </c>
      <c r="C89" s="31">
        <f t="shared" si="1"/>
        <v>0.903042</v>
      </c>
      <c r="D89" s="17">
        <f t="shared" si="13"/>
        <v>36000.82377</v>
      </c>
      <c r="E89" s="17">
        <f t="shared" si="2"/>
        <v>3490.567871</v>
      </c>
      <c r="F89" s="17">
        <f t="shared" si="3"/>
        <v>34255.53984</v>
      </c>
      <c r="G89" s="17">
        <f t="shared" si="4"/>
        <v>230404.0922</v>
      </c>
      <c r="H89" s="17">
        <f t="shared" si="5"/>
        <v>6.399967225</v>
      </c>
      <c r="I89" s="17">
        <f t="shared" si="6"/>
        <v>5.899967225</v>
      </c>
      <c r="K89" s="17">
        <f t="shared" si="7"/>
        <v>226.3091745</v>
      </c>
      <c r="L89" s="17">
        <f t="shared" si="8"/>
        <v>1230.919057</v>
      </c>
      <c r="M89" s="17">
        <f t="shared" si="9"/>
        <v>5766.079306</v>
      </c>
      <c r="N89" s="17">
        <f t="shared" si="10"/>
        <v>20.70045749</v>
      </c>
      <c r="O89" s="17">
        <f t="shared" si="11"/>
        <v>156.6345109</v>
      </c>
      <c r="P89" s="17">
        <f t="shared" si="12"/>
        <v>904.537209</v>
      </c>
    </row>
    <row r="90" ht="14.25" customHeight="1">
      <c r="A90" s="17">
        <v>88.0</v>
      </c>
      <c r="B90" s="34">
        <v>0.105631</v>
      </c>
      <c r="C90" s="31">
        <f t="shared" si="1"/>
        <v>0.894369</v>
      </c>
      <c r="D90" s="17">
        <f t="shared" si="13"/>
        <v>32510.2559</v>
      </c>
      <c r="E90" s="17">
        <f t="shared" si="2"/>
        <v>3434.090841</v>
      </c>
      <c r="F90" s="17">
        <f t="shared" si="3"/>
        <v>30793.21048</v>
      </c>
      <c r="G90" s="17">
        <f t="shared" si="4"/>
        <v>196148.5524</v>
      </c>
      <c r="H90" s="17">
        <f t="shared" si="5"/>
        <v>6.033436125</v>
      </c>
      <c r="I90" s="17">
        <f t="shared" si="6"/>
        <v>5.533436125</v>
      </c>
      <c r="K90" s="17">
        <f t="shared" si="7"/>
        <v>192.7987637</v>
      </c>
      <c r="L90" s="17">
        <f t="shared" si="8"/>
        <v>1004.609882</v>
      </c>
      <c r="M90" s="17">
        <f t="shared" si="9"/>
        <v>4535.16025</v>
      </c>
      <c r="N90" s="17">
        <f t="shared" si="10"/>
        <v>19.21276057</v>
      </c>
      <c r="O90" s="17">
        <f t="shared" si="11"/>
        <v>135.9340534</v>
      </c>
      <c r="P90" s="17">
        <f t="shared" si="12"/>
        <v>747.9026981</v>
      </c>
    </row>
    <row r="91" ht="14.25" customHeight="1">
      <c r="A91" s="17">
        <v>89.0</v>
      </c>
      <c r="B91" s="34">
        <v>0.114858</v>
      </c>
      <c r="C91" s="31">
        <f t="shared" si="1"/>
        <v>0.885142</v>
      </c>
      <c r="D91" s="17">
        <f t="shared" si="13"/>
        <v>29076.16506</v>
      </c>
      <c r="E91" s="17">
        <f t="shared" si="2"/>
        <v>3339.630167</v>
      </c>
      <c r="F91" s="17">
        <f t="shared" si="3"/>
        <v>27406.34998</v>
      </c>
      <c r="G91" s="17">
        <f t="shared" si="4"/>
        <v>165355.3419</v>
      </c>
      <c r="H91" s="17">
        <f t="shared" si="5"/>
        <v>5.686972184</v>
      </c>
      <c r="I91" s="17">
        <f t="shared" si="6"/>
        <v>5.186972184</v>
      </c>
      <c r="K91" s="17">
        <f t="shared" si="7"/>
        <v>162.6728656</v>
      </c>
      <c r="L91" s="17">
        <f t="shared" si="8"/>
        <v>811.8111184</v>
      </c>
      <c r="M91" s="17">
        <f t="shared" si="9"/>
        <v>3530.550368</v>
      </c>
      <c r="N91" s="17">
        <f t="shared" si="10"/>
        <v>17.62667924</v>
      </c>
      <c r="O91" s="17">
        <f t="shared" si="11"/>
        <v>116.7212928</v>
      </c>
      <c r="P91" s="17">
        <f t="shared" si="12"/>
        <v>611.9686447</v>
      </c>
    </row>
    <row r="92" ht="14.25" customHeight="1">
      <c r="A92" s="17">
        <v>90.0</v>
      </c>
      <c r="B92" s="34">
        <v>0.124612</v>
      </c>
      <c r="C92" s="31">
        <f t="shared" si="1"/>
        <v>0.875388</v>
      </c>
      <c r="D92" s="17">
        <f t="shared" si="13"/>
        <v>25736.53489</v>
      </c>
      <c r="E92" s="17">
        <f t="shared" si="2"/>
        <v>3207.081086</v>
      </c>
      <c r="F92" s="17">
        <f t="shared" si="3"/>
        <v>24132.99435</v>
      </c>
      <c r="G92" s="17">
        <f t="shared" si="4"/>
        <v>137948.9919</v>
      </c>
      <c r="H92" s="17">
        <f t="shared" si="5"/>
        <v>5.360045262</v>
      </c>
      <c r="I92" s="17">
        <f t="shared" si="6"/>
        <v>4.860045262</v>
      </c>
      <c r="K92" s="17">
        <f t="shared" si="7"/>
        <v>135.8382883</v>
      </c>
      <c r="L92" s="17">
        <f t="shared" si="8"/>
        <v>649.1382528</v>
      </c>
      <c r="M92" s="17">
        <f t="shared" si="9"/>
        <v>2718.739249</v>
      </c>
      <c r="N92" s="17">
        <f t="shared" si="10"/>
        <v>15.96894413</v>
      </c>
      <c r="O92" s="17">
        <f t="shared" si="11"/>
        <v>99.09461359</v>
      </c>
      <c r="P92" s="17">
        <f t="shared" si="12"/>
        <v>495.2473519</v>
      </c>
    </row>
    <row r="93" ht="14.25" customHeight="1">
      <c r="A93" s="17">
        <v>91.0</v>
      </c>
      <c r="B93" s="34">
        <v>0.134861</v>
      </c>
      <c r="C93" s="31">
        <f t="shared" si="1"/>
        <v>0.865139</v>
      </c>
      <c r="D93" s="17">
        <f t="shared" si="13"/>
        <v>22529.45381</v>
      </c>
      <c r="E93" s="17">
        <f t="shared" si="2"/>
        <v>3038.34467</v>
      </c>
      <c r="F93" s="17">
        <f t="shared" si="3"/>
        <v>21010.28147</v>
      </c>
      <c r="G93" s="17">
        <f t="shared" si="4"/>
        <v>113815.9976</v>
      </c>
      <c r="H93" s="17">
        <f t="shared" si="5"/>
        <v>5.051875582</v>
      </c>
      <c r="I93" s="17">
        <f t="shared" si="6"/>
        <v>4.551875582</v>
      </c>
      <c r="K93" s="17">
        <f t="shared" si="7"/>
        <v>112.1803844</v>
      </c>
      <c r="L93" s="17">
        <f t="shared" si="8"/>
        <v>513.2999645</v>
      </c>
      <c r="M93" s="17">
        <f t="shared" si="9"/>
        <v>2069.600997</v>
      </c>
      <c r="N93" s="17">
        <f t="shared" si="10"/>
        <v>14.27241399</v>
      </c>
      <c r="O93" s="17">
        <f t="shared" si="11"/>
        <v>83.12566946</v>
      </c>
      <c r="P93" s="17">
        <f t="shared" si="12"/>
        <v>396.1527383</v>
      </c>
    </row>
    <row r="94" ht="14.25" customHeight="1">
      <c r="A94" s="17">
        <v>92.0</v>
      </c>
      <c r="B94" s="34">
        <v>0.145575</v>
      </c>
      <c r="C94" s="31">
        <f t="shared" si="1"/>
        <v>0.854425</v>
      </c>
      <c r="D94" s="17">
        <f t="shared" si="13"/>
        <v>19491.10914</v>
      </c>
      <c r="E94" s="17">
        <f t="shared" si="2"/>
        <v>2837.418213</v>
      </c>
      <c r="F94" s="17">
        <f t="shared" si="3"/>
        <v>18072.40003</v>
      </c>
      <c r="G94" s="17">
        <f t="shared" si="4"/>
        <v>92805.7161</v>
      </c>
      <c r="H94" s="17">
        <f t="shared" si="5"/>
        <v>4.761438431</v>
      </c>
      <c r="I94" s="17">
        <f t="shared" si="6"/>
        <v>4.261438431</v>
      </c>
      <c r="K94" s="17">
        <f t="shared" si="7"/>
        <v>91.55813736</v>
      </c>
      <c r="L94" s="17">
        <f t="shared" si="8"/>
        <v>401.1195801</v>
      </c>
      <c r="M94" s="17">
        <f t="shared" si="9"/>
        <v>1556.301032</v>
      </c>
      <c r="N94" s="17">
        <f t="shared" si="10"/>
        <v>12.57412816</v>
      </c>
      <c r="O94" s="17">
        <f t="shared" si="11"/>
        <v>68.85325547</v>
      </c>
      <c r="P94" s="17">
        <f t="shared" si="12"/>
        <v>313.0270688</v>
      </c>
    </row>
    <row r="95" ht="14.25" customHeight="1">
      <c r="A95" s="17">
        <v>93.0</v>
      </c>
      <c r="B95" s="34">
        <v>0.156727</v>
      </c>
      <c r="C95" s="31">
        <f t="shared" si="1"/>
        <v>0.843273</v>
      </c>
      <c r="D95" s="17">
        <f t="shared" si="13"/>
        <v>16653.69093</v>
      </c>
      <c r="E95" s="17">
        <f t="shared" si="2"/>
        <v>2610.083018</v>
      </c>
      <c r="F95" s="17">
        <f t="shared" si="3"/>
        <v>15348.64942</v>
      </c>
      <c r="G95" s="17">
        <f t="shared" si="4"/>
        <v>74733.31607</v>
      </c>
      <c r="H95" s="17">
        <f t="shared" si="5"/>
        <v>4.487492677</v>
      </c>
      <c r="I95" s="17">
        <f t="shared" si="6"/>
        <v>3.987492677</v>
      </c>
      <c r="K95" s="17">
        <f t="shared" si="7"/>
        <v>73.80147313</v>
      </c>
      <c r="L95" s="17">
        <f t="shared" si="8"/>
        <v>309.5614427</v>
      </c>
      <c r="M95" s="17">
        <f t="shared" si="9"/>
        <v>1155.181452</v>
      </c>
      <c r="N95" s="17">
        <f t="shared" si="10"/>
        <v>10.91196555</v>
      </c>
      <c r="O95" s="17">
        <f t="shared" si="11"/>
        <v>56.27912731</v>
      </c>
      <c r="P95" s="17">
        <f t="shared" si="12"/>
        <v>244.1738134</v>
      </c>
    </row>
    <row r="96" ht="14.25" customHeight="1">
      <c r="A96" s="17">
        <v>94.0</v>
      </c>
      <c r="B96" s="34">
        <v>0.16829</v>
      </c>
      <c r="C96" s="31">
        <f t="shared" si="1"/>
        <v>0.83171</v>
      </c>
      <c r="D96" s="17">
        <f t="shared" si="13"/>
        <v>14043.60791</v>
      </c>
      <c r="E96" s="17">
        <f t="shared" si="2"/>
        <v>2363.398775</v>
      </c>
      <c r="F96" s="17">
        <f t="shared" si="3"/>
        <v>12861.90852</v>
      </c>
      <c r="G96" s="17">
        <f t="shared" si="4"/>
        <v>59384.66666</v>
      </c>
      <c r="H96" s="17">
        <f t="shared" si="5"/>
        <v>4.228590477</v>
      </c>
      <c r="I96" s="17">
        <f t="shared" si="6"/>
        <v>3.728590477</v>
      </c>
      <c r="K96" s="17">
        <f t="shared" si="7"/>
        <v>58.71206571</v>
      </c>
      <c r="L96" s="17">
        <f t="shared" si="8"/>
        <v>235.7599696</v>
      </c>
      <c r="M96" s="17">
        <f t="shared" si="9"/>
        <v>845.6200093</v>
      </c>
      <c r="N96" s="17">
        <f t="shared" si="10"/>
        <v>9.321371262</v>
      </c>
      <c r="O96" s="17">
        <f t="shared" si="11"/>
        <v>45.36716177</v>
      </c>
      <c r="P96" s="17">
        <f t="shared" si="12"/>
        <v>187.8946861</v>
      </c>
    </row>
    <row r="97" ht="14.25" customHeight="1">
      <c r="A97" s="17">
        <v>95.0</v>
      </c>
      <c r="B97" s="34">
        <v>0.180245</v>
      </c>
      <c r="C97" s="31">
        <f t="shared" si="1"/>
        <v>0.819755</v>
      </c>
      <c r="D97" s="17">
        <f t="shared" si="13"/>
        <v>11680.20913</v>
      </c>
      <c r="E97" s="17">
        <f t="shared" si="2"/>
        <v>2105.299295</v>
      </c>
      <c r="F97" s="17">
        <f t="shared" si="3"/>
        <v>10627.55949</v>
      </c>
      <c r="G97" s="17">
        <f t="shared" si="4"/>
        <v>46522.75814</v>
      </c>
      <c r="H97" s="17">
        <f t="shared" si="5"/>
        <v>3.983041537</v>
      </c>
      <c r="I97" s="17">
        <f t="shared" si="6"/>
        <v>3.483041537</v>
      </c>
      <c r="K97" s="17">
        <f t="shared" si="7"/>
        <v>46.06736997</v>
      </c>
      <c r="L97" s="17">
        <f t="shared" si="8"/>
        <v>177.0479039</v>
      </c>
      <c r="M97" s="17">
        <f t="shared" si="9"/>
        <v>609.8600397</v>
      </c>
      <c r="N97" s="17">
        <f t="shared" si="10"/>
        <v>7.833408585</v>
      </c>
      <c r="O97" s="17">
        <f t="shared" si="11"/>
        <v>36.04579051</v>
      </c>
      <c r="P97" s="17">
        <f t="shared" si="12"/>
        <v>142.5275243</v>
      </c>
    </row>
    <row r="98" ht="14.25" customHeight="1">
      <c r="A98" s="17">
        <v>96.0</v>
      </c>
      <c r="B98" s="34">
        <v>0.192565</v>
      </c>
      <c r="C98" s="31">
        <f t="shared" si="1"/>
        <v>0.807435</v>
      </c>
      <c r="D98" s="17">
        <f t="shared" si="13"/>
        <v>9574.909838</v>
      </c>
      <c r="E98" s="17">
        <f t="shared" si="2"/>
        <v>1843.792513</v>
      </c>
      <c r="F98" s="17">
        <f t="shared" si="3"/>
        <v>8653.013581</v>
      </c>
      <c r="G98" s="17">
        <f t="shared" si="4"/>
        <v>35895.19865</v>
      </c>
      <c r="H98" s="17">
        <f t="shared" si="5"/>
        <v>3.748881113</v>
      </c>
      <c r="I98" s="17">
        <f t="shared" si="6"/>
        <v>3.248881113</v>
      </c>
      <c r="K98" s="17">
        <f t="shared" si="7"/>
        <v>35.62637441</v>
      </c>
      <c r="L98" s="17">
        <f t="shared" si="8"/>
        <v>130.9805339</v>
      </c>
      <c r="M98" s="17">
        <f t="shared" si="9"/>
        <v>432.8121358</v>
      </c>
      <c r="N98" s="17">
        <f t="shared" si="10"/>
        <v>6.472068668</v>
      </c>
      <c r="O98" s="17">
        <f t="shared" si="11"/>
        <v>28.21238192</v>
      </c>
      <c r="P98" s="17">
        <f t="shared" si="12"/>
        <v>106.4817338</v>
      </c>
    </row>
    <row r="99" ht="14.25" customHeight="1">
      <c r="A99" s="17">
        <v>97.0</v>
      </c>
      <c r="B99" s="34">
        <v>0.205229</v>
      </c>
      <c r="C99" s="31">
        <f t="shared" si="1"/>
        <v>0.794771</v>
      </c>
      <c r="D99" s="17">
        <f t="shared" si="13"/>
        <v>7731.117325</v>
      </c>
      <c r="E99" s="17">
        <f t="shared" si="2"/>
        <v>1586.649477</v>
      </c>
      <c r="F99" s="17">
        <f t="shared" si="3"/>
        <v>6937.792586</v>
      </c>
      <c r="G99" s="17">
        <f t="shared" si="4"/>
        <v>27242.18507</v>
      </c>
      <c r="H99" s="17">
        <f t="shared" si="5"/>
        <v>3.523706073</v>
      </c>
      <c r="I99" s="17">
        <f t="shared" si="6"/>
        <v>3.023706073</v>
      </c>
      <c r="K99" s="17">
        <f t="shared" si="7"/>
        <v>27.13771851</v>
      </c>
      <c r="L99" s="17">
        <f t="shared" si="8"/>
        <v>95.35415952</v>
      </c>
      <c r="M99" s="17">
        <f t="shared" si="9"/>
        <v>301.8316019</v>
      </c>
      <c r="N99" s="17">
        <f t="shared" si="10"/>
        <v>5.254195124</v>
      </c>
      <c r="O99" s="17">
        <f t="shared" si="11"/>
        <v>21.74031325</v>
      </c>
      <c r="P99" s="17">
        <f t="shared" si="12"/>
        <v>78.26935186</v>
      </c>
    </row>
    <row r="100" ht="14.25" customHeight="1">
      <c r="A100" s="17">
        <v>98.0</v>
      </c>
      <c r="B100" s="34">
        <v>0.218683</v>
      </c>
      <c r="C100" s="31">
        <f t="shared" si="1"/>
        <v>0.781317</v>
      </c>
      <c r="D100" s="17">
        <f t="shared" si="13"/>
        <v>6144.467847</v>
      </c>
      <c r="E100" s="17">
        <f t="shared" si="2"/>
        <v>1343.690662</v>
      </c>
      <c r="F100" s="17">
        <f t="shared" si="3"/>
        <v>5472.622516</v>
      </c>
      <c r="G100" s="17">
        <f t="shared" si="4"/>
        <v>20304.39248</v>
      </c>
      <c r="H100" s="17">
        <f t="shared" si="5"/>
        <v>3.304499753</v>
      </c>
      <c r="I100" s="17">
        <f t="shared" si="6"/>
        <v>2.804499753</v>
      </c>
      <c r="K100" s="17">
        <f t="shared" si="7"/>
        <v>20.34742611</v>
      </c>
      <c r="L100" s="17">
        <f t="shared" si="8"/>
        <v>68.21644101</v>
      </c>
      <c r="M100" s="17">
        <f t="shared" si="9"/>
        <v>206.4774424</v>
      </c>
      <c r="N100" s="17">
        <f t="shared" si="10"/>
        <v>4.197769985</v>
      </c>
      <c r="O100" s="17">
        <f t="shared" si="11"/>
        <v>16.48611813</v>
      </c>
      <c r="P100" s="17">
        <f t="shared" si="12"/>
        <v>56.52903861</v>
      </c>
    </row>
    <row r="101" ht="14.25" customHeight="1">
      <c r="A101" s="17">
        <v>99.0</v>
      </c>
      <c r="B101" s="34">
        <v>0.233371</v>
      </c>
      <c r="C101" s="31">
        <f t="shared" si="1"/>
        <v>0.766629</v>
      </c>
      <c r="D101" s="17">
        <f t="shared" si="13"/>
        <v>4800.777185</v>
      </c>
      <c r="E101" s="17">
        <f t="shared" si="2"/>
        <v>1120.362172</v>
      </c>
      <c r="F101" s="17">
        <f t="shared" si="3"/>
        <v>4240.596099</v>
      </c>
      <c r="G101" s="17">
        <f t="shared" si="4"/>
        <v>14831.76997</v>
      </c>
      <c r="H101" s="17">
        <f t="shared" si="5"/>
        <v>3.089451852</v>
      </c>
      <c r="I101" s="17">
        <f t="shared" si="6"/>
        <v>2.589451852</v>
      </c>
      <c r="K101" s="17">
        <f t="shared" si="7"/>
        <v>14.99791502</v>
      </c>
      <c r="L101" s="17">
        <f t="shared" si="8"/>
        <v>47.8690149</v>
      </c>
      <c r="M101" s="17">
        <f t="shared" si="9"/>
        <v>138.2610013</v>
      </c>
      <c r="N101" s="17">
        <f t="shared" si="10"/>
        <v>3.30196078</v>
      </c>
      <c r="O101" s="17">
        <f t="shared" si="11"/>
        <v>12.28834814</v>
      </c>
      <c r="P101" s="17">
        <f t="shared" si="12"/>
        <v>40.04292048</v>
      </c>
    </row>
    <row r="102" ht="14.25" customHeight="1">
      <c r="A102" s="17">
        <v>100.0</v>
      </c>
      <c r="B102" s="34">
        <v>0.249741</v>
      </c>
      <c r="C102" s="31">
        <f t="shared" si="1"/>
        <v>0.750259</v>
      </c>
      <c r="D102" s="17">
        <f t="shared" si="13"/>
        <v>3680.415013</v>
      </c>
      <c r="E102" s="17">
        <f t="shared" si="2"/>
        <v>919.1505257</v>
      </c>
      <c r="F102" s="17">
        <f t="shared" si="3"/>
        <v>3220.83975</v>
      </c>
      <c r="G102" s="17">
        <f t="shared" si="4"/>
        <v>10591.17387</v>
      </c>
      <c r="H102" s="17">
        <f t="shared" si="5"/>
        <v>2.877711843</v>
      </c>
      <c r="I102" s="17">
        <f t="shared" si="6"/>
        <v>2.377711843</v>
      </c>
      <c r="K102" s="17">
        <f t="shared" si="7"/>
        <v>10.84701566</v>
      </c>
      <c r="L102" s="17">
        <f t="shared" si="8"/>
        <v>32.87109987</v>
      </c>
      <c r="M102" s="17">
        <f t="shared" si="9"/>
        <v>90.39198645</v>
      </c>
      <c r="N102" s="17">
        <f t="shared" si="10"/>
        <v>2.555608054</v>
      </c>
      <c r="O102" s="17">
        <f t="shared" si="11"/>
        <v>8.986387363</v>
      </c>
      <c r="P102" s="17">
        <f t="shared" si="12"/>
        <v>27.75457234</v>
      </c>
    </row>
    <row r="103" ht="14.25" customHeight="1">
      <c r="A103" s="17">
        <v>101.0</v>
      </c>
      <c r="B103" s="34">
        <v>0.268237</v>
      </c>
      <c r="C103" s="31">
        <f t="shared" si="1"/>
        <v>0.731763</v>
      </c>
      <c r="D103" s="17">
        <f t="shared" si="13"/>
        <v>2761.264487</v>
      </c>
      <c r="E103" s="17">
        <f t="shared" si="2"/>
        <v>740.6733022</v>
      </c>
      <c r="F103" s="17">
        <f t="shared" si="3"/>
        <v>2390.927836</v>
      </c>
      <c r="G103" s="17">
        <f t="shared" si="4"/>
        <v>7370.334118</v>
      </c>
      <c r="H103" s="17">
        <f t="shared" si="5"/>
        <v>2.669188031</v>
      </c>
      <c r="I103" s="17">
        <f t="shared" si="6"/>
        <v>2.169188031</v>
      </c>
      <c r="K103" s="17">
        <f t="shared" si="7"/>
        <v>7.677425585</v>
      </c>
      <c r="L103" s="17">
        <f t="shared" si="8"/>
        <v>22.02408422</v>
      </c>
      <c r="M103" s="17">
        <f t="shared" si="9"/>
        <v>57.52088657</v>
      </c>
      <c r="N103" s="17">
        <f t="shared" si="10"/>
        <v>1.942801516</v>
      </c>
      <c r="O103" s="17">
        <f t="shared" si="11"/>
        <v>6.430779309</v>
      </c>
      <c r="P103" s="17">
        <f t="shared" si="12"/>
        <v>18.76818498</v>
      </c>
    </row>
    <row r="104" ht="14.25" customHeight="1">
      <c r="A104" s="17">
        <v>102.0</v>
      </c>
      <c r="B104" s="34">
        <v>0.289305</v>
      </c>
      <c r="C104" s="31">
        <f t="shared" si="1"/>
        <v>0.710695</v>
      </c>
      <c r="D104" s="17">
        <f t="shared" si="13"/>
        <v>2020.591185</v>
      </c>
      <c r="E104" s="17">
        <f t="shared" si="2"/>
        <v>584.5671327</v>
      </c>
      <c r="F104" s="17">
        <f t="shared" si="3"/>
        <v>1728.307618</v>
      </c>
      <c r="G104" s="17">
        <f t="shared" si="4"/>
        <v>4979.406282</v>
      </c>
      <c r="H104" s="17">
        <f t="shared" si="5"/>
        <v>2.46433139</v>
      </c>
      <c r="I104" s="17">
        <f t="shared" si="6"/>
        <v>1.96433139</v>
      </c>
      <c r="K104" s="17">
        <f t="shared" si="7"/>
        <v>5.30005281</v>
      </c>
      <c r="L104" s="17">
        <f t="shared" si="8"/>
        <v>14.34665863</v>
      </c>
      <c r="M104" s="17">
        <f t="shared" si="9"/>
        <v>35.49680236</v>
      </c>
      <c r="N104" s="17">
        <f t="shared" si="10"/>
        <v>1.446539413</v>
      </c>
      <c r="O104" s="17">
        <f t="shared" si="11"/>
        <v>4.487977793</v>
      </c>
      <c r="P104" s="17">
        <f t="shared" si="12"/>
        <v>12.33740567</v>
      </c>
    </row>
    <row r="105" ht="14.25" customHeight="1">
      <c r="A105" s="17">
        <v>103.0</v>
      </c>
      <c r="B105" s="34">
        <v>0.313391</v>
      </c>
      <c r="C105" s="31">
        <f t="shared" si="1"/>
        <v>0.686609</v>
      </c>
      <c r="D105" s="17">
        <f t="shared" si="13"/>
        <v>1436.024052</v>
      </c>
      <c r="E105" s="17">
        <f t="shared" si="2"/>
        <v>450.0370137</v>
      </c>
      <c r="F105" s="17">
        <f t="shared" si="3"/>
        <v>1211.005545</v>
      </c>
      <c r="G105" s="17">
        <f t="shared" si="4"/>
        <v>3251.098664</v>
      </c>
      <c r="H105" s="17">
        <f t="shared" si="5"/>
        <v>2.263958364</v>
      </c>
      <c r="I105" s="17">
        <f t="shared" si="6"/>
        <v>1.763958364</v>
      </c>
      <c r="K105" s="17">
        <f t="shared" si="7"/>
        <v>3.553510407</v>
      </c>
      <c r="L105" s="17">
        <f t="shared" si="8"/>
        <v>9.046605821</v>
      </c>
      <c r="M105" s="17">
        <f t="shared" si="9"/>
        <v>21.15014373</v>
      </c>
      <c r="N105" s="17">
        <f t="shared" si="10"/>
        <v>1.050602057</v>
      </c>
      <c r="O105" s="17">
        <f t="shared" si="11"/>
        <v>3.04143838</v>
      </c>
      <c r="P105" s="17">
        <f t="shared" si="12"/>
        <v>7.849427874</v>
      </c>
    </row>
    <row r="106" ht="14.25" customHeight="1">
      <c r="A106" s="17">
        <v>104.0</v>
      </c>
      <c r="B106" s="34">
        <v>0.34094</v>
      </c>
      <c r="C106" s="31">
        <f t="shared" si="1"/>
        <v>0.65906</v>
      </c>
      <c r="D106" s="17">
        <f t="shared" si="13"/>
        <v>985.9870384</v>
      </c>
      <c r="E106" s="17">
        <f t="shared" si="2"/>
        <v>336.1624209</v>
      </c>
      <c r="F106" s="17">
        <f t="shared" si="3"/>
        <v>817.9058279</v>
      </c>
      <c r="G106" s="17">
        <f t="shared" si="4"/>
        <v>2040.093119</v>
      </c>
      <c r="H106" s="17">
        <f t="shared" si="5"/>
        <v>2.069087158</v>
      </c>
      <c r="I106" s="17">
        <f t="shared" si="6"/>
        <v>1.569087158</v>
      </c>
      <c r="K106" s="17">
        <f t="shared" si="7"/>
        <v>2.301766252</v>
      </c>
      <c r="L106" s="17">
        <f t="shared" si="8"/>
        <v>5.493095414</v>
      </c>
      <c r="M106" s="17">
        <f t="shared" si="9"/>
        <v>12.10353791</v>
      </c>
      <c r="N106" s="17">
        <f t="shared" si="10"/>
        <v>0.7403435717</v>
      </c>
      <c r="O106" s="17">
        <f t="shared" si="11"/>
        <v>1.990836323</v>
      </c>
      <c r="P106" s="17">
        <f t="shared" si="12"/>
        <v>4.807989495</v>
      </c>
    </row>
    <row r="107" ht="14.25" customHeight="1">
      <c r="A107" s="17">
        <v>105.0</v>
      </c>
      <c r="B107" s="34">
        <v>0.372398</v>
      </c>
      <c r="C107" s="31">
        <f t="shared" si="1"/>
        <v>0.627602</v>
      </c>
      <c r="D107" s="17">
        <f t="shared" si="13"/>
        <v>649.8246175</v>
      </c>
      <c r="E107" s="17">
        <f t="shared" si="2"/>
        <v>241.9933879</v>
      </c>
      <c r="F107" s="17">
        <f t="shared" si="3"/>
        <v>528.8279235</v>
      </c>
      <c r="G107" s="17">
        <f t="shared" si="4"/>
        <v>1222.187291</v>
      </c>
      <c r="H107" s="17">
        <f t="shared" si="5"/>
        <v>1.880795615</v>
      </c>
      <c r="I107" s="17">
        <f t="shared" si="6"/>
        <v>1.380795615</v>
      </c>
      <c r="K107" s="17">
        <f t="shared" si="7"/>
        <v>1.431134025</v>
      </c>
      <c r="L107" s="17">
        <f t="shared" si="8"/>
        <v>3.191329162</v>
      </c>
      <c r="M107" s="17">
        <f t="shared" si="9"/>
        <v>6.610442492</v>
      </c>
      <c r="N107" s="17">
        <f t="shared" si="10"/>
        <v>0.5027843854</v>
      </c>
      <c r="O107" s="17">
        <f t="shared" si="11"/>
        <v>1.250492751</v>
      </c>
      <c r="P107" s="17">
        <f t="shared" si="12"/>
        <v>2.817153171</v>
      </c>
    </row>
    <row r="108" ht="14.25" customHeight="1">
      <c r="A108" s="17">
        <v>106.0</v>
      </c>
      <c r="B108" s="34">
        <v>0.40821</v>
      </c>
      <c r="C108" s="31">
        <f t="shared" si="1"/>
        <v>0.59179</v>
      </c>
      <c r="D108" s="17">
        <f t="shared" si="13"/>
        <v>407.8312296</v>
      </c>
      <c r="E108" s="17">
        <f t="shared" si="2"/>
        <v>166.4807862</v>
      </c>
      <c r="F108" s="17">
        <f t="shared" si="3"/>
        <v>324.5908365</v>
      </c>
      <c r="G108" s="17">
        <f t="shared" si="4"/>
        <v>693.3593673</v>
      </c>
      <c r="H108" s="17">
        <f t="shared" si="5"/>
        <v>1.700113471</v>
      </c>
      <c r="I108" s="17">
        <f t="shared" si="6"/>
        <v>1.200113471</v>
      </c>
      <c r="K108" s="17">
        <f t="shared" si="7"/>
        <v>0.847342053</v>
      </c>
      <c r="L108" s="17">
        <f t="shared" si="8"/>
        <v>1.760195137</v>
      </c>
      <c r="M108" s="17">
        <f t="shared" si="9"/>
        <v>3.41911333</v>
      </c>
      <c r="N108" s="17">
        <f t="shared" si="10"/>
        <v>0.3263146221</v>
      </c>
      <c r="O108" s="17">
        <f t="shared" si="11"/>
        <v>0.747708366</v>
      </c>
      <c r="P108" s="17">
        <f t="shared" si="12"/>
        <v>1.56666042</v>
      </c>
    </row>
    <row r="109" ht="14.25" customHeight="1">
      <c r="A109" s="17">
        <v>107.0</v>
      </c>
      <c r="B109" s="34">
        <v>0.448823</v>
      </c>
      <c r="C109" s="31">
        <f t="shared" si="1"/>
        <v>0.551177</v>
      </c>
      <c r="D109" s="17">
        <f t="shared" si="13"/>
        <v>241.3504434</v>
      </c>
      <c r="E109" s="17">
        <f t="shared" si="2"/>
        <v>108.32363</v>
      </c>
      <c r="F109" s="17">
        <f t="shared" si="3"/>
        <v>187.1886283</v>
      </c>
      <c r="G109" s="17">
        <f t="shared" si="4"/>
        <v>368.7685308</v>
      </c>
      <c r="H109" s="17">
        <f t="shared" si="5"/>
        <v>1.527938071</v>
      </c>
      <c r="I109" s="17">
        <f t="shared" si="6"/>
        <v>1.027938071</v>
      </c>
      <c r="K109" s="17">
        <f t="shared" si="7"/>
        <v>0.4730646731</v>
      </c>
      <c r="L109" s="17">
        <f t="shared" si="8"/>
        <v>0.9128530839</v>
      </c>
      <c r="M109" s="17">
        <f t="shared" si="9"/>
        <v>1.658918193</v>
      </c>
      <c r="N109" s="17">
        <f t="shared" si="10"/>
        <v>0.2003040621</v>
      </c>
      <c r="O109" s="17">
        <f t="shared" si="11"/>
        <v>0.4213937439</v>
      </c>
      <c r="P109" s="17">
        <f t="shared" si="12"/>
        <v>0.818952054</v>
      </c>
    </row>
    <row r="110" ht="14.25" customHeight="1">
      <c r="A110" s="17">
        <v>108.0</v>
      </c>
      <c r="B110" s="34">
        <v>0.494681</v>
      </c>
      <c r="C110" s="31">
        <f t="shared" si="1"/>
        <v>0.505319</v>
      </c>
      <c r="D110" s="17">
        <f t="shared" si="13"/>
        <v>133.0268133</v>
      </c>
      <c r="E110" s="17">
        <f t="shared" si="2"/>
        <v>65.80583704</v>
      </c>
      <c r="F110" s="17">
        <f t="shared" si="3"/>
        <v>100.1238948</v>
      </c>
      <c r="G110" s="17">
        <f t="shared" si="4"/>
        <v>181.5799025</v>
      </c>
      <c r="H110" s="17">
        <f t="shared" si="5"/>
        <v>1.364987238</v>
      </c>
      <c r="I110" s="17">
        <f t="shared" si="6"/>
        <v>0.8649872379</v>
      </c>
      <c r="K110" s="17">
        <f t="shared" si="7"/>
        <v>0.2459833654</v>
      </c>
      <c r="L110" s="17">
        <f t="shared" si="8"/>
        <v>0.4397884107</v>
      </c>
      <c r="M110" s="17">
        <f t="shared" si="9"/>
        <v>0.7460651095</v>
      </c>
      <c r="N110" s="17">
        <f t="shared" si="10"/>
        <v>0.1147955634</v>
      </c>
      <c r="O110" s="17">
        <f t="shared" si="11"/>
        <v>0.2210896818</v>
      </c>
      <c r="P110" s="17">
        <f t="shared" si="12"/>
        <v>0.3975583102</v>
      </c>
    </row>
    <row r="111" ht="14.25" customHeight="1">
      <c r="A111" s="17">
        <v>109.0</v>
      </c>
      <c r="B111" s="34">
        <v>0.546231</v>
      </c>
      <c r="C111" s="31">
        <f t="shared" si="1"/>
        <v>0.453769</v>
      </c>
      <c r="D111" s="17">
        <f t="shared" si="13"/>
        <v>67.22097628</v>
      </c>
      <c r="E111" s="17">
        <f t="shared" si="2"/>
        <v>36.71818109</v>
      </c>
      <c r="F111" s="17">
        <f t="shared" si="3"/>
        <v>48.86188573</v>
      </c>
      <c r="G111" s="17">
        <f t="shared" si="4"/>
        <v>81.45600768</v>
      </c>
      <c r="H111" s="17">
        <f t="shared" si="5"/>
        <v>1.211764723</v>
      </c>
      <c r="I111" s="17">
        <f t="shared" si="6"/>
        <v>0.7117647227</v>
      </c>
      <c r="K111" s="17">
        <f t="shared" si="7"/>
        <v>0.1172642153</v>
      </c>
      <c r="L111" s="17">
        <f t="shared" si="8"/>
        <v>0.1938050453</v>
      </c>
      <c r="M111" s="17">
        <f t="shared" si="9"/>
        <v>0.3062766988</v>
      </c>
      <c r="N111" s="17">
        <f t="shared" si="10"/>
        <v>0.0604276883</v>
      </c>
      <c r="O111" s="17">
        <f t="shared" si="11"/>
        <v>0.1062941184</v>
      </c>
      <c r="P111" s="17">
        <f t="shared" si="12"/>
        <v>0.1764686284</v>
      </c>
    </row>
    <row r="112" ht="14.25" customHeight="1">
      <c r="A112" s="17">
        <v>110.0</v>
      </c>
      <c r="B112" s="34">
        <v>0.603917</v>
      </c>
      <c r="C112" s="31">
        <f t="shared" si="1"/>
        <v>0.396083</v>
      </c>
      <c r="D112" s="17">
        <f t="shared" si="13"/>
        <v>30.50279519</v>
      </c>
      <c r="E112" s="17">
        <f t="shared" si="2"/>
        <v>18.42115656</v>
      </c>
      <c r="F112" s="17">
        <f t="shared" si="3"/>
        <v>21.29221691</v>
      </c>
      <c r="G112" s="17">
        <f t="shared" si="4"/>
        <v>32.59412195</v>
      </c>
      <c r="H112" s="17">
        <f t="shared" si="5"/>
        <v>1.068561807</v>
      </c>
      <c r="I112" s="17">
        <f t="shared" si="6"/>
        <v>0.5685618072</v>
      </c>
      <c r="K112" s="17">
        <f t="shared" si="7"/>
        <v>0.05019892992</v>
      </c>
      <c r="L112" s="17">
        <f t="shared" si="8"/>
        <v>0.07654082999</v>
      </c>
      <c r="M112" s="17">
        <f t="shared" si="9"/>
        <v>0.1124716535</v>
      </c>
      <c r="N112" s="17">
        <f t="shared" si="10"/>
        <v>0.02859998789</v>
      </c>
      <c r="O112" s="17">
        <f t="shared" si="11"/>
        <v>0.04586643011</v>
      </c>
      <c r="P112" s="17">
        <f t="shared" si="12"/>
        <v>0.07017450998</v>
      </c>
    </row>
    <row r="113" ht="14.25" customHeight="1">
      <c r="A113" s="17">
        <v>111.0</v>
      </c>
      <c r="B113" s="34">
        <v>0.668186</v>
      </c>
      <c r="C113" s="31">
        <f t="shared" si="1"/>
        <v>0.331814</v>
      </c>
      <c r="D113" s="17">
        <f t="shared" si="13"/>
        <v>12.08163863</v>
      </c>
      <c r="E113" s="17">
        <f t="shared" si="2"/>
        <v>8.072781787</v>
      </c>
      <c r="F113" s="17">
        <f t="shared" si="3"/>
        <v>8.045247732</v>
      </c>
      <c r="G113" s="17">
        <f t="shared" si="4"/>
        <v>11.30190504</v>
      </c>
      <c r="H113" s="17">
        <f t="shared" si="5"/>
        <v>0.9354612724</v>
      </c>
      <c r="I113" s="17">
        <f t="shared" si="6"/>
        <v>0.4354612724</v>
      </c>
      <c r="K113" s="17">
        <f t="shared" si="7"/>
        <v>0.01875749317</v>
      </c>
      <c r="L113" s="17">
        <f t="shared" si="8"/>
        <v>0.02634190006</v>
      </c>
      <c r="M113" s="17">
        <f t="shared" si="9"/>
        <v>0.03593082349</v>
      </c>
      <c r="N113" s="17">
        <f t="shared" si="10"/>
        <v>0.01182405126</v>
      </c>
      <c r="O113" s="17">
        <f t="shared" si="11"/>
        <v>0.01726644222</v>
      </c>
      <c r="P113" s="17">
        <f t="shared" si="12"/>
        <v>0.02430807987</v>
      </c>
    </row>
    <row r="114" ht="14.25" customHeight="1">
      <c r="A114" s="17">
        <v>112.0</v>
      </c>
      <c r="B114" s="34">
        <v>0.739483</v>
      </c>
      <c r="C114" s="31">
        <f t="shared" si="1"/>
        <v>0.260517</v>
      </c>
      <c r="D114" s="17">
        <f t="shared" si="13"/>
        <v>4.008856839</v>
      </c>
      <c r="E114" s="17">
        <f t="shared" si="2"/>
        <v>2.964481482</v>
      </c>
      <c r="F114" s="17">
        <f t="shared" si="3"/>
        <v>2.526616098</v>
      </c>
      <c r="G114" s="17">
        <f t="shared" si="4"/>
        <v>3.256657309</v>
      </c>
      <c r="H114" s="17">
        <f t="shared" si="5"/>
        <v>0.8123655795</v>
      </c>
      <c r="I114" s="17">
        <f t="shared" si="6"/>
        <v>0.3123655795</v>
      </c>
      <c r="K114" s="17">
        <f t="shared" si="7"/>
        <v>0.005871697018</v>
      </c>
      <c r="L114" s="17">
        <f t="shared" si="8"/>
        <v>0.007584406893</v>
      </c>
      <c r="M114" s="17">
        <f t="shared" si="9"/>
        <v>0.009588923429</v>
      </c>
      <c r="N114" s="17">
        <f t="shared" si="10"/>
        <v>0.004096245402</v>
      </c>
      <c r="O114" s="17">
        <f t="shared" si="11"/>
        <v>0.005442390967</v>
      </c>
      <c r="P114" s="17">
        <f t="shared" si="12"/>
        <v>0.007041637642</v>
      </c>
    </row>
    <row r="115" ht="14.25" customHeight="1">
      <c r="A115" s="17">
        <v>113.0</v>
      </c>
      <c r="B115" s="34">
        <v>0.818254</v>
      </c>
      <c r="C115" s="31">
        <f t="shared" si="1"/>
        <v>0.181746</v>
      </c>
      <c r="D115" s="17">
        <f t="shared" si="13"/>
        <v>1.044375357</v>
      </c>
      <c r="E115" s="17">
        <f t="shared" si="2"/>
        <v>0.8545643135</v>
      </c>
      <c r="F115" s="17">
        <f t="shared" si="3"/>
        <v>0.6170932004</v>
      </c>
      <c r="G115" s="17">
        <f t="shared" si="4"/>
        <v>0.730041211</v>
      </c>
      <c r="H115" s="17">
        <f t="shared" si="5"/>
        <v>0.699021866</v>
      </c>
      <c r="I115" s="17">
        <f t="shared" si="6"/>
        <v>0.199021866</v>
      </c>
      <c r="K115" s="17">
        <f t="shared" si="7"/>
        <v>0.001443091408</v>
      </c>
      <c r="L115" s="17">
        <f t="shared" si="8"/>
        <v>0.001712709875</v>
      </c>
      <c r="M115" s="17">
        <f t="shared" si="9"/>
        <v>0.002004516536</v>
      </c>
      <c r="N115" s="17">
        <f t="shared" si="10"/>
        <v>0.001113976714</v>
      </c>
      <c r="O115" s="17">
        <f t="shared" si="11"/>
        <v>0.001346145566</v>
      </c>
      <c r="P115" s="17">
        <f t="shared" si="12"/>
        <v>0.001599246675</v>
      </c>
    </row>
    <row r="116" ht="14.25" customHeight="1">
      <c r="A116" s="32">
        <v>114.0</v>
      </c>
      <c r="B116" s="34">
        <v>0.904945</v>
      </c>
      <c r="C116" s="31">
        <f t="shared" si="1"/>
        <v>0.095055</v>
      </c>
      <c r="D116" s="17">
        <f t="shared" si="13"/>
        <v>0.1898110437</v>
      </c>
      <c r="E116" s="17">
        <f t="shared" si="2"/>
        <v>0.1717685549</v>
      </c>
      <c r="F116" s="17">
        <f t="shared" si="3"/>
        <v>0.1039267662</v>
      </c>
      <c r="G116" s="17">
        <f t="shared" si="4"/>
        <v>0.1129480106</v>
      </c>
      <c r="H116" s="17">
        <f t="shared" si="5"/>
        <v>0.595055</v>
      </c>
      <c r="I116" s="17">
        <f t="shared" si="6"/>
        <v>0.095055</v>
      </c>
      <c r="K116" s="17">
        <f t="shared" si="7"/>
        <v>0.0002474302745</v>
      </c>
      <c r="L116" s="17">
        <f t="shared" si="8"/>
        <v>0.0002696184676</v>
      </c>
      <c r="M116" s="17">
        <f t="shared" si="9"/>
        <v>0.0002918066608</v>
      </c>
      <c r="N116" s="17">
        <f t="shared" si="10"/>
        <v>0.0002112365941</v>
      </c>
      <c r="O116" s="17">
        <f t="shared" si="11"/>
        <v>0.0002321688518</v>
      </c>
      <c r="P116" s="17">
        <f t="shared" si="12"/>
        <v>0.0002531011095</v>
      </c>
    </row>
    <row r="117" ht="14.25" customHeight="1">
      <c r="A117" s="32">
        <v>115.0</v>
      </c>
      <c r="B117" s="34">
        <v>1.0</v>
      </c>
      <c r="C117" s="31">
        <f t="shared" si="1"/>
        <v>0</v>
      </c>
      <c r="D117" s="17">
        <f t="shared" si="13"/>
        <v>0.01804248875</v>
      </c>
      <c r="E117" s="17">
        <f t="shared" si="2"/>
        <v>0.01804248875</v>
      </c>
      <c r="F117" s="17">
        <f t="shared" si="3"/>
        <v>0.009021244377</v>
      </c>
      <c r="G117" s="17">
        <f t="shared" si="4"/>
        <v>0.009021244377</v>
      </c>
      <c r="H117" s="17">
        <f t="shared" si="5"/>
        <v>0.5</v>
      </c>
      <c r="I117" s="17">
        <f t="shared" si="6"/>
        <v>0</v>
      </c>
      <c r="K117" s="17">
        <f t="shared" si="7"/>
        <v>0.00002218819315</v>
      </c>
      <c r="L117" s="17">
        <f t="shared" si="8"/>
        <v>0.00002218819315</v>
      </c>
      <c r="M117" s="17">
        <f t="shared" si="9"/>
        <v>0.00002218819315</v>
      </c>
      <c r="N117" s="17">
        <f t="shared" si="10"/>
        <v>0.00002093225769</v>
      </c>
      <c r="O117" s="17">
        <f t="shared" si="11"/>
        <v>0.00002093225769</v>
      </c>
      <c r="P117" s="17">
        <f t="shared" si="12"/>
        <v>0.00002093225769</v>
      </c>
    </row>
    <row r="118" ht="14.25" customHeight="1"/>
    <row r="119" ht="14.25" customHeight="1">
      <c r="A119" s="17">
        <f>A117-A42-1</f>
        <v>74</v>
      </c>
      <c r="E119" s="17">
        <f>K12+N11+N10</f>
        <v>55539.82254</v>
      </c>
    </row>
    <row r="120" ht="14.25" customHeight="1">
      <c r="E120" s="17">
        <f>E119/K10</f>
        <v>0.8900139551</v>
      </c>
    </row>
    <row r="121" ht="14.25" customHeight="1">
      <c r="E121" s="17">
        <f>E120^(1/2)</f>
        <v>0.9434055094</v>
      </c>
      <c r="F121" s="17">
        <f>1/E121</f>
        <v>1.05998957</v>
      </c>
    </row>
    <row r="122" ht="14.25" customHeight="1"/>
    <row r="123" ht="14.25" customHeight="1">
      <c r="E123" s="17">
        <f>K112+N111+N110</f>
        <v>0.2254221816</v>
      </c>
    </row>
    <row r="124" ht="14.25" customHeight="1">
      <c r="E124" s="17">
        <f>E123/K110</f>
        <v>0.9164122998</v>
      </c>
    </row>
    <row r="125" ht="14.25" customHeight="1">
      <c r="E125" s="17">
        <f>E124^(1/2)</f>
        <v>0.9572942598</v>
      </c>
    </row>
    <row r="126" ht="14.25" customHeight="1">
      <c r="E126" s="17">
        <f>1/E125</f>
        <v>1.044610881</v>
      </c>
    </row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11" width="8.71"/>
    <col customWidth="1" min="12" max="12" width="10.86"/>
    <col customWidth="1" min="13" max="13" width="12.14"/>
    <col customWidth="1" min="14" max="15" width="8.71"/>
    <col customWidth="1" min="16" max="16" width="11.86"/>
    <col customWidth="1" min="17" max="26" width="8.71"/>
  </cols>
  <sheetData>
    <row r="1" ht="14.25" customHeight="1">
      <c r="A1" s="17" t="s">
        <v>49</v>
      </c>
      <c r="B1" s="17" t="s">
        <v>50</v>
      </c>
    </row>
    <row r="2" ht="14.25" customHeight="1">
      <c r="A2" s="17" t="s">
        <v>51</v>
      </c>
      <c r="G2" s="17" t="s">
        <v>52</v>
      </c>
    </row>
    <row r="3" ht="14.25" customHeight="1">
      <c r="A3" s="17" t="s">
        <v>53</v>
      </c>
    </row>
    <row r="4" ht="14.25" customHeight="1">
      <c r="A4" s="17" t="s">
        <v>54</v>
      </c>
      <c r="G4" s="17" t="s">
        <v>55</v>
      </c>
      <c r="K4" s="17" t="s">
        <v>56</v>
      </c>
    </row>
    <row r="5" ht="14.25" customHeight="1">
      <c r="A5" s="17" t="s">
        <v>57</v>
      </c>
      <c r="G5" s="17" t="s">
        <v>58</v>
      </c>
      <c r="K5" s="17" t="s">
        <v>59</v>
      </c>
    </row>
    <row r="6" ht="14.25" customHeight="1">
      <c r="A6" s="17" t="s">
        <v>60</v>
      </c>
      <c r="G6" s="17" t="s">
        <v>61</v>
      </c>
      <c r="K6" s="17" t="s">
        <v>62</v>
      </c>
      <c r="M6" s="17" t="s">
        <v>63</v>
      </c>
      <c r="N6" s="17" t="s">
        <v>64</v>
      </c>
      <c r="O6" s="17" t="s">
        <v>65</v>
      </c>
    </row>
    <row r="7" ht="14.25" customHeight="1">
      <c r="M7" s="17" t="s">
        <v>66</v>
      </c>
      <c r="N7" s="17" t="s">
        <v>67</v>
      </c>
      <c r="O7" s="17" t="s">
        <v>68</v>
      </c>
    </row>
    <row r="8" ht="14.25" customHeight="1">
      <c r="A8" s="17" t="s">
        <v>69</v>
      </c>
      <c r="B8" s="17" t="s">
        <v>70</v>
      </c>
      <c r="G8" s="17" t="s">
        <v>71</v>
      </c>
      <c r="K8" s="17" t="s">
        <v>72</v>
      </c>
      <c r="O8" s="17" t="s">
        <v>73</v>
      </c>
    </row>
    <row r="9" ht="14.25" customHeight="1">
      <c r="A9" s="25">
        <v>0.18908025745693519</v>
      </c>
      <c r="B9" s="25">
        <v>0.11677738229467197</v>
      </c>
      <c r="C9" s="25">
        <v>14.32624878492746</v>
      </c>
      <c r="G9" s="17" t="s">
        <v>74</v>
      </c>
    </row>
    <row r="10" ht="14.25" customHeight="1">
      <c r="B10" s="25">
        <v>15.603599579460756</v>
      </c>
    </row>
    <row r="11" ht="14.25" customHeight="1">
      <c r="G11" s="17" t="s">
        <v>75</v>
      </c>
      <c r="K11" s="38" t="s">
        <v>76</v>
      </c>
      <c r="L11" s="39" t="s">
        <v>77</v>
      </c>
      <c r="M11" s="39" t="s">
        <v>78</v>
      </c>
      <c r="N11" s="40" t="s">
        <v>79</v>
      </c>
      <c r="P11" s="41" t="s">
        <v>80</v>
      </c>
    </row>
    <row r="12" ht="14.25" customHeight="1">
      <c r="A12" s="23">
        <f>A9-((B9/B10)*C9)</f>
        <v>0.08186257203</v>
      </c>
      <c r="B12" s="42">
        <f>A12*400000</f>
        <v>32745.02881</v>
      </c>
      <c r="K12" s="43">
        <v>7.773476671471704</v>
      </c>
      <c r="L12" s="25">
        <v>10.244417222184635</v>
      </c>
      <c r="M12" s="19">
        <v>7.776899844655331</v>
      </c>
      <c r="N12" s="44">
        <v>4.458330783713418</v>
      </c>
      <c r="P12" s="45"/>
    </row>
    <row r="13" ht="14.25" customHeight="1">
      <c r="K13" s="43">
        <f>K12-((L12/M12)*N12)</f>
        <v>1.900570812</v>
      </c>
      <c r="L13" s="26">
        <f>K13*6000</f>
        <v>11403.42487</v>
      </c>
      <c r="M13" s="19"/>
      <c r="N13" s="44"/>
      <c r="P13" s="46">
        <f>P12*6000</f>
        <v>0</v>
      </c>
    </row>
    <row r="14" ht="14.25" customHeight="1">
      <c r="A14" s="17">
        <f>'AT2000'!K52/'AT2000'!K42</f>
        <v>0.5478030249</v>
      </c>
      <c r="K14" s="47"/>
      <c r="L14" s="19"/>
      <c r="M14" s="19"/>
      <c r="N14" s="44"/>
      <c r="P14" s="46"/>
    </row>
    <row r="15" ht="14.25" customHeight="1">
      <c r="K15" s="47"/>
      <c r="L15" s="19"/>
      <c r="M15" s="19"/>
      <c r="N15" s="44"/>
      <c r="P15" s="46"/>
    </row>
    <row r="16" ht="14.25" customHeight="1">
      <c r="A16" s="17">
        <f>A9*A14</f>
        <v>0.103578737</v>
      </c>
      <c r="B16" s="17">
        <f>((B9/B10)*C9)*A14</f>
        <v>0.0587341724</v>
      </c>
      <c r="K16" s="47" t="s">
        <v>81</v>
      </c>
      <c r="L16" s="19"/>
      <c r="M16" s="19"/>
      <c r="N16" s="44"/>
      <c r="P16" s="46"/>
    </row>
    <row r="17" ht="14.25" customHeight="1">
      <c r="A17" s="17">
        <f>A16-B16</f>
        <v>0.04484456459</v>
      </c>
      <c r="K17" s="47" t="s">
        <v>82</v>
      </c>
      <c r="L17" s="48" t="s">
        <v>83</v>
      </c>
      <c r="M17" s="19"/>
      <c r="N17" s="44" t="s">
        <v>79</v>
      </c>
      <c r="P17" s="46" t="s">
        <v>84</v>
      </c>
    </row>
    <row r="18" ht="14.25" customHeight="1">
      <c r="A18" s="17">
        <f>A17/A14</f>
        <v>0.08186257203</v>
      </c>
      <c r="K18" s="43">
        <v>6.536238148633055</v>
      </c>
      <c r="L18" s="25">
        <v>4.865029100220998</v>
      </c>
      <c r="M18" s="25">
        <v>4.458330783713418</v>
      </c>
      <c r="N18" s="44"/>
      <c r="P18" s="45">
        <v>11.834705718844742</v>
      </c>
    </row>
    <row r="19" ht="14.25" customHeight="1">
      <c r="K19" s="47"/>
      <c r="L19" s="25">
        <v>7.776899844655331</v>
      </c>
      <c r="M19" s="19"/>
      <c r="N19" s="44"/>
      <c r="P19" s="46">
        <f>P18*10000</f>
        <v>118347.0572</v>
      </c>
    </row>
    <row r="20" ht="14.25" customHeight="1">
      <c r="A20" s="17" t="s">
        <v>85</v>
      </c>
      <c r="C20" s="25">
        <v>7.755637159314453</v>
      </c>
      <c r="D20" s="17">
        <f>B9/B10</f>
        <v>0.007484002758</v>
      </c>
      <c r="E20" s="25">
        <v>0.013198645307023842</v>
      </c>
      <c r="K20" s="47"/>
      <c r="L20" s="19">
        <f>L18/L19</f>
        <v>0.6255743545</v>
      </c>
      <c r="M20" s="19"/>
      <c r="N20" s="44"/>
      <c r="P20" s="46"/>
    </row>
    <row r="21" ht="14.25" customHeight="1">
      <c r="A21" s="49" t="s">
        <v>86</v>
      </c>
      <c r="K21" s="47">
        <f>K18-(L20*M18)</f>
        <v>3.747220747</v>
      </c>
      <c r="L21" s="28">
        <f>K21*10000</f>
        <v>37472.20747</v>
      </c>
      <c r="M21" s="28">
        <f>L21+L13</f>
        <v>48875.63234</v>
      </c>
      <c r="N21" s="44"/>
      <c r="P21" s="50">
        <f>P13+P19</f>
        <v>118347.0572</v>
      </c>
    </row>
    <row r="22" ht="14.25" customHeight="1">
      <c r="D22" s="17">
        <f>(D20*C20)-E20</f>
        <v>0.04484456459</v>
      </c>
      <c r="K22" s="51"/>
      <c r="L22" s="52" t="s">
        <v>59</v>
      </c>
      <c r="M22" s="52"/>
      <c r="N22" s="53"/>
      <c r="P22" s="54" t="s">
        <v>62</v>
      </c>
    </row>
    <row r="23" ht="14.25" customHeight="1">
      <c r="D23" s="17">
        <f>D22/A14</f>
        <v>0.08186257203</v>
      </c>
    </row>
    <row r="24" ht="14.25" customHeight="1"/>
    <row r="25" ht="14.25" customHeight="1"/>
    <row r="26" ht="14.25" customHeight="1"/>
    <row r="27" ht="14.25" customHeight="1"/>
    <row r="28" ht="14.25" customHeight="1">
      <c r="B28" s="17" t="s">
        <v>87</v>
      </c>
      <c r="C28" s="17">
        <v>100.0</v>
      </c>
      <c r="D28" s="17" t="s">
        <v>88</v>
      </c>
      <c r="E28" s="17">
        <f t="shared" ref="E28:E31" si="1">C29/C28</f>
        <v>0.8</v>
      </c>
      <c r="F28" s="17">
        <f>C30/C29</f>
        <v>0.5</v>
      </c>
      <c r="H28" s="17">
        <f>(C29/C28)*(C30/C29)</f>
        <v>0.4</v>
      </c>
      <c r="I28" s="55">
        <f>H28*H29</f>
        <v>0.1</v>
      </c>
    </row>
    <row r="29" ht="14.25" customHeight="1">
      <c r="B29" s="17" t="s">
        <v>89</v>
      </c>
      <c r="C29" s="17">
        <v>80.0</v>
      </c>
      <c r="D29" s="17" t="s">
        <v>90</v>
      </c>
      <c r="E29" s="17">
        <f t="shared" si="1"/>
        <v>0.5</v>
      </c>
      <c r="F29" s="55">
        <f>E28*F28</f>
        <v>0.4</v>
      </c>
      <c r="H29" s="17">
        <f>(C30/C29*C31/C30)</f>
        <v>0.25</v>
      </c>
      <c r="I29" s="56" t="s">
        <v>91</v>
      </c>
    </row>
    <row r="30" ht="14.25" customHeight="1">
      <c r="B30" s="17" t="s">
        <v>92</v>
      </c>
      <c r="C30" s="17">
        <v>40.0</v>
      </c>
      <c r="D30" s="17" t="s">
        <v>93</v>
      </c>
      <c r="E30" s="17">
        <f t="shared" si="1"/>
        <v>0.5</v>
      </c>
      <c r="F30" s="56" t="s">
        <v>94</v>
      </c>
    </row>
    <row r="31" ht="14.25" customHeight="1">
      <c r="B31" s="17" t="s">
        <v>95</v>
      </c>
      <c r="C31" s="17">
        <v>20.0</v>
      </c>
      <c r="D31" s="17" t="s">
        <v>96</v>
      </c>
      <c r="E31" s="17">
        <f t="shared" si="1"/>
        <v>0</v>
      </c>
      <c r="I31" s="55">
        <f>E28+F28-F29</f>
        <v>0.9</v>
      </c>
      <c r="J31" s="55">
        <f>H28+H29-I28</f>
        <v>0.55</v>
      </c>
    </row>
    <row r="32" ht="14.25" customHeight="1">
      <c r="I32" s="56" t="s">
        <v>97</v>
      </c>
      <c r="J32" s="56" t="s">
        <v>98</v>
      </c>
    </row>
    <row r="33" ht="14.25" customHeight="1">
      <c r="B33" s="17" t="s">
        <v>47</v>
      </c>
      <c r="C33" s="17">
        <v>0.25</v>
      </c>
    </row>
    <row r="34" ht="14.25" customHeight="1">
      <c r="F34" s="17">
        <f t="shared" ref="F34:F36" si="2">E28*E29</f>
        <v>0.4</v>
      </c>
      <c r="H34" s="17">
        <f t="shared" ref="H34:H36" si="3">E28+E29-F34</f>
        <v>0.9</v>
      </c>
    </row>
    <row r="35" ht="14.25" customHeight="1">
      <c r="B35" s="17" t="s">
        <v>99</v>
      </c>
      <c r="C35" s="17">
        <v>1000.0</v>
      </c>
      <c r="F35" s="17">
        <f t="shared" si="2"/>
        <v>0.25</v>
      </c>
      <c r="H35" s="17">
        <f t="shared" si="3"/>
        <v>0.75</v>
      </c>
    </row>
    <row r="36" ht="14.25" customHeight="1">
      <c r="B36" s="17" t="s">
        <v>100</v>
      </c>
      <c r="C36" s="17">
        <v>1200.0</v>
      </c>
      <c r="F36" s="17">
        <f t="shared" si="2"/>
        <v>0</v>
      </c>
      <c r="H36" s="17">
        <f t="shared" si="3"/>
        <v>0.5</v>
      </c>
    </row>
    <row r="37" ht="14.25" customHeight="1">
      <c r="B37" s="17" t="s">
        <v>101</v>
      </c>
      <c r="C37" s="17">
        <v>1500.0</v>
      </c>
    </row>
    <row r="38" ht="14.25" customHeight="1">
      <c r="F38" s="17">
        <f>F34*(1/1.25)*1000</f>
        <v>320</v>
      </c>
      <c r="G38" s="17">
        <f>F34*((1/1.25))*1200</f>
        <v>384</v>
      </c>
      <c r="H38" s="17">
        <f>F34*((1/1.25))*1500</f>
        <v>480</v>
      </c>
      <c r="J38" s="17">
        <f>H34*(1/1.25)*1000</f>
        <v>720</v>
      </c>
      <c r="K38" s="17">
        <f>H34*((1/1.25))*1200</f>
        <v>864</v>
      </c>
      <c r="L38" s="17">
        <f>$H$34*((1/1.25))*1500</f>
        <v>1080</v>
      </c>
    </row>
    <row r="39" ht="14.25" customHeight="1">
      <c r="B39" s="17" t="s">
        <v>102</v>
      </c>
      <c r="C39" s="17">
        <v>1000.0</v>
      </c>
      <c r="F39" s="17">
        <f>F35*((1/1.25^2))*1000</f>
        <v>160</v>
      </c>
      <c r="G39" s="17">
        <f>F35*((1/1.25^2))*1200</f>
        <v>192</v>
      </c>
      <c r="H39" s="17">
        <f>F35*((1/1.25^2))*1500</f>
        <v>240</v>
      </c>
      <c r="J39" s="17">
        <f>H35*((1/1.25^2))*1000</f>
        <v>480</v>
      </c>
      <c r="K39" s="17">
        <f>H35*((1/1.25^2))*1200</f>
        <v>576</v>
      </c>
      <c r="L39" s="17">
        <f>$H$35*((1/1.25^2))*1500</f>
        <v>720</v>
      </c>
    </row>
    <row r="40" ht="14.25" customHeight="1">
      <c r="B40" s="17" t="s">
        <v>103</v>
      </c>
      <c r="C40" s="17">
        <v>2000.0</v>
      </c>
      <c r="F40" s="17">
        <f>F36*1.25*1000</f>
        <v>0</v>
      </c>
      <c r="G40" s="17">
        <f>F36*1.25*1200</f>
        <v>0</v>
      </c>
      <c r="H40" s="17">
        <f>F36*1.25*1500</f>
        <v>0</v>
      </c>
      <c r="J40" s="17">
        <f>H35*((1/1.25^3))*1000</f>
        <v>384</v>
      </c>
      <c r="K40" s="17">
        <f>$H$35*((1/1.25^3))*1200</f>
        <v>460.8</v>
      </c>
      <c r="L40" s="17">
        <f>$H$35*((1/1.25^3))*1500</f>
        <v>576</v>
      </c>
    </row>
    <row r="41" ht="14.25" customHeight="1"/>
    <row r="42" ht="14.25" customHeight="1">
      <c r="F42" s="57">
        <f t="shared" ref="F42:H42" si="4">SUM(F38:F40)</f>
        <v>480</v>
      </c>
      <c r="G42" s="58">
        <f t="shared" si="4"/>
        <v>576</v>
      </c>
      <c r="H42" s="59">
        <f t="shared" si="4"/>
        <v>720</v>
      </c>
      <c r="J42" s="57">
        <f t="shared" ref="J42:L42" si="5">SUM(J38:J40)</f>
        <v>1584</v>
      </c>
      <c r="K42" s="58">
        <f t="shared" si="5"/>
        <v>1900.8</v>
      </c>
      <c r="L42" s="59">
        <f t="shared" si="5"/>
        <v>2376</v>
      </c>
    </row>
    <row r="43" ht="14.25" customHeight="1">
      <c r="F43" s="60" t="s">
        <v>104</v>
      </c>
      <c r="G43" s="61"/>
      <c r="H43" s="62"/>
      <c r="J43" s="60" t="s">
        <v>105</v>
      </c>
      <c r="K43" s="61"/>
      <c r="L43" s="62"/>
    </row>
    <row r="44" ht="14.25" customHeight="1"/>
    <row r="45" ht="14.25" customHeight="1">
      <c r="F45" s="17">
        <f>(F34-F35)*((1/1.25^2))*1000</f>
        <v>96</v>
      </c>
      <c r="G45" s="17">
        <f>(F34-F35)*((1/1.25^2))*2000</f>
        <v>192</v>
      </c>
    </row>
    <row r="46" ht="14.25" customHeight="1">
      <c r="F46" s="17">
        <f>(F35-F36)*((1/1.25^3))*1000</f>
        <v>128</v>
      </c>
      <c r="G46" s="17">
        <f>(F35-F36)*((1/1.25^3))*2000</f>
        <v>256</v>
      </c>
    </row>
    <row r="47" ht="14.25" customHeight="1">
      <c r="F47" s="57">
        <f t="shared" ref="F47:G47" si="6">SUM(F45:F46)</f>
        <v>224</v>
      </c>
      <c r="G47" s="59">
        <f t="shared" si="6"/>
        <v>448</v>
      </c>
    </row>
    <row r="48" ht="14.25" customHeight="1">
      <c r="F48" s="60" t="s">
        <v>106</v>
      </c>
      <c r="G48" s="62"/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F43:H43"/>
    <mergeCell ref="J43:L43"/>
    <mergeCell ref="F48:G48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1.86"/>
    <col customWidth="1" min="4" max="4" width="12.14"/>
    <col customWidth="1" min="5" max="5" width="9.86"/>
    <col customWidth="1" min="6" max="6" width="18.43"/>
    <col customWidth="1" min="7" max="7" width="13.29"/>
    <col customWidth="1" min="8" max="26" width="8.71"/>
  </cols>
  <sheetData>
    <row r="1" ht="14.25" customHeight="1">
      <c r="B1" s="17" t="s">
        <v>107</v>
      </c>
      <c r="C1" s="17" t="s">
        <v>108</v>
      </c>
    </row>
    <row r="2" ht="14.25" customHeight="1">
      <c r="G2" s="28"/>
      <c r="J2" s="17">
        <f>(('AT2000'!O62-'AT2000'!O72+'AT2000'!K72)/('AT2000'!L62-'AT2000'!L72))*100000</f>
        <v>7627.793154</v>
      </c>
    </row>
    <row r="3" ht="14.25" customHeight="1">
      <c r="B3" s="17" t="s">
        <v>109</v>
      </c>
      <c r="C3" s="17" t="s">
        <v>110</v>
      </c>
      <c r="D3" s="17" t="s">
        <v>111</v>
      </c>
      <c r="E3" s="17" t="s">
        <v>112</v>
      </c>
      <c r="F3" s="17" t="s">
        <v>113</v>
      </c>
      <c r="G3" s="17" t="s">
        <v>114</v>
      </c>
    </row>
    <row r="4" ht="14.25" customHeight="1">
      <c r="A4" s="17">
        <v>1.0</v>
      </c>
      <c r="B4" s="17">
        <f>(('AT2000'!O$62-'AT2000'!O$72+'AT2000'!K$72)/('AT2000'!L$62-'AT2000'!L$72))*100000</f>
        <v>7627.793154</v>
      </c>
      <c r="C4" s="17">
        <f>B4*'AT2000'!D62</f>
        <v>694213131.7</v>
      </c>
      <c r="D4" s="17">
        <f t="shared" ref="D4:D13" si="1">C4*1.06</f>
        <v>735865919.6</v>
      </c>
      <c r="E4" s="17">
        <f>100000*'AT2000'!E62</f>
        <v>65254891.6</v>
      </c>
      <c r="F4" s="37">
        <f t="shared" ref="F4:F13" si="2">D4-E4</f>
        <v>670611028</v>
      </c>
      <c r="G4" s="37">
        <f>F4/'AT2000'!D63</f>
        <v>7421.674147</v>
      </c>
    </row>
    <row r="5" ht="14.25" customHeight="1">
      <c r="A5" s="17">
        <v>2.0</v>
      </c>
      <c r="B5" s="17">
        <f>(('AT2000'!O$62-'AT2000'!O$72+'AT2000'!K$72)/('AT2000'!L$62-'AT2000'!L$72))*100000</f>
        <v>7627.793154</v>
      </c>
      <c r="C5" s="63">
        <f>B5*'AT2000'!D63+F4</f>
        <v>1359846651</v>
      </c>
      <c r="D5" s="17">
        <f t="shared" si="1"/>
        <v>1441437451</v>
      </c>
      <c r="E5" s="17">
        <f>100000*'AT2000'!E63</f>
        <v>69702514.11</v>
      </c>
      <c r="F5" s="37">
        <f t="shared" si="2"/>
        <v>1371734936</v>
      </c>
      <c r="G5" s="37">
        <f>F5/'AT2000'!D64</f>
        <v>15299.05223</v>
      </c>
    </row>
    <row r="6" ht="14.25" customHeight="1">
      <c r="A6" s="17">
        <v>3.0</v>
      </c>
      <c r="B6" s="17">
        <f>(('AT2000'!O$62-'AT2000'!O$72+'AT2000'!K$72)/('AT2000'!L$62-'AT2000'!L$72))*100000</f>
        <v>7627.793154</v>
      </c>
      <c r="C6" s="63">
        <f>B6*'AT2000'!D64+F5</f>
        <v>2055653796</v>
      </c>
      <c r="D6" s="17">
        <f t="shared" si="1"/>
        <v>2178993024</v>
      </c>
      <c r="E6" s="17">
        <f>100000*'AT2000'!E64</f>
        <v>74849363.73</v>
      </c>
      <c r="F6" s="37">
        <f t="shared" si="2"/>
        <v>2104143660</v>
      </c>
      <c r="G6" s="37">
        <f>F6/'AT2000'!D65</f>
        <v>23665.21331</v>
      </c>
    </row>
    <row r="7" ht="14.25" customHeight="1">
      <c r="A7" s="17">
        <v>4.0</v>
      </c>
      <c r="B7" s="17">
        <f>(('AT2000'!O$62-'AT2000'!O$72+'AT2000'!K$72)/('AT2000'!L$62-'AT2000'!L$72))*100000</f>
        <v>7627.793154</v>
      </c>
      <c r="C7" s="63">
        <f>B7*'AT2000'!D65+F6</f>
        <v>2782353166</v>
      </c>
      <c r="D7" s="17">
        <f t="shared" si="1"/>
        <v>2949294356</v>
      </c>
      <c r="E7" s="17">
        <f>100000*'AT2000'!E65</f>
        <v>80848535.18</v>
      </c>
      <c r="F7" s="37">
        <f t="shared" si="2"/>
        <v>2868445820</v>
      </c>
      <c r="G7" s="37">
        <f>F7/'AT2000'!D66</f>
        <v>32557.33065</v>
      </c>
    </row>
    <row r="8" ht="14.25" customHeight="1">
      <c r="A8" s="17">
        <v>5.0</v>
      </c>
      <c r="B8" s="17">
        <f>(('AT2000'!O$62-'AT2000'!O$72+'AT2000'!K$72)/('AT2000'!L$62-'AT2000'!L$72))*100000</f>
        <v>7627.793154</v>
      </c>
      <c r="C8" s="63">
        <f>B8*'AT2000'!D66+F7</f>
        <v>3540488367</v>
      </c>
      <c r="D8" s="17">
        <f t="shared" si="1"/>
        <v>3752917669</v>
      </c>
      <c r="E8" s="17">
        <f>100000*'AT2000'!E66</f>
        <v>87822519.12</v>
      </c>
      <c r="F8" s="37">
        <f t="shared" si="2"/>
        <v>3665095150</v>
      </c>
      <c r="G8" s="37">
        <f>F8/'AT2000'!D67</f>
        <v>42018.26935</v>
      </c>
    </row>
    <row r="9" ht="14.25" customHeight="1">
      <c r="A9" s="17">
        <v>6.0</v>
      </c>
      <c r="B9" s="17">
        <f>(('AT2000'!O$62-'AT2000'!O$72+'AT2000'!K$72)/('AT2000'!L$62-'AT2000'!L$72))*100000</f>
        <v>7627.793154</v>
      </c>
      <c r="C9" s="63">
        <f>B9*'AT2000'!D67+F8</f>
        <v>4330438776</v>
      </c>
      <c r="D9" s="17">
        <f t="shared" si="1"/>
        <v>4590265102</v>
      </c>
      <c r="E9" s="17">
        <f>100000*'AT2000'!E67</f>
        <v>95887792.63</v>
      </c>
      <c r="F9" s="37">
        <f t="shared" si="2"/>
        <v>4494377310</v>
      </c>
      <c r="G9" s="37">
        <f>F9/'AT2000'!D68</f>
        <v>52098.24223</v>
      </c>
    </row>
    <row r="10" ht="14.25" customHeight="1">
      <c r="A10" s="17">
        <v>7.0</v>
      </c>
      <c r="B10" s="17">
        <f>(('AT2000'!O$62-'AT2000'!O$72+'AT2000'!K$72)/('AT2000'!L$62-'AT2000'!L$72))*100000</f>
        <v>7627.793154</v>
      </c>
      <c r="C10" s="63">
        <f>B10*'AT2000'!D68+F9</f>
        <v>5152406813</v>
      </c>
      <c r="D10" s="17">
        <f t="shared" si="1"/>
        <v>5461551222</v>
      </c>
      <c r="E10" s="17">
        <f>100000*'AT2000'!E68</f>
        <v>105142646.5</v>
      </c>
      <c r="F10" s="37">
        <f t="shared" si="2"/>
        <v>5356408576</v>
      </c>
      <c r="G10" s="37">
        <f>F10/'AT2000'!D69</f>
        <v>62856.89737</v>
      </c>
    </row>
    <row r="11" ht="14.25" customHeight="1">
      <c r="A11" s="17">
        <v>8.0</v>
      </c>
      <c r="B11" s="17">
        <f>(('AT2000'!O$62-'AT2000'!O$72+'AT2000'!K$72)/('AT2000'!L$62-'AT2000'!L$72))*100000</f>
        <v>7627.793154</v>
      </c>
      <c r="C11" s="63">
        <f>B11*'AT2000'!D69+F10</f>
        <v>6006418016</v>
      </c>
      <c r="D11" s="17">
        <f t="shared" si="1"/>
        <v>6366803096</v>
      </c>
      <c r="E11" s="17">
        <f>100000*'AT2000'!E69</f>
        <v>115655051.8</v>
      </c>
      <c r="F11" s="37">
        <f t="shared" si="2"/>
        <v>6251148045</v>
      </c>
      <c r="G11" s="37">
        <f>F11/'AT2000'!D70</f>
        <v>74365.86548</v>
      </c>
    </row>
    <row r="12" ht="14.25" customHeight="1">
      <c r="A12" s="17">
        <v>9.0</v>
      </c>
      <c r="B12" s="17">
        <f>(('AT2000'!O$62-'AT2000'!O$72+'AT2000'!K$72)/('AT2000'!L$62-'AT2000'!L$72))*100000</f>
        <v>7627.793154</v>
      </c>
      <c r="C12" s="63">
        <f>B12*'AT2000'!D70+F11</f>
        <v>6892335557</v>
      </c>
      <c r="D12" s="17">
        <f t="shared" si="1"/>
        <v>7305875690</v>
      </c>
      <c r="E12" s="17">
        <f>100000*'AT2000'!E70</f>
        <v>127434009.9</v>
      </c>
      <c r="F12" s="37">
        <f t="shared" si="2"/>
        <v>7178441680</v>
      </c>
      <c r="G12" s="37">
        <f>F12/'AT2000'!D71</f>
        <v>86711.82949</v>
      </c>
    </row>
    <row r="13" ht="14.25" customHeight="1">
      <c r="A13" s="17">
        <v>10.0</v>
      </c>
      <c r="B13" s="17">
        <f>(('AT2000'!O$62-'AT2000'!O$72+'AT2000'!K$72)/('AT2000'!L$62-'AT2000'!L$72))*100000</f>
        <v>7627.793154</v>
      </c>
      <c r="C13" s="63">
        <f>B13*'AT2000'!D71+F12</f>
        <v>7809908789</v>
      </c>
      <c r="D13" s="17">
        <f t="shared" si="1"/>
        <v>8278503317</v>
      </c>
      <c r="E13" s="17">
        <f>100000*'AT2000'!E71</f>
        <v>140287517.2</v>
      </c>
      <c r="F13" s="37">
        <f t="shared" si="2"/>
        <v>8138215800</v>
      </c>
      <c r="G13" s="37">
        <f>F13/'AT2000'!D72</f>
        <v>100000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17" t="s">
        <v>115</v>
      </c>
      <c r="C1" s="17">
        <f>'AT2000'!O42</f>
        <v>1106.68016</v>
      </c>
      <c r="E1" s="17">
        <f>C2-C1+C5</f>
        <v>9578.61428</v>
      </c>
    </row>
    <row r="2" ht="14.25" customHeight="1">
      <c r="B2" s="17" t="s">
        <v>116</v>
      </c>
      <c r="C2" s="17">
        <f>'AT2000'!O32</f>
        <v>1208.457931</v>
      </c>
      <c r="E2" s="17">
        <f>C4-C3</f>
        <v>133069.2637</v>
      </c>
    </row>
    <row r="3" ht="14.25" customHeight="1">
      <c r="B3" s="17" t="s">
        <v>117</v>
      </c>
      <c r="C3" s="17">
        <f>'AT2000'!L42</f>
        <v>147872.7622</v>
      </c>
    </row>
    <row r="4" ht="14.25" customHeight="1">
      <c r="B4" s="17" t="s">
        <v>118</v>
      </c>
      <c r="C4" s="17">
        <f>'AT2000'!L32</f>
        <v>280942.0258</v>
      </c>
      <c r="E4" s="17">
        <f>E1/E2</f>
        <v>0.0719821694</v>
      </c>
    </row>
    <row r="5" ht="14.25" customHeight="1">
      <c r="B5" s="17" t="s">
        <v>119</v>
      </c>
      <c r="C5" s="17">
        <f>'AT2000'!K42</f>
        <v>9476.836509</v>
      </c>
      <c r="E5" s="17">
        <f>E4*100000</f>
        <v>7198.21694</v>
      </c>
      <c r="F5" s="17">
        <f>E5*0.1</f>
        <v>719.821694</v>
      </c>
      <c r="G5" s="17">
        <f>E5+F5</f>
        <v>7918.038634</v>
      </c>
      <c r="H5" s="17">
        <f t="shared" ref="H5:H14" si="1">G5*1.01</f>
        <v>7997.21902</v>
      </c>
    </row>
    <row r="6" ht="14.25" customHeight="1">
      <c r="F6" s="17">
        <f>E5*0.05</f>
        <v>359.910847</v>
      </c>
      <c r="G6" s="17">
        <f>F6+E5</f>
        <v>7558.127787</v>
      </c>
      <c r="H6" s="17">
        <f t="shared" si="1"/>
        <v>7633.709065</v>
      </c>
    </row>
    <row r="7" ht="14.25" customHeight="1">
      <c r="C7" s="17" t="s">
        <v>120</v>
      </c>
      <c r="D7" s="17">
        <f>E5</f>
        <v>7198.21694</v>
      </c>
      <c r="G7" s="17">
        <v>7198.216939689174</v>
      </c>
      <c r="H7" s="17">
        <f t="shared" si="1"/>
        <v>7270.199109</v>
      </c>
    </row>
    <row r="8" ht="14.25" customHeight="1">
      <c r="D8" s="17">
        <v>6999.428274364698</v>
      </c>
      <c r="G8" s="17">
        <v>7198.216939689174</v>
      </c>
      <c r="H8" s="17">
        <f t="shared" si="1"/>
        <v>7270.199109</v>
      </c>
    </row>
    <row r="9" ht="14.25" customHeight="1">
      <c r="G9" s="17">
        <v>7198.216939689174</v>
      </c>
      <c r="H9" s="17">
        <f t="shared" si="1"/>
        <v>7270.199109</v>
      </c>
    </row>
    <row r="10" ht="14.25" customHeight="1">
      <c r="G10" s="17">
        <v>7198.216939689174</v>
      </c>
      <c r="H10" s="17">
        <f t="shared" si="1"/>
        <v>7270.199109</v>
      </c>
    </row>
    <row r="11" ht="14.25" customHeight="1">
      <c r="G11" s="17">
        <v>7198.216939689174</v>
      </c>
      <c r="H11" s="17">
        <f t="shared" si="1"/>
        <v>7270.199109</v>
      </c>
    </row>
    <row r="12" ht="14.25" customHeight="1">
      <c r="G12" s="17">
        <v>7198.216939689174</v>
      </c>
      <c r="H12" s="17">
        <f t="shared" si="1"/>
        <v>7270.199109</v>
      </c>
    </row>
    <row r="13" ht="14.25" customHeight="1">
      <c r="G13" s="17">
        <v>7198.216939689174</v>
      </c>
      <c r="H13" s="17">
        <f t="shared" si="1"/>
        <v>7270.199109</v>
      </c>
    </row>
    <row r="14" ht="14.25" customHeight="1">
      <c r="G14" s="17">
        <v>7198.216939689174</v>
      </c>
      <c r="H14" s="17">
        <f t="shared" si="1"/>
        <v>7270.199109</v>
      </c>
    </row>
    <row r="15" ht="14.25" customHeight="1">
      <c r="H15" s="17">
        <f>AVERAGE(H5:H14)</f>
        <v>7379.252096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2020-10-08T16:36:08Z</dcterms:created>
  <dc:creator>Hélder Belo</dc:creator>
</cp:coreProperties>
</file>