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D8150381-CC28-4ADE-82BA-10C5A5A26E69}" xr6:coauthVersionLast="47" xr6:coauthVersionMax="47" xr10:uidLastSave="{00000000-0000-0000-0000-000000000000}"/>
  <bookViews>
    <workbookView xWindow="-23148" yWindow="-48" windowWidth="19416" windowHeight="10296" firstSheet="1" activeTab="1" xr2:uid="{67AA295E-3157-43CA-B00F-3ADC6CA116BE}"/>
  </bookViews>
  <sheets>
    <sheet name="Cognos_Office_Connection_Cache" sheetId="2" state="veryHidden" r:id="rId1"/>
    <sheet name="Summary Group Cashflow" sheetId="3" r:id="rId2"/>
  </sheets>
  <definedNames>
    <definedName name="cafe_validation_temp" hidden="1">Cognos_Office_Connection_Cache!$B$2:$B$17</definedName>
    <definedName name="ID" localSheetId="0" hidden="1">"8a143332-c57f-4489-a368-8f2b17e19138"</definedName>
    <definedName name="ID" localSheetId="1" hidden="1">"e987180e-e0e4-4334-acaa-0e8ec694ebba"</definedName>
    <definedName name="TM1RPTDATARNG58306762" localSheetId="1">'Summary Group Cashflow'!$42:$60</definedName>
    <definedName name="TM1RPTFMTIDCOL58306762" localSheetId="1">'Summary Group Cashflow'!$A$10:$A$20</definedName>
    <definedName name="TM1RPTFMTRNG58306762" localSheetId="1">'Summary Group Cashflow'!$E$10:$S$20</definedName>
    <definedName name="TM1RPTQRYRNG58306762" localSheetId="1">'Summary Group Cashflow'!$E$21</definedName>
    <definedName name="TM1RPTVIEWRNG58306762" localSheetId="1">'Summary Group Cashflow'!$E$22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3" l="1"/>
  <c r="T59" i="3"/>
  <c r="E59" i="3"/>
  <c r="T58" i="3"/>
  <c r="E58" i="3"/>
  <c r="T57" i="3"/>
  <c r="E57" i="3"/>
  <c r="T56" i="3"/>
  <c r="E56" i="3"/>
  <c r="T55" i="3"/>
  <c r="E55" i="3"/>
  <c r="T54" i="3"/>
  <c r="E54" i="3"/>
  <c r="T53" i="3"/>
  <c r="E53" i="3"/>
  <c r="T52" i="3"/>
  <c r="E52" i="3"/>
  <c r="T51" i="3"/>
  <c r="E51" i="3"/>
  <c r="T50" i="3"/>
  <c r="E50" i="3"/>
  <c r="T49" i="3"/>
  <c r="E49" i="3"/>
  <c r="T48" i="3"/>
  <c r="E48" i="3"/>
  <c r="T47" i="3"/>
  <c r="E47" i="3"/>
  <c r="T46" i="3"/>
  <c r="E46" i="3"/>
  <c r="T45" i="3"/>
  <c r="E45" i="3"/>
  <c r="T44" i="3"/>
  <c r="E44" i="3"/>
  <c r="T43" i="3"/>
  <c r="E43" i="3"/>
  <c r="B60" i="3" a="1"/>
  <c r="B59" i="3" a="1"/>
  <c r="B58" i="3" a="1"/>
  <c r="B57" i="3" a="1"/>
  <c r="B56" i="3" a="1"/>
  <c r="B55" i="3" a="1"/>
  <c r="B54" i="3" a="1"/>
  <c r="B53" i="3" a="1"/>
  <c r="B52" i="3" a="1"/>
  <c r="B51" i="3" a="1"/>
  <c r="B50" i="3" a="1"/>
  <c r="B49" i="3" a="1"/>
  <c r="B48" i="3" a="1"/>
  <c r="B47" i="3" a="1"/>
  <c r="B46" i="3" a="1"/>
  <c r="B45" i="3" a="1"/>
  <c r="B44" i="3" a="1"/>
  <c r="B43" i="3" a="1"/>
  <c r="B43" i="3" l="1"/>
  <c r="A43" i="3" s="1"/>
  <c r="B44" i="3"/>
  <c r="A44" i="3" s="1"/>
  <c r="B45" i="3"/>
  <c r="A45" i="3" s="1"/>
  <c r="B46" i="3"/>
  <c r="A46" i="3" s="1"/>
  <c r="B47" i="3"/>
  <c r="A47" i="3" s="1"/>
  <c r="B48" i="3"/>
  <c r="A48" i="3" s="1"/>
  <c r="B49" i="3"/>
  <c r="A49" i="3" s="1"/>
  <c r="B50" i="3"/>
  <c r="A50" i="3" s="1"/>
  <c r="B51" i="3"/>
  <c r="A51" i="3" s="1"/>
  <c r="B52" i="3"/>
  <c r="A52" i="3" s="1"/>
  <c r="B53" i="3"/>
  <c r="A53" i="3" s="1"/>
  <c r="B54" i="3"/>
  <c r="A54" i="3" s="1"/>
  <c r="B55" i="3"/>
  <c r="A55" i="3" s="1"/>
  <c r="B56" i="3"/>
  <c r="A56" i="3" s="1"/>
  <c r="B57" i="3"/>
  <c r="A57" i="3" s="1"/>
  <c r="B58" i="3"/>
  <c r="A58" i="3" s="1"/>
  <c r="B59" i="3"/>
  <c r="A59" i="3" s="1"/>
  <c r="B60" i="3"/>
  <c r="A60" i="3" s="1"/>
  <c r="Q34" i="3" l="1" a="1"/>
  <c r="M34" i="3" a="1"/>
  <c r="H34" i="3" a="1"/>
  <c r="G28" i="3"/>
  <c r="G27" i="3"/>
  <c r="F27" i="3" s="1" a="1"/>
  <c r="G31" i="3"/>
  <c r="G30" i="3"/>
  <c r="G24" i="3"/>
  <c r="G29" i="3"/>
  <c r="G26" i="3"/>
  <c r="E22" i="3" s="1"/>
  <c r="C42" i="3" s="1"/>
  <c r="C5" i="3" a="1"/>
  <c r="I42" i="3"/>
  <c r="B42" i="3" a="1"/>
  <c r="G42" i="3"/>
  <c r="I54" i="3"/>
  <c r="I57" i="3"/>
  <c r="I60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I44" i="3"/>
  <c r="I47" i="3"/>
  <c r="I52" i="3"/>
  <c r="I53" i="3"/>
  <c r="I55" i="3"/>
  <c r="I56" i="3"/>
  <c r="I58" i="3"/>
  <c r="I59" i="3"/>
  <c r="I49" i="3"/>
  <c r="N43" i="3"/>
  <c r="N45" i="3"/>
  <c r="N47" i="3"/>
  <c r="N50" i="3"/>
  <c r="N54" i="3"/>
  <c r="I43" i="3"/>
  <c r="I45" i="3"/>
  <c r="I48" i="3"/>
  <c r="I50" i="3"/>
  <c r="N44" i="3"/>
  <c r="N46" i="3"/>
  <c r="N48" i="3"/>
  <c r="N51" i="3"/>
  <c r="N53" i="3"/>
  <c r="N56" i="3"/>
  <c r="N57" i="3"/>
  <c r="N58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N49" i="3"/>
  <c r="N52" i="3"/>
  <c r="N55" i="3"/>
  <c r="N59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I46" i="3"/>
  <c r="I51" i="3"/>
  <c r="T60" i="3" l="1"/>
  <c r="T42" i="3"/>
  <c r="Q34" i="3"/>
  <c r="F27" i="3"/>
  <c r="M34" i="3"/>
  <c r="H34" i="3"/>
  <c r="E42" i="3"/>
  <c r="B42" i="3"/>
  <c r="A42" i="3" s="1"/>
  <c r="C3" i="3"/>
  <c r="C4" i="3" s="1"/>
  <c r="C1" i="3"/>
  <c r="C2" i="3" s="1"/>
  <c r="C5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J51" i="3"/>
  <c r="J44" i="3"/>
  <c r="J43" i="3"/>
  <c r="S59" i="3"/>
  <c r="S56" i="3"/>
  <c r="S55" i="3"/>
  <c r="S52" i="3"/>
  <c r="S53" i="3"/>
  <c r="O59" i="3"/>
  <c r="O57" i="3"/>
  <c r="O53" i="3"/>
  <c r="O50" i="3"/>
  <c r="O46" i="3"/>
  <c r="S48" i="3"/>
  <c r="S46" i="3"/>
  <c r="S45" i="3"/>
  <c r="S43" i="3"/>
  <c r="O58" i="3"/>
  <c r="O56" i="3"/>
  <c r="O55" i="3"/>
  <c r="O52" i="3"/>
  <c r="O49" i="3"/>
  <c r="O47" i="3"/>
  <c r="O45" i="3"/>
  <c r="O43" i="3"/>
  <c r="O60" i="3"/>
  <c r="O54" i="3"/>
  <c r="O51" i="3"/>
  <c r="O48" i="3"/>
  <c r="O44" i="3"/>
  <c r="S49" i="3"/>
  <c r="S44" i="3"/>
  <c r="J53" i="3"/>
  <c r="J49" i="3"/>
  <c r="J47" i="3"/>
  <c r="J45" i="3"/>
  <c r="S60" i="3"/>
  <c r="S51" i="3"/>
  <c r="S50" i="3"/>
  <c r="J60" i="3"/>
  <c r="J59" i="3"/>
  <c r="J58" i="3"/>
  <c r="J57" i="3"/>
  <c r="J56" i="3"/>
  <c r="J55" i="3"/>
  <c r="J54" i="3"/>
  <c r="J52" i="3"/>
  <c r="J50" i="3"/>
  <c r="J48" i="3"/>
  <c r="J46" i="3"/>
  <c r="S58" i="3"/>
  <c r="S57" i="3"/>
  <c r="S54" i="3"/>
  <c r="S47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R60" i="3"/>
  <c r="N60" i="3"/>
  <c r="L60" i="3"/>
  <c r="J42" i="3"/>
  <c r="N42" i="3"/>
  <c r="L42" i="3"/>
  <c r="O42" i="3"/>
  <c r="M42" i="3"/>
  <c r="Q42" i="3"/>
  <c r="R42" i="3"/>
  <c r="S42" i="3"/>
  <c r="H42" i="3"/>
  <c r="H40" i="3" l="1"/>
  <c r="Q40" i="3"/>
  <c r="M40" i="3"/>
  <c r="C6" i="3"/>
  <c r="G39" i="3" l="1"/>
  <c r="L3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<sst xmlns="http://schemas.openxmlformats.org/spreadsheetml/2006/main" count="77" uniqueCount="56">
  <si>
    <t>[Begin Format Range]</t>
  </si>
  <si>
    <t>Default</t>
  </si>
  <si>
    <t>Leaf</t>
  </si>
  <si>
    <t>[End Format Range]</t>
  </si>
  <si>
    <t>Element Name</t>
  </si>
  <si>
    <t>{TM1TOGGLEEXPANDMODE(TM1SubsetToSet([Accounts - Cashflow].[Accounts - Cashflow] , "Summary Group Performance - Cashflow" , "public") , EXPAND_ABOVE)}</t>
  </si>
  <si>
    <t>m_MA Cashflow</t>
  </si>
  <si>
    <t>Company</t>
  </si>
  <si>
    <t>Financial Year</t>
  </si>
  <si>
    <t>Financial Period</t>
  </si>
  <si>
    <t>Period YTD</t>
  </si>
  <si>
    <t>Consolidation Layer</t>
  </si>
  <si>
    <t>FX Calculation</t>
  </si>
  <si>
    <t>Actual</t>
  </si>
  <si>
    <t>Budget</t>
  </si>
  <si>
    <t>Depreciation and Amortisation</t>
  </si>
  <si>
    <t>Underlying EBITDA</t>
  </si>
  <si>
    <t>Movement in Inventory</t>
  </si>
  <si>
    <t>Movement in trade receivables</t>
  </si>
  <si>
    <t>Movement in trade payables</t>
  </si>
  <si>
    <t>Movement in other working capital</t>
  </si>
  <si>
    <t>Working Capital Movements</t>
  </si>
  <si>
    <t>Operating Cashflows</t>
  </si>
  <si>
    <t>Total</t>
  </si>
  <si>
    <t>Cash from Underlying EBIT</t>
  </si>
  <si>
    <t>FIXED ASSET CAPEX</t>
  </si>
  <si>
    <t>Lease Capital Payments (IFRS16)</t>
  </si>
  <si>
    <t>Interest</t>
  </si>
  <si>
    <t>Taxation</t>
  </si>
  <si>
    <t>Long Term Loan Repayment</t>
  </si>
  <si>
    <t>CGPS Pension Contribtutions</t>
  </si>
  <si>
    <t>Other Non Operating Cashflows</t>
  </si>
  <si>
    <t>Trading Cashflows</t>
  </si>
  <si>
    <t>CLOSING CASH</t>
  </si>
  <si>
    <t>CTP-US</t>
  </si>
  <si>
    <t>CTP-UK</t>
  </si>
  <si>
    <t>CTP-Czech</t>
  </si>
  <si>
    <t>CTP-India</t>
  </si>
  <si>
    <t>CTP-China</t>
  </si>
  <si>
    <t>CTP-consol</t>
  </si>
  <si>
    <t>CTP TOTAL</t>
  </si>
  <si>
    <t>Aero-Bruntons</t>
  </si>
  <si>
    <t>Aero-Jacottet</t>
  </si>
  <si>
    <t>Aero-Consol</t>
  </si>
  <si>
    <t>Aerospace TOTAL</t>
  </si>
  <si>
    <t>H01</t>
  </si>
  <si>
    <t>H02</t>
  </si>
  <si>
    <t>H03</t>
  </si>
  <si>
    <t>Central Costs TOTAL</t>
  </si>
  <si>
    <t>GROUP TOTAL</t>
  </si>
  <si>
    <t>[Book3]Sheet2!F26:G26</t>
  </si>
  <si>
    <t>P12</t>
  </si>
  <si>
    <t>Prior Year</t>
  </si>
  <si>
    <t>YTD</t>
  </si>
  <si>
    <t>6. Summary Group Cashflow</t>
  </si>
  <si>
    <t>Full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</si>
</sst>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0.0,,;[Red]\(##0.0,,\);0"/>
  </numFmts>
  <fonts count="18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0"/>
      <color theme="1" tint="0.24994659260841701"/>
      <name val="Calibri"/>
      <family val="2"/>
    </font>
    <font>
      <sz val="10"/>
      <name val="Calibri"/>
      <family val="2"/>
    </font>
    <font>
      <sz val="10"/>
      <color theme="1" tint="0.24994659260841701"/>
      <name val="Calibri"/>
      <family val="2"/>
    </font>
    <font>
      <b/>
      <sz val="10.5"/>
      <name val="Calibri"/>
      <family val="2"/>
    </font>
    <font>
      <b/>
      <sz val="10"/>
      <name val="Calibri"/>
      <family val="2"/>
    </font>
    <font>
      <b/>
      <sz val="32"/>
      <color rgb="FF055445"/>
      <name val="Red Hat Display"/>
    </font>
  </fonts>
  <fills count="7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</fills>
  <borders count="30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auto="1"/>
      </top>
      <bottom style="medium">
        <color auto="1"/>
      </bottom>
      <diagonal/>
    </border>
    <border>
      <left style="medium">
        <color theme="0" tint="-0.2499465926084170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theme="0" tint="-0.24994659260841701"/>
      </left>
      <right/>
      <top/>
      <bottom/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99">
    <xf numFmtId="0" fontId="0" fillId="0" borderId="0" xfId="0"/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2" fillId="0" borderId="0" xfId="25" quotePrefix="1" applyNumberFormat="1" applyBorder="1"/>
    <xf numFmtId="0" fontId="2" fillId="0" borderId="0" xfId="25" applyNumberFormat="1" applyBorder="1"/>
    <xf numFmtId="0" fontId="2" fillId="0" borderId="2" xfId="27" quotePrefix="1"/>
    <xf numFmtId="0" fontId="2" fillId="0" borderId="2" xfId="26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11" applyNumberFormat="1" applyFill="1" applyBorder="1"/>
    <xf numFmtId="0" fontId="1" fillId="0" borderId="7" xfId="12" applyNumberFormat="1" applyFill="1" applyBorder="1"/>
    <xf numFmtId="0" fontId="1" fillId="0" borderId="7" xfId="13" applyNumberFormat="1" applyFill="1" applyBorder="1"/>
    <xf numFmtId="0" fontId="1" fillId="0" borderId="7" xfId="14" applyNumberFormat="1" applyFill="1" applyBorder="1"/>
    <xf numFmtId="0" fontId="1" fillId="0" borderId="7" xfId="15" applyNumberFormat="1" applyFill="1" applyBorder="1"/>
    <xf numFmtId="0" fontId="1" fillId="0" borderId="8" xfId="16" applyNumberFormat="1" applyBorder="1"/>
    <xf numFmtId="0" fontId="1" fillId="0" borderId="0" xfId="16" applyNumberFormat="1" applyBorder="1"/>
    <xf numFmtId="0" fontId="1" fillId="0" borderId="0" xfId="16" applyNumberFormat="1" applyFill="1" applyBorder="1"/>
    <xf numFmtId="165" fontId="12" fillId="4" borderId="9" xfId="63" applyNumberFormat="1" applyFont="1" applyFill="1" applyBorder="1"/>
    <xf numFmtId="165" fontId="12" fillId="4" borderId="10" xfId="63" applyNumberFormat="1" applyFont="1" applyFill="1" applyBorder="1"/>
    <xf numFmtId="0" fontId="13" fillId="0" borderId="0" xfId="17" applyNumberFormat="1" applyFont="1" applyBorder="1"/>
    <xf numFmtId="165" fontId="14" fillId="0" borderId="0" xfId="63" applyNumberFormat="1" applyFont="1" applyBorder="1"/>
    <xf numFmtId="165" fontId="11" fillId="0" borderId="0" xfId="11" applyNumberFormat="1" applyFont="1" applyFill="1" applyBorder="1"/>
    <xf numFmtId="49" fontId="2" fillId="0" borderId="0" xfId="25" quotePrefix="1" applyNumberFormat="1" applyBorder="1" applyAlignment="1"/>
    <xf numFmtId="0" fontId="2" fillId="0" borderId="2" xfId="26" applyNumberFormat="1"/>
    <xf numFmtId="0" fontId="2" fillId="5" borderId="15" xfId="26" applyFill="1" applyBorder="1" applyAlignment="1">
      <alignment horizontal="left"/>
    </xf>
    <xf numFmtId="0" fontId="2" fillId="5" borderId="16" xfId="26" applyFill="1" applyBorder="1" applyAlignment="1">
      <alignment horizontal="left"/>
    </xf>
    <xf numFmtId="0" fontId="2" fillId="5" borderId="15" xfId="26" applyNumberFormat="1" applyFill="1" applyBorder="1" applyAlignment="1">
      <alignment horizontal="left"/>
    </xf>
    <xf numFmtId="0" fontId="2" fillId="5" borderId="16" xfId="26" applyNumberFormat="1" applyFill="1" applyBorder="1" applyAlignment="1">
      <alignment horizontal="left"/>
    </xf>
    <xf numFmtId="165" fontId="13" fillId="0" borderId="0" xfId="17" applyNumberFormat="1" applyFont="1" applyFill="1" applyBorder="1"/>
    <xf numFmtId="0" fontId="1" fillId="0" borderId="7" xfId="1" quotePrefix="1" applyBorder="1">
      <alignment horizontal="center" vertical="center"/>
    </xf>
    <xf numFmtId="0" fontId="1" fillId="0" borderId="0" xfId="1" quotePrefix="1" applyBorder="1">
      <alignment horizontal="center" vertical="center"/>
    </xf>
    <xf numFmtId="0" fontId="16" fillId="6" borderId="13" xfId="70" quotePrefix="1" applyFont="1" applyFill="1" applyBorder="1" applyAlignment="1">
      <alignment horizontal="center" vertical="center" wrapText="1"/>
    </xf>
    <xf numFmtId="0" fontId="16" fillId="6" borderId="17" xfId="70" quotePrefix="1" applyFont="1" applyFill="1" applyBorder="1" applyAlignment="1">
      <alignment horizontal="center" vertical="center" wrapText="1"/>
    </xf>
    <xf numFmtId="0" fontId="16" fillId="6" borderId="14" xfId="70" quotePrefix="1" applyFont="1" applyFill="1" applyBorder="1" applyAlignment="1">
      <alignment horizontal="center" vertical="center" wrapText="1"/>
    </xf>
    <xf numFmtId="165" fontId="12" fillId="0" borderId="0" xfId="63" applyNumberFormat="1" applyFont="1" applyFill="1" applyBorder="1"/>
    <xf numFmtId="165" fontId="10" fillId="4" borderId="18" xfId="11" applyNumberFormat="1" applyFont="1" applyFill="1" applyBorder="1"/>
    <xf numFmtId="0" fontId="13" fillId="0" borderId="11" xfId="17" applyNumberFormat="1" applyFont="1" applyBorder="1"/>
    <xf numFmtId="165" fontId="2" fillId="0" borderId="11" xfId="18" applyNumberFormat="1" applyBorder="1"/>
    <xf numFmtId="165" fontId="2" fillId="0" borderId="0" xfId="18" applyNumberFormat="1" applyBorder="1"/>
    <xf numFmtId="165" fontId="10" fillId="4" borderId="9" xfId="11" applyNumberFormat="1" applyFont="1" applyFill="1" applyBorder="1"/>
    <xf numFmtId="3" fontId="2" fillId="0" borderId="21" xfId="3" applyBorder="1"/>
    <xf numFmtId="3" fontId="2" fillId="0" borderId="21" xfId="4" applyBorder="1"/>
    <xf numFmtId="3" fontId="2" fillId="0" borderId="21" xfId="5" applyBorder="1"/>
    <xf numFmtId="3" fontId="2" fillId="0" borderId="21" xfId="6" applyBorder="1"/>
    <xf numFmtId="3" fontId="2" fillId="0" borderId="21" xfId="7" applyBorder="1"/>
    <xf numFmtId="3" fontId="2" fillId="0" borderId="21" xfId="8" applyBorder="1"/>
    <xf numFmtId="3" fontId="2" fillId="0" borderId="22" xfId="3" applyBorder="1"/>
    <xf numFmtId="3" fontId="2" fillId="0" borderId="22" xfId="4" applyBorder="1"/>
    <xf numFmtId="3" fontId="2" fillId="0" borderId="22" xfId="5" applyBorder="1"/>
    <xf numFmtId="3" fontId="2" fillId="0" borderId="22" xfId="6" applyBorder="1"/>
    <xf numFmtId="3" fontId="2" fillId="0" borderId="22" xfId="7" applyBorder="1"/>
    <xf numFmtId="3" fontId="2" fillId="0" borderId="23" xfId="8" applyBorder="1"/>
    <xf numFmtId="165" fontId="14" fillId="0" borderId="12" xfId="63" applyNumberFormat="1" applyFont="1" applyBorder="1"/>
    <xf numFmtId="0" fontId="1" fillId="0" borderId="25" xfId="11" applyNumberFormat="1" applyBorder="1"/>
    <xf numFmtId="0" fontId="1" fillId="0" borderId="25" xfId="12" applyNumberFormat="1" applyBorder="1"/>
    <xf numFmtId="0" fontId="1" fillId="0" borderId="25" xfId="13" applyNumberFormat="1" applyBorder="1"/>
    <xf numFmtId="0" fontId="1" fillId="0" borderId="25" xfId="14" applyNumberFormat="1" applyBorder="1"/>
    <xf numFmtId="0" fontId="1" fillId="0" borderId="25" xfId="15" applyNumberFormat="1" applyBorder="1"/>
    <xf numFmtId="0" fontId="1" fillId="0" borderId="25" xfId="16" applyNumberFormat="1" applyBorder="1"/>
    <xf numFmtId="0" fontId="1" fillId="0" borderId="24" xfId="16" applyNumberFormat="1" applyBorder="1"/>
    <xf numFmtId="0" fontId="1" fillId="0" borderId="1" xfId="11" applyNumberFormat="1" applyBorder="1"/>
    <xf numFmtId="0" fontId="1" fillId="0" borderId="1" xfId="12" applyNumberFormat="1" applyBorder="1"/>
    <xf numFmtId="0" fontId="1" fillId="0" borderId="1" xfId="13" applyNumberFormat="1" applyBorder="1"/>
    <xf numFmtId="0" fontId="1" fillId="0" borderId="1" xfId="14" applyNumberFormat="1" applyBorder="1"/>
    <xf numFmtId="0" fontId="1" fillId="0" borderId="1" xfId="15" applyNumberFormat="1" applyBorder="1"/>
    <xf numFmtId="165" fontId="10" fillId="4" borderId="26" xfId="11" applyNumberFormat="1" applyFont="1" applyFill="1" applyBorder="1"/>
    <xf numFmtId="165" fontId="13" fillId="0" borderId="27" xfId="17" applyNumberFormat="1" applyFont="1" applyBorder="1"/>
    <xf numFmtId="165" fontId="12" fillId="4" borderId="18" xfId="63" applyNumberFormat="1" applyFont="1" applyFill="1" applyBorder="1"/>
    <xf numFmtId="165" fontId="14" fillId="0" borderId="11" xfId="63" applyNumberFormat="1" applyFont="1" applyBorder="1"/>
    <xf numFmtId="0" fontId="0" fillId="0" borderId="17" xfId="0" applyBorder="1"/>
    <xf numFmtId="0" fontId="2" fillId="0" borderId="29" xfId="27" quotePrefix="1" applyBorder="1"/>
    <xf numFmtId="0" fontId="2" fillId="0" borderId="17" xfId="26" applyBorder="1"/>
    <xf numFmtId="0" fontId="17" fillId="0" borderId="0" xfId="0" applyFont="1" applyAlignment="1">
      <alignment horizontal="left" vertical="center" readingOrder="1"/>
    </xf>
    <xf numFmtId="0" fontId="2" fillId="0" borderId="21" xfId="27" quotePrefix="1" applyBorder="1"/>
    <xf numFmtId="0" fontId="15" fillId="6" borderId="28" xfId="70" quotePrefix="1" applyFont="1" applyFill="1" applyBorder="1">
      <alignment horizontal="center" vertical="center"/>
    </xf>
    <xf numFmtId="0" fontId="15" fillId="6" borderId="19" xfId="70" quotePrefix="1" applyFont="1" applyFill="1" applyBorder="1">
      <alignment horizontal="center" vertical="center"/>
    </xf>
    <xf numFmtId="0" fontId="15" fillId="6" borderId="20" xfId="70" quotePrefix="1" applyFont="1" applyFill="1" applyBorder="1">
      <alignment horizontal="center" vertical="center"/>
    </xf>
    <xf numFmtId="49" fontId="2" fillId="0" borderId="0" xfId="18" quotePrefix="1" applyNumberFormat="1" applyAlignment="1"/>
    <xf numFmtId="49" fontId="2" fillId="0" borderId="0" xfId="25" quotePrefix="1" applyNumberFormat="1" applyBorder="1" applyAlignment="1">
      <alignment horizontal="left" indent="2"/>
    </xf>
    <xf numFmtId="49" fontId="2" fillId="0" borderId="0" xfId="18" quotePrefix="1" applyNumberFormat="1" applyAlignment="1">
      <alignment horizontal="left" indent="1"/>
    </xf>
  </cellXfs>
  <cellStyles count="74">
    <cellStyle name="AF Column - IBM Cognos" xfId="1" xr:uid="{2A1F5BE8-6441-49F5-88D5-E0054C7E1A79}"/>
    <cellStyle name="AF Data - IBM Cognos" xfId="2" xr:uid="{1B08E1FA-D670-4DD4-B9CD-DEBF634AF1D7}"/>
    <cellStyle name="AF Data 0 - IBM Cognos" xfId="3" xr:uid="{38E3269C-1FF2-4143-883E-C2A5A9998748}"/>
    <cellStyle name="AF Data 1 - IBM Cognos" xfId="4" xr:uid="{54DBD226-F217-4E55-A148-145D825C93DB}"/>
    <cellStyle name="AF Data 2 - IBM Cognos" xfId="5" xr:uid="{BB27D438-94E5-4110-A0B8-63B6FD5FEAE5}"/>
    <cellStyle name="AF Data 3 - IBM Cognos" xfId="6" xr:uid="{2E98201F-A12F-4F29-A569-E40BAE24A1B4}"/>
    <cellStyle name="AF Data 4 - IBM Cognos" xfId="7" xr:uid="{57A9590B-504E-4660-8BB0-32726CA33875}"/>
    <cellStyle name="AF Data 5 - IBM Cognos" xfId="8" xr:uid="{E5CD5536-90BB-4AE2-B219-19486BFB7C80}"/>
    <cellStyle name="AF Data Leaf - IBM Cognos" xfId="9" xr:uid="{789AFF78-4EAA-4363-964D-E3F9C0CA290E}"/>
    <cellStyle name="AF Header - IBM Cognos" xfId="10" xr:uid="{B224AB1D-9AD9-4207-8B1F-200BA9581E04}"/>
    <cellStyle name="AF Header 0 - IBM Cognos" xfId="11" xr:uid="{39B36E1B-5717-4EAD-964A-C5AED15D1489}"/>
    <cellStyle name="AF Header 1 - IBM Cognos" xfId="12" xr:uid="{7A30159D-5375-446A-ACCF-94985FCB916D}"/>
    <cellStyle name="AF Header 2 - IBM Cognos" xfId="13" xr:uid="{4CFACF9F-1BD8-437A-B7B3-3A1A110B3F89}"/>
    <cellStyle name="AF Header 3 - IBM Cognos" xfId="14" xr:uid="{A9C370C0-C544-4947-A554-160F899E3571}"/>
    <cellStyle name="AF Header 4 - IBM Cognos" xfId="15" xr:uid="{71E8CFDE-371E-461C-9E35-5FC8BB7BCB21}"/>
    <cellStyle name="AF Header 5 - IBM Cognos" xfId="16" xr:uid="{724387C5-1629-4C0A-BA8A-D008CA524ABB}"/>
    <cellStyle name="AF Header Leaf - IBM Cognos" xfId="17" xr:uid="{68950532-E040-4B3B-86C4-CC0A5C2F5C02}"/>
    <cellStyle name="AF Row - IBM Cognos" xfId="18" xr:uid="{B149F6E8-A3F5-404C-AEA6-CD601896B633}"/>
    <cellStyle name="AF Row 0 - IBM Cognos" xfId="19" xr:uid="{2A0886D7-318B-4116-A73B-2A1ED44CA872}"/>
    <cellStyle name="AF Row 1 - IBM Cognos" xfId="20" xr:uid="{B02BAC24-4325-41B1-BF16-BF09A27DFF75}"/>
    <cellStyle name="AF Row 2 - IBM Cognos" xfId="21" xr:uid="{A12C54A3-AAD9-444B-87EA-B04685658BD8}"/>
    <cellStyle name="AF Row 3 - IBM Cognos" xfId="22" xr:uid="{DB6EDF26-B90D-4663-B648-D88C53119E74}"/>
    <cellStyle name="AF Row 4 - IBM Cognos" xfId="23" xr:uid="{8248C956-9B9E-4AB7-905E-41A04BCF50F4}"/>
    <cellStyle name="AF Row 5 - IBM Cognos" xfId="24" xr:uid="{27A3A3E6-28F0-4C39-8640-6073B96BDBB5}"/>
    <cellStyle name="AF Row Leaf - IBM Cognos" xfId="25" xr:uid="{F19027B6-E970-49CC-AF0F-C086A20493FA}"/>
    <cellStyle name="AF Subnm - IBM Cognos" xfId="26" xr:uid="{65451C50-5A23-49F2-AF91-92659DE894F2}"/>
    <cellStyle name="AF Title - IBM Cognos" xfId="27" xr:uid="{4CEC0544-FA2E-43E3-9AA1-0F7FB82671BE}"/>
    <cellStyle name="Calculated Column - IBM Cognos" xfId="28" xr:uid="{9695D0BC-2485-4E31-A82A-27516CB827F8}"/>
    <cellStyle name="Calculated Column Name - IBM Cognos" xfId="29" xr:uid="{E1D0CA55-4820-4CED-9013-2EC8CF6797CA}"/>
    <cellStyle name="Calculated Row - IBM Cognos" xfId="30" xr:uid="{19D1B83F-F12A-418A-A0A5-2F067535DA8E}"/>
    <cellStyle name="Calculated Row Name - IBM Cognos" xfId="31" xr:uid="{DAE105BD-2E2A-46E9-93E1-8B1754C21A06}"/>
    <cellStyle name="Column Name - IBM Cognos" xfId="32" xr:uid="{D4B18A60-77F4-4325-A161-C17F733D4E9B}"/>
    <cellStyle name="Column Template - IBM Cognos" xfId="33" xr:uid="{A13C1E05-12A6-43AF-9C7E-A40B07EA00C8}"/>
    <cellStyle name="Differs From Base - IBM Cognos" xfId="34" xr:uid="{C2F0585E-A857-4A02-A66A-D0D2F9F60F96}"/>
    <cellStyle name="DQR Column 0 - IBM Cognos" xfId="35" xr:uid="{D1686918-AE72-41C9-A0B1-629A9B61C38F}"/>
    <cellStyle name="DQR Column 1 - IBM Cognos" xfId="36" xr:uid="{AA106386-4C16-45AB-BB28-98A7F5F00023}"/>
    <cellStyle name="DQR Column 2 - IBM Cognos" xfId="37" xr:uid="{6D5232C0-F2AB-47C0-8357-3F17D4D30DA4}"/>
    <cellStyle name="DQR Column 3 - IBM Cognos" xfId="38" xr:uid="{5585D000-B463-4DE1-811F-E36439553157}"/>
    <cellStyle name="DQR Column 4 - IBM Cognos" xfId="39" xr:uid="{9E2A46F3-7C0C-44E6-A92C-6A2888EA7A76}"/>
    <cellStyle name="DQR Column 5 - IBM Cognos" xfId="40" xr:uid="{5D75D0FE-6BFD-424E-918E-E251618B99E0}"/>
    <cellStyle name="DQR Column Default - IBM Cognos" xfId="41" xr:uid="{8FF30D2F-9F21-4590-9345-C0BC076EE52B}"/>
    <cellStyle name="DQR Column Leaf - IBM Cognos" xfId="42" xr:uid="{DE6DC314-1F11-4C0F-BEE7-74DCFC724A60}"/>
    <cellStyle name="DQR Data Default - IBM Cognos" xfId="43" xr:uid="{BA82D3FD-A8CE-4FF7-A101-7F79EE072437}"/>
    <cellStyle name="DQR Default - IBM Cognos" xfId="44" xr:uid="{B01690DC-903A-4D5E-8AB1-FEB9075B958D}"/>
    <cellStyle name="DQR Row 0 - IBM Cognos" xfId="45" xr:uid="{626530C7-DD48-40B1-8B77-802A698FE7AB}"/>
    <cellStyle name="DQR Row 1 - IBM Cognos" xfId="46" xr:uid="{1329D550-45C6-4656-90A1-9BDCEAFE9CA8}"/>
    <cellStyle name="DQR Row 2 - IBM Cognos" xfId="47" xr:uid="{E67A2C9E-D776-4313-B12B-049D73A5B47C}"/>
    <cellStyle name="DQR Row 3 - IBM Cognos" xfId="48" xr:uid="{5DB77CF1-BA57-4DDC-A93A-1C18CCC27F44}"/>
    <cellStyle name="DQR Row 4 - IBM Cognos" xfId="49" xr:uid="{4D9D2B77-5188-41FE-9B9D-460684304592}"/>
    <cellStyle name="DQR Row 5 - IBM Cognos" xfId="50" xr:uid="{8AFD18D5-E51D-4556-A999-112093C929B8}"/>
    <cellStyle name="DQR Row Default - IBM Cognos" xfId="51" xr:uid="{E402BD51-E923-4140-8D2F-5BE4E669C3FC}"/>
    <cellStyle name="DQR Row Leaf - IBM Cognos" xfId="52" xr:uid="{22FFB0AF-B835-4DBA-948A-E96257B357B4}"/>
    <cellStyle name="Edit - IBM Cognos" xfId="53" xr:uid="{885CCAC1-77DD-4051-9E4B-C2F1BBAE95B7}"/>
    <cellStyle name="Formula - IBM Cognos" xfId="54" xr:uid="{EA31BC26-1C4F-44DE-80DB-CF81996C0F66}"/>
    <cellStyle name="Group Name - IBM Cognos" xfId="55" xr:uid="{61E1E2C5-E821-4030-B1D5-8C16373D4CFA}"/>
    <cellStyle name="Hold Values - IBM Cognos" xfId="56" xr:uid="{580F921B-AC2B-47FB-ACB3-5D5956E923FE}"/>
    <cellStyle name="List Name - IBM Cognos" xfId="57" xr:uid="{6022BB56-24B4-4978-A76E-ED2903FEA8E2}"/>
    <cellStyle name="Locked - IBM Cognos" xfId="58" xr:uid="{E2DA7CD4-1B06-4ECF-A9B0-F629FBCD8868}"/>
    <cellStyle name="Measure - IBM Cognos" xfId="59" xr:uid="{4C738F1A-B917-48C6-B602-82EF929F75F2}"/>
    <cellStyle name="Measure Header - IBM Cognos" xfId="60" xr:uid="{4129A1B3-4E23-418E-B84D-639A5E053B69}"/>
    <cellStyle name="Measure Name - IBM Cognos" xfId="61" xr:uid="{4226D6BD-8712-407B-AA50-D2DD0A51E72D}"/>
    <cellStyle name="Measure Summary - IBM Cognos" xfId="62" xr:uid="{04929B7E-CFF2-4D8B-BF0C-E3393EDA9308}"/>
    <cellStyle name="Measure Summary TM1 - IBM Cognos" xfId="63" xr:uid="{37AC15D2-D931-469D-9247-4FF6802F6BC2}"/>
    <cellStyle name="Measure Template - IBM Cognos" xfId="64" xr:uid="{938D0770-D9BE-408A-A303-78A25CAD7B86}"/>
    <cellStyle name="More - IBM Cognos" xfId="65" xr:uid="{C2AEF27F-D2B8-45CF-A6A0-658A9794A8BF}"/>
    <cellStyle name="Normal" xfId="0" builtinId="0" customBuiltin="1"/>
    <cellStyle name="Pending Change - IBM Cognos" xfId="66" xr:uid="{B37CF8E1-FA8E-4CC2-B9F2-F73105466B59}"/>
    <cellStyle name="Row Name - IBM Cognos" xfId="67" xr:uid="{B4151E16-D73A-46DC-A476-D35BF13157EB}"/>
    <cellStyle name="Row Template - IBM Cognos" xfId="68" xr:uid="{EFFEF8C8-C005-424B-8144-0888DFF70CE3}"/>
    <cellStyle name="Summary Column Name - IBM Cognos" xfId="69" xr:uid="{5126A6EE-8BE3-479E-A9F0-1E3570BFE6DB}"/>
    <cellStyle name="Summary Column Name TM1 - IBM Cognos" xfId="70" xr:uid="{466CB294-8D50-4915-8FC8-BAE09F0E24FC}"/>
    <cellStyle name="Summary Row Name - IBM Cognos" xfId="71" xr:uid="{D62119E1-5370-44AC-9B83-067B819D1087}"/>
    <cellStyle name="Summary Row Name TM1 - IBM Cognos" xfId="72" xr:uid="{B7235FDA-0A39-4C8E-A04D-961D14B84142}"/>
    <cellStyle name="Unsaved Change - IBM Cognos" xfId="73" xr:uid="{5B9E6B9E-2C1D-4597-97B9-93DB603D7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259080</xdr:colOff>
      <xdr:row>35</xdr:row>
      <xdr:rowOff>45720</xdr:rowOff>
    </xdr:from>
    <xdr:to>
      <xdr:col>20</xdr:col>
      <xdr:colOff>443521</xdr:colOff>
      <xdr:row>36</xdr:row>
      <xdr:rowOff>106609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1E4358-7313-C9F7-703D-EA2FA1E6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960120"/>
          <a:ext cx="2752381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=@TM1RPTROW($C$22,%22Finance:Accounts%20-%20Cashflow%22,%22Summary%20Group%20Cashflow%22,,%22Display%20Name%22,FALSE)" TargetMode="External"/><Relationship Id="rId13" Type="http://schemas.openxmlformats.org/officeDocument/2006/relationships/hyperlink" Target="mailto:=@TM1RPTROW($C$22,%22Finance:Accounts%20-%20Cashflow%22,%22Summary%20Group%20Cashflow%22,,%22Display%20Name%22,FALSE)" TargetMode="External"/><Relationship Id="rId18" Type="http://schemas.openxmlformats.org/officeDocument/2006/relationships/hyperlink" Target="mailto:=@TM1RPTROW($C$22,%22Finance:Accounts%20-%20Cashflow%22,%22Summary%20Group%20Cashflow%22,,%22Display%20Name%22,FALSE)" TargetMode="External"/><Relationship Id="rId3" Type="http://schemas.openxmlformats.org/officeDocument/2006/relationships/hyperlink" Target="mailto:=@TM1RPTROW($C$22,%22Finance:Accounts%20-%20Cashflow%22,%22Summary%20Group%20Cashflow%22,,%22Display%20Name%22,FALSE)" TargetMode="External"/><Relationship Id="rId7" Type="http://schemas.openxmlformats.org/officeDocument/2006/relationships/hyperlink" Target="mailto:=@TM1RPTROW($C$22,%22Finance:Accounts%20-%20Cashflow%22,%22Summary%20Group%20Cashflow%22,,%22Display%20Name%22,FALSE)" TargetMode="External"/><Relationship Id="rId12" Type="http://schemas.openxmlformats.org/officeDocument/2006/relationships/hyperlink" Target="mailto:=@TM1RPTROW($C$22,%22Finance:Accounts%20-%20Cashflow%22,%22Summary%20Group%20Cashflow%22,,%22Display%20Name%22,FALSE)" TargetMode="External"/><Relationship Id="rId17" Type="http://schemas.openxmlformats.org/officeDocument/2006/relationships/hyperlink" Target="mailto:=@TM1RPTROW($C$22,%22Finance:Accounts%20-%20Cashflow%22,%22Summary%20Group%20Cashflow%22,,%22Display%20Name%22,FALSE)" TargetMode="External"/><Relationship Id="rId2" Type="http://schemas.openxmlformats.org/officeDocument/2006/relationships/hyperlink" Target="mailto:=@TM1RPTROW($C$22,%22Finance:Accounts%20-%20Cashflow%22,%22Summary%20Group%20Cashflow%22,,%22Display%20Name%22,FALSE)" TargetMode="External"/><Relationship Id="rId16" Type="http://schemas.openxmlformats.org/officeDocument/2006/relationships/hyperlink" Target="mailto:=@TM1RPTROW($C$22,%22Finance:Accounts%20-%20Cashflow%22,%22Summary%20Group%20Cashflow%22,,%22Display%20Name%22,FALSE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=@TM1RPTROW($E$22,%22Finance:Accounts%20-%20Cashflow%22,%22Summary%20Group%20Cashflow%22,,%22Display%20Name%22,TRUE,,,FALSE)" TargetMode="External"/><Relationship Id="rId6" Type="http://schemas.openxmlformats.org/officeDocument/2006/relationships/hyperlink" Target="mailto:=@TM1RPTROW($C$22,%22Finance:Accounts%20-%20Cashflow%22,%22Summary%20Group%20Cashflow%22,,%22Display%20Name%22,FALSE)" TargetMode="External"/><Relationship Id="rId11" Type="http://schemas.openxmlformats.org/officeDocument/2006/relationships/hyperlink" Target="mailto:=@TM1RPTROW($C$22,%22Finance:Accounts%20-%20Cashflow%22,%22Summary%20Group%20Cashflow%22,,%22Display%20Name%22,FALSE)" TargetMode="External"/><Relationship Id="rId5" Type="http://schemas.openxmlformats.org/officeDocument/2006/relationships/hyperlink" Target="mailto:=@TM1RPTROW($C$22,%22Finance:Accounts%20-%20Cashflow%22,%22Summary%20Group%20Cashflow%22,,%22Display%20Name%22,FALSE)" TargetMode="External"/><Relationship Id="rId15" Type="http://schemas.openxmlformats.org/officeDocument/2006/relationships/hyperlink" Target="mailto:=@TM1RPTROW($C$22,%22Finance:Accounts%20-%20Cashflow%22,%22Summary%20Group%20Cashflow%22,,%22Display%20Name%22,FALSE)" TargetMode="External"/><Relationship Id="rId10" Type="http://schemas.openxmlformats.org/officeDocument/2006/relationships/hyperlink" Target="mailto:=@TM1RPTROW($C$22,%22Finance:Accounts%20-%20Cashflow%22,%22Summary%20Group%20Cashflow%22,,%22Display%20Name%22,FALSE)" TargetMode="External"/><Relationship Id="rId19" Type="http://schemas.openxmlformats.org/officeDocument/2006/relationships/hyperlink" Target="mailto:=@TM1RPTROW($C$22,%22Finance:Accounts%20-%20Cashflow%22,%22Summary%20Group%20Cashflow%22,,%22Display%20Name%22,FALSE)" TargetMode="External"/><Relationship Id="rId4" Type="http://schemas.openxmlformats.org/officeDocument/2006/relationships/hyperlink" Target="mailto:=@TM1RPTROW($C$22,%22Finance:Accounts%20-%20Cashflow%22,%22Summary%20Group%20Cashflow%22,,%22Display%20Name%22,FALSE)" TargetMode="External"/><Relationship Id="rId9" Type="http://schemas.openxmlformats.org/officeDocument/2006/relationships/hyperlink" Target="mailto:=@TM1RPTROW($C$22,%22Finance:Accounts%20-%20Cashflow%22,%22Summary%20Group%20Cashflow%22,,%22Display%20Name%22,FALSE)" TargetMode="External"/><Relationship Id="rId14" Type="http://schemas.openxmlformats.org/officeDocument/2006/relationships/hyperlink" Target="mailto:=@TM1RPTROW($C$22,%22Finance:Accounts%20-%20Cashflow%22,%22Summary%20Group%20Cashflow%22,,%22Display%20Name%2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D157-43BD-47E1-AF15-50EDA4302968}">
  <dimension ref="B1:B17"/>
  <sheetViews>
    <sheetView workbookViewId="0"/>
  </sheetViews>
  <sheetFormatPr defaultRowHeight="14.4"/>
  <sheetData>
    <row r="1" spans="2:2">
      <c r="B1" t="s">
        <v>50</v>
      </c>
    </row>
    <row r="2" spans="2:2">
      <c r="B2" s="1" t="s">
        <v>34</v>
      </c>
    </row>
    <row r="3" spans="2:2">
      <c r="B3" s="1" t="s">
        <v>35</v>
      </c>
    </row>
    <row r="4" spans="2:2">
      <c r="B4" s="1" t="s">
        <v>36</v>
      </c>
    </row>
    <row r="5" spans="2:2">
      <c r="B5" s="1" t="s">
        <v>37</v>
      </c>
    </row>
    <row r="6" spans="2:2">
      <c r="B6" s="1" t="s">
        <v>38</v>
      </c>
    </row>
    <row r="7" spans="2:2">
      <c r="B7" s="1" t="s">
        <v>39</v>
      </c>
    </row>
    <row r="8" spans="2:2">
      <c r="B8" s="1" t="s">
        <v>40</v>
      </c>
    </row>
    <row r="9" spans="2:2">
      <c r="B9" s="1" t="s">
        <v>41</v>
      </c>
    </row>
    <row r="10" spans="2:2">
      <c r="B10" s="1" t="s">
        <v>42</v>
      </c>
    </row>
    <row r="11" spans="2:2">
      <c r="B11" s="1" t="s">
        <v>43</v>
      </c>
    </row>
    <row r="12" spans="2:2">
      <c r="B12" s="1" t="s">
        <v>44</v>
      </c>
    </row>
    <row r="13" spans="2:2">
      <c r="B13" s="1" t="s">
        <v>45</v>
      </c>
    </row>
    <row r="14" spans="2:2">
      <c r="B14" s="1" t="s">
        <v>46</v>
      </c>
    </row>
    <row r="15" spans="2:2">
      <c r="B15" s="1" t="s">
        <v>47</v>
      </c>
    </row>
    <row r="16" spans="2:2">
      <c r="B16" s="1" t="s">
        <v>48</v>
      </c>
    </row>
    <row r="17" spans="2:2">
      <c r="B17" s="1" t="s">
        <v>49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4530-6891-4220-A9DC-B9646BBC8305}">
  <dimension ref="A1:T60"/>
  <sheetViews>
    <sheetView showGridLines="0" tabSelected="1" topLeftCell="D25" workbookViewId="0"/>
  </sheetViews>
  <sheetFormatPr defaultRowHeight="14.4"/>
  <cols>
    <col min="1" max="3" width="25.77734375" hidden="1" customWidth="1"/>
    <col min="4" max="4" width="2.21875" customWidth="1"/>
    <col min="5" max="5" width="28.88671875" customWidth="1"/>
    <col min="6" max="6" width="3.77734375" hidden="1" customWidth="1"/>
    <col min="7" max="7" width="10.77734375" bestFit="1" customWidth="1"/>
    <col min="8" max="8" width="10.109375" bestFit="1" customWidth="1"/>
    <col min="9" max="9" width="11.44140625" bestFit="1" customWidth="1"/>
    <col min="10" max="10" width="10.77734375" bestFit="1" customWidth="1"/>
    <col min="11" max="11" width="2" customWidth="1"/>
    <col min="16" max="16" width="1.88671875" customWidth="1"/>
    <col min="17" max="17" width="8.88671875" customWidth="1"/>
    <col min="20" max="20" width="0" hidden="1" customWidth="1"/>
  </cols>
  <sheetData>
    <row r="1" spans="1:13" hidden="1">
      <c r="C1" s="26" t="str">
        <f>MID($G$28,2,2)</f>
        <v>12</v>
      </c>
      <c r="D1" s="26"/>
    </row>
    <row r="2" spans="1:13" hidden="1">
      <c r="C2" s="27">
        <f>C1*1</f>
        <v>12</v>
      </c>
      <c r="D2" s="27"/>
    </row>
    <row r="3" spans="1:13" hidden="1">
      <c r="C3" s="26" t="str">
        <f>MID($G$27,3,2)</f>
        <v>24</v>
      </c>
      <c r="D3" s="26"/>
    </row>
    <row r="4" spans="1:13" hidden="1">
      <c r="C4" s="26">
        <f>C3-1</f>
        <v>23</v>
      </c>
      <c r="D4" s="26"/>
    </row>
    <row r="5" spans="1:13" hidden="1">
      <c r="C5" s="26" t="str" cm="1">
        <f t="array" ref="C5">_xll.DBR("Finance:}ELementAttributes_Financial Period",$G$28,"Mon")</f>
        <v>Mar</v>
      </c>
      <c r="D5" s="26"/>
    </row>
    <row r="6" spans="1:13" hidden="1">
      <c r="C6" s="26" t="str">
        <f>$C$5 &amp; "-" &amp;IF($C$2 &lt; 10,$C$4,$C$3)&amp;":"</f>
        <v>Mar-24:</v>
      </c>
      <c r="D6" s="26"/>
    </row>
    <row r="7" spans="1:13" hidden="1"/>
    <row r="8" spans="1:13" hidden="1"/>
    <row r="9" spans="1:13" hidden="1"/>
    <row r="10" spans="1:13" ht="15" hidden="1" thickBot="1">
      <c r="A10" s="1" t="s">
        <v>0</v>
      </c>
      <c r="B10" s="1"/>
      <c r="C10" s="1"/>
      <c r="D10" s="1"/>
    </row>
    <row r="11" spans="1:13" s="2" customFormat="1" ht="15" hidden="1" thickBot="1">
      <c r="A11" s="2">
        <v>0</v>
      </c>
      <c r="E11" s="3" t="s">
        <v>4</v>
      </c>
      <c r="F11" s="72"/>
      <c r="G11" s="79">
        <v>123.456789</v>
      </c>
      <c r="H11" s="3">
        <v>123.456789</v>
      </c>
      <c r="I11" s="28">
        <v>123.456789</v>
      </c>
      <c r="J11" s="65">
        <v>123.456789</v>
      </c>
      <c r="K11" s="59"/>
      <c r="L11" s="4"/>
      <c r="M11" s="4"/>
    </row>
    <row r="12" spans="1:13" s="5" customFormat="1" ht="15" hidden="1" thickBot="1">
      <c r="A12" s="5">
        <v>1</v>
      </c>
      <c r="E12" s="6" t="s">
        <v>4</v>
      </c>
      <c r="F12" s="73"/>
      <c r="G12" s="80">
        <v>123.456789</v>
      </c>
      <c r="H12" s="6">
        <v>123.456789</v>
      </c>
      <c r="I12" s="29">
        <v>123.456789</v>
      </c>
      <c r="J12" s="66">
        <v>123.456789</v>
      </c>
      <c r="K12" s="60"/>
      <c r="L12" s="7"/>
      <c r="M12" s="7"/>
    </row>
    <row r="13" spans="1:13" s="8" customFormat="1" ht="15" hidden="1" thickBot="1">
      <c r="A13" s="8">
        <v>2</v>
      </c>
      <c r="E13" s="9" t="s">
        <v>4</v>
      </c>
      <c r="F13" s="74"/>
      <c r="G13" s="81">
        <v>123.456789</v>
      </c>
      <c r="H13" s="9">
        <v>123.456789</v>
      </c>
      <c r="I13" s="30">
        <v>123.456789</v>
      </c>
      <c r="J13" s="67">
        <v>123.456789</v>
      </c>
      <c r="K13" s="61"/>
      <c r="L13" s="10"/>
      <c r="M13" s="10"/>
    </row>
    <row r="14" spans="1:13" s="11" customFormat="1" ht="15" hidden="1" thickBot="1">
      <c r="A14" s="11">
        <v>3</v>
      </c>
      <c r="E14" s="12" t="s">
        <v>4</v>
      </c>
      <c r="F14" s="75"/>
      <c r="G14" s="82">
        <v>123.456789</v>
      </c>
      <c r="H14" s="12">
        <v>123.456789</v>
      </c>
      <c r="I14" s="31">
        <v>123.456789</v>
      </c>
      <c r="J14" s="68">
        <v>123.456789</v>
      </c>
      <c r="K14" s="62"/>
      <c r="L14" s="13"/>
      <c r="M14" s="13"/>
    </row>
    <row r="15" spans="1:13" s="14" customFormat="1" ht="15" hidden="1" thickBot="1">
      <c r="A15" s="14">
        <v>4</v>
      </c>
      <c r="E15" s="15" t="s">
        <v>4</v>
      </c>
      <c r="F15" s="76"/>
      <c r="G15" s="83">
        <v>123.456789</v>
      </c>
      <c r="H15" s="15">
        <v>123.456789</v>
      </c>
      <c r="I15" s="32">
        <v>123.456789</v>
      </c>
      <c r="J15" s="69">
        <v>123.456789</v>
      </c>
      <c r="K15" s="63"/>
      <c r="L15" s="16"/>
      <c r="M15" s="16"/>
    </row>
    <row r="16" spans="1:13" s="17" customFormat="1" ht="15" hidden="1" thickBot="1">
      <c r="A16" s="17">
        <v>5</v>
      </c>
      <c r="E16" s="18" t="s">
        <v>4</v>
      </c>
      <c r="F16" s="77"/>
      <c r="G16" s="33">
        <v>123.456789</v>
      </c>
      <c r="H16" s="34">
        <v>123.456789</v>
      </c>
      <c r="I16" s="35">
        <v>123.456789</v>
      </c>
      <c r="J16" s="70">
        <v>123.456789</v>
      </c>
      <c r="K16" s="64"/>
      <c r="L16" s="19"/>
      <c r="M16" s="19"/>
    </row>
    <row r="17" spans="1:19" s="21" customFormat="1" ht="15" hidden="1" thickBot="1">
      <c r="A17" s="20" t="s">
        <v>1</v>
      </c>
      <c r="B17" s="20"/>
      <c r="C17" s="20"/>
      <c r="D17" s="20"/>
      <c r="E17" s="18" t="s">
        <v>4</v>
      </c>
      <c r="F17" s="78"/>
      <c r="G17" s="33">
        <v>123.456789</v>
      </c>
      <c r="H17" s="34">
        <v>123.456789</v>
      </c>
      <c r="I17" s="35">
        <v>123.456789</v>
      </c>
      <c r="J17" s="70">
        <v>123.456789</v>
      </c>
      <c r="K17" s="64"/>
      <c r="L17" s="19"/>
      <c r="M17" s="19"/>
      <c r="N17" s="17"/>
      <c r="O17" s="17"/>
      <c r="P17" s="17"/>
      <c r="Q17" s="17"/>
      <c r="R17" s="17"/>
      <c r="S17" s="17"/>
    </row>
    <row r="18" spans="1:19" s="21" customFormat="1" ht="24" hidden="1" thickBot="1">
      <c r="A18" s="20" t="s">
        <v>23</v>
      </c>
      <c r="B18" s="20"/>
      <c r="C18" s="20"/>
      <c r="D18" s="20"/>
      <c r="E18" s="54" t="s">
        <v>4</v>
      </c>
      <c r="F18" s="40"/>
      <c r="G18" s="84">
        <v>123.456789</v>
      </c>
      <c r="H18" s="58">
        <v>123.456789</v>
      </c>
      <c r="I18" s="58">
        <v>123.456789</v>
      </c>
      <c r="J18" s="37">
        <v>123.456789</v>
      </c>
      <c r="K18" s="53"/>
      <c r="L18" s="86"/>
      <c r="M18" s="36"/>
      <c r="N18" s="36"/>
      <c r="O18" s="37"/>
      <c r="P18" s="57"/>
      <c r="Q18" s="86"/>
      <c r="R18" s="36"/>
      <c r="S18" s="37"/>
    </row>
    <row r="19" spans="1:19" s="23" customFormat="1" hidden="1">
      <c r="A19" s="22" t="s">
        <v>2</v>
      </c>
      <c r="B19" s="22"/>
      <c r="C19" s="22"/>
      <c r="D19" s="22"/>
      <c r="E19" s="55" t="s">
        <v>4</v>
      </c>
      <c r="F19" s="38"/>
      <c r="G19" s="85"/>
      <c r="H19" s="47"/>
      <c r="I19" s="39">
        <v>123.456789</v>
      </c>
      <c r="J19" s="71">
        <v>123.456789</v>
      </c>
      <c r="K19" s="39">
        <v>123.456789</v>
      </c>
      <c r="L19" s="87">
        <v>123.456789</v>
      </c>
      <c r="M19" s="57"/>
      <c r="N19" s="39">
        <v>123.456789</v>
      </c>
      <c r="O19" s="71">
        <v>123.456789</v>
      </c>
      <c r="P19" s="57"/>
      <c r="Q19" s="56"/>
      <c r="R19" s="39">
        <v>123.456789</v>
      </c>
      <c r="S19" s="71">
        <v>123.456789</v>
      </c>
    </row>
    <row r="20" spans="1:19" hidden="1">
      <c r="A20" s="1" t="s">
        <v>3</v>
      </c>
      <c r="B20" s="1"/>
      <c r="C20" s="1"/>
      <c r="D20" s="1"/>
    </row>
    <row r="21" spans="1:19" hidden="1">
      <c r="E21" s="1" t="s">
        <v>5</v>
      </c>
      <c r="F21" s="1"/>
    </row>
    <row r="22" spans="1:19" hidden="1">
      <c r="E22" t="str">
        <f>_xll.TM1RPTVIEW("Finance:MA Cashflow:58306762",0,_xll.TM1RPTTITLE("Finance:m_MA Cashflow",$G$24),_xll.TM1RPTTITLE("Finance:Company",$G$26),_xll.TM1RPTTITLE("Finance:Financial Year",$G$27),_xll.TM1RPTTITLE("Finance:Financial Period",$G$28),_xll.TM1RPTTITLE("Finance:Period YTD",$G$29),_xll.TM1RPTTITLE("Finance:Consolidation Layer",$G$30),_xll.TM1RPTTITLE("Finance:FX Calculation",$G$31),TM1RPTFMTRNG58306762,TM1RPTFMTIDCOL58306762)</f>
        <v>Finance:MA Cashflow:58306762</v>
      </c>
    </row>
    <row r="23" spans="1:19" hidden="1"/>
    <row r="24" spans="1:19" hidden="1">
      <c r="E24" s="24" t="s">
        <v>6</v>
      </c>
      <c r="F24" s="24"/>
      <c r="G24" s="25" t="str">
        <f>_xll.SUBNM("Finance:m_MA Cashflow",,"Value")</f>
        <v>Value</v>
      </c>
    </row>
    <row r="25" spans="1:19">
      <c r="E25" s="92"/>
      <c r="F25" s="89"/>
      <c r="G25" s="90"/>
      <c r="H25" s="88"/>
    </row>
    <row r="26" spans="1:19">
      <c r="E26" s="92" t="s">
        <v>7</v>
      </c>
      <c r="F26" s="24"/>
      <c r="G26" s="43" t="str">
        <f>_xll.SUBNM("Finance:Company","Default","GROUP TOTAL","Short Name")</f>
        <v>GROUP TOTAL</v>
      </c>
      <c r="H26" s="44"/>
    </row>
    <row r="27" spans="1:19">
      <c r="E27" s="92" t="s">
        <v>8</v>
      </c>
      <c r="F27" t="str" cm="1">
        <f t="array" ref="F27">_xll.DBR("Finance:}ElementAttributes_Financial Year",$G$27,"Previous Year")</f>
        <v>FY23</v>
      </c>
      <c r="G27" s="43" t="str">
        <f>_xll.SUBNM("Finance:Financial Year","Reporting Year - User Selection",1)</f>
        <v>FY24</v>
      </c>
      <c r="H27" s="44"/>
    </row>
    <row r="28" spans="1:19">
      <c r="E28" s="92" t="s">
        <v>9</v>
      </c>
      <c r="F28" s="24" t="s">
        <v>51</v>
      </c>
      <c r="G28" s="45" t="str">
        <f>_xll.SUBNM("Finance:Financial Period","Reporting Period - User Selection",1)</f>
        <v>P12</v>
      </c>
      <c r="H28" s="46"/>
    </row>
    <row r="29" spans="1:19" hidden="1">
      <c r="E29" s="24" t="s">
        <v>10</v>
      </c>
      <c r="F29" s="24" t="s">
        <v>53</v>
      </c>
      <c r="G29" s="25" t="str">
        <f>_xll.SUBNM("Finance:Period YTD",,"Period")</f>
        <v>Period</v>
      </c>
    </row>
    <row r="30" spans="1:19" hidden="1">
      <c r="E30" s="24" t="s">
        <v>11</v>
      </c>
      <c r="F30" s="24"/>
      <c r="G30" s="25" t="str">
        <f>_xll.SUBNM("Finance:Consolidation Layer","Default","Management Accounts")</f>
        <v>Management Accounts</v>
      </c>
    </row>
    <row r="31" spans="1:19" hidden="1">
      <c r="E31" s="24" t="s">
        <v>12</v>
      </c>
      <c r="F31" s="24"/>
      <c r="G31" s="42" t="str">
        <f>_xll.SUBNM("Finance:FX Calculation","GBP and Local","GBP MA"," ")</f>
        <v>GBP MA</v>
      </c>
    </row>
    <row r="32" spans="1:19" ht="13.8" hidden="1" customHeight="1"/>
    <row r="33" spans="1:20" hidden="1"/>
    <row r="34" spans="1:20" hidden="1">
      <c r="G34" s="48" t="s">
        <v>13</v>
      </c>
      <c r="H34" s="48" t="str" cm="1">
        <f t="array" ref="H34">_xll.DBR("Finance:Model Settings","Value","Reporting Forecast Version")</f>
        <v>9+3 Forecast</v>
      </c>
      <c r="I34" s="48" t="s">
        <v>14</v>
      </c>
      <c r="J34" s="48" t="s">
        <v>13</v>
      </c>
      <c r="L34" s="48" t="s">
        <v>13</v>
      </c>
      <c r="M34" s="48" t="str" cm="1">
        <f t="array" ref="M34">_xll.DBR("Finance:Model Settings","Value","Reporting Forecast Version")</f>
        <v>9+3 Forecast</v>
      </c>
      <c r="N34" s="48" t="s">
        <v>14</v>
      </c>
      <c r="O34" s="48" t="s">
        <v>13</v>
      </c>
      <c r="Q34" s="48" t="str" cm="1">
        <f t="array" ref="Q34">_xll.DBR("Finance:Model Settings","Value","Reporting Forecast Version")</f>
        <v>9+3 Forecast</v>
      </c>
      <c r="R34" s="48" t="s">
        <v>14</v>
      </c>
      <c r="S34" s="48" t="s">
        <v>13</v>
      </c>
    </row>
    <row r="35" spans="1:20">
      <c r="G35" s="49"/>
      <c r="H35" s="49"/>
      <c r="I35" s="49"/>
      <c r="J35" s="49"/>
    </row>
    <row r="36" spans="1:20" ht="40.200000000000003">
      <c r="E36" s="91" t="s">
        <v>54</v>
      </c>
      <c r="F36" s="91"/>
      <c r="G36" s="91"/>
      <c r="H36" s="91"/>
      <c r="I36" s="91"/>
      <c r="J36" s="91"/>
      <c r="K36" s="91"/>
      <c r="L36" s="91"/>
      <c r="M36" s="91"/>
      <c r="N36" s="91"/>
    </row>
    <row r="37" spans="1:20" ht="15" thickBot="1">
      <c r="G37" s="49"/>
      <c r="H37" s="49"/>
      <c r="I37" s="49"/>
      <c r="J37" s="49"/>
    </row>
    <row r="38" spans="1:20" hidden="1">
      <c r="G38" s="49"/>
      <c r="H38" s="49"/>
      <c r="I38" s="49"/>
      <c r="J38" s="49"/>
    </row>
    <row r="39" spans="1:20">
      <c r="G39" s="93" t="str">
        <f>$C$6&amp; " Current Month"</f>
        <v>Mar-24: Current Month</v>
      </c>
      <c r="H39" s="94"/>
      <c r="I39" s="94"/>
      <c r="J39" s="95"/>
      <c r="L39" s="93" t="str">
        <f>$C$6 &amp; " Year to Date"</f>
        <v>Mar-24: Year to Date</v>
      </c>
      <c r="M39" s="94"/>
      <c r="N39" s="94"/>
      <c r="O39" s="95"/>
      <c r="Q39" s="93" t="s">
        <v>55</v>
      </c>
      <c r="R39" s="94"/>
      <c r="S39" s="95"/>
    </row>
    <row r="40" spans="1:20" ht="28.2" thickBot="1">
      <c r="G40" s="50" t="s">
        <v>13</v>
      </c>
      <c r="H40" s="51" t="str">
        <f>H34</f>
        <v>9+3 Forecast</v>
      </c>
      <c r="I40" s="51" t="s">
        <v>14</v>
      </c>
      <c r="J40" s="52" t="s">
        <v>52</v>
      </c>
      <c r="L40" s="50" t="s">
        <v>13</v>
      </c>
      <c r="M40" s="51" t="str">
        <f>M34</f>
        <v>9+3 Forecast</v>
      </c>
      <c r="N40" s="51" t="s">
        <v>14</v>
      </c>
      <c r="O40" s="52" t="s">
        <v>52</v>
      </c>
      <c r="Q40" s="50" t="str">
        <f>Q34</f>
        <v>9+3 Forecast</v>
      </c>
      <c r="R40" s="51" t="s">
        <v>14</v>
      </c>
      <c r="S40" s="52" t="s">
        <v>52</v>
      </c>
    </row>
    <row r="41" spans="1:20" ht="15" hidden="1" thickBot="1">
      <c r="G41" s="49"/>
      <c r="H41" s="49"/>
      <c r="I41" s="49"/>
      <c r="J41" s="49"/>
    </row>
    <row r="42" spans="1:20" s="21" customFormat="1" ht="24" thickBot="1">
      <c r="A42" s="20" t="str">
        <f>IF(B42="1","Total","Leaf")</f>
        <v>Total</v>
      </c>
      <c r="B42" s="20" t="str" cm="1">
        <f t="array" ref="B42">_xll.DBR("Finance:}ElementAttributes_Accounts - Cashflow",C42,"Cashflow Group Summary - Total")</f>
        <v>1</v>
      </c>
      <c r="C42" s="96" t="str">
        <f>_xll.TM1RPTROW($E$22,"Finance:Accounts - Cashflow","Summary Group Cashflow",,"Display Name",TRUE,,,FALSE)</f>
        <v>Opening Cash</v>
      </c>
      <c r="D42" s="20"/>
      <c r="E42" s="54" t="str">
        <f>C42</f>
        <v>Opening Cash</v>
      </c>
      <c r="F42" s="40"/>
      <c r="G42" s="84">
        <f>_xll.DBRW($E$22,G$34,$G$26,$G$27,$G$28,$G$29,$C42,$G$31,$G$30,$G$24)</f>
        <v>5092631.7864970975</v>
      </c>
      <c r="H42" s="58">
        <f>_xll.DBRW($E$22,H$34,$G$26,$G$27,$G$28,$G$29,$C42,$G$31,$G$30,$G$24)</f>
        <v>3020184.3750483133</v>
      </c>
      <c r="I42" s="58">
        <f>_xll.DBRW($E$22,I$34,$G$26,$G$27,$G$28,$G$29,$C42,$G$31,$G$30,$G$24)</f>
        <v>12284204.59045949</v>
      </c>
      <c r="J42" s="37">
        <f>_xll.DBRW($E$22,J$34,$G$26,$F$27,$G$28,$G$29,$C42,$G$31,$G$30,$G$24)</f>
        <v>10658418.669999996</v>
      </c>
      <c r="K42" s="53"/>
      <c r="L42" s="86">
        <f>_xll.DBRW($E$22,L$34,$G$26,$G$27,$G$28,$T42,$C42,$G$31,$G$30,$G$24)</f>
        <v>10363700.780000001</v>
      </c>
      <c r="M42" s="36">
        <f>_xll.DBRW($E$22,M$34,$G$26,$G$27,$G$28,$T42,$C42,$G$31,$G$30,$G$24)</f>
        <v>8814789.592789866</v>
      </c>
      <c r="N42" s="36">
        <f>_xll.DBRW($E$22,N$34,$G$26,$G$27,$G$28,$T42,$C42,$G$31,$G$30,$G$24)</f>
        <v>8655245.48303077</v>
      </c>
      <c r="O42" s="37">
        <f>_xll.DBRW($E$22,O$34,$G$26,$F$27,$G$28,$T42,$C42,$G$31,$G$30,$G$24)</f>
        <v>12782139.529999997</v>
      </c>
      <c r="P42" s="57"/>
      <c r="Q42" s="86">
        <f>_xll.DBRW($E$22,Q$34,$G$26,$G$27,$F$28,$T42,$C42,$G$31,$G$30,$G$24)</f>
        <v>8814789.592789866</v>
      </c>
      <c r="R42" s="36">
        <f>_xll.DBRW($E$22,R$34,$G$26,$G$27,$F$28,$T42,$C42,$G$31,$G$30,$G$24)</f>
        <v>8655245.48303077</v>
      </c>
      <c r="S42" s="37">
        <f>_xll.DBRW($E$22,S$34,$G$26,$F$27,$F$28,$T42,$C42,$G$31,$G$30,$G$24)</f>
        <v>12782139.529999997</v>
      </c>
      <c r="T42" s="21" t="str">
        <f>IF(C42="Closing Cash",$G$29,$F$29)</f>
        <v>YTD</v>
      </c>
    </row>
    <row r="43" spans="1:20" s="23" customFormat="1">
      <c r="A43" s="22" t="str">
        <f>IF(B43="1","Total","Leaf")</f>
        <v>Leaf</v>
      </c>
      <c r="B43" s="22" t="str" cm="1">
        <f t="array" ref="B43">_xll.DBR("Finance:}ElementAttributes_Accounts - Cashflow",C43,"Cashflow Group Summary - Total")</f>
        <v/>
      </c>
      <c r="C43" s="97" t="s">
        <v>24</v>
      </c>
      <c r="D43" s="22"/>
      <c r="E43" s="55" t="str">
        <f>C43</f>
        <v>Cash from Underlying EBIT</v>
      </c>
      <c r="F43" s="38"/>
      <c r="G43" s="85">
        <f>_xll.DBRW($E$22,G$34,$G$26,$G$27,$G$28,$G$29,$C43,$G$31,$G$30,$G$24)</f>
        <v>1995461.7087107501</v>
      </c>
      <c r="H43" s="47">
        <f>_xll.DBRW($E$22,H$34,$G$26,$G$27,$G$28,$G$29,$C43,$G$31,$G$30,$G$24)</f>
        <v>823135.8700000043</v>
      </c>
      <c r="I43" s="39">
        <f>_xll.DBRW($E$22,I$34,$G$26,$G$27,$G$28,$G$29,$C43,$G$31,$G$30,$G$24)</f>
        <v>431507.71276603977</v>
      </c>
      <c r="J43" s="71">
        <f>_xll.DBRW($E$22,J$34,$G$26,$F$27,$G$28,$G$29,$C43,$G$31,$G$30,$G$24)</f>
        <v>1674442.1200000034</v>
      </c>
      <c r="K43" s="39"/>
      <c r="L43" s="87">
        <f>_xll.DBRW($E$22,L$34,$G$26,$G$27,$G$28,$T43,$C43,$G$31,$G$30,$G$24)</f>
        <v>5861119.0534839742</v>
      </c>
      <c r="M43" s="57">
        <f>_xll.DBRW($E$22,M$34,$G$26,$G$27,$G$28,$T43,$C43,$G$31,$G$30,$G$24)</f>
        <v>4183045.7999999933</v>
      </c>
      <c r="N43" s="39">
        <f>_xll.DBRW($E$22,N$34,$G$26,$G$27,$G$28,$T43,$C43,$G$31,$G$30,$G$24)</f>
        <v>5042623.3234111322</v>
      </c>
      <c r="O43" s="71">
        <f>_xll.DBRW($E$22,O$34,$G$26,$F$27,$G$28,$T43,$C43,$G$31,$G$30,$G$24)</f>
        <v>5359640.1299999822</v>
      </c>
      <c r="P43" s="57"/>
      <c r="Q43" s="56">
        <f>_xll.DBRW($E$22,Q$34,$G$26,$G$27,$F$28,$T43,$C43,$G$31,$G$30,$G$24)</f>
        <v>4183045.7999999933</v>
      </c>
      <c r="R43" s="39">
        <f>_xll.DBRW($E$22,R$34,$G$26,$G$27,$F$28,$T43,$C43,$G$31,$G$30,$G$24)</f>
        <v>5042623.3234111322</v>
      </c>
      <c r="S43" s="71">
        <f>_xll.DBRW($E$22,S$34,$G$26,$F$27,$F$28,$T43,$C43,$G$31,$G$30,$G$24)</f>
        <v>5359640.1299999822</v>
      </c>
      <c r="T43" s="23" t="str">
        <f>IF(C43="Closing Cash",$G$29,$F$29)</f>
        <v>YTD</v>
      </c>
    </row>
    <row r="44" spans="1:20" s="23" customFormat="1" ht="15" thickBot="1">
      <c r="A44" s="22" t="str">
        <f>IF(B44="1","Total","Leaf")</f>
        <v>Leaf</v>
      </c>
      <c r="B44" s="22" t="str" cm="1">
        <f t="array" ref="B44">_xll.DBR("Finance:}ElementAttributes_Accounts - Cashflow",C44,"Cashflow Group Summary - Total")</f>
        <v/>
      </c>
      <c r="C44" s="97" t="s">
        <v>15</v>
      </c>
      <c r="D44" s="22"/>
      <c r="E44" s="55" t="str">
        <f>C44</f>
        <v>Depreciation and Amortisation</v>
      </c>
      <c r="F44" s="38"/>
      <c r="G44" s="85">
        <f>_xll.DBRW($E$22,G$34,$G$26,$G$27,$G$28,$G$29,$C44,$G$31,$G$30,$G$24)</f>
        <v>636824.84777626698</v>
      </c>
      <c r="H44" s="47">
        <f>_xll.DBRW($E$22,H$34,$G$26,$G$27,$G$28,$G$29,$C44,$G$31,$G$30,$G$24)</f>
        <v>627328.89000000013</v>
      </c>
      <c r="I44" s="39">
        <f>_xll.DBRW($E$22,I$34,$G$26,$G$27,$G$28,$G$29,$C44,$G$31,$G$30,$G$24)</f>
        <v>841207.03345568269</v>
      </c>
      <c r="J44" s="71">
        <f>_xll.DBRW($E$22,J$34,$G$26,$F$27,$G$28,$G$29,$C44,$G$31,$G$30,$G$24)</f>
        <v>662951.41999999993</v>
      </c>
      <c r="K44" s="39"/>
      <c r="L44" s="87">
        <f>_xll.DBRW($E$22,L$34,$G$26,$G$27,$G$28,$T44,$C44,$G$31,$G$30,$G$24)</f>
        <v>7717305.0601649135</v>
      </c>
      <c r="M44" s="57">
        <f>_xll.DBRW($E$22,M$34,$G$26,$G$27,$G$28,$T44,$C44,$G$31,$G$30,$G$24)</f>
        <v>7703709.540000001</v>
      </c>
      <c r="N44" s="39">
        <f>_xll.DBRW($E$22,N$34,$G$26,$G$27,$G$28,$T44,$C44,$G$31,$G$30,$G$24)</f>
        <v>8018199.5011890084</v>
      </c>
      <c r="O44" s="71">
        <f>_xll.DBRW($E$22,O$34,$G$26,$F$27,$G$28,$T44,$C44,$G$31,$G$30,$G$24)</f>
        <v>7962304.2800000003</v>
      </c>
      <c r="P44" s="57"/>
      <c r="Q44" s="56">
        <f>_xll.DBRW($E$22,Q$34,$G$26,$G$27,$F$28,$T44,$C44,$G$31,$G$30,$G$24)</f>
        <v>7703709.540000001</v>
      </c>
      <c r="R44" s="39">
        <f>_xll.DBRW($E$22,R$34,$G$26,$G$27,$F$28,$T44,$C44,$G$31,$G$30,$G$24)</f>
        <v>8018199.5011890084</v>
      </c>
      <c r="S44" s="71">
        <f>_xll.DBRW($E$22,S$34,$G$26,$F$27,$F$28,$T44,$C44,$G$31,$G$30,$G$24)</f>
        <v>7962304.2800000003</v>
      </c>
      <c r="T44" s="23" t="str">
        <f>IF(C44="Closing Cash",$G$29,$F$29)</f>
        <v>YTD</v>
      </c>
    </row>
    <row r="45" spans="1:20" s="21" customFormat="1" ht="24" thickBot="1">
      <c r="A45" s="20" t="str">
        <f>IF(B45="1","Total","Leaf")</f>
        <v>Total</v>
      </c>
      <c r="B45" s="20" t="str" cm="1">
        <f t="array" ref="B45">_xll.DBR("Finance:}ElementAttributes_Accounts - Cashflow",C45,"Cashflow Group Summary - Total")</f>
        <v>1</v>
      </c>
      <c r="C45" s="98" t="s">
        <v>16</v>
      </c>
      <c r="D45" s="20"/>
      <c r="E45" s="54" t="str">
        <f>C45</f>
        <v>Underlying EBITDA</v>
      </c>
      <c r="F45" s="40"/>
      <c r="G45" s="84">
        <f>_xll.DBRW($E$22,G$34,$G$26,$G$27,$G$28,$G$29,$C45,$G$31,$G$30,$G$24)</f>
        <v>2632286.5564870168</v>
      </c>
      <c r="H45" s="58">
        <f>_xll.DBRW($E$22,H$34,$G$26,$G$27,$G$28,$G$29,$C45,$G$31,$G$30,$G$24)</f>
        <v>1450464.7600000044</v>
      </c>
      <c r="I45" s="58">
        <f>_xll.DBRW($E$22,I$34,$G$26,$G$27,$G$28,$G$29,$C45,$G$31,$G$30,$G$24)</f>
        <v>1272714.7462217223</v>
      </c>
      <c r="J45" s="37">
        <f>_xll.DBRW($E$22,J$34,$G$26,$F$27,$G$28,$G$29,$C45,$G$31,$G$30,$G$24)</f>
        <v>2337393.5400000033</v>
      </c>
      <c r="K45" s="53"/>
      <c r="L45" s="86">
        <f>_xll.DBRW($E$22,L$34,$G$26,$G$27,$G$28,$T45,$C45,$G$31,$G$30,$G$24)</f>
        <v>13578424.113648888</v>
      </c>
      <c r="M45" s="36">
        <f>_xll.DBRW($E$22,M$34,$G$26,$G$27,$G$28,$T45,$C45,$G$31,$G$30,$G$24)</f>
        <v>11886755.339999994</v>
      </c>
      <c r="N45" s="36">
        <f>_xll.DBRW($E$22,N$34,$G$26,$G$27,$G$28,$T45,$C45,$G$31,$G$30,$G$24)</f>
        <v>13060822.824600141</v>
      </c>
      <c r="O45" s="37">
        <f>_xll.DBRW($E$22,O$34,$G$26,$F$27,$G$28,$T45,$C45,$G$31,$G$30,$G$24)</f>
        <v>13321944.409999982</v>
      </c>
      <c r="P45" s="57"/>
      <c r="Q45" s="86">
        <f>_xll.DBRW($E$22,Q$34,$G$26,$G$27,$F$28,$T45,$C45,$G$31,$G$30,$G$24)</f>
        <v>11886755.339999994</v>
      </c>
      <c r="R45" s="36">
        <f>_xll.DBRW($E$22,R$34,$G$26,$G$27,$F$28,$T45,$C45,$G$31,$G$30,$G$24)</f>
        <v>13060822.824600141</v>
      </c>
      <c r="S45" s="37">
        <f>_xll.DBRW($E$22,S$34,$G$26,$F$27,$F$28,$T45,$C45,$G$31,$G$30,$G$24)</f>
        <v>13321944.409999982</v>
      </c>
      <c r="T45" s="21" t="str">
        <f>IF(C45="Closing Cash",$G$29,$F$29)</f>
        <v>YTD</v>
      </c>
    </row>
    <row r="46" spans="1:20" s="23" customFormat="1">
      <c r="A46" s="22" t="str">
        <f>IF(B46="1","Total","Leaf")</f>
        <v>Leaf</v>
      </c>
      <c r="B46" s="22" t="str" cm="1">
        <f t="array" ref="B46">_xll.DBR("Finance:}ElementAttributes_Accounts - Cashflow",C46,"Cashflow Group Summary - Total")</f>
        <v/>
      </c>
      <c r="C46" s="97" t="s">
        <v>17</v>
      </c>
      <c r="D46" s="22"/>
      <c r="E46" s="55" t="str">
        <f>C46</f>
        <v>Movement in Inventory</v>
      </c>
      <c r="F46" s="38"/>
      <c r="G46" s="85">
        <f>_xll.DBRW($E$22,G$34,$G$26,$G$27,$G$28,$G$29,$C46,$G$31,$G$30,$G$24)</f>
        <v>319783.44238138542</v>
      </c>
      <c r="H46" s="47">
        <f>_xll.DBRW($E$22,H$34,$G$26,$G$27,$G$28,$G$29,$C46,$G$31,$G$30,$G$24)</f>
        <v>-777625.64999999991</v>
      </c>
      <c r="I46" s="39">
        <f>_xll.DBRW($E$22,I$34,$G$26,$G$27,$G$28,$G$29,$C46,$G$31,$G$30,$G$24)</f>
        <v>-203294.6577556674</v>
      </c>
      <c r="J46" s="71">
        <f>_xll.DBRW($E$22,J$34,$G$26,$F$27,$G$28,$G$29,$C46,$G$31,$G$30,$G$24)</f>
        <v>1327862.1899999992</v>
      </c>
      <c r="K46" s="39"/>
      <c r="L46" s="87">
        <f>_xll.DBRW($E$22,L$34,$G$26,$G$27,$G$28,$T46,$C46,$G$31,$G$30,$G$24)</f>
        <v>4683753.1165785352</v>
      </c>
      <c r="M46" s="57">
        <f>_xll.DBRW($E$22,M$34,$G$26,$G$27,$G$28,$T46,$C46,$G$31,$G$30,$G$24)</f>
        <v>-9856928.1732980758</v>
      </c>
      <c r="N46" s="39">
        <f>_xll.DBRW($E$22,N$34,$G$26,$G$27,$G$28,$T46,$C46,$G$31,$G$30,$G$24)</f>
        <v>2683575.9015792077</v>
      </c>
      <c r="O46" s="71">
        <f>_xll.DBRW($E$22,O$34,$G$26,$F$27,$G$28,$T46,$C46,$G$31,$G$30,$G$24)</f>
        <v>1184622.0800000001</v>
      </c>
      <c r="P46" s="57"/>
      <c r="Q46" s="56">
        <f>_xll.DBRW($E$22,Q$34,$G$26,$G$27,$F$28,$T46,$C46,$G$31,$G$30,$G$24)</f>
        <v>-9856928.1732980758</v>
      </c>
      <c r="R46" s="39">
        <f>_xll.DBRW($E$22,R$34,$G$26,$G$27,$F$28,$T46,$C46,$G$31,$G$30,$G$24)</f>
        <v>2683575.9015792077</v>
      </c>
      <c r="S46" s="71">
        <f>_xll.DBRW($E$22,S$34,$G$26,$F$27,$F$28,$T46,$C46,$G$31,$G$30,$G$24)</f>
        <v>1184622.0800000001</v>
      </c>
      <c r="T46" s="23" t="str">
        <f>IF(C46="Closing Cash",$G$29,$F$29)</f>
        <v>YTD</v>
      </c>
    </row>
    <row r="47" spans="1:20" s="23" customFormat="1">
      <c r="A47" s="22" t="str">
        <f>IF(B47="1","Total","Leaf")</f>
        <v>Leaf</v>
      </c>
      <c r="B47" s="22" t="str" cm="1">
        <f t="array" ref="B47">_xll.DBR("Finance:}ElementAttributes_Accounts - Cashflow",C47,"Cashflow Group Summary - Total")</f>
        <v/>
      </c>
      <c r="C47" s="97" t="s">
        <v>18</v>
      </c>
      <c r="D47" s="22"/>
      <c r="E47" s="55" t="str">
        <f>C47</f>
        <v>Movement in trade receivables</v>
      </c>
      <c r="F47" s="38"/>
      <c r="G47" s="85">
        <f>_xll.DBRW($E$22,G$34,$G$26,$G$27,$G$28,$G$29,$C47,$G$31,$G$30,$G$24)</f>
        <v>936217.54115322512</v>
      </c>
      <c r="H47" s="47">
        <f>_xll.DBRW($E$22,H$34,$G$26,$G$27,$G$28,$G$29,$C47,$G$31,$G$30,$G$24)</f>
        <v>194166.05999999982</v>
      </c>
      <c r="I47" s="39">
        <f>_xll.DBRW($E$22,I$34,$G$26,$G$27,$G$28,$G$29,$C47,$G$31,$G$30,$G$24)</f>
        <v>288338.46745418303</v>
      </c>
      <c r="J47" s="71">
        <f>_xll.DBRW($E$22,J$34,$G$26,$F$27,$G$28,$G$29,$C47,$G$31,$G$30,$G$24)</f>
        <v>-642440.62999999942</v>
      </c>
      <c r="K47" s="39"/>
      <c r="L47" s="87">
        <f>_xll.DBRW($E$22,L$34,$G$26,$G$27,$G$28,$T47,$C47,$G$31,$G$30,$G$24)</f>
        <v>2299911.9087614804</v>
      </c>
      <c r="M47" s="57">
        <f>_xll.DBRW($E$22,M$34,$G$26,$G$27,$G$28,$T47,$C47,$G$31,$G$30,$G$24)</f>
        <v>-8657194.5435747858</v>
      </c>
      <c r="N47" s="39">
        <f>_xll.DBRW($E$22,N$34,$G$26,$G$27,$G$28,$T47,$C47,$G$31,$G$30,$G$24)</f>
        <v>-247163.09843688924</v>
      </c>
      <c r="O47" s="71">
        <f>_xll.DBRW($E$22,O$34,$G$26,$F$27,$G$28,$T47,$C47,$G$31,$G$30,$G$24)</f>
        <v>-1834544.3299999996</v>
      </c>
      <c r="P47" s="57"/>
      <c r="Q47" s="56">
        <f>_xll.DBRW($E$22,Q$34,$G$26,$G$27,$F$28,$T47,$C47,$G$31,$G$30,$G$24)</f>
        <v>-8657194.5435747858</v>
      </c>
      <c r="R47" s="39">
        <f>_xll.DBRW($E$22,R$34,$G$26,$G$27,$F$28,$T47,$C47,$G$31,$G$30,$G$24)</f>
        <v>-247163.09843688924</v>
      </c>
      <c r="S47" s="71">
        <f>_xll.DBRW($E$22,S$34,$G$26,$F$27,$F$28,$T47,$C47,$G$31,$G$30,$G$24)</f>
        <v>-1834544.3299999996</v>
      </c>
      <c r="T47" s="23" t="str">
        <f>IF(C47="Closing Cash",$G$29,$F$29)</f>
        <v>YTD</v>
      </c>
    </row>
    <row r="48" spans="1:20" s="23" customFormat="1">
      <c r="A48" s="22" t="str">
        <f>IF(B48="1","Total","Leaf")</f>
        <v>Leaf</v>
      </c>
      <c r="B48" s="22" t="str" cm="1">
        <f t="array" ref="B48">_xll.DBR("Finance:}ElementAttributes_Accounts - Cashflow",C48,"Cashflow Group Summary - Total")</f>
        <v/>
      </c>
      <c r="C48" s="97" t="s">
        <v>19</v>
      </c>
      <c r="D48" s="22"/>
      <c r="E48" s="55" t="str">
        <f>C48</f>
        <v>Movement in trade payables</v>
      </c>
      <c r="F48" s="38"/>
      <c r="G48" s="85">
        <f>_xll.DBRW($E$22,G$34,$G$26,$G$27,$G$28,$G$29,$C48,$G$31,$G$30,$G$24)</f>
        <v>338757.48691821488</v>
      </c>
      <c r="H48" s="47">
        <f>_xll.DBRW($E$22,H$34,$G$26,$G$27,$G$28,$G$29,$C48,$G$31,$G$30,$G$24)</f>
        <v>1488666.0799999998</v>
      </c>
      <c r="I48" s="39">
        <f>_xll.DBRW($E$22,I$34,$G$26,$G$27,$G$28,$G$29,$C48,$G$31,$G$30,$G$24)</f>
        <v>123926.97605140368</v>
      </c>
      <c r="J48" s="71">
        <f>_xll.DBRW($E$22,J$34,$G$26,$F$27,$G$28,$G$29,$C48,$G$31,$G$30,$G$24)</f>
        <v>1450675.7700000003</v>
      </c>
      <c r="K48" s="39"/>
      <c r="L48" s="87">
        <f>_xll.DBRW($E$22,L$34,$G$26,$G$27,$G$28,$T48,$C48,$G$31,$G$30,$G$24)</f>
        <v>-2583764.9708873713</v>
      </c>
      <c r="M48" s="57">
        <f>_xll.DBRW($E$22,M$34,$G$26,$G$27,$G$28,$T48,$C48,$G$31,$G$30,$G$24)</f>
        <v>6054368.1509557143</v>
      </c>
      <c r="N48" s="39">
        <f>_xll.DBRW($E$22,N$34,$G$26,$G$27,$G$28,$T48,$C48,$G$31,$G$30,$G$24)</f>
        <v>898469.78837650153</v>
      </c>
      <c r="O48" s="71">
        <f>_xll.DBRW($E$22,O$34,$G$26,$F$27,$G$28,$T48,$C48,$G$31,$G$30,$G$24)</f>
        <v>-569300.69999999809</v>
      </c>
      <c r="P48" s="57"/>
      <c r="Q48" s="56">
        <f>_xll.DBRW($E$22,Q$34,$G$26,$G$27,$F$28,$T48,$C48,$G$31,$G$30,$G$24)</f>
        <v>6054368.1509557143</v>
      </c>
      <c r="R48" s="39">
        <f>_xll.DBRW($E$22,R$34,$G$26,$G$27,$F$28,$T48,$C48,$G$31,$G$30,$G$24)</f>
        <v>898469.78837650153</v>
      </c>
      <c r="S48" s="71">
        <f>_xll.DBRW($E$22,S$34,$G$26,$F$27,$F$28,$T48,$C48,$G$31,$G$30,$G$24)</f>
        <v>-569300.69999999809</v>
      </c>
      <c r="T48" s="23" t="str">
        <f>IF(C48="Closing Cash",$G$29,$F$29)</f>
        <v>YTD</v>
      </c>
    </row>
    <row r="49" spans="1:20" s="23" customFormat="1" ht="15" thickBot="1">
      <c r="A49" s="22" t="str">
        <f>IF(B49="1","Total","Leaf")</f>
        <v>Leaf</v>
      </c>
      <c r="B49" s="22" t="str" cm="1">
        <f t="array" ref="B49">_xll.DBR("Finance:}ElementAttributes_Accounts - Cashflow",C49,"Cashflow Group Summary - Total")</f>
        <v/>
      </c>
      <c r="C49" s="97" t="s">
        <v>20</v>
      </c>
      <c r="D49" s="22"/>
      <c r="E49" s="55" t="str">
        <f>C49</f>
        <v>Movement in other working capital</v>
      </c>
      <c r="F49" s="38"/>
      <c r="G49" s="85">
        <f>_xll.DBRW($E$22,G$34,$G$26,$G$27,$G$28,$G$29,$C49,$G$31,$G$30,$G$24)</f>
        <v>-147700.13734542223</v>
      </c>
      <c r="H49" s="47">
        <f>_xll.DBRW($E$22,H$34,$G$26,$G$27,$G$28,$G$29,$C49,$G$31,$G$30,$G$24)</f>
        <v>167211.37999999739</v>
      </c>
      <c r="I49" s="39">
        <f>_xll.DBRW($E$22,I$34,$G$26,$G$27,$G$28,$G$29,$C49,$G$31,$G$30,$G$24)</f>
        <v>513062.23113796115</v>
      </c>
      <c r="J49" s="71">
        <f>_xll.DBRW($E$22,J$34,$G$26,$F$27,$G$28,$G$29,$C49,$G$31,$G$30,$G$24)</f>
        <v>-1165834.0099999965</v>
      </c>
      <c r="K49" s="39"/>
      <c r="L49" s="87">
        <f>_xll.DBRW($E$22,L$34,$G$26,$G$27,$G$28,$T49,$C49,$G$31,$G$30,$G$24)</f>
        <v>1055893.9553138886</v>
      </c>
      <c r="M49" s="57">
        <f>_xll.DBRW($E$22,M$34,$G$26,$G$27,$G$28,$T49,$C49,$G$31,$G$30,$G$24)</f>
        <v>-15195491.074377239</v>
      </c>
      <c r="N49" s="39">
        <f>_xll.DBRW($E$22,N$34,$G$26,$G$27,$G$28,$T49,$C49,$G$31,$G$30,$G$24)</f>
        <v>2165157.3635019064</v>
      </c>
      <c r="O49" s="71">
        <f>_xll.DBRW($E$22,O$34,$G$26,$F$27,$G$28,$T49,$C49,$G$31,$G$30,$G$24)</f>
        <v>916860.56000001216</v>
      </c>
      <c r="P49" s="57"/>
      <c r="Q49" s="56">
        <f>_xll.DBRW($E$22,Q$34,$G$26,$G$27,$F$28,$T49,$C49,$G$31,$G$30,$G$24)</f>
        <v>-15195491.074377239</v>
      </c>
      <c r="R49" s="39">
        <f>_xll.DBRW($E$22,R$34,$G$26,$G$27,$F$28,$T49,$C49,$G$31,$G$30,$G$24)</f>
        <v>2165157.3635019064</v>
      </c>
      <c r="S49" s="71">
        <f>_xll.DBRW($E$22,S$34,$G$26,$F$27,$F$28,$T49,$C49,$G$31,$G$30,$G$24)</f>
        <v>916860.56000001216</v>
      </c>
      <c r="T49" s="23" t="str">
        <f>IF(C49="Closing Cash",$G$29,$F$29)</f>
        <v>YTD</v>
      </c>
    </row>
    <row r="50" spans="1:20" s="21" customFormat="1" ht="24" thickBot="1">
      <c r="A50" s="20" t="str">
        <f>IF(B50="1","Total","Leaf")</f>
        <v>Total</v>
      </c>
      <c r="B50" s="20" t="str" cm="1">
        <f t="array" ref="B50">_xll.DBR("Finance:}ElementAttributes_Accounts - Cashflow",C50,"Cashflow Group Summary - Total")</f>
        <v>1</v>
      </c>
      <c r="C50" s="98" t="s">
        <v>21</v>
      </c>
      <c r="D50" s="20"/>
      <c r="E50" s="54" t="str">
        <f>C50</f>
        <v>Working Capital Movements</v>
      </c>
      <c r="F50" s="40"/>
      <c r="G50" s="84">
        <f>_xll.DBRW($E$22,G$34,$G$26,$G$27,$G$28,$G$29,$C50,$G$31,$G$30,$G$24)</f>
        <v>1447058.333107403</v>
      </c>
      <c r="H50" s="58">
        <f>_xll.DBRW($E$22,H$34,$G$26,$G$27,$G$28,$G$29,$C50,$G$31,$G$30,$G$24)</f>
        <v>1072417.8699999969</v>
      </c>
      <c r="I50" s="58">
        <f>_xll.DBRW($E$22,I$34,$G$26,$G$27,$G$28,$G$29,$C50,$G$31,$G$30,$G$24)</f>
        <v>797198.0726473534</v>
      </c>
      <c r="J50" s="37">
        <f>_xll.DBRW($E$22,J$34,$G$26,$F$27,$G$28,$G$29,$C50,$G$31,$G$30,$G$24)</f>
        <v>1216044.550000004</v>
      </c>
      <c r="K50" s="53"/>
      <c r="L50" s="86">
        <f>_xll.DBRW($E$22,L$34,$G$26,$G$27,$G$28,$T50,$C50,$G$31,$G$30,$G$24)</f>
        <v>5210012.7797665335</v>
      </c>
      <c r="M50" s="36">
        <f>_xll.DBRW($E$22,M$34,$G$26,$G$27,$G$28,$T50,$C50,$G$31,$G$30,$G$24)</f>
        <v>-27409464.404361125</v>
      </c>
      <c r="N50" s="36">
        <f>_xll.DBRW($E$22,N$34,$G$26,$G$27,$G$28,$T50,$C50,$G$31,$G$30,$G$24)</f>
        <v>5575205.0107801994</v>
      </c>
      <c r="O50" s="37">
        <f>_xll.DBRW($E$22,O$34,$G$26,$F$27,$G$28,$T50,$C50,$G$31,$G$30,$G$24)</f>
        <v>-56581.159999985131</v>
      </c>
      <c r="P50" s="57"/>
      <c r="Q50" s="86">
        <f>_xll.DBRW($E$22,Q$34,$G$26,$G$27,$F$28,$T50,$C50,$G$31,$G$30,$G$24)</f>
        <v>-27409464.404361125</v>
      </c>
      <c r="R50" s="36">
        <f>_xll.DBRW($E$22,R$34,$G$26,$G$27,$F$28,$T50,$C50,$G$31,$G$30,$G$24)</f>
        <v>5575205.0107801994</v>
      </c>
      <c r="S50" s="37">
        <f>_xll.DBRW($E$22,S$34,$G$26,$F$27,$F$28,$T50,$C50,$G$31,$G$30,$G$24)</f>
        <v>-56581.159999985131</v>
      </c>
      <c r="T50" s="21" t="str">
        <f>IF(C50="Closing Cash",$G$29,$F$29)</f>
        <v>YTD</v>
      </c>
    </row>
    <row r="51" spans="1:20" s="21" customFormat="1" ht="24" thickBot="1">
      <c r="A51" s="20" t="str">
        <f>IF(B51="1","Total","Leaf")</f>
        <v>Total</v>
      </c>
      <c r="B51" s="20" t="str" cm="1">
        <f t="array" ref="B51">_xll.DBR("Finance:}ElementAttributes_Accounts - Cashflow",C51,"Cashflow Group Summary - Total")</f>
        <v>1</v>
      </c>
      <c r="C51" s="96" t="s">
        <v>22</v>
      </c>
      <c r="D51" s="20"/>
      <c r="E51" s="54" t="str">
        <f>C51</f>
        <v>Operating Cashflows</v>
      </c>
      <c r="F51" s="40"/>
      <c r="G51" s="84">
        <f>_xll.DBRW($E$22,G$34,$G$26,$G$27,$G$28,$G$29,$C51,$G$31,$G$30,$G$24)</f>
        <v>4079344.8895944194</v>
      </c>
      <c r="H51" s="58">
        <f>_xll.DBRW($E$22,H$34,$G$26,$G$27,$G$28,$G$29,$C51,$G$31,$G$30,$G$24)</f>
        <v>2522882.6300000018</v>
      </c>
      <c r="I51" s="58">
        <f>_xll.DBRW($E$22,I$34,$G$26,$G$27,$G$28,$G$29,$C51,$G$31,$G$30,$G$24)</f>
        <v>2069912.8188690757</v>
      </c>
      <c r="J51" s="37">
        <f>_xll.DBRW($E$22,J$34,$G$26,$F$27,$G$28,$G$29,$C51,$G$31,$G$30,$G$24)</f>
        <v>3553438.0900000064</v>
      </c>
      <c r="K51" s="53"/>
      <c r="L51" s="86">
        <f>_xll.DBRW($E$22,L$34,$G$26,$G$27,$G$28,$T51,$C51,$G$31,$G$30,$G$24)</f>
        <v>18788436.893415421</v>
      </c>
      <c r="M51" s="36">
        <f>_xll.DBRW($E$22,M$34,$G$26,$G$27,$G$28,$T51,$C51,$G$31,$G$30,$G$24)</f>
        <v>-15522709.064361125</v>
      </c>
      <c r="N51" s="36">
        <f>_xll.DBRW($E$22,N$34,$G$26,$G$27,$G$28,$T51,$C51,$G$31,$G$30,$G$24)</f>
        <v>18636027.835380342</v>
      </c>
      <c r="O51" s="37">
        <f>_xll.DBRW($E$22,O$34,$G$26,$F$27,$G$28,$T51,$C51,$G$31,$G$30,$G$24)</f>
        <v>13265363.249999996</v>
      </c>
      <c r="P51" s="57"/>
      <c r="Q51" s="86">
        <f>_xll.DBRW($E$22,Q$34,$G$26,$G$27,$F$28,$T51,$C51,$G$31,$G$30,$G$24)</f>
        <v>-15522709.064361125</v>
      </c>
      <c r="R51" s="36">
        <f>_xll.DBRW($E$22,R$34,$G$26,$G$27,$F$28,$T51,$C51,$G$31,$G$30,$G$24)</f>
        <v>18636027.835380342</v>
      </c>
      <c r="S51" s="37">
        <f>_xll.DBRW($E$22,S$34,$G$26,$F$27,$F$28,$T51,$C51,$G$31,$G$30,$G$24)</f>
        <v>13265363.249999996</v>
      </c>
      <c r="T51" s="21" t="str">
        <f>IF(C51="Closing Cash",$G$29,$F$29)</f>
        <v>YTD</v>
      </c>
    </row>
    <row r="52" spans="1:20" s="23" customFormat="1">
      <c r="A52" s="22" t="str">
        <f>IF(B52="1","Total","Leaf")</f>
        <v>Leaf</v>
      </c>
      <c r="B52" s="22" t="str" cm="1">
        <f t="array" ref="B52">_xll.DBR("Finance:}ElementAttributes_Accounts - Cashflow",C52,"Cashflow Group Summary - Total")</f>
        <v/>
      </c>
      <c r="C52" s="41" t="s">
        <v>25</v>
      </c>
      <c r="D52" s="22"/>
      <c r="E52" s="55" t="str">
        <f>C52</f>
        <v>FIXED ASSET CAPEX</v>
      </c>
      <c r="F52" s="38"/>
      <c r="G52" s="85">
        <f>_xll.DBRW($E$22,G$34,$G$26,$G$27,$G$28,$G$29,$C52,$G$31,$G$30,$G$24)</f>
        <v>93843.77464069119</v>
      </c>
      <c r="H52" s="47">
        <f>_xll.DBRW($E$22,H$34,$G$26,$G$27,$G$28,$G$29,$C52,$G$31,$G$30,$G$24)</f>
        <v>-227244.7800000002</v>
      </c>
      <c r="I52" s="39">
        <f>_xll.DBRW($E$22,I$34,$G$26,$G$27,$G$28,$G$29,$C52,$G$31,$G$30,$G$24)</f>
        <v>440564.20923623827</v>
      </c>
      <c r="J52" s="71">
        <f>_xll.DBRW($E$22,J$34,$G$26,$F$27,$G$28,$G$29,$C52,$G$31,$G$30,$G$24)</f>
        <v>370206.79000000726</v>
      </c>
      <c r="K52" s="39"/>
      <c r="L52" s="87">
        <f>_xll.DBRW($E$22,L$34,$G$26,$G$27,$G$28,$T52,$C52,$G$31,$G$30,$G$24)</f>
        <v>3591366.0525553501</v>
      </c>
      <c r="M52" s="57">
        <f>_xll.DBRW($E$22,M$34,$G$26,$G$27,$G$28,$T52,$C52,$G$31,$G$30,$G$24)</f>
        <v>-42533015.678721264</v>
      </c>
      <c r="N52" s="39">
        <f>_xll.DBRW($E$22,N$34,$G$26,$G$27,$G$28,$T52,$C52,$G$31,$G$30,$G$24)</f>
        <v>4567508.7196798343</v>
      </c>
      <c r="O52" s="71">
        <f>_xll.DBRW($E$22,O$34,$G$26,$F$27,$G$28,$T52,$C52,$G$31,$G$30,$G$24)</f>
        <v>2063435.9300000039</v>
      </c>
      <c r="P52" s="57"/>
      <c r="Q52" s="56">
        <f>_xll.DBRW($E$22,Q$34,$G$26,$G$27,$F$28,$T52,$C52,$G$31,$G$30,$G$24)</f>
        <v>-42533015.678721264</v>
      </c>
      <c r="R52" s="39">
        <f>_xll.DBRW($E$22,R$34,$G$26,$G$27,$F$28,$T52,$C52,$G$31,$G$30,$G$24)</f>
        <v>4567508.7196798343</v>
      </c>
      <c r="S52" s="71">
        <f>_xll.DBRW($E$22,S$34,$G$26,$F$27,$F$28,$T52,$C52,$G$31,$G$30,$G$24)</f>
        <v>2063435.9300000039</v>
      </c>
      <c r="T52" s="23" t="str">
        <f>IF(C52="Closing Cash",$G$29,$F$29)</f>
        <v>YTD</v>
      </c>
    </row>
    <row r="53" spans="1:20" s="23" customFormat="1">
      <c r="A53" s="22" t="str">
        <f>IF(B53="1","Total","Leaf")</f>
        <v>Leaf</v>
      </c>
      <c r="B53" s="22" t="str" cm="1">
        <f t="array" ref="B53">_xll.DBR("Finance:}ElementAttributes_Accounts - Cashflow",C53,"Cashflow Group Summary - Total")</f>
        <v/>
      </c>
      <c r="C53" s="41" t="s">
        <v>26</v>
      </c>
      <c r="D53" s="22"/>
      <c r="E53" s="55" t="str">
        <f>C53</f>
        <v>Lease Capital Payments (IFRS16)</v>
      </c>
      <c r="F53" s="38"/>
      <c r="G53" s="85">
        <f>_xll.DBRW($E$22,G$34,$G$26,$G$27,$G$28,$G$29,$C53,$G$31,$G$30,$G$24)</f>
        <v>-410248.15982974961</v>
      </c>
      <c r="H53" s="47">
        <f>_xll.DBRW($E$22,H$34,$G$26,$G$27,$G$28,$G$29,$C53,$G$31,$G$30,$G$24)</f>
        <v>-447270.62000000058</v>
      </c>
      <c r="I53" s="39">
        <f>_xll.DBRW($E$22,I$34,$G$26,$G$27,$G$28,$G$29,$C53,$G$31,$G$30,$G$24)</f>
        <v>-643552.5762068833</v>
      </c>
      <c r="J53" s="71">
        <f>_xll.DBRW($E$22,J$34,$G$26,$F$27,$G$28,$G$29,$C53,$G$31,$G$30,$G$24)</f>
        <v>-655472.24000000209</v>
      </c>
      <c r="K53" s="39"/>
      <c r="L53" s="87">
        <f>_xll.DBRW($E$22,L$34,$G$26,$G$27,$G$28,$T53,$C53,$G$31,$G$30,$G$24)</f>
        <v>4355.563388953713</v>
      </c>
      <c r="M53" s="57">
        <f>_xll.DBRW($E$22,M$34,$G$26,$G$27,$G$28,$T53,$C53,$G$31,$G$30,$G$24)</f>
        <v>-3149357.2503366424</v>
      </c>
      <c r="N53" s="39">
        <f>_xll.DBRW($E$22,N$34,$G$26,$G$27,$G$28,$T53,$C53,$G$31,$G$30,$G$24)</f>
        <v>-2268879.140664272</v>
      </c>
      <c r="O53" s="71">
        <f>_xll.DBRW($E$22,O$34,$G$26,$F$27,$G$28,$T53,$C53,$G$31,$G$30,$G$24)</f>
        <v>-1026753.2200000016</v>
      </c>
      <c r="P53" s="57"/>
      <c r="Q53" s="56">
        <f>_xll.DBRW($E$22,Q$34,$G$26,$G$27,$F$28,$T53,$C53,$G$31,$G$30,$G$24)</f>
        <v>-3149357.2503366424</v>
      </c>
      <c r="R53" s="39">
        <f>_xll.DBRW($E$22,R$34,$G$26,$G$27,$F$28,$T53,$C53,$G$31,$G$30,$G$24)</f>
        <v>-2268879.140664272</v>
      </c>
      <c r="S53" s="71">
        <f>_xll.DBRW($E$22,S$34,$G$26,$F$27,$F$28,$T53,$C53,$G$31,$G$30,$G$24)</f>
        <v>-1026753.2200000016</v>
      </c>
      <c r="T53" s="23" t="str">
        <f>IF(C53="Closing Cash",$G$29,$F$29)</f>
        <v>YTD</v>
      </c>
    </row>
    <row r="54" spans="1:20" s="23" customFormat="1">
      <c r="A54" s="22" t="str">
        <f>IF(B54="1","Total","Leaf")</f>
        <v>Leaf</v>
      </c>
      <c r="B54" s="22" t="str" cm="1">
        <f t="array" ref="B54">_xll.DBR("Finance:}ElementAttributes_Accounts - Cashflow",C54,"Cashflow Group Summary - Total")</f>
        <v/>
      </c>
      <c r="C54" s="41" t="s">
        <v>27</v>
      </c>
      <c r="D54" s="22"/>
      <c r="E54" s="55" t="str">
        <f>C54</f>
        <v>Interest</v>
      </c>
      <c r="F54" s="38"/>
      <c r="G54" s="85">
        <f>_xll.DBRW($E$22,G$34,$G$26,$G$27,$G$28,$G$29,$C54,$G$31,$G$30,$G$24)</f>
        <v>-466908.19013037509</v>
      </c>
      <c r="H54" s="47">
        <f>_xll.DBRW($E$22,H$34,$G$26,$G$27,$G$28,$G$29,$C54,$G$31,$G$30,$G$24)</f>
        <v>-422159.08000000007</v>
      </c>
      <c r="I54" s="39">
        <f>_xll.DBRW($E$22,I$34,$G$26,$G$27,$G$28,$G$29,$C54,$G$31,$G$30,$G$24)</f>
        <v>-424994.03385194083</v>
      </c>
      <c r="J54" s="71">
        <f>_xll.DBRW($E$22,J$34,$G$26,$F$27,$G$28,$G$29,$C54,$G$31,$G$30,$G$24)</f>
        <v>-378518.91999999987</v>
      </c>
      <c r="K54" s="39"/>
      <c r="L54" s="87">
        <f>_xll.DBRW($E$22,L$34,$G$26,$G$27,$G$28,$T54,$C54,$G$31,$G$30,$G$24)</f>
        <v>-5255663.0273813708</v>
      </c>
      <c r="M54" s="57">
        <f>_xll.DBRW($E$22,M$34,$G$26,$G$27,$G$28,$T54,$C54,$G$31,$G$30,$G$24)</f>
        <v>-5224338.1199999992</v>
      </c>
      <c r="N54" s="39">
        <f>_xll.DBRW($E$22,N$34,$G$26,$G$27,$G$28,$T54,$C54,$G$31,$G$30,$G$24)</f>
        <v>-5054502.794487291</v>
      </c>
      <c r="O54" s="71">
        <f>_xll.DBRW($E$22,O$34,$G$26,$F$27,$G$28,$T54,$C54,$G$31,$G$30,$G$24)</f>
        <v>-3753157.3</v>
      </c>
      <c r="P54" s="57"/>
      <c r="Q54" s="56">
        <f>_xll.DBRW($E$22,Q$34,$G$26,$G$27,$F$28,$T54,$C54,$G$31,$G$30,$G$24)</f>
        <v>-5224338.1199999992</v>
      </c>
      <c r="R54" s="39">
        <f>_xll.DBRW($E$22,R$34,$G$26,$G$27,$F$28,$T54,$C54,$G$31,$G$30,$G$24)</f>
        <v>-5054502.794487291</v>
      </c>
      <c r="S54" s="71">
        <f>_xll.DBRW($E$22,S$34,$G$26,$F$27,$F$28,$T54,$C54,$G$31,$G$30,$G$24)</f>
        <v>-3753157.3</v>
      </c>
      <c r="T54" s="23" t="str">
        <f>IF(C54="Closing Cash",$G$29,$F$29)</f>
        <v>YTD</v>
      </c>
    </row>
    <row r="55" spans="1:20" s="23" customFormat="1">
      <c r="A55" s="22" t="str">
        <f>IF(B55="1","Total","Leaf")</f>
        <v>Leaf</v>
      </c>
      <c r="B55" s="22" t="str" cm="1">
        <f t="array" ref="B55">_xll.DBR("Finance:}ElementAttributes_Accounts - Cashflow",C55,"Cashflow Group Summary - Total")</f>
        <v/>
      </c>
      <c r="C55" s="41" t="s">
        <v>28</v>
      </c>
      <c r="D55" s="22"/>
      <c r="E55" s="55" t="str">
        <f>C55</f>
        <v>Taxation</v>
      </c>
      <c r="F55" s="38"/>
      <c r="G55" s="85">
        <f>_xll.DBRW($E$22,G$34,$G$26,$G$27,$G$28,$G$29,$C55,$G$31,$G$30,$G$24)</f>
        <v>-286028.65046680189</v>
      </c>
      <c r="H55" s="47">
        <f>_xll.DBRW($E$22,H$34,$G$26,$G$27,$G$28,$G$29,$C55,$G$31,$G$30,$G$24)</f>
        <v>-77208.05</v>
      </c>
      <c r="I55" s="39">
        <f>_xll.DBRW($E$22,I$34,$G$26,$G$27,$G$28,$G$29,$C55,$G$31,$G$30,$G$24)</f>
        <v>61267.36023867593</v>
      </c>
      <c r="J55" s="71">
        <f>_xll.DBRW($E$22,J$34,$G$26,$F$27,$G$28,$G$29,$C55,$G$31,$G$30,$G$24)</f>
        <v>-145827.46999999986</v>
      </c>
      <c r="K55" s="39"/>
      <c r="L55" s="87">
        <f>_xll.DBRW($E$22,L$34,$G$26,$G$27,$G$28,$T55,$C55,$G$31,$G$30,$G$24)</f>
        <v>-797381.88567055203</v>
      </c>
      <c r="M55" s="57">
        <f>_xll.DBRW($E$22,M$34,$G$26,$G$27,$G$28,$T55,$C55,$G$31,$G$30,$G$24)</f>
        <v>-320634.29650430451</v>
      </c>
      <c r="N55" s="39">
        <f>_xll.DBRW($E$22,N$34,$G$26,$G$27,$G$28,$T55,$C55,$G$31,$G$30,$G$24)</f>
        <v>-815346.74085506878</v>
      </c>
      <c r="O55" s="71">
        <f>_xll.DBRW($E$22,O$34,$G$26,$F$27,$G$28,$T55,$C55,$G$31,$G$30,$G$24)</f>
        <v>-1563533.4600000009</v>
      </c>
      <c r="P55" s="57"/>
      <c r="Q55" s="56">
        <f>_xll.DBRW($E$22,Q$34,$G$26,$G$27,$F$28,$T55,$C55,$G$31,$G$30,$G$24)</f>
        <v>-320634.29650430451</v>
      </c>
      <c r="R55" s="39">
        <f>_xll.DBRW($E$22,R$34,$G$26,$G$27,$F$28,$T55,$C55,$G$31,$G$30,$G$24)</f>
        <v>-815346.74085506878</v>
      </c>
      <c r="S55" s="71">
        <f>_xll.DBRW($E$22,S$34,$G$26,$F$27,$F$28,$T55,$C55,$G$31,$G$30,$G$24)</f>
        <v>-1563533.4600000009</v>
      </c>
      <c r="T55" s="23" t="str">
        <f>IF(C55="Closing Cash",$G$29,$F$29)</f>
        <v>YTD</v>
      </c>
    </row>
    <row r="56" spans="1:20" s="23" customFormat="1">
      <c r="A56" s="22" t="str">
        <f>IF(B56="1","Total","Leaf")</f>
        <v>Leaf</v>
      </c>
      <c r="B56" s="22" t="str" cm="1">
        <f t="array" ref="B56">_xll.DBR("Finance:}ElementAttributes_Accounts - Cashflow",C56,"Cashflow Group Summary - Total")</f>
        <v/>
      </c>
      <c r="C56" s="41" t="s">
        <v>29</v>
      </c>
      <c r="D56" s="22"/>
      <c r="E56" s="55" t="str">
        <f>C56</f>
        <v>Long Term Loan Repayment</v>
      </c>
      <c r="F56" s="38"/>
      <c r="G56" s="85">
        <f>_xll.DBRW($E$22,G$34,$G$26,$G$27,$G$28,$G$29,$C56,$G$31,$G$30,$G$24)</f>
        <v>-566820.61283584253</v>
      </c>
      <c r="H56" s="47">
        <f>_xll.DBRW($E$22,H$34,$G$26,$G$27,$G$28,$G$29,$C56,$G$31,$G$30,$G$24)</f>
        <v>495263.23000000045</v>
      </c>
      <c r="I56" s="39">
        <f>_xll.DBRW($E$22,I$34,$G$26,$G$27,$G$28,$G$29,$C56,$G$31,$G$30,$G$24)</f>
        <v>-273338.66843992786</v>
      </c>
      <c r="J56" s="71">
        <f>_xll.DBRW($E$22,J$34,$G$26,$F$27,$G$28,$G$29,$C56,$G$31,$G$30,$G$24)</f>
        <v>-766475.82999999507</v>
      </c>
      <c r="K56" s="39"/>
      <c r="L56" s="87">
        <f>_xll.DBRW($E$22,L$34,$G$26,$G$27,$G$28,$T56,$C56,$G$31,$G$30,$G$24)</f>
        <v>-8588766.0461956728</v>
      </c>
      <c r="M56" s="57">
        <f>_xll.DBRW($E$22,M$34,$G$26,$G$27,$G$28,$T56,$C56,$G$31,$G$30,$G$24)</f>
        <v>24105115.40279917</v>
      </c>
      <c r="N56" s="39">
        <f>_xll.DBRW($E$22,N$34,$G$26,$G$27,$G$28,$T56,$C56,$G$31,$G$30,$G$24)</f>
        <v>-1356157.9747626099</v>
      </c>
      <c r="O56" s="71">
        <f>_xll.DBRW($E$22,O$34,$G$26,$F$27,$G$28,$T56,$C56,$G$31,$G$30,$G$24)</f>
        <v>-969358.65000000619</v>
      </c>
      <c r="P56" s="57"/>
      <c r="Q56" s="56">
        <f>_xll.DBRW($E$22,Q$34,$G$26,$G$27,$F$28,$T56,$C56,$G$31,$G$30,$G$24)</f>
        <v>24105115.40279917</v>
      </c>
      <c r="R56" s="39">
        <f>_xll.DBRW($E$22,R$34,$G$26,$G$27,$F$28,$T56,$C56,$G$31,$G$30,$G$24)</f>
        <v>-1356157.9747626099</v>
      </c>
      <c r="S56" s="71">
        <f>_xll.DBRW($E$22,S$34,$G$26,$F$27,$F$28,$T56,$C56,$G$31,$G$30,$G$24)</f>
        <v>-969358.65000000619</v>
      </c>
      <c r="T56" s="23" t="str">
        <f>IF(C56="Closing Cash",$G$29,$F$29)</f>
        <v>YTD</v>
      </c>
    </row>
    <row r="57" spans="1:20" s="23" customFormat="1">
      <c r="A57" s="22" t="str">
        <f>IF(B57="1","Total","Leaf")</f>
        <v>Leaf</v>
      </c>
      <c r="B57" s="22" t="str" cm="1">
        <f t="array" ref="B57">_xll.DBR("Finance:}ElementAttributes_Accounts - Cashflow",C57,"Cashflow Group Summary - Total")</f>
        <v/>
      </c>
      <c r="C57" s="41" t="s">
        <v>30</v>
      </c>
      <c r="D57" s="22"/>
      <c r="E57" s="55" t="str">
        <f>C57</f>
        <v>CGPS Pension Contribtutions</v>
      </c>
      <c r="F57" s="38"/>
      <c r="G57" s="85">
        <f>_xll.DBRW($E$22,G$34,$G$26,$G$27,$G$28,$G$29,$C57,$G$31,$G$30,$G$24)</f>
        <v>-370552.8200000003</v>
      </c>
      <c r="H57" s="47">
        <f>_xll.DBRW($E$22,H$34,$G$26,$G$27,$G$28,$G$29,$C57,$G$31,$G$30,$G$24)</f>
        <v>-96000</v>
      </c>
      <c r="I57" s="39">
        <f>_xll.DBRW($E$22,I$34,$G$26,$G$27,$G$28,$G$29,$C57,$G$31,$G$30,$G$24)</f>
        <v>-111250</v>
      </c>
      <c r="J57" s="71">
        <f>_xll.DBRW($E$22,J$34,$G$26,$F$27,$G$28,$G$29,$C57,$G$31,$G$30,$G$24)</f>
        <v>-690146.11999999941</v>
      </c>
      <c r="K57" s="39"/>
      <c r="L57" s="87">
        <f>_xll.DBRW($E$22,L$34,$G$26,$G$27,$G$28,$T57,$C57,$G$31,$G$30,$G$24)</f>
        <v>11243519.290000001</v>
      </c>
      <c r="M57" s="57">
        <f>_xll.DBRW($E$22,M$34,$G$26,$G$27,$G$28,$T57,$C57,$G$31,$G$30,$G$24)</f>
        <v>27108168.290000003</v>
      </c>
      <c r="N57" s="39">
        <f>_xll.DBRW($E$22,N$34,$G$26,$G$27,$G$28,$T57,$C57,$G$31,$G$30,$G$24)</f>
        <v>-1094999.9600000009</v>
      </c>
      <c r="O57" s="71">
        <f>_xll.DBRW($E$22,O$34,$G$26,$F$27,$G$28,$T57,$C57,$G$31,$G$30,$G$24)</f>
        <v>-12231421.360000001</v>
      </c>
      <c r="P57" s="57"/>
      <c r="Q57" s="56">
        <f>_xll.DBRW($E$22,Q$34,$G$26,$G$27,$F$28,$T57,$C57,$G$31,$G$30,$G$24)</f>
        <v>27108168.290000003</v>
      </c>
      <c r="R57" s="39">
        <f>_xll.DBRW($E$22,R$34,$G$26,$G$27,$F$28,$T57,$C57,$G$31,$G$30,$G$24)</f>
        <v>-1094999.9600000009</v>
      </c>
      <c r="S57" s="71">
        <f>_xll.DBRW($E$22,S$34,$G$26,$F$27,$F$28,$T57,$C57,$G$31,$G$30,$G$24)</f>
        <v>-12231421.360000001</v>
      </c>
      <c r="T57" s="23" t="str">
        <f>IF(C57="Closing Cash",$G$29,$F$29)</f>
        <v>YTD</v>
      </c>
    </row>
    <row r="58" spans="1:20" s="23" customFormat="1" ht="15" thickBot="1">
      <c r="A58" s="22" t="str">
        <f>IF(B58="1","Total","Leaf")</f>
        <v>Leaf</v>
      </c>
      <c r="B58" s="22" t="str" cm="1">
        <f t="array" ref="B58">_xll.DBR("Finance:}ElementAttributes_Accounts - Cashflow",C58,"Cashflow Group Summary - Total")</f>
        <v/>
      </c>
      <c r="C58" s="41" t="s">
        <v>31</v>
      </c>
      <c r="D58" s="22"/>
      <c r="E58" s="55" t="str">
        <f>C58</f>
        <v>Other Non Operating Cashflows</v>
      </c>
      <c r="F58" s="38"/>
      <c r="G58" s="85">
        <f>_xll.DBRW($E$22,G$34,$G$26,$G$27,$G$28,$G$29,$C58,$G$31,$G$30,$G$24)</f>
        <v>0</v>
      </c>
      <c r="H58" s="47">
        <f>_xll.DBRW($E$22,H$34,$G$26,$G$27,$G$28,$G$29,$C58,$G$31,$G$30,$G$24)</f>
        <v>0</v>
      </c>
      <c r="I58" s="39">
        <f>_xll.DBRW($E$22,I$34,$G$26,$G$27,$G$28,$G$29,$C58,$G$31,$G$30,$G$24)</f>
        <v>0</v>
      </c>
      <c r="J58" s="71">
        <f>_xll.DBRW($E$22,J$34,$G$26,$F$27,$G$28,$G$29,$C58,$G$31,$G$30,$G$24)</f>
        <v>0</v>
      </c>
      <c r="K58" s="39"/>
      <c r="L58" s="87">
        <f>_xll.DBRW($E$22,L$34,$G$26,$G$27,$G$28,$T58,$C58,$G$31,$G$30,$G$24)</f>
        <v>0</v>
      </c>
      <c r="M58" s="57">
        <f>_xll.DBRW($E$22,M$34,$G$26,$G$27,$G$28,$T58,$C58,$G$31,$G$30,$G$24)</f>
        <v>0</v>
      </c>
      <c r="N58" s="39">
        <f>_xll.DBRW($E$22,N$34,$G$26,$G$27,$G$28,$T58,$C58,$G$31,$G$30,$G$24)</f>
        <v>0</v>
      </c>
      <c r="O58" s="71">
        <f>_xll.DBRW($E$22,O$34,$G$26,$F$27,$G$28,$T58,$C58,$G$31,$G$30,$G$24)</f>
        <v>0</v>
      </c>
      <c r="P58" s="57"/>
      <c r="Q58" s="56">
        <f>_xll.DBRW($E$22,Q$34,$G$26,$G$27,$F$28,$T58,$C58,$G$31,$G$30,$G$24)</f>
        <v>0</v>
      </c>
      <c r="R58" s="39">
        <f>_xll.DBRW($E$22,R$34,$G$26,$G$27,$F$28,$T58,$C58,$G$31,$G$30,$G$24)</f>
        <v>0</v>
      </c>
      <c r="S58" s="71">
        <f>_xll.DBRW($E$22,S$34,$G$26,$F$27,$F$28,$T58,$C58,$G$31,$G$30,$G$24)</f>
        <v>0</v>
      </c>
      <c r="T58" s="23" t="str">
        <f>IF(C58="Closing Cash",$G$29,$F$29)</f>
        <v>YTD</v>
      </c>
    </row>
    <row r="59" spans="1:20" s="21" customFormat="1" ht="24" thickBot="1">
      <c r="A59" s="20" t="str">
        <f>IF(B59="1","Total","Leaf")</f>
        <v>Total</v>
      </c>
      <c r="B59" s="20" t="str" cm="1">
        <f t="array" ref="B59">_xll.DBR("Finance:}ElementAttributes_Accounts - Cashflow",C59,"Cashflow Group Summary - Total")</f>
        <v>1</v>
      </c>
      <c r="C59" s="98" t="s">
        <v>32</v>
      </c>
      <c r="D59" s="20"/>
      <c r="E59" s="54" t="str">
        <f>C59</f>
        <v>Trading Cashflows</v>
      </c>
      <c r="F59" s="40"/>
      <c r="G59" s="84">
        <f>_xll.DBRW($E$22,G$34,$G$26,$G$27,$G$28,$G$29,$C59,$G$31,$G$30,$G$24)</f>
        <v>877044.93143091397</v>
      </c>
      <c r="H59" s="58">
        <f>_xll.DBRW($E$22,H$34,$G$26,$G$27,$G$28,$G$29,$C59,$G$31,$G$30,$G$24)</f>
        <v>1272684.6088335048</v>
      </c>
      <c r="I59" s="58">
        <f>_xll.DBRW($E$22,I$34,$G$26,$G$27,$G$28,$G$29,$C59,$G$31,$G$30,$G$24)</f>
        <v>141346.62729893485</v>
      </c>
      <c r="J59" s="37">
        <f>_xll.DBRW($E$22,J$34,$G$26,$F$27,$G$28,$G$29,$C59,$G$31,$G$30,$G$24)</f>
        <v>-122446.75720638665</v>
      </c>
      <c r="K59" s="53"/>
      <c r="L59" s="86">
        <f>_xll.DBRW($E$22,L$34,$G$26,$G$27,$G$28,$T59,$C59,$G$31,$G$30,$G$24)</f>
        <v>11358088.364542032</v>
      </c>
      <c r="M59" s="36">
        <f>_xll.DBRW($E$22,M$34,$G$26,$G$27,$G$28,$T59,$C59,$G$31,$G$30,$G$24)</f>
        <v>27295908.057424128</v>
      </c>
      <c r="N59" s="36">
        <f>_xll.DBRW($E$22,N$34,$G$26,$G$27,$G$28,$T59,$C59,$G$31,$G$30,$G$24)</f>
        <v>18234697.877091505</v>
      </c>
      <c r="O59" s="37">
        <f>_xll.DBRW($E$22,O$34,$G$26,$F$27,$G$28,$T59,$C59,$G$31,$G$30,$G$24)</f>
        <v>21097075.6355072</v>
      </c>
      <c r="P59" s="57"/>
      <c r="Q59" s="86">
        <f>_xll.DBRW($E$22,Q$34,$G$26,$G$27,$F$28,$T59,$C59,$G$31,$G$30,$G$24)</f>
        <v>27295908.057424128</v>
      </c>
      <c r="R59" s="36">
        <f>_xll.DBRW($E$22,R$34,$G$26,$G$27,$F$28,$T59,$C59,$G$31,$G$30,$G$24)</f>
        <v>18234697.877091505</v>
      </c>
      <c r="S59" s="37">
        <f>_xll.DBRW($E$22,S$34,$G$26,$F$27,$F$28,$T59,$C59,$G$31,$G$30,$G$24)</f>
        <v>21097075.6355072</v>
      </c>
      <c r="T59" s="21" t="str">
        <f>IF(C59="Closing Cash",$G$29,$F$29)</f>
        <v>YTD</v>
      </c>
    </row>
    <row r="60" spans="1:20" s="21" customFormat="1" ht="24" thickBot="1">
      <c r="A60" s="20" t="str">
        <f>IF(B60="1","Total","Leaf")</f>
        <v>Total</v>
      </c>
      <c r="B60" s="20" t="str" cm="1">
        <f t="array" ref="B60">_xll.DBR("Finance:}ElementAttributes_Accounts - Cashflow",C60,"Cashflow Group Summary - Total")</f>
        <v>1</v>
      </c>
      <c r="C60" s="96" t="s">
        <v>33</v>
      </c>
      <c r="D60" s="20"/>
      <c r="E60" s="54" t="str">
        <f>C60</f>
        <v>CLOSING CASH</v>
      </c>
      <c r="F60" s="40"/>
      <c r="G60" s="84">
        <f>_xll.DBRW($E$22,G$34,$G$26,$G$27,$G$28,$G$29,$C60,$G$31,$G$30,$G$24)</f>
        <v>5975102.2082599457</v>
      </c>
      <c r="H60" s="58">
        <f>_xll.DBRW($E$22,H$34,$G$26,$G$27,$G$28,$G$29,$C60,$G$31,$G$30,$G$24)</f>
        <v>5595951.0920494497</v>
      </c>
      <c r="I60" s="58">
        <f>_xll.DBRW($E$22,I$34,$G$26,$G$27,$G$28,$G$29,$C60,$G$31,$G$30,$G$24)</f>
        <v>12680637.451544415</v>
      </c>
      <c r="J60" s="37">
        <f>_xll.DBRW($E$22,J$34,$G$26,$F$27,$G$28,$G$29,$C60,$G$31,$G$30,$G$24)</f>
        <v>10363701.591007147</v>
      </c>
      <c r="K60" s="53"/>
      <c r="L60" s="86">
        <f>_xll.DBRW($E$22,L$34,$G$26,$G$27,$G$28,$T60,$C60,$G$31,$G$30,$G$24)</f>
        <v>5975102.2082599457</v>
      </c>
      <c r="M60" s="36">
        <f>_xll.DBRW($E$22,M$34,$G$26,$G$27,$G$28,$T60,$C60,$G$31,$G$30,$G$24)</f>
        <v>5595951.0920494497</v>
      </c>
      <c r="N60" s="36">
        <f>_xll.DBRW($E$22,N$34,$G$26,$G$27,$G$28,$T60,$C60,$G$31,$G$30,$G$24)</f>
        <v>12680637.451544415</v>
      </c>
      <c r="O60" s="37">
        <f>_xll.DBRW($E$22,O$34,$G$26,$F$27,$G$28,$T60,$C60,$G$31,$G$30,$G$24)</f>
        <v>10363701.591007147</v>
      </c>
      <c r="P60" s="57"/>
      <c r="Q60" s="86">
        <f>_xll.DBRW($E$22,Q$34,$G$26,$G$27,$F$28,$T60,$C60,$G$31,$G$30,$G$24)</f>
        <v>5595951.0920494497</v>
      </c>
      <c r="R60" s="36">
        <f>_xll.DBRW($E$22,R$34,$G$26,$G$27,$F$28,$T60,$C60,$G$31,$G$30,$G$24)</f>
        <v>12680637.451544415</v>
      </c>
      <c r="S60" s="37">
        <f>_xll.DBRW($E$22,S$34,$G$26,$F$27,$F$28,$T60,$C60,$G$31,$G$30,$G$24)</f>
        <v>10363701.591007147</v>
      </c>
      <c r="T60" s="21" t="str">
        <f>IF(C60="Closing Cash",$G$29,$F$29)</f>
        <v>Period</v>
      </c>
    </row>
  </sheetData>
  <mergeCells count="7">
    <mergeCell ref="G26:H26"/>
    <mergeCell ref="G27:H27"/>
    <mergeCell ref="G28:H28"/>
    <mergeCell ref="G39:J39"/>
    <mergeCell ref="L39:O39"/>
    <mergeCell ref="Q39:S39"/>
    <mergeCell ref="E36:N36"/>
  </mergeCells>
  <hyperlinks>
    <hyperlink ref="C42" r:id="rId1" display="=@TM1RPTROW($E$22,&quot;Finance:Accounts - Cashflow&quot;,&quot;Summary Group Cashflow&quot;,,&quot;Display Name&quot;,TRUE,,,FALSE)" xr:uid="{AA419F69-1496-4880-8C37-3FE54009EC4C}"/>
    <hyperlink ref="C43" r:id="rId2" display="=@TM1RPTROW($C$22,&quot;Finance:Accounts - Cashflow&quot;,&quot;Summary Group Cashflow&quot;,,&quot;Display Name&quot;,FALSE)" xr:uid="{CB32D446-EBEF-42D4-A9E2-1D446FA1723E}"/>
    <hyperlink ref="C44" r:id="rId3" display="=@TM1RPTROW($C$22,&quot;Finance:Accounts - Cashflow&quot;,&quot;Summary Group Cashflow&quot;,,&quot;Display Name&quot;,FALSE)" xr:uid="{9B276D83-8350-4F76-A55D-5E782828AB6B}"/>
    <hyperlink ref="C45" r:id="rId4" display="=@TM1RPTROW($C$22,&quot;Finance:Accounts - Cashflow&quot;,&quot;Summary Group Cashflow&quot;,,&quot;Display Name&quot;,FALSE)" xr:uid="{2660D9D7-BF10-45A7-A476-FB47BC49C5B2}"/>
    <hyperlink ref="C46" r:id="rId5" display="=@TM1RPTROW($C$22,&quot;Finance:Accounts - Cashflow&quot;,&quot;Summary Group Cashflow&quot;,,&quot;Display Name&quot;,FALSE)" xr:uid="{5C8F1B03-2E89-4AE1-BA16-85FE0BCB9B92}"/>
    <hyperlink ref="C47" r:id="rId6" display="=@TM1RPTROW($C$22,&quot;Finance:Accounts - Cashflow&quot;,&quot;Summary Group Cashflow&quot;,,&quot;Display Name&quot;,FALSE)" xr:uid="{F8D5AF5D-30D1-4CE5-BDEA-786DA11026A5}"/>
    <hyperlink ref="C48" r:id="rId7" display="=@TM1RPTROW($C$22,&quot;Finance:Accounts - Cashflow&quot;,&quot;Summary Group Cashflow&quot;,,&quot;Display Name&quot;,FALSE)" xr:uid="{B9BCBC37-65C7-4087-9030-BDDF4B0652A1}"/>
    <hyperlink ref="C49" r:id="rId8" display="=@TM1RPTROW($C$22,&quot;Finance:Accounts - Cashflow&quot;,&quot;Summary Group Cashflow&quot;,,&quot;Display Name&quot;,FALSE)" xr:uid="{FEBDE27C-8F48-4395-9F72-47CB9AEED7BF}"/>
    <hyperlink ref="C50" r:id="rId9" display="=@TM1RPTROW($C$22,&quot;Finance:Accounts - Cashflow&quot;,&quot;Summary Group Cashflow&quot;,,&quot;Display Name&quot;,FALSE)" xr:uid="{7C07AA78-95A8-4982-902D-877B24EB346D}"/>
    <hyperlink ref="C51" r:id="rId10" display="=@TM1RPTROW($C$22,&quot;Finance:Accounts - Cashflow&quot;,&quot;Summary Group Cashflow&quot;,,&quot;Display Name&quot;,FALSE)" xr:uid="{5CA33DA1-88BA-4771-9730-91AF6D870B19}"/>
    <hyperlink ref="C52" r:id="rId11" display="=@TM1RPTROW($C$22,&quot;Finance:Accounts - Cashflow&quot;,&quot;Summary Group Cashflow&quot;,,&quot;Display Name&quot;,FALSE)" xr:uid="{14C850E4-7E8F-40D8-9F03-3231DCE3E6B8}"/>
    <hyperlink ref="C53" r:id="rId12" display="=@TM1RPTROW($C$22,&quot;Finance:Accounts - Cashflow&quot;,&quot;Summary Group Cashflow&quot;,,&quot;Display Name&quot;,FALSE)" xr:uid="{9D584835-336B-4F88-A99F-E496E12DE789}"/>
    <hyperlink ref="C54" r:id="rId13" display="=@TM1RPTROW($C$22,&quot;Finance:Accounts - Cashflow&quot;,&quot;Summary Group Cashflow&quot;,,&quot;Display Name&quot;,FALSE)" xr:uid="{F83BAAEB-EBEA-469C-AC01-2C6253FFDE29}"/>
    <hyperlink ref="C55" r:id="rId14" display="=@TM1RPTROW($C$22,&quot;Finance:Accounts - Cashflow&quot;,&quot;Summary Group Cashflow&quot;,,&quot;Display Name&quot;,FALSE)" xr:uid="{74CE2195-976F-4DC9-9311-CD6B04DAA39A}"/>
    <hyperlink ref="C56" r:id="rId15" display="=@TM1RPTROW($C$22,&quot;Finance:Accounts - Cashflow&quot;,&quot;Summary Group Cashflow&quot;,,&quot;Display Name&quot;,FALSE)" xr:uid="{95E89AE3-7223-44D2-B7F6-096B91C2D69A}"/>
    <hyperlink ref="C57" r:id="rId16" display="=@TM1RPTROW($C$22,&quot;Finance:Accounts - Cashflow&quot;,&quot;Summary Group Cashflow&quot;,,&quot;Display Name&quot;,FALSE)" xr:uid="{1E30B7F1-778F-44E4-BFBE-C903A7D3D8CE}"/>
    <hyperlink ref="C58" r:id="rId17" display="=@TM1RPTROW($C$22,&quot;Finance:Accounts - Cashflow&quot;,&quot;Summary Group Cashflow&quot;,,&quot;Display Name&quot;,FALSE)" xr:uid="{2925C289-13A9-4A0A-A41B-0B9A95DB23F1}"/>
    <hyperlink ref="C59" r:id="rId18" display="=@TM1RPTROW($C$22,&quot;Finance:Accounts - Cashflow&quot;,&quot;Summary Group Cashflow&quot;,,&quot;Display Name&quot;,FALSE)" xr:uid="{44B263B8-F5C3-46D5-9378-AA8A70D3BC2E}"/>
    <hyperlink ref="C60" r:id="rId19" display="=@TM1RPTROW($C$22,&quot;Finance:Accounts - Cashflow&quot;,&quot;Summary Group Cashflow&quot;,,&quot;Display Name&quot;,FALSE)" xr:uid="{7B85A17F-DCE4-401E-8D28-F9E2075DABF2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Summary Group Cashflow</vt:lpstr>
      <vt:lpstr>'Summary Group Cashflow'!TM1RPTDATARNG58306762</vt:lpstr>
      <vt:lpstr>'Summary Group Cashflow'!TM1RPTFMTIDCOL58306762</vt:lpstr>
      <vt:lpstr>'Summary Group Cashflow'!TM1RPTFMTRNG58306762</vt:lpstr>
      <vt:lpstr>'Summary Group Cashflow'!TM1RPTQRYRNG58306762</vt:lpstr>
      <vt:lpstr>'Summary Group Cashflow'!TM1RPTVIEWRNG58306762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2024-05-13T14:22:44Z</dcterms:created>
  <dcterms:modified xsi:type="dcterms:W3CDTF">2024-05-13T15:32:54Z</dcterms:modified>
</cp:coreProperties>
</file>