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even.hutchison\AppData\Local\Temp\"/>
    </mc:Choice>
  </mc:AlternateContent>
  <xr:revisionPtr revIDLastSave="0" documentId="8_{417A2980-ED62-4FEF-9434-BCABDFC201E8}" xr6:coauthVersionLast="47" xr6:coauthVersionMax="47" xr10:uidLastSave="{00000000-0000-0000-0000-000000000000}"/>
  <bookViews>
    <workbookView xWindow="22932" yWindow="-108" windowWidth="19416" windowHeight="10296" firstSheet="1" activeTab="1" xr2:uid="{94EA5DAA-02E7-4CEA-8208-5255AE8484C5}"/>
  </bookViews>
  <sheets>
    <sheet name="Cognos_Office_Connection_Cache" sheetId="2" state="veryHidden" r:id="rId1"/>
    <sheet name="uEBIT" sheetId="3" r:id="rId2"/>
    <sheet name="Sheet1" sheetId="4" state="hidden" r:id="rId3"/>
  </sheets>
  <externalReferences>
    <externalReference r:id="rId4"/>
  </externalReferences>
  <definedNames>
    <definedName name="Dynamic_0d22aa7c584a4f6995c38eea1e4e0938" localSheetId="1" hidden="1">"TM1SubsetToSet([Company].[Company], ""US Site Split - uEBIT"")"</definedName>
    <definedName name="Dynamic_22e6912503cf4bbb85958b45ee9d8c8b" localSheetId="1" hidden="1">CONCATENATE("TM1TOGGLEEXPANDMODE({DRILLDOWNMEMBER(DRILLDOWNMEMBER(DRILLDOWNMEMBER(DRILLDOWNMEMBER({[Company].[Company].[Division Total]} , {[Company].[Company].[Division Total]} , RECURSIVE) , {[Company].[Company].[Central Costs]} , RECURSIVE) , {[Company].[Company].[","Division Total^Aero]} , RECURSIVE) , {[Company].[Company].[CTP]} , RECURSIVE)}, EXPAND_ABOVE)")</definedName>
    <definedName name="Dynamic_2d16b1a3cde74354b9f89fc3c7b061c9" localSheetId="1" hidden="1">CONCATENATE("{[Company].[Company].[Total EMEA],[Company].[Company].[Carclo plc Group^03088344],[Company].[Company].[Mitcham],[Company].[Company].[CTP^26260026],[Company].[Company].[CTP^U31409KA2007PTC042481],[Company].[Company].[CTP^91320585329570420P],[Company].[Comp","any].[CTP^CTP-consol],[Company].[Company].[Division Total^Aero],[Company].[Company].[Division Total^Aero^00045894],[Company].[Company].[Division Total^Aero^419234851],[Company].[Company].[Division Total^Aero^Aero-consol],[Company].[Company].[Aylesbury],[C","ompany].[Company].[Division Total]}")</definedName>
    <definedName name="Dynamic_531549c9481c4221aaec3eb1981a85de" localSheetId="1" hidden="1">"TM1SubsetToSet([Company].[Company], ""Performance by Site"")"</definedName>
    <definedName name="Dynamic_8de6e320187b43618e0a9ff2fb471307" localSheetId="1" hidden="1">CONCATENATE("{[Company].[Company].[CTP],[Company].[Company].[Carclo plc Group^03088344],[Company].[Company].[Mitcham],[Company].[Company].[CTP^26260026],[Company].[Company].[CTP^U31409KA2007PTC042481],[Company].[Company].[CTP^91320585329570420P],[Company].[Company].[C","TP^CTP-consol],[Company].[Company].[Division Total^Aero],[Company].[Company].[Division Total^Aero^00045894],[Company].[Company].[Division Total^Aero^419234851],[Company].[Company].[Division Total^Aero^Aero-consol],[Company].[Company].[Aylesbury],[Company]",".[Company].[Division Total]}")</definedName>
    <definedName name="Dynamic_a2ed4bff453a4b5681556c1b1a8d5916" localSheetId="1" hidden="1">CONCATENATE("{EXCEPT(TM1TOGGLEEXPANDMODE(DRILLDOWNMEMBER(DRILLDOWNMEMBER(DRILLDOWNMEMBER(DRILLDOWNMEMBER({[Company].[Company].[Division Total]} , {[Company].[Company].[Division Total]} , RECURSIVE) , {[Company].[Company].[Central Costs]} , RECURSIVE) , {[Company].[Com","pany].[Division Total^Aero]} , RECURSIVE) , {[Company].[Company].[CTP]} , RECURSIVE) , EXPAND_ABOVE) , {[Company].[Company].[CTP^1038394]})}")</definedName>
    <definedName name="Dynamic_b89b95f480ec44228f0881b4a782b8bf" localSheetId="1" hidden="1">CONCATENATE("{[Company].[Company].[CTP],[Company].[Company].[Mitcham],[Company].[Company].[CTP^26260026],[Company].[Company].[CTP^U31409KA2007PTC042481],[Company].[Company].[CTP^91320585329570420P],[Company].[Company].[CTP^CTP-consol],[Company].[Company].[Division Tot","al^Aero],[Company].[Company].[Division Total^Aero^00045894],[Company].[Company].[Division Total^Aero^419234851],[Company].[Company].[Division Total^Aero^Aero-consol],[Company].[Company].[Aylesbury],[Company].[Company].[Division Total]}")</definedName>
    <definedName name="Dynamic_bee31123397040d38097d5f9ae027c4f" localSheetId="1" hidden="1">"TM1SubsetToSet([US Departments].[US Departments], ""Summary Performance by Site - US"")"</definedName>
    <definedName name="Dynamic_bf9fa055cda64d3f804934bf733dd578" localSheetId="1" hidden="1">"{EXCEPT([US Departments].[US Departments].MEMBERS , {[US Departments].[US Departments].[CTP-US]})}"</definedName>
    <definedName name="ID" localSheetId="0" hidden="1">"e0417128-1bfb-48e7-b034-2d579065e530"</definedName>
    <definedName name="ID" localSheetId="2" hidden="1">"1a73093f-13bc-471c-a398-2be7eff2c167"</definedName>
    <definedName name="ID" localSheetId="1" hidden="1">"767ebe1d-ba43-488a-86db-88e34f25d89c"</definedName>
    <definedName name="_xlnm.Print_Area" localSheetId="1">uEBIT!$C$30:$R$83</definedName>
    <definedName name="ServerName">[1]Parameters!$B$1</definedName>
    <definedName name="TM1RPTDATARNG40394722" localSheetId="1">uEBIT!$69:$82</definedName>
    <definedName name="TM1RPTDATARNG62813459" localSheetId="1">uEBIT!$34:$46</definedName>
    <definedName name="TM1RPTFMTIDCOL40394722" localSheetId="1">uEBIT!$A$49:$A$55</definedName>
    <definedName name="TM1RPTFMTIDCOL62813459" localSheetId="1">uEBIT!$A$1:$A$10</definedName>
    <definedName name="TM1RPTFMTRNG40394722" localSheetId="1">uEBIT!$B$49:$Q$55</definedName>
    <definedName name="TM1RPTFMTRNG62813459" localSheetId="1">uEBIT!$D$1:$Q$10</definedName>
    <definedName name="TM1RPTQRYRNG40394722" localSheetId="1">uEBIT!$B$56</definedName>
    <definedName name="TM1RPTQRYRNG62813459" localSheetId="1">uEBIT!$D$11</definedName>
    <definedName name="TM1RPTVIEWRNG40394722" localSheetId="1">uEBIT!$B$57</definedName>
    <definedName name="TM1RPTVIEWRNG62813459" localSheetId="1">uEBIT!$D$12</definedName>
    <definedName name="Year">[1]Parameters!$A$5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3" l="1"/>
  <c r="D82" i="3"/>
  <c r="D81" i="3"/>
  <c r="D80" i="3"/>
  <c r="D79" i="3"/>
  <c r="D78" i="3"/>
  <c r="D77" i="3"/>
  <c r="D76" i="3"/>
  <c r="D75" i="3"/>
  <c r="D74" i="3"/>
  <c r="D73" i="3"/>
  <c r="D72" i="3"/>
  <c r="D71" i="3"/>
  <c r="D46" i="3"/>
  <c r="D45" i="3"/>
  <c r="D44" i="3"/>
  <c r="D43" i="3"/>
  <c r="D42" i="3"/>
  <c r="D41" i="3"/>
  <c r="D40" i="3"/>
  <c r="D39" i="3"/>
  <c r="D38" i="3"/>
  <c r="D37" i="3"/>
  <c r="D36" i="3"/>
  <c r="D35" i="3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F68" i="3"/>
  <c r="K68" i="3"/>
  <c r="G68" i="3"/>
  <c r="H68" i="3"/>
  <c r="J68" i="3"/>
  <c r="L68" i="3"/>
  <c r="M68" i="3"/>
  <c r="O68" i="3"/>
  <c r="P68" i="3"/>
  <c r="Q68" i="3"/>
  <c r="E68" i="3"/>
  <c r="G67" i="3"/>
  <c r="H67" i="3"/>
  <c r="J67" i="3"/>
  <c r="L67" i="3"/>
  <c r="M67" i="3"/>
  <c r="P67" i="3"/>
  <c r="Q67" i="3"/>
  <c r="E67" i="3"/>
  <c r="A82" i="3" a="1"/>
  <c r="A70" i="3" a="1"/>
  <c r="A72" i="3" a="1"/>
  <c r="A76" i="3" a="1"/>
  <c r="A80" i="3" a="1"/>
  <c r="A77" i="3" a="1"/>
  <c r="A75" i="3" a="1"/>
  <c r="A73" i="3" a="1"/>
  <c r="A81" i="3" a="1"/>
  <c r="A79" i="3" a="1"/>
  <c r="A78" i="3" a="1"/>
  <c r="A74" i="3" a="1"/>
  <c r="A71" i="3" a="1"/>
  <c r="A41" i="3" a="1"/>
  <c r="E17" i="3"/>
  <c r="A37" i="3" a="1"/>
  <c r="E21" i="3" a="1"/>
  <c r="A40" i="3" a="1"/>
  <c r="A45" i="3" a="1"/>
  <c r="A39" i="3" a="1"/>
  <c r="A42" i="3" a="1"/>
  <c r="A54" i="3" a="1"/>
  <c r="K67" i="3" a="1"/>
  <c r="E64" i="3"/>
  <c r="A36" i="3" a="1"/>
  <c r="O67" i="3" a="1"/>
  <c r="A44" i="3" a="1"/>
  <c r="F23" i="3" a="1"/>
  <c r="A46" i="3" a="1"/>
  <c r="A38" i="3" a="1"/>
  <c r="B17" i="3" a="1"/>
  <c r="A35" i="3" a="1"/>
  <c r="K23" i="3" a="1"/>
  <c r="F67" i="3" a="1"/>
  <c r="O23" i="3" a="1"/>
  <c r="B16" i="3" a="1"/>
  <c r="E63" i="3"/>
  <c r="A43" i="3" a="1"/>
  <c r="A82" i="3" l="1"/>
  <c r="A70" i="3"/>
  <c r="A71" i="3"/>
  <c r="A74" i="3"/>
  <c r="A78" i="3"/>
  <c r="A79" i="3"/>
  <c r="A81" i="3"/>
  <c r="A73" i="3"/>
  <c r="A75" i="3"/>
  <c r="A77" i="3"/>
  <c r="A80" i="3"/>
  <c r="A76" i="3"/>
  <c r="A72" i="3"/>
  <c r="B16" i="3"/>
  <c r="B17" i="3"/>
  <c r="A42" i="3"/>
  <c r="A37" i="3"/>
  <c r="A36" i="3"/>
  <c r="A46" i="3"/>
  <c r="A38" i="3"/>
  <c r="A45" i="3"/>
  <c r="A41" i="3"/>
  <c r="A44" i="3"/>
  <c r="A40" i="3"/>
  <c r="A43" i="3"/>
  <c r="A39" i="3"/>
  <c r="A35" i="3"/>
  <c r="A54" i="3"/>
  <c r="F67" i="3"/>
  <c r="O23" i="3"/>
  <c r="F23" i="3"/>
  <c r="K67" i="3"/>
  <c r="K23" i="3"/>
  <c r="O67" i="3"/>
  <c r="E21" i="3"/>
  <c r="E16" i="3"/>
  <c r="E14" i="3"/>
  <c r="E18" i="3"/>
  <c r="B30" i="3" l="1"/>
  <c r="D31" i="3" s="1"/>
  <c r="O33" i="3"/>
  <c r="F33" i="3"/>
  <c r="K33" i="3"/>
  <c r="O32" i="3"/>
  <c r="E61" i="3"/>
  <c r="E62" i="3"/>
  <c r="E59" i="3"/>
  <c r="E20" i="3" a="1"/>
  <c r="B57" i="3"/>
  <c r="K71" i="3"/>
  <c r="G80" i="3"/>
  <c r="P75" i="3"/>
  <c r="P72" i="3"/>
  <c r="K72" i="3"/>
  <c r="O80" i="3"/>
  <c r="L71" i="3"/>
  <c r="F74" i="3"/>
  <c r="J79" i="3"/>
  <c r="O78" i="3"/>
  <c r="F79" i="3"/>
  <c r="K75" i="3"/>
  <c r="O72" i="3"/>
  <c r="O76" i="3"/>
  <c r="O74" i="3"/>
  <c r="J71" i="3"/>
  <c r="E72" i="3"/>
  <c r="G81" i="3"/>
  <c r="G72" i="3"/>
  <c r="F72" i="3"/>
  <c r="J78" i="3"/>
  <c r="D12" i="3"/>
  <c r="O42" i="3"/>
  <c r="E44" i="3"/>
  <c r="L40" i="3"/>
  <c r="L36" i="3"/>
  <c r="J42" i="3"/>
  <c r="E35" i="3"/>
  <c r="E78" i="3"/>
  <c r="O73" i="3"/>
  <c r="P74" i="3"/>
  <c r="L76" i="3"/>
  <c r="G42" i="3"/>
  <c r="F35" i="3"/>
  <c r="K43" i="3"/>
  <c r="F81" i="3"/>
  <c r="G76" i="3"/>
  <c r="P81" i="3"/>
  <c r="L75" i="3"/>
  <c r="J80" i="3"/>
  <c r="O82" i="3"/>
  <c r="E81" i="3"/>
  <c r="G82" i="3"/>
  <c r="J76" i="3"/>
  <c r="G74" i="3"/>
  <c r="F75" i="3"/>
  <c r="K79" i="3"/>
  <c r="O71" i="3"/>
  <c r="L73" i="3"/>
  <c r="K77" i="3"/>
  <c r="L74" i="3"/>
  <c r="K74" i="3"/>
  <c r="O77" i="3"/>
  <c r="L81" i="3"/>
  <c r="K81" i="3"/>
  <c r="J77" i="3"/>
  <c r="J73" i="3"/>
  <c r="G75" i="3"/>
  <c r="O79" i="3"/>
  <c r="G78" i="3"/>
  <c r="E73" i="3"/>
  <c r="F82" i="3"/>
  <c r="E74" i="3"/>
  <c r="O75" i="3"/>
  <c r="K78" i="3"/>
  <c r="O81" i="3"/>
  <c r="L82" i="3"/>
  <c r="L77" i="3"/>
  <c r="E80" i="3"/>
  <c r="G79" i="3"/>
  <c r="F76" i="3"/>
  <c r="E79" i="3"/>
  <c r="E82" i="3"/>
  <c r="L80" i="3"/>
  <c r="K82" i="3"/>
  <c r="E75" i="3"/>
  <c r="K76" i="3"/>
  <c r="P79" i="3"/>
  <c r="E76" i="3"/>
  <c r="P73" i="3"/>
  <c r="L78" i="3"/>
  <c r="F71" i="3"/>
  <c r="P77" i="3"/>
  <c r="J81" i="3"/>
  <c r="G73" i="3"/>
  <c r="L72" i="3"/>
  <c r="G71" i="3"/>
  <c r="F77" i="3"/>
  <c r="F80" i="3"/>
  <c r="F78" i="3"/>
  <c r="P78" i="3"/>
  <c r="P71" i="3"/>
  <c r="J75" i="3"/>
  <c r="J82" i="3"/>
  <c r="E77" i="3"/>
  <c r="G77" i="3"/>
  <c r="K80" i="3"/>
  <c r="P80" i="3"/>
  <c r="E71" i="3"/>
  <c r="P82" i="3"/>
  <c r="J74" i="3"/>
  <c r="F73" i="3"/>
  <c r="K73" i="3"/>
  <c r="J72" i="3"/>
  <c r="P76" i="3"/>
  <c r="L79" i="3"/>
  <c r="P39" i="3"/>
  <c r="K42" i="3"/>
  <c r="G37" i="3"/>
  <c r="J41" i="3"/>
  <c r="P36" i="3"/>
  <c r="K41" i="3"/>
  <c r="L35" i="3"/>
  <c r="F38" i="3"/>
  <c r="L39" i="3"/>
  <c r="O40" i="3"/>
  <c r="L44" i="3"/>
  <c r="L41" i="3"/>
  <c r="P44" i="3"/>
  <c r="G41" i="3"/>
  <c r="K36" i="3"/>
  <c r="L43" i="3"/>
  <c r="G44" i="3"/>
  <c r="E46" i="3"/>
  <c r="E36" i="3"/>
  <c r="G40" i="3"/>
  <c r="J45" i="3"/>
  <c r="K38" i="3"/>
  <c r="J38" i="3"/>
  <c r="P42" i="3"/>
  <c r="E39" i="3"/>
  <c r="K46" i="3"/>
  <c r="P41" i="3"/>
  <c r="F44" i="3"/>
  <c r="F36" i="3"/>
  <c r="E42" i="3"/>
  <c r="K35" i="3"/>
  <c r="E41" i="3"/>
  <c r="F43" i="3"/>
  <c r="K44" i="3"/>
  <c r="J46" i="3"/>
  <c r="P35" i="3"/>
  <c r="O41" i="3"/>
  <c r="L46" i="3"/>
  <c r="G38" i="3"/>
  <c r="J40" i="3"/>
  <c r="K40" i="3"/>
  <c r="J35" i="3"/>
  <c r="G35" i="3"/>
  <c r="F45" i="3"/>
  <c r="O39" i="3"/>
  <c r="P37" i="3"/>
  <c r="E43" i="3"/>
  <c r="E45" i="3"/>
  <c r="E40" i="3"/>
  <c r="F41" i="3"/>
  <c r="O38" i="3"/>
  <c r="F46" i="3"/>
  <c r="O45" i="3"/>
  <c r="F39" i="3"/>
  <c r="G46" i="3"/>
  <c r="G39" i="3"/>
  <c r="J44" i="3"/>
  <c r="G36" i="3"/>
  <c r="E38" i="3"/>
  <c r="E37" i="3"/>
  <c r="F37" i="3"/>
  <c r="F40" i="3"/>
  <c r="K39" i="3"/>
  <c r="O37" i="3"/>
  <c r="G43" i="3"/>
  <c r="J43" i="3"/>
  <c r="F42" i="3"/>
  <c r="G45" i="3"/>
  <c r="P38" i="3"/>
  <c r="O36" i="3"/>
  <c r="K45" i="3"/>
  <c r="O44" i="3"/>
  <c r="J39" i="3"/>
  <c r="L38" i="3"/>
  <c r="O46" i="3"/>
  <c r="P46" i="3"/>
  <c r="J36" i="3"/>
  <c r="P43" i="3"/>
  <c r="L42" i="3"/>
  <c r="P45" i="3"/>
  <c r="K37" i="3"/>
  <c r="L45" i="3"/>
  <c r="P40" i="3"/>
  <c r="J37" i="3"/>
  <c r="L37" i="3"/>
  <c r="O43" i="3"/>
  <c r="O35" i="3"/>
  <c r="B34" i="3"/>
  <c r="G34" i="3"/>
  <c r="F34" i="3"/>
  <c r="E34" i="3"/>
  <c r="J34" i="3"/>
  <c r="L34" i="3"/>
  <c r="K34" i="3"/>
  <c r="P34" i="3"/>
  <c r="O34" i="3"/>
  <c r="B69" i="3"/>
  <c r="A69" i="3" s="1" a="1"/>
  <c r="J70" i="3"/>
  <c r="K70" i="3"/>
  <c r="L70" i="3"/>
  <c r="E70" i="3"/>
  <c r="O70" i="3"/>
  <c r="F70" i="3"/>
  <c r="P70" i="3"/>
  <c r="G70" i="3"/>
  <c r="A69" i="3" l="1"/>
  <c r="D34" i="3"/>
  <c r="E20" i="3"/>
  <c r="Q70" i="3"/>
  <c r="M70" i="3"/>
  <c r="H70" i="3"/>
  <c r="M40" i="3"/>
  <c r="M44" i="3"/>
  <c r="Q45" i="3"/>
  <c r="M46" i="3"/>
  <c r="H38" i="3"/>
  <c r="M36" i="3"/>
  <c r="Q40" i="3"/>
  <c r="H44" i="3"/>
  <c r="M72" i="3"/>
  <c r="Q38" i="3"/>
  <c r="E69" i="3"/>
  <c r="Q37" i="3"/>
  <c r="M74" i="3"/>
  <c r="Q78" i="3"/>
  <c r="Q74" i="3"/>
  <c r="M43" i="3"/>
  <c r="Q71" i="3"/>
  <c r="H41" i="3"/>
  <c r="M39" i="3"/>
  <c r="Q80" i="3"/>
  <c r="M69" i="3"/>
  <c r="F69" i="3"/>
  <c r="P69" i="3"/>
  <c r="M80" i="3"/>
  <c r="H77" i="3"/>
  <c r="M38" i="3"/>
  <c r="M75" i="3"/>
  <c r="H79" i="3"/>
  <c r="H80" i="3"/>
  <c r="M78" i="3"/>
  <c r="Q46" i="3"/>
  <c r="Q73" i="3"/>
  <c r="O69" i="3"/>
  <c r="M42" i="3"/>
  <c r="M79" i="3"/>
  <c r="M77" i="3"/>
  <c r="H75" i="3"/>
  <c r="M73" i="3"/>
  <c r="M41" i="3"/>
  <c r="H72" i="3"/>
  <c r="H82" i="3"/>
  <c r="M37" i="3"/>
  <c r="Q39" i="3"/>
  <c r="M81" i="3"/>
  <c r="H69" i="3"/>
  <c r="Q79" i="3"/>
  <c r="Q75" i="3"/>
  <c r="H37" i="3"/>
  <c r="H74" i="3"/>
  <c r="Q69" i="3"/>
  <c r="M34" i="3"/>
  <c r="H40" i="3"/>
  <c r="H73" i="3"/>
  <c r="Q77" i="3"/>
  <c r="H35" i="3"/>
  <c r="Q42" i="3"/>
  <c r="H76" i="3"/>
  <c r="H34" i="3"/>
  <c r="M45" i="3"/>
  <c r="Q76" i="3"/>
  <c r="Q72" i="3"/>
  <c r="H36" i="3"/>
  <c r="L69" i="3"/>
  <c r="H78" i="3"/>
  <c r="M76" i="3"/>
  <c r="Q43" i="3"/>
  <c r="Q44" i="3"/>
  <c r="M82" i="3"/>
  <c r="K69" i="3"/>
  <c r="Q34" i="3"/>
  <c r="M71" i="3"/>
  <c r="M35" i="3"/>
  <c r="Q36" i="3"/>
  <c r="J69" i="3"/>
  <c r="H45" i="3"/>
  <c r="H39" i="3"/>
  <c r="Q81" i="3"/>
  <c r="H71" i="3"/>
  <c r="H81" i="3"/>
  <c r="A34" i="3" a="1"/>
  <c r="H46" i="3"/>
  <c r="H43" i="3"/>
  <c r="H42" i="3"/>
  <c r="G69" i="3"/>
  <c r="Q41" i="3"/>
  <c r="Q35" i="3"/>
  <c r="Q82" i="3"/>
  <c r="A34" i="3" l="1"/>
  <c r="D6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<sst xmlns="http://schemas.openxmlformats.org/spreadsheetml/2006/main" count="279" uniqueCount="71">
  <si>
    <t>[Begin Format Range]</t>
  </si>
  <si>
    <t>Default</t>
  </si>
  <si>
    <t>Leaf</t>
  </si>
  <si>
    <t>[End Format Range]</t>
  </si>
  <si>
    <t>Element Name</t>
  </si>
  <si>
    <t>{[US Departments].[US Departments].MEMBERS}</t>
  </si>
  <si>
    <t>m_US Site Split</t>
  </si>
  <si>
    <t>Financial Year</t>
  </si>
  <si>
    <t>Financial Period</t>
  </si>
  <si>
    <t>FX Calculation</t>
  </si>
  <si>
    <t>Accounts - US Split</t>
  </si>
  <si>
    <t>Actual</t>
  </si>
  <si>
    <t>Budget</t>
  </si>
  <si>
    <t>Period</t>
  </si>
  <si>
    <t>YTD</t>
  </si>
  <si>
    <t>Pennsylvania</t>
  </si>
  <si>
    <t>Latrobe</t>
  </si>
  <si>
    <t>Export</t>
  </si>
  <si>
    <t>LED</t>
  </si>
  <si>
    <t>Tucson Total</t>
  </si>
  <si>
    <t>Tucson</t>
  </si>
  <si>
    <t>Tucson D+E</t>
  </si>
  <si>
    <t>Derry Total</t>
  </si>
  <si>
    <t>Derry</t>
  </si>
  <si>
    <t>Derry D+E</t>
  </si>
  <si>
    <t>D+E</t>
  </si>
  <si>
    <t>SGA</t>
  </si>
  <si>
    <t>Month</t>
  </si>
  <si>
    <t>Prior Year</t>
  </si>
  <si>
    <t>Year to Date</t>
  </si>
  <si>
    <t>Previous Year (dervied)</t>
  </si>
  <si>
    <t>All Financial Periods</t>
  </si>
  <si>
    <t>Source Forecast Version</t>
  </si>
  <si>
    <t>{TM1SubsetToSet([Company].[Company], "Summary Performance by Site")}</t>
  </si>
  <si>
    <t>Accounts - MA</t>
  </si>
  <si>
    <t>m_MA Reporting</t>
  </si>
  <si>
    <t>Consolidation Layer</t>
  </si>
  <si>
    <t>CTP TOTAL</t>
  </si>
  <si>
    <t>CTP-Czech</t>
  </si>
  <si>
    <t>CTP-India</t>
  </si>
  <si>
    <t>CTP-China</t>
  </si>
  <si>
    <t>CTP-consol</t>
  </si>
  <si>
    <t>Aerospace TOTAL</t>
  </si>
  <si>
    <t>Aero-Bruntons</t>
  </si>
  <si>
    <t>Aero-Jacottet</t>
  </si>
  <si>
    <t>Aero-Consol</t>
  </si>
  <si>
    <t>GROUP TOTAL</t>
  </si>
  <si>
    <t>Mitcham</t>
  </si>
  <si>
    <t>Aylesbury</t>
  </si>
  <si>
    <t>CTP-UK Historic</t>
  </si>
  <si>
    <t>Finance:US Site Split:62813459</t>
  </si>
  <si>
    <t>Value</t>
  </si>
  <si>
    <t>FY24</t>
  </si>
  <si>
    <t>P09</t>
  </si>
  <si>
    <t>GBP MA</t>
  </si>
  <si>
    <t>Sales</t>
  </si>
  <si>
    <t>FY23</t>
  </si>
  <si>
    <t>6+6 Forecast</t>
  </si>
  <si>
    <t>FY24 Full Year</t>
  </si>
  <si>
    <t>Total US</t>
  </si>
  <si>
    <t>Finance:MA Reporting:40394722</t>
  </si>
  <si>
    <t>TOTAL SALES</t>
  </si>
  <si>
    <t>Financial Accounts</t>
  </si>
  <si>
    <t>Total</t>
  </si>
  <si>
    <t>Spacer</t>
  </si>
  <si>
    <t>Group Total</t>
  </si>
  <si>
    <t>Year Period</t>
  </si>
  <si>
    <t>uEbit</t>
  </si>
  <si>
    <t>Underlying EBIT</t>
  </si>
  <si>
    <t>4. Summary Performance by Site - uEBIT</t>
  </si>
  <si>
    <t>Central Costs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</si>
</sst>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\-\ @"/>
    <numFmt numFmtId="166" formatCode="\+\ @"/>
    <numFmt numFmtId="167" formatCode="#,##0,;[Red]\(#,##0,\);0"/>
  </numFmts>
  <fonts count="37">
    <font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10.5"/>
      <color theme="1"/>
      <name val="Calibri"/>
      <family val="2"/>
    </font>
    <font>
      <b/>
      <sz val="10"/>
      <color theme="1" tint="0.24994659260841701"/>
      <name val="Calibri"/>
      <family val="2"/>
    </font>
    <font>
      <sz val="10.5"/>
      <color theme="1"/>
      <name val="Calibri"/>
      <family val="2"/>
    </font>
    <font>
      <sz val="10.5"/>
      <color theme="1" tint="0.2499465926084170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Red Hat Display"/>
    </font>
    <font>
      <b/>
      <sz val="10.5"/>
      <color rgb="FF165D81"/>
      <name val="Red Hat Display"/>
    </font>
    <font>
      <b/>
      <sz val="14"/>
      <color rgb="FF165D81"/>
      <name val="Red Hat Display"/>
    </font>
    <font>
      <b/>
      <sz val="10.5"/>
      <color indexed="21"/>
      <name val="Red Hat Display"/>
    </font>
    <font>
      <b/>
      <sz val="10.5"/>
      <color theme="1" tint="0.24994659260841701"/>
      <name val="Red Hat Display"/>
    </font>
    <font>
      <b/>
      <sz val="10.5"/>
      <color theme="1"/>
      <name val="Red Hat Display"/>
    </font>
    <font>
      <sz val="10.5"/>
      <color theme="1"/>
      <name val="Red Hat Display"/>
    </font>
    <font>
      <sz val="10.5"/>
      <color theme="1" tint="0.24994659260841701"/>
      <name val="Red Hat Display"/>
    </font>
    <font>
      <b/>
      <sz val="10"/>
      <color theme="1" tint="0.24994659260841701"/>
      <name val="Red Hat Display"/>
    </font>
    <font>
      <b/>
      <sz val="32"/>
      <color rgb="FF055445"/>
      <name val="Red Hat Display"/>
    </font>
    <font>
      <sz val="11"/>
      <color rgb="FF055445"/>
      <name val="Red Hat Display"/>
    </font>
    <font>
      <b/>
      <sz val="10.5"/>
      <color rgb="FF055445"/>
      <name val="Red Hat Display"/>
    </font>
    <font>
      <b/>
      <sz val="11"/>
      <color rgb="FF055445"/>
      <name val="Red Hat Display"/>
    </font>
    <font>
      <b/>
      <sz val="10"/>
      <color rgb="FF055445"/>
      <name val="Red Hat Display"/>
    </font>
    <font>
      <sz val="10"/>
      <color rgb="FF055445"/>
      <name val="Red Hat Display"/>
    </font>
    <font>
      <b/>
      <sz val="18"/>
      <color theme="1"/>
      <name val="Red Hat Display"/>
    </font>
    <font>
      <b/>
      <sz val="11"/>
      <color theme="1"/>
      <name val="Red Hat Display"/>
    </font>
    <font>
      <b/>
      <u/>
      <sz val="11"/>
      <color rgb="FF055445"/>
      <name val="Red Hat Display"/>
    </font>
    <font>
      <b/>
      <sz val="14"/>
      <color theme="1" tint="0.24994659260841701"/>
      <name val="Red Hat Display"/>
    </font>
    <font>
      <b/>
      <sz val="14"/>
      <color theme="1"/>
      <name val="Red Hat Display"/>
    </font>
  </fonts>
  <fills count="8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</borders>
  <cellStyleXfs count="75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  <xf numFmtId="164" fontId="16" fillId="0" borderId="0" applyFont="0" applyFill="0" applyBorder="0" applyAlignment="0" applyProtection="0"/>
  </cellStyleXfs>
  <cellXfs count="236">
    <xf numFmtId="0" fontId="0" fillId="0" borderId="0" xfId="0"/>
    <xf numFmtId="0" fontId="0" fillId="0" borderId="0" xfId="0" quotePrefix="1"/>
    <xf numFmtId="0" fontId="2" fillId="0" borderId="0" xfId="19" applyNumberFormat="1"/>
    <xf numFmtId="0" fontId="2" fillId="0" borderId="0" xfId="20" applyNumberFormat="1"/>
    <xf numFmtId="0" fontId="2" fillId="0" borderId="0" xfId="21" applyNumberFormat="1"/>
    <xf numFmtId="0" fontId="2" fillId="0" borderId="0" xfId="22" applyNumberFormat="1"/>
    <xf numFmtId="0" fontId="2" fillId="0" borderId="0" xfId="23" applyNumberFormat="1" applyBorder="1"/>
    <xf numFmtId="0" fontId="2" fillId="0" borderId="0" xfId="24" applyNumberFormat="1" applyBorder="1"/>
    <xf numFmtId="0" fontId="2" fillId="0" borderId="0" xfId="18" quotePrefix="1" applyNumberFormat="1"/>
    <xf numFmtId="0" fontId="2" fillId="0" borderId="0" xfId="18" applyNumberFormat="1"/>
    <xf numFmtId="0" fontId="2" fillId="0" borderId="0" xfId="25" quotePrefix="1" applyNumberFormat="1" applyBorder="1"/>
    <xf numFmtId="0" fontId="2" fillId="0" borderId="0" xfId="25" applyNumberFormat="1" applyBorder="1"/>
    <xf numFmtId="0" fontId="2" fillId="0" borderId="2" xfId="26"/>
    <xf numFmtId="0" fontId="1" fillId="0" borderId="1" xfId="1" quotePrefix="1">
      <alignment horizontal="center" vertical="center"/>
    </xf>
    <xf numFmtId="0" fontId="11" fillId="4" borderId="10" xfId="26" applyFont="1" applyFill="1" applyBorder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2" xfId="27" quotePrefix="1" applyAlignment="1">
      <alignment horizontal="left" vertical="top"/>
    </xf>
    <xf numFmtId="0" fontId="10" fillId="0" borderId="12" xfId="12" applyNumberFormat="1" applyFont="1" applyBorder="1" applyAlignment="1">
      <alignment horizontal="left" vertical="top"/>
    </xf>
    <xf numFmtId="0" fontId="10" fillId="0" borderId="12" xfId="13" applyNumberFormat="1" applyFont="1" applyBorder="1" applyAlignment="1">
      <alignment horizontal="left" vertical="top"/>
    </xf>
    <xf numFmtId="0" fontId="10" fillId="0" borderId="12" xfId="14" applyNumberFormat="1" applyFont="1" applyBorder="1" applyAlignment="1">
      <alignment horizontal="left" vertical="top"/>
    </xf>
    <xf numFmtId="0" fontId="10" fillId="0" borderId="12" xfId="15" applyNumberFormat="1" applyFont="1" applyBorder="1" applyAlignment="1">
      <alignment horizontal="left" vertical="top"/>
    </xf>
    <xf numFmtId="0" fontId="10" fillId="0" borderId="12" xfId="16" applyNumberFormat="1" applyFont="1" applyBorder="1" applyAlignment="1">
      <alignment horizontal="left" vertical="top"/>
    </xf>
    <xf numFmtId="0" fontId="10" fillId="0" borderId="12" xfId="10" applyNumberFormat="1" applyFont="1" applyBorder="1" applyAlignment="1">
      <alignment horizontal="left" vertical="top"/>
    </xf>
    <xf numFmtId="0" fontId="10" fillId="0" borderId="12" xfId="11" applyNumberFormat="1" applyFont="1" applyBorder="1" applyAlignment="1">
      <alignment horizontal="left" vertical="top"/>
    </xf>
    <xf numFmtId="0" fontId="12" fillId="0" borderId="12" xfId="17" applyNumberFormat="1" applyFont="1" applyBorder="1" applyAlignment="1">
      <alignment horizontal="left" vertical="top"/>
    </xf>
    <xf numFmtId="49" fontId="12" fillId="0" borderId="12" xfId="17" applyNumberFormat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165" fontId="2" fillId="0" borderId="0" xfId="19" applyNumberFormat="1" applyAlignment="1"/>
    <xf numFmtId="49" fontId="2" fillId="0" borderId="0" xfId="25" quotePrefix="1" applyNumberFormat="1" applyBorder="1" applyAlignment="1">
      <alignment horizontal="left" indent="2"/>
    </xf>
    <xf numFmtId="49" fontId="2" fillId="0" borderId="0" xfId="25" quotePrefix="1" applyNumberFormat="1" applyBorder="1" applyAlignment="1">
      <alignment horizontal="left" indent="1"/>
    </xf>
    <xf numFmtId="0" fontId="13" fillId="0" borderId="0" xfId="25" applyNumberFormat="1" applyFont="1" applyBorder="1"/>
    <xf numFmtId="0" fontId="1" fillId="0" borderId="12" xfId="1" quotePrefix="1" applyBorder="1">
      <alignment horizontal="center" vertical="center"/>
    </xf>
    <xf numFmtId="0" fontId="0" fillId="0" borderId="14" xfId="0" applyBorder="1"/>
    <xf numFmtId="167" fontId="2" fillId="0" borderId="2" xfId="3" applyNumberFormat="1"/>
    <xf numFmtId="167" fontId="2" fillId="0" borderId="2" xfId="4" applyNumberFormat="1"/>
    <xf numFmtId="167" fontId="2" fillId="0" borderId="2" xfId="5" applyNumberFormat="1"/>
    <xf numFmtId="167" fontId="2" fillId="0" borderId="2" xfId="6" applyNumberFormat="1"/>
    <xf numFmtId="167" fontId="2" fillId="0" borderId="2" xfId="7" applyNumberFormat="1"/>
    <xf numFmtId="167" fontId="2" fillId="0" borderId="2" xfId="8" applyNumberFormat="1"/>
    <xf numFmtId="167" fontId="2" fillId="0" borderId="2" xfId="2" applyNumberFormat="1"/>
    <xf numFmtId="167" fontId="13" fillId="0" borderId="2" xfId="9" applyNumberFormat="1" applyFont="1"/>
    <xf numFmtId="167" fontId="2" fillId="0" borderId="0" xfId="19" applyNumberFormat="1"/>
    <xf numFmtId="167" fontId="2" fillId="0" borderId="0" xfId="20" applyNumberFormat="1"/>
    <xf numFmtId="167" fontId="2" fillId="0" borderId="0" xfId="21" applyNumberFormat="1"/>
    <xf numFmtId="167" fontId="2" fillId="0" borderId="0" xfId="22" applyNumberFormat="1"/>
    <xf numFmtId="167" fontId="2" fillId="0" borderId="0" xfId="23" applyNumberFormat="1" applyBorder="1"/>
    <xf numFmtId="167" fontId="2" fillId="0" borderId="0" xfId="24" applyNumberFormat="1" applyBorder="1"/>
    <xf numFmtId="167" fontId="2" fillId="0" borderId="0" xfId="18" applyNumberFormat="1"/>
    <xf numFmtId="167" fontId="13" fillId="0" borderId="0" xfId="25" applyNumberFormat="1" applyFont="1" applyBorder="1"/>
    <xf numFmtId="0" fontId="1" fillId="0" borderId="0" xfId="1" quotePrefix="1" applyBorder="1">
      <alignment horizontal="center" vertical="center"/>
    </xf>
    <xf numFmtId="0" fontId="1" fillId="0" borderId="11" xfId="1" quotePrefix="1" applyBorder="1">
      <alignment horizontal="center" vertical="center"/>
    </xf>
    <xf numFmtId="0" fontId="1" fillId="0" borderId="16" xfId="1" quotePrefix="1" applyBorder="1">
      <alignment horizontal="center" vertical="center"/>
    </xf>
    <xf numFmtId="0" fontId="15" fillId="0" borderId="0" xfId="0" applyFont="1"/>
    <xf numFmtId="0" fontId="2" fillId="0" borderId="17" xfId="26" applyBorder="1"/>
    <xf numFmtId="0" fontId="14" fillId="0" borderId="0" xfId="1" quotePrefix="1" applyFont="1" applyBorder="1">
      <alignment horizontal="center" vertical="center"/>
    </xf>
    <xf numFmtId="0" fontId="14" fillId="0" borderId="18" xfId="1" quotePrefix="1" applyFont="1" applyBorder="1">
      <alignment horizontal="center" vertical="center"/>
    </xf>
    <xf numFmtId="0" fontId="1" fillId="0" borderId="19" xfId="1" quotePrefix="1" applyBorder="1">
      <alignment horizontal="center" vertical="center"/>
    </xf>
    <xf numFmtId="0" fontId="1" fillId="0" borderId="22" xfId="1" quotePrefix="1" applyBorder="1">
      <alignment horizontal="center" vertical="center"/>
    </xf>
    <xf numFmtId="0" fontId="1" fillId="0" borderId="23" xfId="1" quotePrefix="1" applyBorder="1">
      <alignment horizontal="center" vertical="center"/>
    </xf>
    <xf numFmtId="0" fontId="1" fillId="0" borderId="20" xfId="1" quotePrefix="1" applyBorder="1">
      <alignment horizontal="center" vertical="center"/>
    </xf>
    <xf numFmtId="0" fontId="14" fillId="0" borderId="27" xfId="1" quotePrefix="1" applyFont="1" applyBorder="1">
      <alignment horizontal="center" vertical="center"/>
    </xf>
    <xf numFmtId="0" fontId="14" fillId="0" borderId="15" xfId="1" quotePrefix="1" applyFont="1" applyBorder="1">
      <alignment horizontal="center" vertical="center"/>
    </xf>
    <xf numFmtId="0" fontId="0" fillId="0" borderId="21" xfId="0" applyBorder="1" applyAlignment="1">
      <alignment horizontal="left" vertical="top"/>
    </xf>
    <xf numFmtId="0" fontId="2" fillId="0" borderId="0" xfId="27" quotePrefix="1" applyBorder="1" applyAlignment="1">
      <alignment horizontal="left" vertical="top"/>
    </xf>
    <xf numFmtId="0" fontId="2" fillId="5" borderId="28" xfId="26" applyFill="1" applyBorder="1"/>
    <xf numFmtId="0" fontId="2" fillId="5" borderId="28" xfId="26" applyNumberFormat="1" applyFill="1" applyBorder="1"/>
    <xf numFmtId="0" fontId="2" fillId="0" borderId="10" xfId="26" applyBorder="1"/>
    <xf numFmtId="0" fontId="1" fillId="0" borderId="9" xfId="1" quotePrefix="1" applyBorder="1">
      <alignment horizontal="center" vertical="center"/>
    </xf>
    <xf numFmtId="0" fontId="1" fillId="0" borderId="29" xfId="1" quotePrefix="1" applyBorder="1">
      <alignment horizontal="center" vertical="center"/>
    </xf>
    <xf numFmtId="0" fontId="2" fillId="0" borderId="0" xfId="27" applyFill="1" applyBorder="1" applyAlignment="1">
      <alignment horizontal="left" vertical="top"/>
    </xf>
    <xf numFmtId="166" fontId="10" fillId="0" borderId="12" xfId="11" applyNumberFormat="1" applyFont="1" applyBorder="1" applyAlignment="1">
      <alignment horizontal="left" vertical="top"/>
    </xf>
    <xf numFmtId="165" fontId="2" fillId="0" borderId="0" xfId="20" applyNumberFormat="1" applyAlignment="1">
      <alignment horizontal="left" indent="1"/>
    </xf>
    <xf numFmtId="165" fontId="10" fillId="0" borderId="12" xfId="11" applyNumberFormat="1" applyFont="1" applyBorder="1" applyAlignment="1">
      <alignment horizontal="left" vertical="top"/>
    </xf>
    <xf numFmtId="49" fontId="12" fillId="0" borderId="12" xfId="17" applyNumberFormat="1" applyFont="1" applyBorder="1" applyAlignment="1">
      <alignment horizontal="left" vertical="top" indent="1"/>
    </xf>
    <xf numFmtId="164" fontId="2" fillId="0" borderId="2" xfId="74" applyFont="1" applyBorder="1"/>
    <xf numFmtId="164" fontId="2" fillId="0" borderId="0" xfId="74" applyFont="1"/>
    <xf numFmtId="164" fontId="13" fillId="0" borderId="2" xfId="74" applyFont="1" applyBorder="1"/>
    <xf numFmtId="164" fontId="13" fillId="0" borderId="0" xfId="74" applyFont="1" applyBorder="1"/>
    <xf numFmtId="164" fontId="0" fillId="0" borderId="0" xfId="74" applyFont="1"/>
    <xf numFmtId="164" fontId="1" fillId="0" borderId="1" xfId="74" quotePrefix="1" applyFont="1" applyBorder="1" applyAlignment="1">
      <alignment horizontal="center" vertical="center"/>
    </xf>
    <xf numFmtId="164" fontId="1" fillId="0" borderId="11" xfId="74" quotePrefix="1" applyFont="1" applyBorder="1" applyAlignment="1">
      <alignment horizontal="center" vertical="center"/>
    </xf>
    <xf numFmtId="164" fontId="1" fillId="0" borderId="12" xfId="74" quotePrefix="1" applyFont="1" applyBorder="1" applyAlignment="1">
      <alignment horizontal="center" vertical="center"/>
    </xf>
    <xf numFmtId="164" fontId="2" fillId="6" borderId="2" xfId="74" applyFont="1" applyFill="1" applyBorder="1"/>
    <xf numFmtId="164" fontId="13" fillId="6" borderId="2" xfId="74" applyFont="1" applyFill="1" applyBorder="1"/>
    <xf numFmtId="167" fontId="2" fillId="7" borderId="2" xfId="3" applyNumberFormat="1" applyFill="1"/>
    <xf numFmtId="167" fontId="2" fillId="7" borderId="2" xfId="4" applyNumberFormat="1" applyFill="1"/>
    <xf numFmtId="167" fontId="13" fillId="7" borderId="2" xfId="9" applyNumberFormat="1" applyFont="1" applyFill="1"/>
    <xf numFmtId="164" fontId="2" fillId="7" borderId="2" xfId="74" applyFont="1" applyFill="1" applyBorder="1"/>
    <xf numFmtId="164" fontId="13" fillId="7" borderId="2" xfId="74" applyFont="1" applyFill="1" applyBorder="1"/>
    <xf numFmtId="0" fontId="0" fillId="6" borderId="14" xfId="0" applyFill="1" applyBorder="1"/>
    <xf numFmtId="0" fontId="0" fillId="7" borderId="0" xfId="0" applyFill="1"/>
    <xf numFmtId="167" fontId="2" fillId="7" borderId="2" xfId="5" applyNumberFormat="1" applyFill="1"/>
    <xf numFmtId="167" fontId="2" fillId="7" borderId="2" xfId="6" applyNumberFormat="1" applyFill="1"/>
    <xf numFmtId="167" fontId="2" fillId="7" borderId="2" xfId="7" applyNumberFormat="1" applyFill="1"/>
    <xf numFmtId="167" fontId="2" fillId="7" borderId="2" xfId="8" applyNumberFormat="1" applyFill="1"/>
    <xf numFmtId="167" fontId="2" fillId="7" borderId="2" xfId="2" applyNumberFormat="1" applyFill="1"/>
    <xf numFmtId="0" fontId="1" fillId="7" borderId="11" xfId="1" quotePrefix="1" applyFill="1" applyBorder="1">
      <alignment horizontal="center" vertical="center"/>
    </xf>
    <xf numFmtId="0" fontId="1" fillId="7" borderId="0" xfId="1" quotePrefix="1" applyFill="1" applyBorder="1">
      <alignment horizontal="center" vertical="center"/>
    </xf>
    <xf numFmtId="0" fontId="1" fillId="7" borderId="16" xfId="1" quotePrefix="1" applyFill="1" applyBorder="1">
      <alignment horizontal="center" vertical="center"/>
    </xf>
    <xf numFmtId="0" fontId="14" fillId="7" borderId="1" xfId="1" quotePrefix="1" applyFont="1" applyFill="1">
      <alignment horizontal="center" vertical="center"/>
    </xf>
    <xf numFmtId="164" fontId="0" fillId="7" borderId="0" xfId="74" applyFont="1" applyFill="1"/>
    <xf numFmtId="164" fontId="1" fillId="7" borderId="11" xfId="74" quotePrefix="1" applyFont="1" applyFill="1" applyBorder="1" applyAlignment="1">
      <alignment horizontal="center" vertical="center"/>
    </xf>
    <xf numFmtId="164" fontId="1" fillId="7" borderId="1" xfId="74" quotePrefix="1" applyFont="1" applyFill="1" applyBorder="1" applyAlignment="1">
      <alignment horizontal="center" vertical="center"/>
    </xf>
    <xf numFmtId="0" fontId="0" fillId="7" borderId="14" xfId="0" applyFill="1" applyBorder="1"/>
    <xf numFmtId="0" fontId="0" fillId="6" borderId="0" xfId="0" applyFill="1"/>
    <xf numFmtId="167" fontId="2" fillId="6" borderId="2" xfId="3" applyNumberFormat="1" applyFill="1"/>
    <xf numFmtId="167" fontId="2" fillId="6" borderId="2" xfId="4" applyNumberFormat="1" applyFill="1"/>
    <xf numFmtId="167" fontId="2" fillId="6" borderId="2" xfId="5" applyNumberFormat="1" applyFill="1"/>
    <xf numFmtId="167" fontId="2" fillId="6" borderId="2" xfId="6" applyNumberFormat="1" applyFill="1"/>
    <xf numFmtId="167" fontId="2" fillId="6" borderId="2" xfId="7" applyNumberFormat="1" applyFill="1"/>
    <xf numFmtId="167" fontId="2" fillId="6" borderId="2" xfId="8" applyNumberFormat="1" applyFill="1"/>
    <xf numFmtId="167" fontId="2" fillId="6" borderId="2" xfId="2" applyNumberFormat="1" applyFill="1"/>
    <xf numFmtId="167" fontId="13" fillId="6" borderId="2" xfId="9" applyNumberFormat="1" applyFont="1" applyFill="1"/>
    <xf numFmtId="0" fontId="1" fillId="6" borderId="1" xfId="1" quotePrefix="1" applyFill="1">
      <alignment horizontal="center" vertical="center"/>
    </xf>
    <xf numFmtId="0" fontId="1" fillId="6" borderId="11" xfId="1" quotePrefix="1" applyFill="1" applyBorder="1">
      <alignment horizontal="center" vertical="center"/>
    </xf>
    <xf numFmtId="0" fontId="1" fillId="6" borderId="0" xfId="1" quotePrefix="1" applyFill="1" applyBorder="1">
      <alignment horizontal="center" vertical="center"/>
    </xf>
    <xf numFmtId="0" fontId="1" fillId="6" borderId="16" xfId="1" quotePrefix="1" applyFill="1" applyBorder="1">
      <alignment horizontal="center" vertical="center"/>
    </xf>
    <xf numFmtId="0" fontId="14" fillId="6" borderId="1" xfId="1" quotePrefix="1" applyFont="1" applyFill="1">
      <alignment horizontal="center" vertical="center"/>
    </xf>
    <xf numFmtId="164" fontId="0" fillId="6" borderId="0" xfId="74" applyFont="1" applyFill="1"/>
    <xf numFmtId="164" fontId="1" fillId="6" borderId="1" xfId="74" quotePrefix="1" applyFont="1" applyFill="1" applyBorder="1" applyAlignment="1">
      <alignment horizontal="center" vertical="center"/>
    </xf>
    <xf numFmtId="164" fontId="1" fillId="6" borderId="11" xfId="74" quotePrefix="1" applyFont="1" applyFill="1" applyBorder="1" applyAlignment="1">
      <alignment horizontal="center" vertical="center"/>
    </xf>
    <xf numFmtId="0" fontId="17" fillId="0" borderId="0" xfId="0" applyFont="1"/>
    <xf numFmtId="0" fontId="18" fillId="0" borderId="0" xfId="1" quotePrefix="1" applyFont="1" applyBorder="1">
      <alignment horizontal="center" vertical="center"/>
    </xf>
    <xf numFmtId="0" fontId="19" fillId="0" borderId="0" xfId="1" quotePrefix="1" applyFont="1" applyBorder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17" fillId="0" borderId="0" xfId="0" quotePrefix="1" applyFont="1"/>
    <xf numFmtId="0" fontId="17" fillId="0" borderId="0" xfId="0" applyFont="1" applyAlignment="1">
      <alignment horizontal="left" vertical="top"/>
    </xf>
    <xf numFmtId="0" fontId="21" fillId="0" borderId="0" xfId="19" applyNumberFormat="1" applyFont="1"/>
    <xf numFmtId="0" fontId="22" fillId="0" borderId="12" xfId="11" applyNumberFormat="1" applyFont="1" applyBorder="1" applyAlignment="1">
      <alignment horizontal="left" vertical="top"/>
    </xf>
    <xf numFmtId="167" fontId="21" fillId="0" borderId="2" xfId="3" applyNumberFormat="1" applyFont="1"/>
    <xf numFmtId="167" fontId="21" fillId="0" borderId="0" xfId="19" applyNumberFormat="1" applyFont="1"/>
    <xf numFmtId="0" fontId="21" fillId="0" borderId="0" xfId="19" applyNumberFormat="1" applyFont="1" applyBorder="1"/>
    <xf numFmtId="0" fontId="21" fillId="0" borderId="0" xfId="20" applyNumberFormat="1" applyFont="1"/>
    <xf numFmtId="0" fontId="22" fillId="0" borderId="12" xfId="12" applyNumberFormat="1" applyFont="1" applyBorder="1" applyAlignment="1">
      <alignment horizontal="left" vertical="top"/>
    </xf>
    <xf numFmtId="167" fontId="21" fillId="0" borderId="2" xfId="4" applyNumberFormat="1" applyFont="1"/>
    <xf numFmtId="167" fontId="21" fillId="0" borderId="0" xfId="20" applyNumberFormat="1" applyFont="1"/>
    <xf numFmtId="0" fontId="21" fillId="0" borderId="0" xfId="20" applyNumberFormat="1" applyFont="1" applyBorder="1"/>
    <xf numFmtId="0" fontId="21" fillId="0" borderId="0" xfId="21" applyNumberFormat="1" applyFont="1"/>
    <xf numFmtId="0" fontId="22" fillId="0" borderId="12" xfId="13" applyNumberFormat="1" applyFont="1" applyBorder="1" applyAlignment="1">
      <alignment horizontal="left" vertical="top"/>
    </xf>
    <xf numFmtId="167" fontId="21" fillId="0" borderId="2" xfId="5" applyNumberFormat="1" applyFont="1"/>
    <xf numFmtId="167" fontId="21" fillId="0" borderId="0" xfId="21" applyNumberFormat="1" applyFont="1"/>
    <xf numFmtId="0" fontId="21" fillId="0" borderId="0" xfId="21" applyNumberFormat="1" applyFont="1" applyBorder="1"/>
    <xf numFmtId="0" fontId="21" fillId="0" borderId="0" xfId="22" applyNumberFormat="1" applyFont="1"/>
    <xf numFmtId="0" fontId="22" fillId="0" borderId="12" xfId="14" applyNumberFormat="1" applyFont="1" applyBorder="1" applyAlignment="1">
      <alignment horizontal="left" vertical="top"/>
    </xf>
    <xf numFmtId="167" fontId="21" fillId="0" borderId="2" xfId="6" applyNumberFormat="1" applyFont="1"/>
    <xf numFmtId="167" fontId="21" fillId="0" borderId="0" xfId="22" applyNumberFormat="1" applyFont="1"/>
    <xf numFmtId="0" fontId="21" fillId="0" borderId="0" xfId="22" applyNumberFormat="1" applyFont="1" applyBorder="1"/>
    <xf numFmtId="0" fontId="21" fillId="0" borderId="0" xfId="23" applyNumberFormat="1" applyFont="1" applyBorder="1"/>
    <xf numFmtId="0" fontId="22" fillId="0" borderId="12" xfId="15" applyNumberFormat="1" applyFont="1" applyBorder="1" applyAlignment="1">
      <alignment horizontal="left" vertical="top"/>
    </xf>
    <xf numFmtId="167" fontId="21" fillId="0" borderId="2" xfId="7" applyNumberFormat="1" applyFont="1"/>
    <xf numFmtId="167" fontId="21" fillId="0" borderId="0" xfId="23" applyNumberFormat="1" applyFont="1" applyBorder="1"/>
    <xf numFmtId="0" fontId="21" fillId="0" borderId="0" xfId="24" applyNumberFormat="1" applyFont="1" applyBorder="1"/>
    <xf numFmtId="0" fontId="22" fillId="0" borderId="12" xfId="16" applyNumberFormat="1" applyFont="1" applyBorder="1" applyAlignment="1">
      <alignment horizontal="left" vertical="top"/>
    </xf>
    <xf numFmtId="167" fontId="21" fillId="0" borderId="30" xfId="8" applyNumberFormat="1" applyFont="1" applyBorder="1"/>
    <xf numFmtId="167" fontId="21" fillId="0" borderId="31" xfId="8" applyNumberFormat="1" applyFont="1" applyBorder="1"/>
    <xf numFmtId="167" fontId="21" fillId="0" borderId="2" xfId="8" applyNumberFormat="1" applyFont="1"/>
    <xf numFmtId="167" fontId="21" fillId="0" borderId="0" xfId="24" applyNumberFormat="1" applyFont="1" applyBorder="1"/>
    <xf numFmtId="0" fontId="21" fillId="0" borderId="0" xfId="18" quotePrefix="1" applyNumberFormat="1" applyFont="1"/>
    <xf numFmtId="0" fontId="22" fillId="0" borderId="12" xfId="10" applyNumberFormat="1" applyFont="1" applyBorder="1" applyAlignment="1">
      <alignment horizontal="left" vertical="top"/>
    </xf>
    <xf numFmtId="167" fontId="21" fillId="0" borderId="2" xfId="2" applyNumberFormat="1" applyFont="1"/>
    <xf numFmtId="167" fontId="21" fillId="0" borderId="0" xfId="18" applyNumberFormat="1" applyFont="1"/>
    <xf numFmtId="0" fontId="21" fillId="0" borderId="0" xfId="18" applyNumberFormat="1" applyFont="1"/>
    <xf numFmtId="0" fontId="21" fillId="0" borderId="0" xfId="18" applyNumberFormat="1" applyFont="1" applyBorder="1"/>
    <xf numFmtId="0" fontId="21" fillId="0" borderId="0" xfId="25" quotePrefix="1" applyNumberFormat="1" applyFont="1" applyBorder="1"/>
    <xf numFmtId="0" fontId="23" fillId="0" borderId="12" xfId="17" applyNumberFormat="1" applyFont="1" applyBorder="1" applyAlignment="1">
      <alignment horizontal="left" vertical="top"/>
    </xf>
    <xf numFmtId="167" fontId="24" fillId="0" borderId="2" xfId="9" applyNumberFormat="1" applyFont="1"/>
    <xf numFmtId="167" fontId="24" fillId="0" borderId="0" xfId="25" applyNumberFormat="1" applyFont="1" applyBorder="1"/>
    <xf numFmtId="0" fontId="21" fillId="0" borderId="0" xfId="25" applyNumberFormat="1" applyFont="1" applyBorder="1"/>
    <xf numFmtId="0" fontId="17" fillId="0" borderId="0" xfId="0" quotePrefix="1" applyFont="1" applyAlignment="1">
      <alignment horizontal="left" vertical="top"/>
    </xf>
    <xf numFmtId="0" fontId="21" fillId="0" borderId="2" xfId="27" quotePrefix="1" applyFont="1" applyAlignment="1">
      <alignment horizontal="left" vertical="top"/>
    </xf>
    <xf numFmtId="0" fontId="21" fillId="0" borderId="2" xfId="26" applyFont="1"/>
    <xf numFmtId="0" fontId="21" fillId="0" borderId="0" xfId="27" quotePrefix="1" applyFont="1" applyBorder="1" applyAlignment="1">
      <alignment horizontal="left" vertical="top"/>
    </xf>
    <xf numFmtId="0" fontId="21" fillId="0" borderId="17" xfId="26" applyFont="1" applyBorder="1"/>
    <xf numFmtId="0" fontId="21" fillId="5" borderId="28" xfId="26" applyFont="1" applyFill="1" applyBorder="1"/>
    <xf numFmtId="0" fontId="21" fillId="5" borderId="28" xfId="26" applyNumberFormat="1" applyFont="1" applyFill="1" applyBorder="1"/>
    <xf numFmtId="0" fontId="21" fillId="0" borderId="10" xfId="26" applyFont="1" applyBorder="1"/>
    <xf numFmtId="0" fontId="21" fillId="0" borderId="0" xfId="27" applyFont="1" applyFill="1" applyBorder="1" applyAlignment="1">
      <alignment horizontal="left" vertical="top"/>
    </xf>
    <xf numFmtId="0" fontId="25" fillId="4" borderId="10" xfId="26" applyFont="1" applyFill="1" applyBorder="1"/>
    <xf numFmtId="0" fontId="18" fillId="0" borderId="9" xfId="1" quotePrefix="1" applyFont="1" applyBorder="1">
      <alignment horizontal="center" vertical="center"/>
    </xf>
    <xf numFmtId="0" fontId="18" fillId="0" borderId="11" xfId="1" quotePrefix="1" applyFont="1" applyBorder="1">
      <alignment horizontal="center" vertical="center"/>
    </xf>
    <xf numFmtId="0" fontId="18" fillId="0" borderId="1" xfId="1" quotePrefix="1" applyFont="1">
      <alignment horizontal="center" vertical="center"/>
    </xf>
    <xf numFmtId="0" fontId="18" fillId="0" borderId="12" xfId="1" quotePrefix="1" applyFont="1" applyBorder="1">
      <alignment horizontal="center" vertical="center"/>
    </xf>
    <xf numFmtId="0" fontId="18" fillId="0" borderId="29" xfId="1" quotePrefix="1" applyFont="1" applyBorder="1">
      <alignment horizontal="center" vertical="center"/>
    </xf>
    <xf numFmtId="0" fontId="26" fillId="0" borderId="0" xfId="0" applyFont="1" applyAlignment="1">
      <alignment horizontal="left" vertical="center" readingOrder="1"/>
    </xf>
    <xf numFmtId="0" fontId="27" fillId="0" borderId="0" xfId="0" applyFont="1"/>
    <xf numFmtId="0" fontId="28" fillId="0" borderId="0" xfId="1" quotePrefix="1" applyFont="1" applyBorder="1">
      <alignment horizontal="center" vertical="center"/>
    </xf>
    <xf numFmtId="0" fontId="29" fillId="0" borderId="0" xfId="0" applyFont="1" applyAlignment="1">
      <alignment horizontal="left" vertical="top"/>
    </xf>
    <xf numFmtId="0" fontId="30" fillId="0" borderId="32" xfId="1" quotePrefix="1" applyFont="1" applyBorder="1">
      <alignment horizontal="center" vertical="center"/>
    </xf>
    <xf numFmtId="0" fontId="30" fillId="0" borderId="0" xfId="1" quotePrefix="1" applyFont="1" applyBorder="1">
      <alignment horizontal="center" vertical="center"/>
    </xf>
    <xf numFmtId="0" fontId="31" fillId="0" borderId="0" xfId="0" applyFont="1"/>
    <xf numFmtId="0" fontId="27" fillId="0" borderId="20" xfId="0" applyFont="1" applyBorder="1" applyAlignment="1">
      <alignment horizontal="left" vertical="top"/>
    </xf>
    <xf numFmtId="0" fontId="30" fillId="0" borderId="20" xfId="1" quotePrefix="1" applyFont="1" applyBorder="1">
      <alignment horizontal="center" vertical="center"/>
    </xf>
    <xf numFmtId="165" fontId="21" fillId="0" borderId="0" xfId="18" quotePrefix="1" applyNumberFormat="1" applyFont="1" applyAlignment="1"/>
    <xf numFmtId="165" fontId="21" fillId="0" borderId="0" xfId="18" quotePrefix="1" applyNumberFormat="1" applyFont="1" applyAlignment="1">
      <alignment horizontal="left" indent="1"/>
    </xf>
    <xf numFmtId="49" fontId="21" fillId="0" borderId="0" xfId="25" quotePrefix="1" applyNumberFormat="1" applyFont="1" applyBorder="1" applyAlignment="1">
      <alignment horizontal="left" indent="2"/>
    </xf>
    <xf numFmtId="49" fontId="21" fillId="0" borderId="0" xfId="25" quotePrefix="1" applyNumberFormat="1" applyFont="1" applyBorder="1" applyAlignment="1">
      <alignment horizontal="left" indent="1"/>
    </xf>
    <xf numFmtId="0" fontId="24" fillId="0" borderId="0" xfId="25" applyNumberFormat="1" applyFont="1" applyBorder="1"/>
    <xf numFmtId="167" fontId="21" fillId="0" borderId="0" xfId="3" applyNumberFormat="1" applyFont="1" applyBorder="1"/>
    <xf numFmtId="0" fontId="17" fillId="0" borderId="13" xfId="0" applyFont="1" applyBorder="1" applyAlignment="1">
      <alignment horizontal="left" vertical="top"/>
    </xf>
    <xf numFmtId="0" fontId="17" fillId="0" borderId="14" xfId="0" applyFont="1" applyBorder="1"/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left" vertical="top"/>
    </xf>
    <xf numFmtId="0" fontId="35" fillId="0" borderId="0" xfId="19" applyNumberFormat="1" applyFont="1"/>
    <xf numFmtId="0" fontId="35" fillId="0" borderId="0" xfId="23" applyNumberFormat="1" applyFont="1" applyBorder="1"/>
    <xf numFmtId="167" fontId="35" fillId="0" borderId="31" xfId="7" applyNumberFormat="1" applyFont="1" applyBorder="1"/>
    <xf numFmtId="167" fontId="35" fillId="0" borderId="2" xfId="7" applyNumberFormat="1" applyFont="1"/>
    <xf numFmtId="167" fontId="21" fillId="0" borderId="2" xfId="9" applyNumberFormat="1" applyFont="1"/>
    <xf numFmtId="0" fontId="35" fillId="0" borderId="30" xfId="23" applyNumberFormat="1" applyFont="1" applyBorder="1"/>
    <xf numFmtId="0" fontId="36" fillId="0" borderId="33" xfId="15" applyNumberFormat="1" applyFont="1" applyBorder="1" applyAlignment="1">
      <alignment horizontal="left" vertical="top"/>
    </xf>
    <xf numFmtId="0" fontId="22" fillId="0" borderId="33" xfId="15" applyNumberFormat="1" applyFont="1" applyBorder="1" applyAlignment="1">
      <alignment horizontal="left" vertical="top"/>
    </xf>
    <xf numFmtId="0" fontId="22" fillId="0" borderId="33" xfId="17" applyNumberFormat="1" applyFont="1" applyBorder="1" applyAlignment="1">
      <alignment horizontal="left" vertical="top"/>
    </xf>
    <xf numFmtId="0" fontId="22" fillId="0" borderId="33" xfId="11" applyNumberFormat="1" applyFont="1" applyBorder="1" applyAlignment="1">
      <alignment horizontal="left" vertical="top"/>
    </xf>
    <xf numFmtId="0" fontId="23" fillId="0" borderId="33" xfId="17" applyNumberFormat="1" applyFont="1" applyBorder="1" applyAlignment="1">
      <alignment horizontal="left" vertical="top"/>
    </xf>
    <xf numFmtId="0" fontId="21" fillId="0" borderId="34" xfId="27" quotePrefix="1" applyFont="1" applyBorder="1" applyAlignment="1">
      <alignment horizontal="left" vertical="top"/>
    </xf>
    <xf numFmtId="166" fontId="22" fillId="0" borderId="33" xfId="11" applyNumberFormat="1" applyFont="1" applyBorder="1" applyAlignment="1">
      <alignment horizontal="left" vertical="top"/>
    </xf>
    <xf numFmtId="49" fontId="22" fillId="0" borderId="33" xfId="11" applyNumberFormat="1" applyFont="1" applyBorder="1" applyAlignment="1">
      <alignment horizontal="left" vertical="top"/>
    </xf>
    <xf numFmtId="165" fontId="22" fillId="0" borderId="33" xfId="11" applyNumberFormat="1" applyFont="1" applyBorder="1" applyAlignment="1">
      <alignment horizontal="left" vertical="top"/>
    </xf>
    <xf numFmtId="49" fontId="23" fillId="0" borderId="33" xfId="17" applyNumberFormat="1" applyFont="1" applyBorder="1" applyAlignment="1">
      <alignment horizontal="left" vertical="top" indent="1"/>
    </xf>
    <xf numFmtId="49" fontId="22" fillId="0" borderId="33" xfId="17" applyNumberFormat="1" applyFont="1" applyBorder="1" applyAlignment="1">
      <alignment horizontal="left" vertical="top"/>
    </xf>
    <xf numFmtId="166" fontId="36" fillId="0" borderId="33" xfId="15" applyNumberFormat="1" applyFont="1" applyBorder="1" applyAlignment="1">
      <alignment horizontal="left" vertical="top"/>
    </xf>
    <xf numFmtId="0" fontId="21" fillId="0" borderId="0" xfId="18" quotePrefix="1" applyNumberFormat="1" applyFont="1" applyBorder="1"/>
    <xf numFmtId="0" fontId="36" fillId="0" borderId="35" xfId="15" applyNumberFormat="1" applyFont="1" applyBorder="1" applyAlignment="1">
      <alignment horizontal="left" vertical="top"/>
    </xf>
    <xf numFmtId="0" fontId="22" fillId="0" borderId="35" xfId="15" applyNumberFormat="1" applyFont="1" applyBorder="1" applyAlignment="1">
      <alignment horizontal="left" vertical="top"/>
    </xf>
    <xf numFmtId="0" fontId="32" fillId="0" borderId="35" xfId="17" applyNumberFormat="1" applyFont="1" applyBorder="1" applyAlignment="1">
      <alignment horizontal="left" vertical="top"/>
    </xf>
    <xf numFmtId="0" fontId="32" fillId="0" borderId="35" xfId="11" applyNumberFormat="1" applyFont="1" applyBorder="1" applyAlignment="1">
      <alignment horizontal="left" vertical="top"/>
    </xf>
    <xf numFmtId="0" fontId="23" fillId="0" borderId="35" xfId="17" applyNumberFormat="1" applyFont="1" applyBorder="1" applyAlignment="1">
      <alignment horizontal="left" vertical="top"/>
    </xf>
    <xf numFmtId="0" fontId="21" fillId="0" borderId="10" xfId="27" quotePrefix="1" applyFont="1" applyBorder="1" applyAlignment="1">
      <alignment horizontal="left" vertical="top"/>
    </xf>
    <xf numFmtId="0" fontId="30" fillId="0" borderId="32" xfId="1" quotePrefix="1" applyFont="1" applyBorder="1">
      <alignment horizontal="center" vertical="center"/>
    </xf>
    <xf numFmtId="0" fontId="14" fillId="0" borderId="24" xfId="1" quotePrefix="1" applyFont="1" applyBorder="1">
      <alignment horizontal="center" vertical="center"/>
    </xf>
    <xf numFmtId="0" fontId="14" fillId="0" borderId="25" xfId="1" quotePrefix="1" applyFont="1" applyBorder="1">
      <alignment horizontal="center" vertical="center"/>
    </xf>
    <xf numFmtId="0" fontId="14" fillId="0" borderId="26" xfId="1" quotePrefix="1" applyFont="1" applyBorder="1">
      <alignment horizontal="center" vertical="center"/>
    </xf>
    <xf numFmtId="0" fontId="14" fillId="0" borderId="7" xfId="1" quotePrefix="1" applyFont="1" applyBorder="1">
      <alignment horizontal="center" vertical="center"/>
    </xf>
    <xf numFmtId="0" fontId="14" fillId="0" borderId="8" xfId="1" quotePrefix="1" applyFont="1" applyBorder="1">
      <alignment horizontal="center" vertical="center"/>
    </xf>
    <xf numFmtId="0" fontId="14" fillId="0" borderId="9" xfId="1" quotePrefix="1" applyFont="1" applyBorder="1">
      <alignment horizontal="center" vertical="center"/>
    </xf>
  </cellXfs>
  <cellStyles count="75">
    <cellStyle name="AF Column - IBM Cognos" xfId="1" xr:uid="{775E5637-BD97-4C0D-A7A5-A8AA60EC8F1A}"/>
    <cellStyle name="AF Data - IBM Cognos" xfId="2" xr:uid="{06383EF3-191E-4177-AB9E-BB6079B511B0}"/>
    <cellStyle name="AF Data 0 - IBM Cognos" xfId="3" xr:uid="{A3BA8869-4713-4B64-B30A-0FF4B8258C76}"/>
    <cellStyle name="AF Data 1 - IBM Cognos" xfId="4" xr:uid="{66A9D14D-A5BA-41C3-9568-5C72DB9A49E1}"/>
    <cellStyle name="AF Data 2 - IBM Cognos" xfId="5" xr:uid="{B6FB90CB-0502-499D-840F-0F441E129C85}"/>
    <cellStyle name="AF Data 3 - IBM Cognos" xfId="6" xr:uid="{81CE014A-F779-42BC-8B8F-CE30FD66655A}"/>
    <cellStyle name="AF Data 4 - IBM Cognos" xfId="7" xr:uid="{1C71CA8B-C03E-4E9E-8F31-8BCD1B46E92C}"/>
    <cellStyle name="AF Data 5 - IBM Cognos" xfId="8" xr:uid="{F2BC873B-8712-4575-9DDE-226E4D495CF9}"/>
    <cellStyle name="AF Data Leaf - IBM Cognos" xfId="9" xr:uid="{827FFB0F-7B3E-4208-88AF-CD4C6C5F89E9}"/>
    <cellStyle name="AF Header - IBM Cognos" xfId="10" xr:uid="{18428C62-5654-4E80-9E88-1E51888F2B55}"/>
    <cellStyle name="AF Header 0 - IBM Cognos" xfId="11" xr:uid="{F433EF68-282D-48C2-9EE9-9F334DE19784}"/>
    <cellStyle name="AF Header 1 - IBM Cognos" xfId="12" xr:uid="{4B14E4FF-4A42-46C0-9B4F-51F19D5725E7}"/>
    <cellStyle name="AF Header 2 - IBM Cognos" xfId="13" xr:uid="{D86E522F-C520-4872-83F2-5C1B13713BAA}"/>
    <cellStyle name="AF Header 3 - IBM Cognos" xfId="14" xr:uid="{7E78B165-8CC5-4B81-99C1-201620C48725}"/>
    <cellStyle name="AF Header 4 - IBM Cognos" xfId="15" xr:uid="{224739DE-7D3A-4B8C-BF15-1585683E8C29}"/>
    <cellStyle name="AF Header 5 - IBM Cognos" xfId="16" xr:uid="{7CC12E6A-3907-495B-B7FF-80431B46516C}"/>
    <cellStyle name="AF Header Leaf - IBM Cognos" xfId="17" xr:uid="{BD0E0A88-A5E8-4770-9F3F-24CED85ECE5F}"/>
    <cellStyle name="AF Row - IBM Cognos" xfId="18" xr:uid="{4D74175E-7F0D-43E4-938D-641C349A51C7}"/>
    <cellStyle name="AF Row 0 - IBM Cognos" xfId="19" xr:uid="{66B48492-F26F-43A0-A81B-B3D15A466976}"/>
    <cellStyle name="AF Row 1 - IBM Cognos" xfId="20" xr:uid="{17C151F6-01A8-4288-B363-5434E25FA23E}"/>
    <cellStyle name="AF Row 2 - IBM Cognos" xfId="21" xr:uid="{42D93E3B-7DDF-423C-93B8-05C478F04ADA}"/>
    <cellStyle name="AF Row 3 - IBM Cognos" xfId="22" xr:uid="{C201028A-123A-4089-9D22-A05D361511BD}"/>
    <cellStyle name="AF Row 4 - IBM Cognos" xfId="23" xr:uid="{87C46C35-31FF-441E-BFF7-70DDE551A1DD}"/>
    <cellStyle name="AF Row 5 - IBM Cognos" xfId="24" xr:uid="{095BE66E-3A33-4213-9B7B-C4E7FEE3D7E7}"/>
    <cellStyle name="AF Row Leaf - IBM Cognos" xfId="25" xr:uid="{5515114A-30DE-4AFA-988C-9A8C536CE303}"/>
    <cellStyle name="AF Subnm - IBM Cognos" xfId="26" xr:uid="{F88397B4-1FFB-4B40-9092-7A5813AC9DAD}"/>
    <cellStyle name="AF Title - IBM Cognos" xfId="27" xr:uid="{5702D988-2781-4310-9F6C-C59FA73B25D6}"/>
    <cellStyle name="Calculated Column - IBM Cognos" xfId="28" xr:uid="{DA40D46B-58F2-4B99-AB4F-2466B865FB5C}"/>
    <cellStyle name="Calculated Column Name - IBM Cognos" xfId="29" xr:uid="{8260C420-D087-439D-B7A6-317297345164}"/>
    <cellStyle name="Calculated Row - IBM Cognos" xfId="30" xr:uid="{2D54E8B3-867D-49BF-B891-9D5500005D9C}"/>
    <cellStyle name="Calculated Row Name - IBM Cognos" xfId="31" xr:uid="{BCFE62B2-45B2-48DF-937F-7347B912DD09}"/>
    <cellStyle name="Column Name - IBM Cognos" xfId="32" xr:uid="{3710DF4F-039E-45D6-A258-7DBC9DAB6819}"/>
    <cellStyle name="Column Template - IBM Cognos" xfId="33" xr:uid="{08ED60B2-ACF1-440C-BD21-3C760B1D3631}"/>
    <cellStyle name="Comma" xfId="74" builtinId="3"/>
    <cellStyle name="Differs From Base - IBM Cognos" xfId="34" xr:uid="{8C4CEE17-1F4B-45E0-963E-3D0FB7BCDAEC}"/>
    <cellStyle name="DQR Column 0 - IBM Cognos" xfId="35" xr:uid="{FB5CE49A-292E-4CA0-A73F-AC7950603CAC}"/>
    <cellStyle name="DQR Column 1 - IBM Cognos" xfId="36" xr:uid="{7B6D4DA4-349A-427A-B429-46735F7E5417}"/>
    <cellStyle name="DQR Column 2 - IBM Cognos" xfId="37" xr:uid="{685A0778-A058-4802-A6D4-BDAF86B294FD}"/>
    <cellStyle name="DQR Column 3 - IBM Cognos" xfId="38" xr:uid="{4EBFD45E-3B32-4E6D-A8F5-277103EDEC5D}"/>
    <cellStyle name="DQR Column 4 - IBM Cognos" xfId="39" xr:uid="{114D862D-8F0F-42FE-9619-8897C560C7BB}"/>
    <cellStyle name="DQR Column 5 - IBM Cognos" xfId="40" xr:uid="{30FB80EC-2EBE-4DB0-817E-21CA0DA097CF}"/>
    <cellStyle name="DQR Column Default - IBM Cognos" xfId="41" xr:uid="{64D87F70-40FF-4F6F-89E0-EB5C7979BFDE}"/>
    <cellStyle name="DQR Column Leaf - IBM Cognos" xfId="42" xr:uid="{FB198A4F-D650-4AD9-BD7F-749A1530DDCF}"/>
    <cellStyle name="DQR Data Default - IBM Cognos" xfId="43" xr:uid="{9B49874C-BD67-4B40-A8B5-12597D57A034}"/>
    <cellStyle name="DQR Default - IBM Cognos" xfId="44" xr:uid="{38546B69-3EA3-4F17-AA8B-FBDA180369A2}"/>
    <cellStyle name="DQR Row 0 - IBM Cognos" xfId="45" xr:uid="{A60B4587-5CE1-49F8-A39A-4FD15EE04756}"/>
    <cellStyle name="DQR Row 1 - IBM Cognos" xfId="46" xr:uid="{E32650D7-7A97-4B84-8449-A4A21E00613D}"/>
    <cellStyle name="DQR Row 2 - IBM Cognos" xfId="47" xr:uid="{BF20B96C-766E-4DEA-8D0C-488D845890B0}"/>
    <cellStyle name="DQR Row 3 - IBM Cognos" xfId="48" xr:uid="{2A8E7903-9AB7-470B-9D27-D9F27645056F}"/>
    <cellStyle name="DQR Row 4 - IBM Cognos" xfId="49" xr:uid="{3579AC30-7D5D-4DA7-9917-8B07F109E8C1}"/>
    <cellStyle name="DQR Row 5 - IBM Cognos" xfId="50" xr:uid="{A367A94E-F8D9-49C3-A45A-7E6CCC97C994}"/>
    <cellStyle name="DQR Row Default - IBM Cognos" xfId="51" xr:uid="{4D50B399-2D54-4D64-8ED5-018773A8FA2D}"/>
    <cellStyle name="DQR Row Leaf - IBM Cognos" xfId="52" xr:uid="{7756E967-5ECE-4636-A407-C171E8F72EAE}"/>
    <cellStyle name="Edit - IBM Cognos" xfId="53" xr:uid="{8D59BDA7-3B75-4827-98A1-A0FD45BE9808}"/>
    <cellStyle name="Formula - IBM Cognos" xfId="54" xr:uid="{C542A13A-619E-4009-9C32-5760BAB8E90D}"/>
    <cellStyle name="Group Name - IBM Cognos" xfId="55" xr:uid="{B26CF8CE-8B36-40B5-87F3-B8332624ABE5}"/>
    <cellStyle name="Hold Values - IBM Cognos" xfId="56" xr:uid="{819AADF0-8B51-4805-BECA-702D50D353BF}"/>
    <cellStyle name="List Name - IBM Cognos" xfId="57" xr:uid="{01785833-5B18-47D2-875A-6662E6F99CD7}"/>
    <cellStyle name="Locked - IBM Cognos" xfId="58" xr:uid="{23C73FB0-61A0-410A-A64E-84C84A315574}"/>
    <cellStyle name="Measure - IBM Cognos" xfId="59" xr:uid="{8A2946B0-89C8-4EF5-995E-37C333E7D73C}"/>
    <cellStyle name="Measure Header - IBM Cognos" xfId="60" xr:uid="{FEC7D251-A136-4482-8526-F53EFF206C06}"/>
    <cellStyle name="Measure Name - IBM Cognos" xfId="61" xr:uid="{546DCC43-66C8-4576-BCFC-A53D0C7270C8}"/>
    <cellStyle name="Measure Summary - IBM Cognos" xfId="62" xr:uid="{2666C9C0-7EE5-4BFB-8EDC-D24EB95C83A1}"/>
    <cellStyle name="Measure Summary TM1 - IBM Cognos" xfId="63" xr:uid="{FE6DC2C2-2474-4077-942A-06EC02C8620A}"/>
    <cellStyle name="Measure Template - IBM Cognos" xfId="64" xr:uid="{C160CB2D-441F-4973-8CCB-B50230967C2D}"/>
    <cellStyle name="More - IBM Cognos" xfId="65" xr:uid="{71904DEE-FB70-4CDB-AF57-4AD12CE0C34E}"/>
    <cellStyle name="Normal" xfId="0" builtinId="0" customBuiltin="1"/>
    <cellStyle name="Pending Change - IBM Cognos" xfId="66" xr:uid="{999854D1-692E-42C2-A313-3E92ACC43CAF}"/>
    <cellStyle name="Row Name - IBM Cognos" xfId="67" xr:uid="{53D1CDE6-7F87-4EFA-966D-DCB5E6CF03C5}"/>
    <cellStyle name="Row Template - IBM Cognos" xfId="68" xr:uid="{F4C4E084-E8BA-4E0D-B8A3-B2870C8ADD56}"/>
    <cellStyle name="Summary Column Name - IBM Cognos" xfId="69" xr:uid="{29DB544D-80E2-4C9D-8B54-BE60855FC207}"/>
    <cellStyle name="Summary Column Name TM1 - IBM Cognos" xfId="70" xr:uid="{1622C9FB-01BE-4C9A-B459-D1E1446E111D}"/>
    <cellStyle name="Summary Row Name - IBM Cognos" xfId="71" xr:uid="{7AE292CC-8D53-4C57-8CBE-030C47E08287}"/>
    <cellStyle name="Summary Row Name TM1 - IBM Cognos" xfId="72" xr:uid="{60DBBAA5-CD8C-4010-BC2F-B09E6ADFCE05}"/>
    <cellStyle name="Unsaved Change - IBM Cognos" xfId="73" xr:uid="{E75453CE-2E04-4484-9841-AAE2593E8D2D}"/>
  </cellStyles>
  <dxfs count="0"/>
  <tableStyles count="0" defaultTableStyle="TableStyleMedium2" defaultPivotStyle="PivotStyleLight16"/>
  <colors>
    <mruColors>
      <color rgb="FF05544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37042</xdr:colOff>
      <xdr:row>29</xdr:row>
      <xdr:rowOff>196215</xdr:rowOff>
    </xdr:from>
    <xdr:to>
      <xdr:col>17</xdr:col>
      <xdr:colOff>146801</xdr:colOff>
      <xdr:row>30</xdr:row>
      <xdr:rowOff>212727</xdr:rowOff>
    </xdr:to>
    <xdr:pic>
      <xdr:nvPicPr>
        <xdr:cNvPr id="2" name="Grafický objekt 3" descr="Grafický objekt 3">
          <a:extLst>
            <a:ext uri="{FF2B5EF4-FFF2-40B4-BE49-F238E27FC236}">
              <a16:creationId xmlns:a16="http://schemas.microsoft.com/office/drawing/2014/main" id="{C01BC881-63ED-417C-B1F5-68FBE2F02C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3059"/>
        <a:stretch/>
      </xdr:blipFill>
      <xdr:spPr>
        <a:xfrm>
          <a:off x="9066742" y="729615"/>
          <a:ext cx="2700559" cy="638812"/>
        </a:xfrm>
        <a:prstGeom prst="rect">
          <a:avLst/>
        </a:prstGeom>
        <a:ln w="12700">
          <a:miter lim="400000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even.hutchison\AppData\Local\Temp\Actual%20-%20Forecast%20versus%20Budget%20-%20Prior%20Year" TargetMode="External"/><Relationship Id="rId1" Type="http://schemas.openxmlformats.org/officeDocument/2006/relationships/externalLinkPath" Target="/Users/helen/AppData/Local/Temp/Actual%20-%20Forecast%20versus%20Budget%20-%20Prior%20Yea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gnos_Office_Connection_Cache"/>
      <sheetName val="Actual, Budget, Forecast, PY"/>
      <sheetName val="Parameters"/>
    </sheetNames>
    <sheetDataSet>
      <sheetData sheetId="0"/>
      <sheetData sheetId="1"/>
      <sheetData sheetId="2">
        <row r="1">
          <cell r="B1" t="str">
            <v>Finance:</v>
          </cell>
        </row>
        <row r="5">
          <cell r="A5" t="str">
            <v>Financial Year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=@TM1RPTROW($B$57,%22Finance:Company%22,%22US%20SIte%20Split%20-%20uEBIT%22,,%22Short%20Name%22,FALSE)" TargetMode="External"/><Relationship Id="rId1" Type="http://schemas.openxmlformats.org/officeDocument/2006/relationships/hyperlink" Target="mailto:=@TM1RPTROW($B$57,%22Finance:Company%22,%22US%20SIte%20Split%20-%20uEBIT%22,,%22Short%20Name%22,FALSE)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97E9-5933-48CB-A824-15AED53B3A1F}">
  <dimension ref="A1"/>
  <sheetViews>
    <sheetView workbookViewId="0"/>
  </sheetViews>
  <sheetFormatPr defaultRowHeight="14.4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7F02-EA9B-45CF-8EC8-2C03AB95BF7B}">
  <sheetPr>
    <pageSetUpPr fitToPage="1"/>
  </sheetPr>
  <dimension ref="A1:R83"/>
  <sheetViews>
    <sheetView showGridLines="0" tabSelected="1" topLeftCell="C16" zoomScaleNormal="100" workbookViewId="0">
      <pane xSplit="2" ySplit="18" topLeftCell="E34" activePane="bottomRight" state="frozen"/>
      <selection activeCell="C16" sqref="C16"/>
      <selection pane="topRight" activeCell="E16" sqref="E16"/>
      <selection pane="bottomLeft" activeCell="C34" sqref="C34"/>
      <selection pane="bottomRight"/>
    </sheetView>
  </sheetViews>
  <sheetFormatPr defaultColWidth="9.109375" defaultRowHeight="13.8"/>
  <cols>
    <col min="1" max="2" width="25.6640625" style="122" hidden="1" customWidth="1"/>
    <col min="3" max="3" width="3.44140625" style="122" customWidth="1"/>
    <col min="4" max="4" width="22.5546875" style="127" customWidth="1"/>
    <col min="5" max="8" width="12.6640625" style="122" customWidth="1"/>
    <col min="9" max="9" width="2.33203125" style="122" customWidth="1"/>
    <col min="10" max="13" width="12.6640625" style="122" customWidth="1"/>
    <col min="14" max="14" width="2.33203125" style="122" customWidth="1"/>
    <col min="15" max="17" width="12.6640625" style="122" customWidth="1"/>
    <col min="18" max="18" width="2.44140625" style="122" customWidth="1"/>
    <col min="19" max="16384" width="9.109375" style="122"/>
  </cols>
  <sheetData>
    <row r="1" spans="1:18" hidden="1">
      <c r="A1" s="126" t="s">
        <v>0</v>
      </c>
      <c r="B1" s="126"/>
      <c r="C1" s="126"/>
    </row>
    <row r="2" spans="1:18" s="132" customFormat="1" hidden="1">
      <c r="A2" s="128">
        <v>0</v>
      </c>
      <c r="B2" s="128"/>
      <c r="D2" s="129" t="s">
        <v>4</v>
      </c>
      <c r="E2" s="130">
        <v>123.456789</v>
      </c>
      <c r="F2" s="130"/>
      <c r="G2" s="130">
        <v>123.456789</v>
      </c>
      <c r="H2" s="130">
        <v>123.456789</v>
      </c>
      <c r="I2" s="130"/>
      <c r="J2" s="130">
        <v>123.456789</v>
      </c>
      <c r="K2" s="130"/>
      <c r="L2" s="130">
        <v>123.456789</v>
      </c>
      <c r="M2" s="130">
        <v>123.456789</v>
      </c>
      <c r="N2" s="131"/>
      <c r="O2" s="130">
        <v>123.456789</v>
      </c>
      <c r="P2" s="130">
        <v>123.456789</v>
      </c>
      <c r="Q2" s="130">
        <v>123.456789</v>
      </c>
      <c r="R2" s="128"/>
    </row>
    <row r="3" spans="1:18" s="137" customFormat="1" hidden="1">
      <c r="A3" s="133">
        <v>1</v>
      </c>
      <c r="B3" s="133"/>
      <c r="D3" s="134" t="s">
        <v>4</v>
      </c>
      <c r="E3" s="135">
        <v>123.456789</v>
      </c>
      <c r="F3" s="135"/>
      <c r="G3" s="135">
        <v>123.456789</v>
      </c>
      <c r="H3" s="135">
        <v>123.456789</v>
      </c>
      <c r="I3" s="135"/>
      <c r="J3" s="135">
        <v>123.456789</v>
      </c>
      <c r="K3" s="135"/>
      <c r="L3" s="135">
        <v>123.456789</v>
      </c>
      <c r="M3" s="135">
        <v>123.456789</v>
      </c>
      <c r="N3" s="136"/>
      <c r="O3" s="135">
        <v>123.456789</v>
      </c>
      <c r="P3" s="135">
        <v>123.456789</v>
      </c>
      <c r="Q3" s="135">
        <v>123.456789</v>
      </c>
      <c r="R3" s="133"/>
    </row>
    <row r="4" spans="1:18" s="142" customFormat="1" hidden="1">
      <c r="A4" s="138">
        <v>2</v>
      </c>
      <c r="B4" s="138"/>
      <c r="D4" s="139" t="s">
        <v>4</v>
      </c>
      <c r="E4" s="140">
        <v>123.456789</v>
      </c>
      <c r="F4" s="140"/>
      <c r="G4" s="140">
        <v>123.456789</v>
      </c>
      <c r="H4" s="140">
        <v>123.456789</v>
      </c>
      <c r="I4" s="140"/>
      <c r="J4" s="140">
        <v>123.456789</v>
      </c>
      <c r="K4" s="140"/>
      <c r="L4" s="140">
        <v>123.456789</v>
      </c>
      <c r="M4" s="140">
        <v>123.456789</v>
      </c>
      <c r="N4" s="141"/>
      <c r="O4" s="140">
        <v>123.456789</v>
      </c>
      <c r="P4" s="140">
        <v>123.456789</v>
      </c>
      <c r="Q4" s="140">
        <v>123.456789</v>
      </c>
      <c r="R4" s="138"/>
    </row>
    <row r="5" spans="1:18" s="147" customFormat="1" hidden="1">
      <c r="A5" s="143">
        <v>3</v>
      </c>
      <c r="B5" s="143"/>
      <c r="D5" s="144" t="s">
        <v>4</v>
      </c>
      <c r="E5" s="145">
        <v>123.456789</v>
      </c>
      <c r="F5" s="145"/>
      <c r="G5" s="145">
        <v>123.456789</v>
      </c>
      <c r="H5" s="145">
        <v>123.456789</v>
      </c>
      <c r="I5" s="145"/>
      <c r="J5" s="145">
        <v>123.456789</v>
      </c>
      <c r="K5" s="145"/>
      <c r="L5" s="145">
        <v>123.456789</v>
      </c>
      <c r="M5" s="145">
        <v>123.456789</v>
      </c>
      <c r="N5" s="146"/>
      <c r="O5" s="145">
        <v>123.456789</v>
      </c>
      <c r="P5" s="145">
        <v>123.456789</v>
      </c>
      <c r="Q5" s="145">
        <v>123.456789</v>
      </c>
      <c r="R5" s="143"/>
    </row>
    <row r="6" spans="1:18" s="148" customFormat="1" hidden="1">
      <c r="A6" s="148">
        <v>4</v>
      </c>
      <c r="D6" s="149" t="s">
        <v>4</v>
      </c>
      <c r="E6" s="150">
        <v>123.456789</v>
      </c>
      <c r="F6" s="150"/>
      <c r="G6" s="150">
        <v>123.456789</v>
      </c>
      <c r="H6" s="150">
        <v>123.456789</v>
      </c>
      <c r="I6" s="150"/>
      <c r="J6" s="150">
        <v>123.456789</v>
      </c>
      <c r="K6" s="150"/>
      <c r="L6" s="150">
        <v>123.456789</v>
      </c>
      <c r="M6" s="150">
        <v>123.456789</v>
      </c>
      <c r="N6" s="151"/>
      <c r="O6" s="150">
        <v>123.456789</v>
      </c>
      <c r="P6" s="150">
        <v>123.456789</v>
      </c>
      <c r="Q6" s="150">
        <v>123.456789</v>
      </c>
    </row>
    <row r="7" spans="1:18" s="152" customFormat="1" hidden="1">
      <c r="A7" s="152" t="s">
        <v>65</v>
      </c>
      <c r="D7" s="153" t="s">
        <v>4</v>
      </c>
      <c r="E7" s="154">
        <v>123.456789</v>
      </c>
      <c r="F7" s="155"/>
      <c r="G7" s="155">
        <v>123.456789</v>
      </c>
      <c r="H7" s="155">
        <v>123.456789</v>
      </c>
      <c r="I7" s="156"/>
      <c r="J7" s="155">
        <v>123.456789</v>
      </c>
      <c r="K7" s="155"/>
      <c r="L7" s="155">
        <v>123.456789</v>
      </c>
      <c r="M7" s="155">
        <v>123.456789</v>
      </c>
      <c r="N7" s="157"/>
      <c r="O7" s="155">
        <v>123.456789</v>
      </c>
      <c r="P7" s="155">
        <v>123.456789</v>
      </c>
      <c r="Q7" s="155">
        <v>123.456789</v>
      </c>
    </row>
    <row r="8" spans="1:18" s="163" customFormat="1" hidden="1">
      <c r="A8" s="158" t="s">
        <v>63</v>
      </c>
      <c r="B8" s="158"/>
      <c r="C8" s="222"/>
      <c r="D8" s="159" t="s">
        <v>4</v>
      </c>
      <c r="E8" s="160">
        <v>123.456789</v>
      </c>
      <c r="F8" s="160"/>
      <c r="G8" s="160">
        <v>123.456789</v>
      </c>
      <c r="H8" s="160">
        <v>123.456789</v>
      </c>
      <c r="I8" s="160"/>
      <c r="J8" s="160">
        <v>123.456789</v>
      </c>
      <c r="K8" s="160"/>
      <c r="L8" s="160">
        <v>123.456789</v>
      </c>
      <c r="M8" s="160">
        <v>123.456789</v>
      </c>
      <c r="N8" s="161"/>
      <c r="O8" s="160">
        <v>123.456789</v>
      </c>
      <c r="P8" s="160">
        <v>123.456789</v>
      </c>
      <c r="Q8" s="160">
        <v>123.456789</v>
      </c>
      <c r="R8" s="162"/>
    </row>
    <row r="9" spans="1:18" s="168" customFormat="1" hidden="1">
      <c r="A9" s="164" t="s">
        <v>2</v>
      </c>
      <c r="B9" s="164"/>
      <c r="C9" s="164"/>
      <c r="D9" s="165" t="s">
        <v>4</v>
      </c>
      <c r="E9" s="166">
        <v>123.456789</v>
      </c>
      <c r="F9" s="166"/>
      <c r="G9" s="166">
        <v>123.456789</v>
      </c>
      <c r="H9" s="166">
        <v>123.456789</v>
      </c>
      <c r="I9" s="166"/>
      <c r="J9" s="166">
        <v>123.456789</v>
      </c>
      <c r="K9" s="166"/>
      <c r="L9" s="166">
        <v>123.456789</v>
      </c>
      <c r="M9" s="166">
        <v>123.456789</v>
      </c>
      <c r="N9" s="167"/>
      <c r="O9" s="166">
        <v>123.456789</v>
      </c>
      <c r="P9" s="166">
        <v>123.456789</v>
      </c>
      <c r="Q9" s="166">
        <v>123.456789</v>
      </c>
    </row>
    <row r="10" spans="1:18" hidden="1">
      <c r="A10" s="126" t="s">
        <v>3</v>
      </c>
      <c r="B10" s="126"/>
      <c r="C10" s="126"/>
    </row>
    <row r="11" spans="1:18" hidden="1">
      <c r="D11" s="169" t="s">
        <v>5</v>
      </c>
    </row>
    <row r="12" spans="1:18" hidden="1">
      <c r="D12" s="127" t="str">
        <f>_xll.TM1RPTVIEW("Finance:US Site Split:62813459",0,_xll.TM1RPTTITLE("Finance:m_US Site Split",$E$14),_xll.TM1RPTTITLE("Finance:Financial Year",$E$16),_xll.TM1RPTTITLE("Finance:Financial Period",$E$17),_xll.TM1RPTTITLE("Finance:FX Calculation",$E$18),_xll.TM1RPTTITLE("Finance:Accounts - US Split",$E$19),TM1RPTFMTRNG62813459,TM1RPTFMTIDCOL62813459)</f>
        <v>Finance:US Site Split:62813459</v>
      </c>
    </row>
    <row r="13" spans="1:18" hidden="1"/>
    <row r="14" spans="1:18" hidden="1">
      <c r="D14" s="170" t="s">
        <v>6</v>
      </c>
      <c r="E14" s="171" t="str">
        <f>_xll.SUBNM("Finance:m_US Site Split",,"Value")</f>
        <v>Value</v>
      </c>
    </row>
    <row r="15" spans="1:18" hidden="1">
      <c r="D15" s="172"/>
      <c r="E15" s="173"/>
    </row>
    <row r="16" spans="1:18">
      <c r="A16" s="201" t="s">
        <v>13</v>
      </c>
      <c r="B16" s="122" t="str" cm="1">
        <f t="array" ref="B16">_xll.DBRW("Finance:}ElementAttributes_Financial Period",$E$17,"MM")</f>
        <v>12</v>
      </c>
      <c r="D16" s="172" t="s">
        <v>7</v>
      </c>
      <c r="E16" s="174" t="str">
        <f>_xll.SUBNM("Finance:Financial Year","Reporting Year - User Selection","FY24"," ")</f>
        <v>FY24</v>
      </c>
    </row>
    <row r="17" spans="1:18">
      <c r="A17" s="201" t="s">
        <v>27</v>
      </c>
      <c r="B17" s="122" t="str" cm="1">
        <f t="array" ref="B17">_xll.DBRW("Finance:}ElementAttributes_Financial Period",$E$17,"Mon")</f>
        <v>Mar</v>
      </c>
      <c r="D17" s="172" t="s">
        <v>8</v>
      </c>
      <c r="E17" s="175" t="str">
        <f>_xll.SUBNM("Finance:Financial Period","Reporting Period - User Selection",1," ")</f>
        <v>P12</v>
      </c>
    </row>
    <row r="18" spans="1:18" hidden="1">
      <c r="D18" s="172" t="s">
        <v>9</v>
      </c>
      <c r="E18" s="176" t="str">
        <f>_xll.SUBNM("Finance:FX Calculation",,"GBP MA")</f>
        <v>GBP MA</v>
      </c>
    </row>
    <row r="19" spans="1:18" hidden="1">
      <c r="D19" s="172" t="s">
        <v>10</v>
      </c>
      <c r="E19" s="176" t="s">
        <v>67</v>
      </c>
    </row>
    <row r="20" spans="1:18" hidden="1">
      <c r="D20" s="177" t="s">
        <v>30</v>
      </c>
      <c r="E20" s="178" t="str" cm="1">
        <f t="array" ref="E20">_xll.DBR("Finance:}ElementAttributes_Financial Year",$E$16,"Previous Year")</f>
        <v>FY23</v>
      </c>
    </row>
    <row r="21" spans="1:18" hidden="1">
      <c r="D21" s="177" t="s">
        <v>32</v>
      </c>
      <c r="E21" s="122" t="str" cm="1">
        <f t="array" ref="E21">_xll.DBRW("Finance:Model Settings","Value","Source Version for Derived Forecast")</f>
        <v>9+3 Forecast</v>
      </c>
    </row>
    <row r="22" spans="1:18" hidden="1">
      <c r="O22" s="122" t="s">
        <v>31</v>
      </c>
      <c r="P22" s="122" t="s">
        <v>31</v>
      </c>
      <c r="Q22" s="122" t="s">
        <v>31</v>
      </c>
    </row>
    <row r="23" spans="1:18" ht="14.4" hidden="1" thickBot="1">
      <c r="E23" s="179" t="s">
        <v>11</v>
      </c>
      <c r="F23" s="180" t="str" cm="1">
        <f t="array" ref="F23">_xll.DBR("Finance:Model Settings","Value","Reporting Forecast Version")</f>
        <v>9+3 Forecast</v>
      </c>
      <c r="G23" s="181" t="s">
        <v>12</v>
      </c>
      <c r="H23" s="181" t="s">
        <v>11</v>
      </c>
      <c r="I23" s="182"/>
      <c r="J23" s="181" t="s">
        <v>11</v>
      </c>
      <c r="K23" s="180" t="str" cm="1">
        <f t="array" ref="K23">_xll.DBR("Finance:Model Settings","Value","Reporting Forecast Version")</f>
        <v>9+3 Forecast</v>
      </c>
      <c r="L23" s="181" t="s">
        <v>12</v>
      </c>
      <c r="M23" s="181" t="s">
        <v>11</v>
      </c>
      <c r="O23" s="180" t="str" cm="1">
        <f t="array" ref="O23">_xll.DBR("Finance:Model Settings","Value","Reporting Forecast Version")</f>
        <v>9+3 Forecast</v>
      </c>
      <c r="P23" s="181" t="s">
        <v>12</v>
      </c>
      <c r="Q23" s="181" t="s">
        <v>11</v>
      </c>
    </row>
    <row r="24" spans="1:18" hidden="1">
      <c r="E24" s="183" t="s">
        <v>13</v>
      </c>
      <c r="F24" s="180" t="s">
        <v>13</v>
      </c>
      <c r="G24" s="180" t="s">
        <v>13</v>
      </c>
      <c r="H24" s="180" t="s">
        <v>13</v>
      </c>
      <c r="I24" s="182"/>
      <c r="J24" s="180" t="s">
        <v>14</v>
      </c>
      <c r="K24" s="180" t="s">
        <v>14</v>
      </c>
      <c r="L24" s="180" t="s">
        <v>14</v>
      </c>
      <c r="M24" s="180" t="s">
        <v>14</v>
      </c>
      <c r="O24" s="180" t="s">
        <v>13</v>
      </c>
      <c r="P24" s="180" t="s">
        <v>13</v>
      </c>
      <c r="Q24" s="180" t="s">
        <v>13</v>
      </c>
    </row>
    <row r="25" spans="1:18" hidden="1">
      <c r="E25" s="123"/>
      <c r="F25" s="123"/>
      <c r="G25" s="123"/>
      <c r="H25" s="123"/>
      <c r="I25" s="123"/>
      <c r="J25" s="123"/>
      <c r="K25" s="123"/>
      <c r="L25" s="123"/>
      <c r="M25" s="123"/>
      <c r="O25" s="123"/>
      <c r="P25" s="123"/>
      <c r="Q25" s="123"/>
    </row>
    <row r="26" spans="1:18" ht="15.6" hidden="1" customHeight="1">
      <c r="E26" s="123"/>
      <c r="F26" s="123"/>
      <c r="G26" s="123"/>
      <c r="H26" s="123"/>
      <c r="I26" s="123"/>
      <c r="J26" s="123"/>
      <c r="K26" s="123"/>
      <c r="L26" s="123"/>
      <c r="M26" s="123"/>
      <c r="O26" s="123"/>
      <c r="P26" s="123"/>
      <c r="Q26" s="123"/>
    </row>
    <row r="27" spans="1:18" hidden="1">
      <c r="E27" s="123"/>
      <c r="F27" s="123"/>
      <c r="G27" s="123"/>
      <c r="H27" s="123"/>
      <c r="I27" s="123"/>
      <c r="J27" s="123"/>
      <c r="K27" s="123"/>
      <c r="L27" s="123"/>
      <c r="M27" s="123"/>
      <c r="O27" s="123"/>
      <c r="P27" s="123"/>
      <c r="Q27" s="123"/>
    </row>
    <row r="28" spans="1:18" hidden="1">
      <c r="E28" s="123"/>
      <c r="F28" s="123"/>
      <c r="G28" s="123"/>
      <c r="H28" s="123"/>
      <c r="I28" s="123"/>
      <c r="J28" s="123"/>
      <c r="K28" s="123"/>
      <c r="L28" s="123"/>
      <c r="M28" s="123"/>
      <c r="O28" s="123"/>
      <c r="P28" s="123"/>
      <c r="Q28" s="123"/>
    </row>
    <row r="29" spans="1:18">
      <c r="E29" s="123"/>
      <c r="F29" s="123"/>
      <c r="G29" s="123"/>
      <c r="H29" s="123"/>
      <c r="I29" s="123"/>
      <c r="J29" s="123"/>
      <c r="K29" s="123"/>
      <c r="L29" s="123"/>
      <c r="M29" s="123"/>
      <c r="O29" s="123"/>
      <c r="P29" s="123"/>
      <c r="Q29" s="123"/>
    </row>
    <row r="30" spans="1:18" ht="48.75" customHeight="1">
      <c r="A30" s="122" t="s">
        <v>66</v>
      </c>
      <c r="B30" s="202" t="str">
        <f>$B$17 &amp; "-" &amp;IF(($B$16*1) &gt;= 10,RIGHT(E16,2),RIGHT(E16,2)-1)</f>
        <v>Mar-24</v>
      </c>
      <c r="D30" s="184" t="s">
        <v>69</v>
      </c>
      <c r="F30" s="123"/>
      <c r="G30" s="123"/>
      <c r="H30" s="123"/>
      <c r="I30" s="124"/>
      <c r="L30" s="123"/>
      <c r="M30" s="123"/>
      <c r="N30" s="123"/>
      <c r="O30" s="123"/>
      <c r="Q30" s="125"/>
      <c r="R30" s="123"/>
    </row>
    <row r="31" spans="1:18" s="185" customFormat="1" ht="22.5" customHeight="1">
      <c r="D31" s="203" t="str">
        <f>B30&amp;" - Summary Performance by site - uEBIT (£'000)"</f>
        <v>Mar-24 - Summary Performance by site - uEBIT (£'000)</v>
      </c>
      <c r="E31" s="186"/>
      <c r="F31" s="186"/>
      <c r="G31" s="186"/>
      <c r="H31" s="186"/>
      <c r="I31" s="186"/>
      <c r="J31" s="186"/>
      <c r="K31" s="186"/>
      <c r="L31" s="186"/>
      <c r="M31" s="186"/>
      <c r="O31" s="186"/>
      <c r="P31" s="186"/>
      <c r="Q31" s="186"/>
    </row>
    <row r="32" spans="1:18" s="185" customFormat="1">
      <c r="D32" s="187"/>
      <c r="E32" s="229" t="s">
        <v>27</v>
      </c>
      <c r="F32" s="229"/>
      <c r="G32" s="229"/>
      <c r="H32" s="229"/>
      <c r="I32" s="189"/>
      <c r="J32" s="229" t="s">
        <v>29</v>
      </c>
      <c r="K32" s="229"/>
      <c r="L32" s="229"/>
      <c r="M32" s="229"/>
      <c r="N32" s="190"/>
      <c r="O32" s="229" t="str">
        <f>$E$16 &amp; " Full Year"</f>
        <v>FY24 Full Year</v>
      </c>
      <c r="P32" s="229"/>
      <c r="Q32" s="229"/>
    </row>
    <row r="33" spans="1:18" s="185" customFormat="1">
      <c r="D33" s="191"/>
      <c r="E33" s="188" t="s">
        <v>11</v>
      </c>
      <c r="F33" s="188" t="str">
        <f>E21</f>
        <v>9+3 Forecast</v>
      </c>
      <c r="G33" s="188" t="s">
        <v>12</v>
      </c>
      <c r="H33" s="188" t="s">
        <v>28</v>
      </c>
      <c r="I33" s="192"/>
      <c r="J33" s="188" t="s">
        <v>11</v>
      </c>
      <c r="K33" s="188" t="str">
        <f>E21</f>
        <v>9+3 Forecast</v>
      </c>
      <c r="L33" s="188" t="s">
        <v>12</v>
      </c>
      <c r="M33" s="188" t="s">
        <v>28</v>
      </c>
      <c r="N33" s="190"/>
      <c r="O33" s="188" t="str">
        <f>$E$21</f>
        <v>9+3 Forecast</v>
      </c>
      <c r="P33" s="188" t="s">
        <v>12</v>
      </c>
      <c r="Q33" s="188" t="s">
        <v>28</v>
      </c>
    </row>
    <row r="34" spans="1:18" s="163" customFormat="1">
      <c r="A34" s="158" t="str" cm="1">
        <f t="array" ref="A34">IF(_xll.ELLEV("Finance:US Departments",$B34)&gt;0,"Total","Leaf")</f>
        <v>Total</v>
      </c>
      <c r="B34" s="193" t="str">
        <f>_xll.TM1RPTROW($D$12,"Finance:US Departments",,," ",FALSE,uEBIT!Dynamic_bee31123397040d38097d5f9ae027c4f)</f>
        <v>Total US</v>
      </c>
      <c r="C34" s="222"/>
      <c r="D34" s="159" t="str">
        <f t="shared" ref="D34:D46" si="0">B34</f>
        <v>Total US</v>
      </c>
      <c r="E34" s="160">
        <f>_xll.DBRW($D$12,E$23,$E$16,$E$17,E$24,$B34,$E$19,$E$18,$E$14)</f>
        <v>0</v>
      </c>
      <c r="F34" s="160">
        <f>_xll.DBRW($D$12,F$23,$E$16,$E$17,F$24,$B34,$E$19,$E$18,$E$14)</f>
        <v>222806.95098963246</v>
      </c>
      <c r="G34" s="160">
        <f>_xll.DBRW($D$12,G$23,$E$16,$E$17,G$24,$B34,$E$19,$E$18,$E$14)</f>
        <v>761830.08953817177</v>
      </c>
      <c r="H34" s="160">
        <f>_xll.DBRW($D$12,H$23,$E$20,$E$17,H$24,$B34,$E$19,$E$18,$E$14)</f>
        <v>450741.84993531706</v>
      </c>
      <c r="I34" s="160"/>
      <c r="J34" s="160">
        <f>_xll.DBRW($D$12,J$23,$E$16,$E$17,J$24,$B34,$E$19,$E$18,$E$14)</f>
        <v>0</v>
      </c>
      <c r="K34" s="160">
        <f>_xll.DBRW($D$12,K$23,$E$16,$E$17,K$24,$B34,$E$19,$E$18,$E$14)</f>
        <v>-422390.14348200418</v>
      </c>
      <c r="L34" s="160">
        <f>_xll.DBRW($D$12,L$23,$E$16,$E$17,L$24,$B34,$E$19,$E$18,$E$14)</f>
        <v>3528901.8771599126</v>
      </c>
      <c r="M34" s="160">
        <f>_xll.DBRW($D$12,M$23,$E$20,$E$17,M$24,$B34,$E$19,$E$18,$E$14)</f>
        <v>2749644.7861965066</v>
      </c>
      <c r="N34" s="161"/>
      <c r="O34" s="160">
        <f>_xll.DBRW($D$12,O$23,$E$16,O$22,O$24,$B34,$E$19,$E$18,$E$14)</f>
        <v>-422390.14348200418</v>
      </c>
      <c r="P34" s="160">
        <f>_xll.DBRW($D$12,P$23,$E$16,P$22,P$24,$B34,$E$19,$E$18,$E$14)</f>
        <v>3528901.8771599126</v>
      </c>
      <c r="Q34" s="160">
        <f>_xll.DBRW($D$12,Q$23,$E$20,Q$22,Q$24,$B34,$E$19,$E$18,$E$14)</f>
        <v>2749644.786196508</v>
      </c>
      <c r="R34" s="162"/>
    </row>
    <row r="35" spans="1:18" s="163" customFormat="1">
      <c r="A35" s="158" t="str" cm="1">
        <f t="array" ref="A35">IF(_xll.ELLEV("Finance:US Departments",$B35)&gt;0,"Total","Leaf")</f>
        <v>Total</v>
      </c>
      <c r="B35" s="194" t="s">
        <v>15</v>
      </c>
      <c r="C35" s="222"/>
      <c r="D35" s="159" t="str">
        <f t="shared" si="0"/>
        <v>Pennsylvania</v>
      </c>
      <c r="E35" s="160">
        <f>_xll.DBRW($D$12,E$23,$E$16,$E$17,E$24,$B35,$E$19,$E$18,$E$14)</f>
        <v>0</v>
      </c>
      <c r="F35" s="160">
        <f>_xll.DBRW($D$12,F$23,$E$16,$E$17,F$24,$B35,$E$19,$E$18,$E$14)</f>
        <v>553374.53660069115</v>
      </c>
      <c r="G35" s="160">
        <f>_xll.DBRW($D$12,G$23,$E$16,$E$17,G$24,$B35,$E$19,$E$18,$E$14)</f>
        <v>1176683.6789192585</v>
      </c>
      <c r="H35" s="160">
        <f>_xll.DBRW($D$12,H$23,$E$20,$E$17,H$24,$B35,$E$19,$E$18,$E$14)</f>
        <v>865960.72930142318</v>
      </c>
      <c r="I35" s="160"/>
      <c r="J35" s="160">
        <f>_xll.DBRW($D$12,J$23,$E$16,$E$17,J$24,$B35,$E$19,$E$18,$E$14)</f>
        <v>0</v>
      </c>
      <c r="K35" s="160">
        <f>_xll.DBRW($D$12,K$23,$E$16,$E$17,K$24,$B35,$E$19,$E$18,$E$14)</f>
        <v>3869456.4626667015</v>
      </c>
      <c r="L35" s="160">
        <f>_xll.DBRW($D$12,L$23,$E$16,$E$17,L$24,$B35,$E$19,$E$18,$E$14)</f>
        <v>8629871.1200125664</v>
      </c>
      <c r="M35" s="160">
        <f>_xll.DBRW($D$12,M$23,$E$20,$E$17,M$24,$B35,$E$19,$E$18,$E$14)</f>
        <v>7750411.6032557013</v>
      </c>
      <c r="N35" s="161"/>
      <c r="O35" s="160">
        <f>_xll.DBRW($D$12,O$23,$E$16,O$22,O$24,$B35,$E$19,$E$18,$E$14)</f>
        <v>3869456.4626667015</v>
      </c>
      <c r="P35" s="160">
        <f>_xll.DBRW($D$12,P$23,$E$16,P$22,P$24,$B35,$E$19,$E$18,$E$14)</f>
        <v>8629871.1200125664</v>
      </c>
      <c r="Q35" s="160">
        <f>_xll.DBRW($D$12,Q$23,$E$20,Q$22,Q$24,$B35,$E$19,$E$18,$E$14)</f>
        <v>7750411.6032557003</v>
      </c>
      <c r="R35" s="162"/>
    </row>
    <row r="36" spans="1:18" s="168" customFormat="1">
      <c r="A36" s="164" t="str" cm="1">
        <f t="array" ref="A36">IF(_xll.ELLEV("Finance:US Departments",$B36)&gt;0,"Total","Leaf")</f>
        <v>Leaf</v>
      </c>
      <c r="B36" s="195" t="s">
        <v>16</v>
      </c>
      <c r="C36" s="164"/>
      <c r="D36" s="165" t="str">
        <f t="shared" si="0"/>
        <v>Latrobe</v>
      </c>
      <c r="E36" s="166">
        <f>_xll.DBRW($D$12,E$23,$E$16,$E$17,E$24,$B36,$E$19,$E$18,$E$14)</f>
        <v>0</v>
      </c>
      <c r="F36" s="166">
        <f>_xll.DBRW($D$12,F$23,$E$16,$E$17,F$24,$B36,$E$19,$E$18,$E$14)</f>
        <v>209903.99780081684</v>
      </c>
      <c r="G36" s="166">
        <f>_xll.DBRW($D$12,G$23,$E$16,$E$17,G$24,$B36,$E$19,$E$18,$E$14)</f>
        <v>883877.85108388308</v>
      </c>
      <c r="H36" s="166">
        <f>_xll.DBRW($D$12,H$23,$E$20,$E$17,H$24,$B36,$E$19,$E$18,$E$14)</f>
        <v>401012.07956015528</v>
      </c>
      <c r="I36" s="166"/>
      <c r="J36" s="166">
        <f>_xll.DBRW($D$12,J$23,$E$16,$E$17,J$24,$B36,$E$19,$E$18,$E$14)</f>
        <v>724244.19641235867</v>
      </c>
      <c r="K36" s="166">
        <f>_xll.DBRW($D$12,K$23,$E$16,$E$17,K$24,$B36,$E$19,$E$18,$E$14)</f>
        <v>978388.06744620181</v>
      </c>
      <c r="L36" s="166">
        <f>_xll.DBRW($D$12,L$23,$E$16,$E$17,L$24,$B36,$E$19,$E$18,$E$14)</f>
        <v>5837144.6905435119</v>
      </c>
      <c r="M36" s="166">
        <f>_xll.DBRW($D$12,M$23,$E$20,$E$17,M$24,$B36,$E$19,$E$18,$E$14)</f>
        <v>4411998.3865898363</v>
      </c>
      <c r="N36" s="167"/>
      <c r="O36" s="166">
        <f>_xll.DBRW($D$12,O$23,$E$16,O$22,O$24,$B36,$E$19,$E$18,$E$14)</f>
        <v>978388.06744620181</v>
      </c>
      <c r="P36" s="166">
        <f>_xll.DBRW($D$12,P$23,$E$16,P$22,P$24,$B36,$E$19,$E$18,$E$14)</f>
        <v>5837144.6905435119</v>
      </c>
      <c r="Q36" s="166">
        <f>_xll.DBRW($D$12,Q$23,$E$20,Q$22,Q$24,$B36,$E$19,$E$18,$E$14)</f>
        <v>4411998.3865898363</v>
      </c>
    </row>
    <row r="37" spans="1:18" s="168" customFormat="1">
      <c r="A37" s="164" t="str" cm="1">
        <f t="array" ref="A37">IF(_xll.ELLEV("Finance:US Departments",$B37)&gt;0,"Total","Leaf")</f>
        <v>Leaf</v>
      </c>
      <c r="B37" s="195" t="s">
        <v>17</v>
      </c>
      <c r="C37" s="164"/>
      <c r="D37" s="165" t="str">
        <f t="shared" si="0"/>
        <v>Export</v>
      </c>
      <c r="E37" s="166">
        <f>_xll.DBRW($D$12,E$23,$E$16,$E$17,E$24,$B37,$E$19,$E$18,$E$14)</f>
        <v>0</v>
      </c>
      <c r="F37" s="166">
        <f>_xll.DBRW($D$12,F$23,$E$16,$E$17,F$24,$B37,$E$19,$E$18,$E$14)</f>
        <v>316589.86019478476</v>
      </c>
      <c r="G37" s="166">
        <f>_xll.DBRW($D$12,G$23,$E$16,$E$17,G$24,$B37,$E$19,$E$18,$E$14)</f>
        <v>268373.73546968267</v>
      </c>
      <c r="H37" s="166">
        <f>_xll.DBRW($D$12,H$23,$E$20,$E$17,H$24,$B37,$E$19,$E$18,$E$14)</f>
        <v>424524.28848641663</v>
      </c>
      <c r="I37" s="166"/>
      <c r="J37" s="166">
        <f>_xll.DBRW($D$12,J$23,$E$16,$E$17,J$24,$B37,$E$19,$E$18,$E$14)</f>
        <v>2186694.2001419296</v>
      </c>
      <c r="K37" s="166">
        <f>_xll.DBRW($D$12,K$23,$E$16,$E$17,K$24,$B37,$E$19,$E$18,$E$14)</f>
        <v>2613337.4565000786</v>
      </c>
      <c r="L37" s="166">
        <f>_xll.DBRW($D$12,L$23,$E$16,$E$17,L$24,$B37,$E$19,$E$18,$E$14)</f>
        <v>2551534.7392397108</v>
      </c>
      <c r="M37" s="166">
        <f>_xll.DBRW($D$12,M$23,$E$20,$E$17,M$24,$B37,$E$19,$E$18,$E$14)</f>
        <v>3059146.5151226544</v>
      </c>
      <c r="N37" s="167"/>
      <c r="O37" s="166">
        <f>_xll.DBRW($D$12,O$23,$E$16,O$22,O$24,$B37,$E$19,$E$18,$E$14)</f>
        <v>2613337.4565000786</v>
      </c>
      <c r="P37" s="166">
        <f>_xll.DBRW($D$12,P$23,$E$16,P$22,P$24,$B37,$E$19,$E$18,$E$14)</f>
        <v>2551534.7392397108</v>
      </c>
      <c r="Q37" s="166">
        <f>_xll.DBRW($D$12,Q$23,$E$20,Q$22,Q$24,$B37,$E$19,$E$18,$E$14)</f>
        <v>3059146.5151226544</v>
      </c>
    </row>
    <row r="38" spans="1:18" s="168" customFormat="1">
      <c r="A38" s="164" t="str" cm="1">
        <f t="array" ref="A38">IF(_xll.ELLEV("Finance:US Departments",$B38)&gt;0,"Total","Leaf")</f>
        <v>Leaf</v>
      </c>
      <c r="B38" s="195" t="s">
        <v>18</v>
      </c>
      <c r="C38" s="164"/>
      <c r="D38" s="165" t="str">
        <f t="shared" si="0"/>
        <v>LED</v>
      </c>
      <c r="E38" s="166">
        <f>_xll.DBRW($D$12,E$23,$E$16,$E$17,E$24,$B38,$E$19,$E$18,$E$14)</f>
        <v>0</v>
      </c>
      <c r="F38" s="166">
        <f>_xll.DBRW($D$12,F$23,$E$16,$E$17,F$24,$B38,$E$19,$E$18,$E$14)</f>
        <v>26880.678605089539</v>
      </c>
      <c r="G38" s="166">
        <f>_xll.DBRW($D$12,G$23,$E$16,$E$17,G$24,$B38,$E$19,$E$18,$E$14)</f>
        <v>24432.092365692741</v>
      </c>
      <c r="H38" s="166">
        <f>_xll.DBRW($D$12,H$23,$E$20,$E$17,H$24,$B38,$E$19,$E$18,$E$14)</f>
        <v>40424.361254851232</v>
      </c>
      <c r="I38" s="166"/>
      <c r="J38" s="166">
        <f>_xll.DBRW($D$12,J$23,$E$16,$E$17,J$24,$B38,$E$19,$E$18,$E$14)</f>
        <v>275618.88038283243</v>
      </c>
      <c r="K38" s="166">
        <f>_xll.DBRW($D$12,K$23,$E$16,$E$17,K$24,$B38,$E$19,$E$18,$E$14)</f>
        <v>277730.9387204207</v>
      </c>
      <c r="L38" s="166">
        <f>_xll.DBRW($D$12,L$23,$E$16,$E$17,L$24,$B38,$E$19,$E$18,$E$14)</f>
        <v>241191.69022934337</v>
      </c>
      <c r="M38" s="166">
        <f>_xll.DBRW($D$12,M$23,$E$20,$E$17,M$24,$B38,$E$19,$E$18,$E$14)</f>
        <v>279266.70154321112</v>
      </c>
      <c r="N38" s="167"/>
      <c r="O38" s="166">
        <f>_xll.DBRW($D$12,O$23,$E$16,O$22,O$24,$B38,$E$19,$E$18,$E$14)</f>
        <v>277730.9387204207</v>
      </c>
      <c r="P38" s="166">
        <f>_xll.DBRW($D$12,P$23,$E$16,P$22,P$24,$B38,$E$19,$E$18,$E$14)</f>
        <v>241191.69022934337</v>
      </c>
      <c r="Q38" s="166">
        <f>_xll.DBRW($D$12,Q$23,$E$20,Q$22,Q$24,$B38,$E$19,$E$18,$E$14)</f>
        <v>279266.70154321112</v>
      </c>
    </row>
    <row r="39" spans="1:18" s="163" customFormat="1">
      <c r="A39" s="158" t="str" cm="1">
        <f t="array" ref="A39">IF(_xll.ELLEV("Finance:US Departments",$B39)&gt;0,"Total","Leaf")</f>
        <v>Total</v>
      </c>
      <c r="B39" s="194" t="s">
        <v>19</v>
      </c>
      <c r="C39" s="222"/>
      <c r="D39" s="159" t="str">
        <f t="shared" si="0"/>
        <v>Tucson Total</v>
      </c>
      <c r="E39" s="160">
        <f>_xll.DBRW($D$12,E$23,$E$16,$E$17,E$24,$B39,$E$19,$E$18,$E$14)</f>
        <v>0</v>
      </c>
      <c r="F39" s="160">
        <f>_xll.DBRW($D$12,F$23,$E$16,$E$17,F$24,$B39,$E$19,$E$18,$E$14)</f>
        <v>82156.354068488843</v>
      </c>
      <c r="G39" s="160">
        <f>_xll.DBRW($D$12,G$23,$E$16,$E$17,G$24,$B39,$E$19,$E$18,$E$14)</f>
        <v>5497.2038956958841</v>
      </c>
      <c r="H39" s="160">
        <f>_xll.DBRW($D$12,H$23,$E$20,$E$17,H$24,$B39,$E$19,$E$18,$E$14)</f>
        <v>130351.91623544632</v>
      </c>
      <c r="I39" s="160"/>
      <c r="J39" s="160">
        <f>_xll.DBRW($D$12,J$23,$E$16,$E$17,J$24,$B39,$E$19,$E$18,$E$14)</f>
        <v>0</v>
      </c>
      <c r="K39" s="160">
        <f>_xll.DBRW($D$12,K$23,$E$16,$E$17,K$24,$B39,$E$19,$E$18,$E$14)</f>
        <v>-1212648.3635779554</v>
      </c>
      <c r="L39" s="160">
        <f>_xll.DBRW($D$12,L$23,$E$16,$E$17,L$24,$B39,$E$19,$E$18,$E$14)</f>
        <v>-354040.55136663519</v>
      </c>
      <c r="M39" s="160">
        <f>_xll.DBRW($D$12,M$23,$E$20,$E$17,M$24,$B39,$E$19,$E$18,$E$14)</f>
        <v>-247107.46222264788</v>
      </c>
      <c r="N39" s="161"/>
      <c r="O39" s="160">
        <f>_xll.DBRW($D$12,O$23,$E$16,O$22,O$24,$B39,$E$19,$E$18,$E$14)</f>
        <v>-1212648.3635779554</v>
      </c>
      <c r="P39" s="160">
        <f>_xll.DBRW($D$12,P$23,$E$16,P$22,P$24,$B39,$E$19,$E$18,$E$14)</f>
        <v>-354040.55136663519</v>
      </c>
      <c r="Q39" s="160">
        <f>_xll.DBRW($D$12,Q$23,$E$20,Q$22,Q$24,$B39,$E$19,$E$18,$E$14)</f>
        <v>-247107.46222264788</v>
      </c>
      <c r="R39" s="162"/>
    </row>
    <row r="40" spans="1:18" s="168" customFormat="1">
      <c r="A40" s="164" t="str" cm="1">
        <f t="array" ref="A40">IF(_xll.ELLEV("Finance:US Departments",$B40)&gt;0,"Total","Leaf")</f>
        <v>Leaf</v>
      </c>
      <c r="B40" s="195" t="s">
        <v>20</v>
      </c>
      <c r="C40" s="164"/>
      <c r="D40" s="165" t="str">
        <f t="shared" si="0"/>
        <v>Tucson</v>
      </c>
      <c r="E40" s="166">
        <f>_xll.DBRW($D$12,E$23,$E$16,$E$17,E$24,$B40,$E$19,$E$18,$E$14)</f>
        <v>0</v>
      </c>
      <c r="F40" s="166">
        <f>_xll.DBRW($D$12,F$23,$E$16,$E$17,F$24,$B40,$E$19,$E$18,$E$14)</f>
        <v>37608.757461514295</v>
      </c>
      <c r="G40" s="166">
        <f>_xll.DBRW($D$12,G$23,$E$16,$E$17,G$24,$B40,$E$19,$E$18,$E$14)</f>
        <v>7934.6371347785098</v>
      </c>
      <c r="H40" s="166">
        <f>_xll.DBRW($D$12,H$23,$E$20,$E$17,H$24,$B40,$E$19,$E$18,$E$14)</f>
        <v>130351.91623544632</v>
      </c>
      <c r="I40" s="166"/>
      <c r="J40" s="166">
        <f>_xll.DBRW($D$12,J$23,$E$16,$E$17,J$24,$B40,$E$19,$E$18,$E$14)</f>
        <v>-1436218.2435076546</v>
      </c>
      <c r="K40" s="166">
        <f>_xll.DBRW($D$12,K$23,$E$16,$E$17,K$24,$B40,$E$19,$E$18,$E$14)</f>
        <v>-1195567.8780553699</v>
      </c>
      <c r="L40" s="166">
        <f>_xll.DBRW($D$12,L$23,$E$16,$E$17,L$24,$B40,$E$19,$E$18,$E$14)</f>
        <v>-488225.31416902284</v>
      </c>
      <c r="M40" s="166">
        <f>_xll.DBRW($D$12,M$23,$E$20,$E$17,M$24,$B40,$E$19,$E$18,$E$14)</f>
        <v>-247107.46222264788</v>
      </c>
      <c r="N40" s="167"/>
      <c r="O40" s="166">
        <f>_xll.DBRW($D$12,O$23,$E$16,O$22,O$24,$B40,$E$19,$E$18,$E$14)</f>
        <v>-1195567.8780553699</v>
      </c>
      <c r="P40" s="166">
        <f>_xll.DBRW($D$12,P$23,$E$16,P$22,P$24,$B40,$E$19,$E$18,$E$14)</f>
        <v>-488225.31416902284</v>
      </c>
      <c r="Q40" s="166">
        <f>_xll.DBRW($D$12,Q$23,$E$20,Q$22,Q$24,$B40,$E$19,$E$18,$E$14)</f>
        <v>-247107.46222264788</v>
      </c>
    </row>
    <row r="41" spans="1:18" s="168" customFormat="1">
      <c r="A41" s="164" t="str" cm="1">
        <f t="array" ref="A41">IF(_xll.ELLEV("Finance:US Departments",$B41)&gt;0,"Total","Leaf")</f>
        <v>Leaf</v>
      </c>
      <c r="B41" s="195" t="s">
        <v>21</v>
      </c>
      <c r="C41" s="164"/>
      <c r="D41" s="165" t="str">
        <f t="shared" si="0"/>
        <v>Tucson D+E</v>
      </c>
      <c r="E41" s="166">
        <f>_xll.DBRW($D$12,E$23,$E$16,$E$17,E$24,$B41,$E$19,$E$18,$E$14)</f>
        <v>0</v>
      </c>
      <c r="F41" s="166">
        <f>_xll.DBRW($D$12,F$23,$E$16,$E$17,F$24,$B41,$E$19,$E$18,$E$14)</f>
        <v>44547.596606974548</v>
      </c>
      <c r="G41" s="166">
        <f>_xll.DBRW($D$12,G$23,$E$16,$E$17,G$24,$B41,$E$19,$E$18,$E$14)</f>
        <v>-2437.4332390826262</v>
      </c>
      <c r="H41" s="166">
        <f>_xll.DBRW($D$12,H$23,$E$20,$E$17,H$24,$B41,$E$19,$E$18,$E$14)</f>
        <v>0</v>
      </c>
      <c r="I41" s="166"/>
      <c r="J41" s="166">
        <f>_xll.DBRW($D$12,J$23,$E$16,$E$17,J$24,$B41,$E$19,$E$18,$E$14)</f>
        <v>-4176.0556714147715</v>
      </c>
      <c r="K41" s="166">
        <f>_xll.DBRW($D$12,K$23,$E$16,$E$17,K$24,$B41,$E$19,$E$18,$E$14)</f>
        <v>-17080.48552258547</v>
      </c>
      <c r="L41" s="166">
        <f>_xll.DBRW($D$12,L$23,$E$16,$E$17,L$24,$B41,$E$19,$E$18,$E$14)</f>
        <v>134184.76280238765</v>
      </c>
      <c r="M41" s="166">
        <f>_xll.DBRW($D$12,M$23,$E$20,$E$17,M$24,$B41,$E$19,$E$18,$E$14)</f>
        <v>0</v>
      </c>
      <c r="N41" s="167"/>
      <c r="O41" s="166">
        <f>_xll.DBRW($D$12,O$23,$E$16,O$22,O$24,$B41,$E$19,$E$18,$E$14)</f>
        <v>-17080.48552258547</v>
      </c>
      <c r="P41" s="166">
        <f>_xll.DBRW($D$12,P$23,$E$16,P$22,P$24,$B41,$E$19,$E$18,$E$14)</f>
        <v>134184.76280238765</v>
      </c>
      <c r="Q41" s="166">
        <f>_xll.DBRW($D$12,Q$23,$E$20,Q$22,Q$24,$B41,$E$19,$E$18,$E$14)</f>
        <v>0</v>
      </c>
    </row>
    <row r="42" spans="1:18" s="163" customFormat="1">
      <c r="A42" s="158" t="str" cm="1">
        <f t="array" ref="A42">IF(_xll.ELLEV("Finance:US Departments",$B42)&gt;0,"Total","Leaf")</f>
        <v>Total</v>
      </c>
      <c r="B42" s="194" t="s">
        <v>22</v>
      </c>
      <c r="C42" s="222"/>
      <c r="D42" s="159" t="str">
        <f t="shared" si="0"/>
        <v>Derry Total</v>
      </c>
      <c r="E42" s="160">
        <f>_xll.DBRW($D$12,E$23,$E$16,$E$17,E$24,$B42,$E$19,$E$18,$E$14)</f>
        <v>0</v>
      </c>
      <c r="F42" s="160">
        <f>_xll.DBRW($D$12,F$23,$E$16,$E$17,F$24,$B42,$E$19,$E$18,$E$14)</f>
        <v>-87539.200439836626</v>
      </c>
      <c r="G42" s="160">
        <f>_xll.DBRW($D$12,G$23,$E$16,$E$17,G$24,$B42,$E$19,$E$18,$E$14)</f>
        <v>0</v>
      </c>
      <c r="H42" s="160">
        <f>_xll.DBRW($D$12,H$23,$E$20,$E$17,H$24,$B42,$E$19,$E$18,$E$14)</f>
        <v>-55521.393919793016</v>
      </c>
      <c r="I42" s="160"/>
      <c r="J42" s="160">
        <f>_xll.DBRW($D$12,J$23,$E$16,$E$17,J$24,$B42,$E$19,$E$18,$E$14)</f>
        <v>0</v>
      </c>
      <c r="K42" s="160">
        <f>_xll.DBRW($D$12,K$23,$E$16,$E$17,K$24,$B42,$E$19,$E$18,$E$14)</f>
        <v>-263137.38094100036</v>
      </c>
      <c r="L42" s="160">
        <f>_xll.DBRW($D$12,L$23,$E$16,$E$17,L$24,$B42,$E$19,$E$18,$E$14)</f>
        <v>-208075.85611058751</v>
      </c>
      <c r="M42" s="160">
        <f>_xll.DBRW($D$12,M$23,$E$20,$E$17,M$24,$B42,$E$19,$E$18,$E$14)</f>
        <v>-395776.15578846139</v>
      </c>
      <c r="N42" s="161"/>
      <c r="O42" s="160">
        <f>_xll.DBRW($D$12,O$23,$E$16,O$22,O$24,$B42,$E$19,$E$18,$E$14)</f>
        <v>-263137.38094100036</v>
      </c>
      <c r="P42" s="160">
        <f>_xll.DBRW($D$12,P$23,$E$16,P$22,P$24,$B42,$E$19,$E$18,$E$14)</f>
        <v>-208075.85611058751</v>
      </c>
      <c r="Q42" s="160">
        <f>_xll.DBRW($D$12,Q$23,$E$20,Q$22,Q$24,$B42,$E$19,$E$18,$E$14)</f>
        <v>-395776.15578846139</v>
      </c>
      <c r="R42" s="162"/>
    </row>
    <row r="43" spans="1:18" s="168" customFormat="1">
      <c r="A43" s="164" t="str" cm="1">
        <f t="array" ref="A43">IF(_xll.ELLEV("Finance:US Departments",$B43)&gt;0,"Total","Leaf")</f>
        <v>Leaf</v>
      </c>
      <c r="B43" s="195" t="s">
        <v>23</v>
      </c>
      <c r="C43" s="164"/>
      <c r="D43" s="165" t="str">
        <f t="shared" si="0"/>
        <v>Derry</v>
      </c>
      <c r="E43" s="166">
        <f>_xll.DBRW($D$12,E$23,$E$16,$E$17,E$24,$B43,$E$19,$E$18,$E$14)</f>
        <v>0</v>
      </c>
      <c r="F43" s="166">
        <f>_xll.DBRW($D$12,F$23,$E$16,$E$17,F$24,$B43,$E$19,$E$18,$E$14)</f>
        <v>-75511.23939679547</v>
      </c>
      <c r="G43" s="166">
        <f>_xll.DBRW($D$12,G$23,$E$16,$E$17,G$24,$B43,$E$19,$E$18,$E$14)</f>
        <v>0</v>
      </c>
      <c r="H43" s="166">
        <f>_xll.DBRW($D$12,H$23,$E$20,$E$17,H$24,$B43,$E$19,$E$18,$E$14)</f>
        <v>-55521.393919793016</v>
      </c>
      <c r="I43" s="166"/>
      <c r="J43" s="166">
        <f>_xll.DBRW($D$12,J$23,$E$16,$E$17,J$24,$B43,$E$19,$E$18,$E$14)</f>
        <v>-87546.825849994246</v>
      </c>
      <c r="K43" s="166">
        <f>_xll.DBRW($D$12,K$23,$E$16,$E$17,K$24,$B43,$E$19,$E$18,$E$14)</f>
        <v>-148956.6829030888</v>
      </c>
      <c r="L43" s="166">
        <f>_xll.DBRW($D$12,L$23,$E$16,$E$17,L$24,$B43,$E$19,$E$18,$E$14)</f>
        <v>-185412.37825950363</v>
      </c>
      <c r="M43" s="166">
        <f>_xll.DBRW($D$12,M$23,$E$20,$E$17,M$24,$B43,$E$19,$E$18,$E$14)</f>
        <v>-395776.15578846139</v>
      </c>
      <c r="N43" s="167"/>
      <c r="O43" s="166">
        <f>_xll.DBRW($D$12,O$23,$E$16,O$22,O$24,$B43,$E$19,$E$18,$E$14)</f>
        <v>-148956.6829030888</v>
      </c>
      <c r="P43" s="166">
        <f>_xll.DBRW($D$12,P$23,$E$16,P$22,P$24,$B43,$E$19,$E$18,$E$14)</f>
        <v>-185412.37825950363</v>
      </c>
      <c r="Q43" s="166">
        <f>_xll.DBRW($D$12,Q$23,$E$20,Q$22,Q$24,$B43,$E$19,$E$18,$E$14)</f>
        <v>-395776.15578846139</v>
      </c>
    </row>
    <row r="44" spans="1:18" s="168" customFormat="1">
      <c r="A44" s="164" t="str" cm="1">
        <f t="array" ref="A44">IF(_xll.ELLEV("Finance:US Departments",$B44)&gt;0,"Total","Leaf")</f>
        <v>Leaf</v>
      </c>
      <c r="B44" s="195" t="s">
        <v>24</v>
      </c>
      <c r="C44" s="164"/>
      <c r="D44" s="165" t="str">
        <f t="shared" si="0"/>
        <v>Derry D+E</v>
      </c>
      <c r="E44" s="166">
        <f>_xll.DBRW($D$12,E$23,$E$16,$E$17,E$24,$B44,$E$19,$E$18,$E$14)</f>
        <v>0</v>
      </c>
      <c r="F44" s="166">
        <f>_xll.DBRW($D$12,F$23,$E$16,$E$17,F$24,$B44,$E$19,$E$18,$E$14)</f>
        <v>-12027.961043041156</v>
      </c>
      <c r="G44" s="166">
        <f>_xll.DBRW($D$12,G$23,$E$16,$E$17,G$24,$B44,$E$19,$E$18,$E$14)</f>
        <v>0</v>
      </c>
      <c r="H44" s="166">
        <f>_xll.DBRW($D$12,H$23,$E$20,$E$17,H$24,$B44,$E$19,$E$18,$E$14)</f>
        <v>0</v>
      </c>
      <c r="I44" s="166"/>
      <c r="J44" s="166">
        <f>_xll.DBRW($D$12,J$23,$E$16,$E$17,J$24,$B44,$E$19,$E$18,$E$14)</f>
        <v>-95740.092291493333</v>
      </c>
      <c r="K44" s="166">
        <f>_xll.DBRW($D$12,K$23,$E$16,$E$17,K$24,$B44,$E$19,$E$18,$E$14)</f>
        <v>-114180.69803791157</v>
      </c>
      <c r="L44" s="166">
        <f>_xll.DBRW($D$12,L$23,$E$16,$E$17,L$24,$B44,$E$19,$E$18,$E$14)</f>
        <v>-22663.477851083881</v>
      </c>
      <c r="M44" s="166">
        <f>_xll.DBRW($D$12,M$23,$E$20,$E$17,M$24,$B44,$E$19,$E$18,$E$14)</f>
        <v>0</v>
      </c>
      <c r="N44" s="167"/>
      <c r="O44" s="166">
        <f>_xll.DBRW($D$12,O$23,$E$16,O$22,O$24,$B44,$E$19,$E$18,$E$14)</f>
        <v>-114180.69803791157</v>
      </c>
      <c r="P44" s="166">
        <f>_xll.DBRW($D$12,P$23,$E$16,P$22,P$24,$B44,$E$19,$E$18,$E$14)</f>
        <v>-22663.477851083881</v>
      </c>
      <c r="Q44" s="166">
        <f>_xll.DBRW($D$12,Q$23,$E$20,Q$22,Q$24,$B44,$E$19,$E$18,$E$14)</f>
        <v>0</v>
      </c>
    </row>
    <row r="45" spans="1:18" s="168" customFormat="1">
      <c r="A45" s="164" t="str" cm="1">
        <f t="array" ref="A45">IF(_xll.ELLEV("Finance:US Departments",$B45)&gt;0,"Total","Leaf")</f>
        <v>Leaf</v>
      </c>
      <c r="B45" s="196" t="s">
        <v>25</v>
      </c>
      <c r="C45" s="164"/>
      <c r="D45" s="165" t="str">
        <f t="shared" si="0"/>
        <v>D+E</v>
      </c>
      <c r="E45" s="166">
        <f>_xll.DBRW($D$12,E$23,$E$16,$E$17,E$24,$B45,$E$19,$E$18,$E$14)</f>
        <v>0</v>
      </c>
      <c r="F45" s="166">
        <f>_xll.DBRW($D$12,F$23,$E$16,$E$17,F$24,$B45,$E$19,$E$18,$E$14)</f>
        <v>65040.056550424124</v>
      </c>
      <c r="G45" s="166">
        <f>_xll.DBRW($D$12,G$23,$E$16,$E$17,G$24,$B45,$E$19,$E$18,$E$14)</f>
        <v>237.93590951932137</v>
      </c>
      <c r="H45" s="166">
        <f>_xll.DBRW($D$12,H$23,$E$20,$E$17,H$24,$B45,$E$19,$E$18,$E$14)</f>
        <v>0</v>
      </c>
      <c r="I45" s="166"/>
      <c r="J45" s="166">
        <f>_xll.DBRW($D$12,J$23,$E$16,$E$17,J$24,$B45,$E$19,$E$18,$E$14)</f>
        <v>1773011.6272202551</v>
      </c>
      <c r="K45" s="166">
        <f>_xll.DBRW($D$12,K$23,$E$16,$E$17,K$24,$B45,$E$19,$E$18,$E$14)</f>
        <v>1453168.8866390735</v>
      </c>
      <c r="L45" s="166">
        <f>_xll.DBRW($D$12,L$23,$E$16,$E$17,L$24,$B45,$E$19,$E$18,$E$14)</f>
        <v>300770.49167452083</v>
      </c>
      <c r="M45" s="166">
        <f>_xll.DBRW($D$12,M$23,$E$20,$E$17,M$24,$B45,$E$19,$E$18,$E$14)</f>
        <v>0</v>
      </c>
      <c r="N45" s="167"/>
      <c r="O45" s="166">
        <f>_xll.DBRW($D$12,O$23,$E$16,O$22,O$24,$B45,$E$19,$E$18,$E$14)</f>
        <v>1453168.8866390735</v>
      </c>
      <c r="P45" s="166">
        <f>_xll.DBRW($D$12,P$23,$E$16,P$22,P$24,$B45,$E$19,$E$18,$E$14)</f>
        <v>300770.49167452083</v>
      </c>
      <c r="Q45" s="166">
        <f>_xll.DBRW($D$12,Q$23,$E$20,Q$22,Q$24,$B45,$E$19,$E$18,$E$14)</f>
        <v>0</v>
      </c>
    </row>
    <row r="46" spans="1:18" s="168" customFormat="1">
      <c r="A46" s="164" t="str" cm="1">
        <f t="array" ref="A46">IF(_xll.ELLEV("Finance:US Departments",$B46)&gt;0,"Total","Leaf")</f>
        <v>Leaf</v>
      </c>
      <c r="B46" s="196" t="s">
        <v>26</v>
      </c>
      <c r="C46" s="164"/>
      <c r="D46" s="165" t="str">
        <f t="shared" si="0"/>
        <v>SGA</v>
      </c>
      <c r="E46" s="166">
        <f>_xll.DBRW($D$12,E$23,$E$16,$E$17,E$24,$B46,$E$19,$E$18,$E$14)</f>
        <v>0</v>
      </c>
      <c r="F46" s="166">
        <f>_xll.DBRW($D$12,F$23,$E$16,$E$17,F$24,$B46,$E$19,$E$18,$E$14)</f>
        <v>-390224.7957901351</v>
      </c>
      <c r="G46" s="166">
        <f>_xll.DBRW($D$12,G$23,$E$16,$E$17,G$24,$B46,$E$19,$E$18,$E$14)</f>
        <v>-420588.72918630217</v>
      </c>
      <c r="H46" s="166">
        <f>_xll.DBRW($D$12,H$23,$E$20,$E$17,H$24,$B46,$E$19,$E$18,$E$14)</f>
        <v>-490049.40168175939</v>
      </c>
      <c r="I46" s="166"/>
      <c r="J46" s="166">
        <f>_xll.DBRW($D$12,J$23,$E$16,$E$17,J$24,$B46,$E$19,$E$18,$E$14)</f>
        <v>-3704312.7941630641</v>
      </c>
      <c r="K46" s="166">
        <f>_xll.DBRW($D$12,K$23,$E$16,$E$17,K$24,$B46,$E$19,$E$18,$E$14)</f>
        <v>-4269229.7482688231</v>
      </c>
      <c r="L46" s="166">
        <f>_xll.DBRW($D$12,L$23,$E$16,$E$17,L$24,$B46,$E$19,$E$18,$E$14)</f>
        <v>-4839623.327049952</v>
      </c>
      <c r="M46" s="166">
        <f>_xll.DBRW($D$12,M$23,$E$20,$E$17,M$24,$B46,$E$19,$E$18,$E$14)</f>
        <v>-4357883.1990480851</v>
      </c>
      <c r="N46" s="167"/>
      <c r="O46" s="166">
        <f>_xll.DBRW($D$12,O$23,$E$16,O$22,O$24,$B46,$E$19,$E$18,$E$14)</f>
        <v>-4269229.7482688231</v>
      </c>
      <c r="P46" s="166">
        <f>_xll.DBRW($D$12,P$23,$E$16,P$22,P$24,$B46,$E$19,$E$18,$E$14)</f>
        <v>-4839623.327049952</v>
      </c>
      <c r="Q46" s="166">
        <f>_xll.DBRW($D$12,Q$23,$E$20,Q$22,Q$24,$B46,$E$19,$E$18,$E$14)</f>
        <v>-4357883.1990480851</v>
      </c>
    </row>
    <row r="47" spans="1:18" hidden="1">
      <c r="A47" s="128"/>
      <c r="B47" s="127"/>
      <c r="C47" s="127"/>
    </row>
    <row r="48" spans="1:18" hidden="1">
      <c r="A48" s="128"/>
      <c r="B48" s="127"/>
      <c r="C48" s="127"/>
    </row>
    <row r="49" spans="1:18" hidden="1">
      <c r="A49" s="126" t="s">
        <v>0</v>
      </c>
      <c r="B49" s="127"/>
      <c r="C49" s="127"/>
    </row>
    <row r="50" spans="1:18" s="205" customFormat="1" ht="25.5" hidden="1" customHeight="1">
      <c r="A50" s="204" t="s">
        <v>65</v>
      </c>
      <c r="B50" s="210" t="s">
        <v>4</v>
      </c>
      <c r="C50" s="223"/>
      <c r="D50" s="209"/>
      <c r="E50" s="206">
        <v>123.456789</v>
      </c>
      <c r="F50" s="206">
        <v>123.456789</v>
      </c>
      <c r="G50" s="206">
        <v>123.456789</v>
      </c>
      <c r="H50" s="206">
        <v>123.456789</v>
      </c>
      <c r="I50" s="207"/>
      <c r="J50" s="206">
        <v>123.456789</v>
      </c>
      <c r="K50" s="206">
        <v>123.456789</v>
      </c>
      <c r="L50" s="206">
        <v>123.456789</v>
      </c>
      <c r="M50" s="206">
        <v>123.456789</v>
      </c>
      <c r="N50" s="207"/>
      <c r="O50" s="206">
        <v>123.456789</v>
      </c>
      <c r="P50" s="206">
        <v>123.456789</v>
      </c>
      <c r="Q50" s="206">
        <v>123.456789</v>
      </c>
    </row>
    <row r="51" spans="1:18" s="148" customFormat="1" hidden="1">
      <c r="A51" s="128"/>
      <c r="B51" s="211"/>
      <c r="C51" s="224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</row>
    <row r="52" spans="1:18" s="168" customFormat="1" ht="22.8" hidden="1">
      <c r="A52" s="128" t="s">
        <v>64</v>
      </c>
      <c r="B52" s="212" t="s">
        <v>4</v>
      </c>
      <c r="C52" s="225"/>
      <c r="E52" s="208">
        <v>123.456789</v>
      </c>
      <c r="F52" s="208">
        <v>123.456789</v>
      </c>
      <c r="G52" s="208">
        <v>123.456789</v>
      </c>
      <c r="H52" s="208">
        <v>123.456789</v>
      </c>
      <c r="I52" s="208"/>
      <c r="J52" s="208">
        <v>123.456789</v>
      </c>
      <c r="K52" s="208">
        <v>123.456789</v>
      </c>
      <c r="L52" s="208">
        <v>123.456789</v>
      </c>
      <c r="M52" s="208">
        <v>123.456789</v>
      </c>
      <c r="N52" s="208"/>
      <c r="O52" s="208">
        <v>123.456789</v>
      </c>
      <c r="P52" s="208">
        <v>123.456789</v>
      </c>
      <c r="Q52" s="208">
        <v>123.456789</v>
      </c>
    </row>
    <row r="53" spans="1:18" s="198" customFormat="1" ht="22.8" hidden="1">
      <c r="A53" s="128" t="s">
        <v>63</v>
      </c>
      <c r="B53" s="213" t="s">
        <v>4</v>
      </c>
      <c r="C53" s="226"/>
      <c r="D53" s="128"/>
      <c r="E53" s="130">
        <v>123.456789</v>
      </c>
      <c r="F53" s="130">
        <v>123.456789</v>
      </c>
      <c r="G53" s="130">
        <v>123.456789</v>
      </c>
      <c r="H53" s="130">
        <v>123.456789</v>
      </c>
      <c r="I53" s="130"/>
      <c r="J53" s="130">
        <v>123.456789</v>
      </c>
      <c r="K53" s="130">
        <v>123.456789</v>
      </c>
      <c r="L53" s="130">
        <v>123.456789</v>
      </c>
      <c r="M53" s="130">
        <v>123.456789</v>
      </c>
      <c r="N53" s="130"/>
      <c r="O53" s="130">
        <v>123.456789</v>
      </c>
      <c r="P53" s="130">
        <v>123.456789</v>
      </c>
      <c r="Q53" s="130">
        <v>123.456789</v>
      </c>
      <c r="R53" s="128"/>
    </row>
    <row r="54" spans="1:18" s="168" customFormat="1" hidden="1">
      <c r="A54" s="128" t="str" cm="1">
        <f t="array" ref="A54">IF($B54="GROUP TOTAL","Group Total",IF(_xll.ELLEV("Finance:Company",$B54)&gt;0,"Total",IF($B54="CTP-China","Total",IF($B54="Aylesbury","Spacer","Leaf"))))</f>
        <v>Leaf</v>
      </c>
      <c r="B54" s="214" t="s">
        <v>4</v>
      </c>
      <c r="C54" s="227"/>
      <c r="D54" s="197"/>
      <c r="E54" s="166">
        <v>123.456789</v>
      </c>
      <c r="F54" s="166">
        <v>123.456789</v>
      </c>
      <c r="G54" s="166">
        <v>123.456789</v>
      </c>
      <c r="H54" s="166">
        <v>123.456789</v>
      </c>
      <c r="I54" s="166"/>
      <c r="J54" s="166">
        <v>123.456789</v>
      </c>
      <c r="K54" s="166">
        <v>123.456789</v>
      </c>
      <c r="L54" s="166">
        <v>123.456789</v>
      </c>
      <c r="M54" s="166">
        <v>123.456789</v>
      </c>
      <c r="N54" s="166"/>
      <c r="O54" s="166">
        <v>123.456789</v>
      </c>
      <c r="P54" s="166">
        <v>123.456789</v>
      </c>
      <c r="Q54" s="166">
        <v>123.456789</v>
      </c>
    </row>
    <row r="55" spans="1:18" hidden="1">
      <c r="A55" s="126" t="s">
        <v>3</v>
      </c>
      <c r="B55" s="127"/>
      <c r="C55" s="127"/>
    </row>
    <row r="56" spans="1:18" hidden="1">
      <c r="A56" s="128"/>
      <c r="B56" s="169" t="s">
        <v>33</v>
      </c>
      <c r="C56" s="169"/>
    </row>
    <row r="57" spans="1:18" hidden="1">
      <c r="A57" s="128"/>
      <c r="B57" s="127" t="str">
        <f>_xll.TM1RPTVIEW("Finance:MA Reporting:40394722",0,_xll.TM1RPTTITLE("Finance:FX Calculation",$E$59),_xll.TM1RPTTITLE("Finance:Accounts - MA",$E$60),_xll.TM1RPTTITLE("Finance:Financial Year",$E$61),_xll.TM1RPTTITLE("Finance:Financial Period",$E$62),_xll.TM1RPTTITLE("Finance:m_MA Reporting",$E$63),_xll.TM1RPTTITLE("Finance:Consolidation Layer",$E$64),TM1RPTFMTRNG40394722,TM1RPTFMTIDCOL40394722)</f>
        <v>Finance:MA Reporting:40394722</v>
      </c>
      <c r="C57" s="127"/>
    </row>
    <row r="58" spans="1:18" hidden="1">
      <c r="A58" s="128"/>
      <c r="B58" s="127"/>
      <c r="C58" s="127"/>
    </row>
    <row r="59" spans="1:18" hidden="1">
      <c r="A59" s="128"/>
      <c r="B59" s="215" t="s">
        <v>9</v>
      </c>
      <c r="C59" s="228"/>
      <c r="E59" s="171" t="str">
        <f>$E$18</f>
        <v>GBP MA</v>
      </c>
    </row>
    <row r="60" spans="1:18" hidden="1">
      <c r="A60" s="128"/>
      <c r="B60" s="215" t="s">
        <v>34</v>
      </c>
      <c r="C60" s="228"/>
      <c r="E60" s="171" t="s">
        <v>68</v>
      </c>
    </row>
    <row r="61" spans="1:18" hidden="1">
      <c r="A61" s="128"/>
      <c r="B61" s="215" t="s">
        <v>7</v>
      </c>
      <c r="C61" s="228"/>
      <c r="E61" s="171" t="str">
        <f>$E$16</f>
        <v>FY24</v>
      </c>
    </row>
    <row r="62" spans="1:18" hidden="1">
      <c r="A62" s="128"/>
      <c r="B62" s="215" t="s">
        <v>8</v>
      </c>
      <c r="C62" s="228"/>
      <c r="E62" s="171" t="str">
        <f>$E$17</f>
        <v>P12</v>
      </c>
    </row>
    <row r="63" spans="1:18" hidden="1">
      <c r="A63" s="128"/>
      <c r="B63" s="215" t="s">
        <v>35</v>
      </c>
      <c r="C63" s="228"/>
      <c r="E63" s="171" t="str">
        <f>_xll.SUBNM("Finance:m_MA Reporting",,"Value")</f>
        <v>Value</v>
      </c>
    </row>
    <row r="64" spans="1:18" hidden="1">
      <c r="A64" s="128"/>
      <c r="B64" s="215" t="s">
        <v>36</v>
      </c>
      <c r="C64" s="228"/>
      <c r="E64" s="171" t="str">
        <f>_xll.SUBNM("Finance:Consolidation Layer",,"Management Accounts")</f>
        <v>Management Accounts</v>
      </c>
    </row>
    <row r="65" spans="1:18" hidden="1">
      <c r="A65" s="128"/>
      <c r="B65" s="127"/>
      <c r="C65" s="127"/>
    </row>
    <row r="66" spans="1:18" hidden="1">
      <c r="A66" s="128"/>
      <c r="B66" s="127"/>
      <c r="C66" s="127"/>
      <c r="O66" s="122" t="s">
        <v>31</v>
      </c>
      <c r="P66" s="122" t="s">
        <v>31</v>
      </c>
      <c r="Q66" s="122" t="s">
        <v>31</v>
      </c>
    </row>
    <row r="67" spans="1:18" ht="15.6" hidden="1" customHeight="1" thickBot="1">
      <c r="A67" s="128"/>
      <c r="B67" s="127"/>
      <c r="C67" s="127"/>
      <c r="E67" s="181" t="str">
        <f>E$23</f>
        <v>Actual</v>
      </c>
      <c r="F67" s="180" t="str" cm="1">
        <f t="array" ref="F67">_xll.DBR("Finance:Model Settings","Value","Reporting Forecast Version")</f>
        <v>9+3 Forecast</v>
      </c>
      <c r="G67" s="181" t="str">
        <f t="shared" ref="G67:Q67" si="1">G$23</f>
        <v>Budget</v>
      </c>
      <c r="H67" s="181" t="str">
        <f t="shared" si="1"/>
        <v>Actual</v>
      </c>
      <c r="I67" s="182"/>
      <c r="J67" s="181" t="str">
        <f t="shared" si="1"/>
        <v>Actual</v>
      </c>
      <c r="K67" s="180" t="str" cm="1">
        <f t="array" ref="K67">_xll.DBR("Finance:Model Settings","Value","Reporting Forecast Version")</f>
        <v>9+3 Forecast</v>
      </c>
      <c r="L67" s="181" t="str">
        <f t="shared" si="1"/>
        <v>Budget</v>
      </c>
      <c r="M67" s="181" t="str">
        <f t="shared" si="1"/>
        <v>Actual</v>
      </c>
      <c r="N67" s="182"/>
      <c r="O67" s="180" t="str" cm="1">
        <f t="array" ref="O67">_xll.DBR("Finance:Model Settings","Value","Reporting Forecast Version")</f>
        <v>9+3 Forecast</v>
      </c>
      <c r="P67" s="181" t="str">
        <f t="shared" si="1"/>
        <v>Budget</v>
      </c>
      <c r="Q67" s="181" t="str">
        <f t="shared" si="1"/>
        <v>Actual</v>
      </c>
    </row>
    <row r="68" spans="1:18" ht="14.4" hidden="1" thickBot="1">
      <c r="A68" s="128"/>
      <c r="B68" s="127"/>
      <c r="C68" s="127"/>
      <c r="E68" s="181" t="str">
        <f>E$24</f>
        <v>Period</v>
      </c>
      <c r="F68" s="181" t="str">
        <f>F$24</f>
        <v>Period</v>
      </c>
      <c r="G68" s="181" t="str">
        <f t="shared" ref="G68:Q68" si="2">G$24</f>
        <v>Period</v>
      </c>
      <c r="H68" s="181" t="str">
        <f t="shared" si="2"/>
        <v>Period</v>
      </c>
      <c r="I68" s="182"/>
      <c r="J68" s="181" t="str">
        <f t="shared" si="2"/>
        <v>YTD</v>
      </c>
      <c r="K68" s="181" t="str">
        <f>K$24</f>
        <v>YTD</v>
      </c>
      <c r="L68" s="181" t="str">
        <f t="shared" si="2"/>
        <v>YTD</v>
      </c>
      <c r="M68" s="181" t="str">
        <f t="shared" si="2"/>
        <v>YTD</v>
      </c>
      <c r="N68" s="182"/>
      <c r="O68" s="181" t="str">
        <f t="shared" si="2"/>
        <v>Period</v>
      </c>
      <c r="P68" s="181" t="str">
        <f t="shared" si="2"/>
        <v>Period</v>
      </c>
      <c r="Q68" s="181" t="str">
        <f t="shared" si="2"/>
        <v>Period</v>
      </c>
    </row>
    <row r="69" spans="1:18" s="198" customFormat="1" ht="22.8">
      <c r="A69" s="128" t="str" cm="1">
        <f t="array" ref="A69">IF($B69="GROUP TOTAL","Group Total",IF(_xll.ELLEV("Finance:Company",$B69)&gt;0,"Total",IF($B69="CTP-China","Total",IF($B69 = "Central Costs","Spacer",IF($B69="Aylesbury","Spacer","Leaf")))))</f>
        <v>Total</v>
      </c>
      <c r="B69" s="218" t="str">
        <f>_xll.TM1RPTROW($B$57,"Finance:Company","US SIte Split - uEBIT",,"Short Name",FALSE)</f>
        <v>Total EMEA</v>
      </c>
      <c r="C69" s="226"/>
      <c r="D69" s="128" t="str">
        <f t="shared" ref="D69" si="3">B69</f>
        <v>Total EMEA</v>
      </c>
      <c r="E69" s="130">
        <f>_xll.DBRW($B$57,E$67,$B69,$E$61,$E$62,E$68,$E$60,$E$59,$E$64,$E$63)</f>
        <v>978863.56748667057</v>
      </c>
      <c r="F69" s="130">
        <f>_xll.DBRW($B$57,F$67,$B69,$E$61,$E$62,F$68,$E$60,$E$59,$E$64,$E$63)</f>
        <v>696061.7100000002</v>
      </c>
      <c r="G69" s="130">
        <f>_xll.DBRW($B$57,G$67,$B69,$E$61,$E$62,G$68,$E$60,$E$59,$E$64,$E$63)</f>
        <v>827140.79566991515</v>
      </c>
      <c r="H69" s="130">
        <f>_xll.DBRW($B$57,H$67,$B69,$E$20,$E$62,H$68,$E$60,$E$59,$E$64,$E$63)</f>
        <v>1302984.2600000014</v>
      </c>
      <c r="I69" s="130"/>
      <c r="J69" s="130">
        <f>_xll.DBRW($B$57,J$67,$B69,$E$61,$E$62,J$68,$E$60,$E$59,$E$64,$E$63)</f>
        <v>5712924.2019077064</v>
      </c>
      <c r="K69" s="130">
        <f>_xll.DBRW($B$57,K$67,$B69,$E$61,$E$62,K$68,$E$60,$E$59,$E$64,$E$63)</f>
        <v>5257286.0899999952</v>
      </c>
      <c r="L69" s="130">
        <f>_xll.DBRW($B$57,L$67,$B69,$E$61,$E$62,L$68,$E$60,$E$59,$E$64,$E$63)</f>
        <v>3839849.2140586516</v>
      </c>
      <c r="M69" s="130">
        <f>_xll.DBRW($B$57,M$67,$B69,$E$20,$E$62,M$68,$E$60,$E$59,$E$64,$E$63)</f>
        <v>2208931.9999999963</v>
      </c>
      <c r="N69" s="130"/>
      <c r="O69" s="130">
        <f>_xll.DBRW($B$57,O$67,$B69,$E$61,$O$66,O$68,$E$60,$E$59,$E$64,$E$63)</f>
        <v>5257286.0900000017</v>
      </c>
      <c r="P69" s="130">
        <f>_xll.DBRW($B$57,P$67,$B69,$E$61,$P$66,P$68,$E$60,$E$59,$E$64,$E$63)</f>
        <v>3839849.2140586558</v>
      </c>
      <c r="Q69" s="130">
        <f>_xll.DBRW($B$57,Q$67,$B69,$E$20,$Q$66,Q$68,$E$60,$E$59,$E$64,$E$63)</f>
        <v>2208932.0000000023</v>
      </c>
      <c r="R69" s="128"/>
    </row>
    <row r="70" spans="1:18" s="168" customFormat="1">
      <c r="A70" s="128" t="str" cm="1">
        <f t="array" ref="A70">IF($B70="GROUP TOTAL","Group Total",IF(_xll.ELLEV("Finance:Company",$B70)&gt;0,"Total",IF($B70="CTP-China","Total",IF($B70 = "Central Costs","Spacer",IF($B70="Aylesbury","Spacer","Leaf")))))</f>
        <v>Leaf</v>
      </c>
      <c r="B70" s="219" t="s">
        <v>49</v>
      </c>
      <c r="C70" s="227"/>
      <c r="D70" s="197" t="str">
        <f t="shared" ref="D70" si="4">B70</f>
        <v>CTP-UK Historic</v>
      </c>
      <c r="E70" s="166">
        <f>_xll.DBRW($B$57,E$67,$B70,$E$61,$E$62,E$68,$E$60,$E$59,$E$64,$E$63)</f>
        <v>0</v>
      </c>
      <c r="F70" s="166">
        <f>_xll.DBRW($B$57,F$67,$B70,$E$61,$E$62,F$68,$E$60,$E$59,$E$64,$E$63)</f>
        <v>498707.11000000004</v>
      </c>
      <c r="G70" s="166">
        <f>_xll.DBRW($B$57,G$67,$B70,$E$61,$E$62,G$68,$E$60,$E$59,$E$64,$E$63)</f>
        <v>131079.01000000039</v>
      </c>
      <c r="H70" s="166">
        <f>_xll.DBRW($B$57,H$67,$B70,$E$20,$E$62,H$68,$E$60,$E$59,$E$64,$E$63)</f>
        <v>816695.08000000136</v>
      </c>
      <c r="I70" s="166"/>
      <c r="J70" s="166">
        <f>_xll.DBRW($B$57,J$67,$B70,$E$61,$E$62,J$68,$E$60,$E$59,$E$64,$E$63)</f>
        <v>0</v>
      </c>
      <c r="K70" s="166">
        <f>_xll.DBRW($B$57,K$67,$B70,$E$61,$E$62,K$68,$E$60,$E$59,$E$64,$E$63)</f>
        <v>1141594.0200000016</v>
      </c>
      <c r="L70" s="166">
        <f>_xll.DBRW($B$57,L$67,$B70,$E$61,$E$62,L$68,$E$60,$E$59,$E$64,$E$63)</f>
        <v>766309.24000000092</v>
      </c>
      <c r="M70" s="166">
        <f>_xll.DBRW($B$57,M$67,$B70,$E$20,$E$62,M$68,$E$60,$E$59,$E$64,$E$63)</f>
        <v>-543075.02000000537</v>
      </c>
      <c r="N70" s="166"/>
      <c r="O70" s="166">
        <f>_xll.DBRW($B$57,O$67,$B70,$E$61,$O$66,O$68,$E$60,$E$59,$E$64,$E$63)</f>
        <v>1141594.0200000007</v>
      </c>
      <c r="P70" s="166">
        <f>_xll.DBRW($B$57,P$67,$B70,$E$61,$P$66,P$68,$E$60,$E$59,$E$64,$E$63)</f>
        <v>766309.24000000232</v>
      </c>
      <c r="Q70" s="166">
        <f>_xll.DBRW($B$57,Q$67,$B70,$E$20,$Q$66,Q$68,$E$60,$E$59,$E$64,$E$63)</f>
        <v>-543075.01999999781</v>
      </c>
    </row>
    <row r="71" spans="1:18" s="168" customFormat="1">
      <c r="A71" s="128" t="str" cm="1">
        <f t="array" ref="A71">IF($B71="GROUP TOTAL","Group Total",IF(_xll.ELLEV("Finance:Company",$B71)&gt;0,"Total",IF($B71="CTP-China","Total",IF($B71 = "Central Costs","Spacer",IF($B71="Aylesbury","Spacer","Leaf")))))</f>
        <v>Leaf</v>
      </c>
      <c r="B71" s="219" t="s">
        <v>47</v>
      </c>
      <c r="C71" s="227"/>
      <c r="D71" s="197" t="str">
        <f t="shared" ref="D71:D72" si="5">B71</f>
        <v>Mitcham</v>
      </c>
      <c r="E71" s="166">
        <f>_xll.DBRW($B$57,E$67,$B71,$E$61,$E$62,E$68,$E$60,$E$59,$E$64,$E$63)</f>
        <v>678557.6599999998</v>
      </c>
      <c r="F71" s="166">
        <f>_xll.DBRW($B$57,F$67,$B71,$E$61,$E$62,F$68,$E$60,$E$59,$E$64,$E$63)</f>
        <v>0</v>
      </c>
      <c r="G71" s="166">
        <f>_xll.DBRW($B$57,G$67,$B71,$E$61,$E$62,G$68,$E$60,$E$59,$E$64,$E$63)</f>
        <v>498707.19999999984</v>
      </c>
      <c r="H71" s="166">
        <f>_xll.DBRW($B$57,H$67,$B71,$E$20,$E$62,H$68,$E$60,$E$59,$E$64,$E$63)</f>
        <v>0</v>
      </c>
      <c r="I71" s="166"/>
      <c r="J71" s="166">
        <f>_xll.DBRW($B$57,J$67,$B71,$E$61,$E$62,J$68,$E$60,$E$59,$E$64,$E$63)</f>
        <v>4484955.3800000018</v>
      </c>
      <c r="K71" s="166">
        <f>_xll.DBRW($B$57,K$67,$B71,$E$61,$E$62,K$68,$E$60,$E$59,$E$64,$E$63)</f>
        <v>2975841.719999996</v>
      </c>
      <c r="L71" s="166">
        <f>_xll.DBRW($B$57,L$67,$B71,$E$61,$E$62,L$68,$E$60,$E$59,$E$64,$E$63)</f>
        <v>498707.19999999984</v>
      </c>
      <c r="M71" s="166">
        <f>_xll.DBRW($B$57,M$67,$B71,$E$20,$E$62,M$68,$E$60,$E$59,$E$64,$E$63)</f>
        <v>0</v>
      </c>
      <c r="N71" s="166"/>
      <c r="O71" s="166">
        <f>_xll.DBRW($B$57,O$67,$B71,$E$61,$O$66,O$68,$E$60,$E$59,$E$64,$E$63)</f>
        <v>2975841.7200000007</v>
      </c>
      <c r="P71" s="166">
        <f>_xll.DBRW($B$57,P$67,$B71,$E$61,$P$66,P$68,$E$60,$E$59,$E$64,$E$63)</f>
        <v>498707.19999999984</v>
      </c>
      <c r="Q71" s="166">
        <f>_xll.DBRW($B$57,Q$67,$B71,$E$20,$Q$66,Q$68,$E$60,$E$59,$E$64,$E$63)</f>
        <v>0</v>
      </c>
    </row>
    <row r="72" spans="1:18" s="168" customFormat="1">
      <c r="A72" s="128" t="str" cm="1">
        <f t="array" ref="A72">IF($B72="GROUP TOTAL","Group Total",IF(_xll.ELLEV("Finance:Company",$B72)&gt;0,"Total",IF($B72="CTP-China","Total",IF($B72 = "Central Costs","Spacer",IF($B72="Aylesbury","Spacer","Leaf")))))</f>
        <v>Leaf</v>
      </c>
      <c r="B72" s="219" t="s">
        <v>38</v>
      </c>
      <c r="C72" s="227"/>
      <c r="D72" s="197" t="str">
        <f t="shared" si="5"/>
        <v>CTP-Czech</v>
      </c>
      <c r="E72" s="166">
        <f>_xll.DBRW($B$57,E$67,$B72,$E$61,$E$62,E$68,$E$60,$E$59,$E$64,$E$63)</f>
        <v>85375.665279503592</v>
      </c>
      <c r="F72" s="166">
        <f>_xll.DBRW($B$57,F$67,$B72,$E$61,$E$62,F$68,$E$60,$E$59,$E$64,$E$63)</f>
        <v>26141.270000000201</v>
      </c>
      <c r="G72" s="166">
        <f>_xll.DBRW($B$57,G$67,$B72,$E$61,$E$62,G$68,$E$60,$E$59,$E$64,$E$63)</f>
        <v>26141.246218953296</v>
      </c>
      <c r="H72" s="166">
        <f>_xll.DBRW($B$57,H$67,$B72,$E$20,$E$62,H$68,$E$60,$E$59,$E$64,$E$63)</f>
        <v>307382.96000000008</v>
      </c>
      <c r="I72" s="166"/>
      <c r="J72" s="166">
        <f>_xll.DBRW($B$57,J$67,$B72,$E$61,$E$62,J$68,$E$60,$E$59,$E$64,$E$63)</f>
        <v>160273.4526885642</v>
      </c>
      <c r="K72" s="166">
        <f>_xll.DBRW($B$57,K$67,$B72,$E$61,$E$62,K$68,$E$60,$E$59,$E$64,$E$63)</f>
        <v>49774.329999998947</v>
      </c>
      <c r="L72" s="166">
        <f>_xll.DBRW($B$57,L$67,$B72,$E$61,$E$62,L$68,$E$60,$E$59,$E$64,$E$63)</f>
        <v>500175.30687009764</v>
      </c>
      <c r="M72" s="166">
        <f>_xll.DBRW($B$57,M$67,$B72,$E$20,$E$62,M$68,$E$60,$E$59,$E$64,$E$63)</f>
        <v>878948.73000000045</v>
      </c>
      <c r="N72" s="166"/>
      <c r="O72" s="166">
        <f>_xll.DBRW($B$57,O$67,$B72,$E$61,$O$66,O$68,$E$60,$E$59,$E$64,$E$63)</f>
        <v>49774.330000000366</v>
      </c>
      <c r="P72" s="166">
        <f>_xll.DBRW($B$57,P$67,$B72,$E$61,$P$66,P$68,$E$60,$E$59,$E$64,$E$63)</f>
        <v>500175.30687010055</v>
      </c>
      <c r="Q72" s="166">
        <f>_xll.DBRW($B$57,Q$67,$B72,$E$20,$Q$66,Q$68,$E$60,$E$59,$E$64,$E$63)</f>
        <v>878948.73000000033</v>
      </c>
    </row>
    <row r="73" spans="1:18" s="168" customFormat="1">
      <c r="A73" s="128" t="str" cm="1">
        <f t="array" ref="A73">IF($B73="GROUP TOTAL","Group Total",IF(_xll.ELLEV("Finance:Company",$B73)&gt;0,"Total",IF($B73="CTP-China","Total",IF($B73 = "Central Costs","Spacer",IF($B73="Aylesbury","Spacer","Leaf")))))</f>
        <v>Leaf</v>
      </c>
      <c r="B73" s="219" t="s">
        <v>39</v>
      </c>
      <c r="C73" s="227"/>
      <c r="D73" s="197" t="str">
        <f t="shared" ref="D73:D76" si="6">B73</f>
        <v>CTP-India</v>
      </c>
      <c r="E73" s="166">
        <f>_xll.DBRW($B$57,E$67,$B73,$E$61,$E$62,E$68,$E$60,$E$59,$E$64,$E$63)</f>
        <v>214930.24220716718</v>
      </c>
      <c r="F73" s="166">
        <f>_xll.DBRW($B$57,F$67,$B73,$E$61,$E$62,F$68,$E$60,$E$59,$E$64,$E$63)</f>
        <v>171213.32999999996</v>
      </c>
      <c r="G73" s="166">
        <f>_xll.DBRW($B$57,G$67,$B73,$E$61,$E$62,G$68,$E$60,$E$59,$E$64,$E$63)</f>
        <v>171213.33945096171</v>
      </c>
      <c r="H73" s="166">
        <f>_xll.DBRW($B$57,H$67,$B73,$E$20,$E$62,H$68,$E$60,$E$59,$E$64,$E$63)</f>
        <v>178906.21999999997</v>
      </c>
      <c r="I73" s="166"/>
      <c r="J73" s="166">
        <f>_xll.DBRW($B$57,J$67,$B73,$E$61,$E$62,J$68,$E$60,$E$59,$E$64,$E$63)</f>
        <v>1067695.3692191404</v>
      </c>
      <c r="K73" s="166">
        <f>_xll.DBRW($B$57,K$67,$B73,$E$61,$E$62,K$68,$E$60,$E$59,$E$64,$E$63)</f>
        <v>1090076.0199999984</v>
      </c>
      <c r="L73" s="166">
        <f>_xll.DBRW($B$57,L$67,$B73,$E$61,$E$62,L$68,$E$60,$E$59,$E$64,$E$63)</f>
        <v>2074657.467188553</v>
      </c>
      <c r="M73" s="166">
        <f>_xll.DBRW($B$57,M$67,$B73,$E$20,$E$62,M$68,$E$60,$E$59,$E$64,$E$63)</f>
        <v>1873058.2900000017</v>
      </c>
      <c r="N73" s="166"/>
      <c r="O73" s="166">
        <f>_xll.DBRW($B$57,O$67,$B73,$E$61,$O$66,O$68,$E$60,$E$59,$E$64,$E$63)</f>
        <v>1090076.0199999996</v>
      </c>
      <c r="P73" s="166">
        <f>_xll.DBRW($B$57,P$67,$B73,$E$61,$P$66,P$68,$E$60,$E$59,$E$64,$E$63)</f>
        <v>2074657.4671885532</v>
      </c>
      <c r="Q73" s="166">
        <f>_xll.DBRW($B$57,Q$67,$B73,$E$20,$Q$66,Q$68,$E$60,$E$59,$E$64,$E$63)</f>
        <v>1873058.29</v>
      </c>
    </row>
    <row r="74" spans="1:18" s="168" customFormat="1">
      <c r="A74" s="128" t="str" cm="1">
        <f t="array" ref="A74">IF($B74="GROUP TOTAL","Group Total",IF(_xll.ELLEV("Finance:Company",$B74)&gt;0,"Total",IF($B74="CTP-China","Total",IF($B74 = "Central Costs","Spacer",IF($B74="Aylesbury","Spacer","Leaf")))))</f>
        <v>Leaf</v>
      </c>
      <c r="B74" s="219" t="s">
        <v>41</v>
      </c>
      <c r="C74" s="227"/>
      <c r="D74" s="197" t="str">
        <f t="shared" si="6"/>
        <v>CTP-consol</v>
      </c>
      <c r="E74" s="166">
        <f>_xll.DBRW($B$57,E$67,$B74,$E$61,$E$62,E$68,$E$60,$E$59,$E$64,$E$63)</f>
        <v>4.5474735088646412E-13</v>
      </c>
      <c r="F74" s="166">
        <f>_xll.DBRW($B$57,F$67,$B74,$E$61,$E$62,F$68,$E$60,$E$59,$E$64,$E$63)</f>
        <v>-1.8189894035458565E-11</v>
      </c>
      <c r="G74" s="166">
        <f>_xll.DBRW($B$57,G$67,$B74,$E$61,$E$62,G$68,$E$60,$E$59,$E$64,$E$63)</f>
        <v>-4.0927261579781771E-12</v>
      </c>
      <c r="H74" s="166">
        <f>_xll.DBRW($B$57,H$67,$B74,$E$20,$E$62,H$68,$E$60,$E$59,$E$64,$E$63)</f>
        <v>-1.4551915228366852E-11</v>
      </c>
      <c r="I74" s="166"/>
      <c r="J74" s="166">
        <f>_xll.DBRW($B$57,J$67,$B74,$E$61,$E$62,J$68,$E$60,$E$59,$E$64,$E$63)</f>
        <v>1.1687006917782128E-10</v>
      </c>
      <c r="K74" s="166">
        <f>_xll.DBRW($B$57,K$67,$B74,$E$61,$E$62,K$68,$E$60,$E$59,$E$64,$E$63)</f>
        <v>1.9463186617940664E-10</v>
      </c>
      <c r="L74" s="166">
        <f>_xll.DBRW($B$57,L$67,$B74,$E$61,$E$62,L$68,$E$60,$E$59,$E$64,$E$63)</f>
        <v>-8.7311491370201111E-11</v>
      </c>
      <c r="M74" s="166">
        <f>_xll.DBRW($B$57,M$67,$B74,$E$20,$E$62,M$68,$E$60,$E$59,$E$64,$E$63)</f>
        <v>-2.3283064365386963E-10</v>
      </c>
      <c r="N74" s="166"/>
      <c r="O74" s="166">
        <f>_xll.DBRW($B$57,O$67,$B74,$E$61,$O$66,O$68,$E$60,$E$59,$E$64,$E$63)</f>
        <v>-1.8189894035458565E-11</v>
      </c>
      <c r="P74" s="166">
        <f>_xll.DBRW($B$57,P$67,$B74,$E$61,$P$66,P$68,$E$60,$E$59,$E$64,$E$63)</f>
        <v>-4.0927261579781771E-12</v>
      </c>
      <c r="Q74" s="166">
        <f>_xll.DBRW($B$57,Q$67,$B74,$E$20,$Q$66,Q$68,$E$60,$E$59,$E$64,$E$63)</f>
        <v>8.0035533756017685E-11</v>
      </c>
    </row>
    <row r="75" spans="1:18" s="198" customFormat="1" ht="22.8">
      <c r="A75" s="128" t="str" cm="1">
        <f t="array" ref="A75">IF($B75="GROUP TOTAL","Group Total",IF(_xll.ELLEV("Finance:Company",$B75)&gt;0,"Total",IF($B75="CTP-China","Total",IF($B75 = "Central Costs","Spacer",IF($B75="Aylesbury","Spacer","Leaf")))))</f>
        <v>Total</v>
      </c>
      <c r="B75" s="217" t="s">
        <v>40</v>
      </c>
      <c r="C75" s="226"/>
      <c r="D75" s="128" t="str">
        <f t="shared" si="6"/>
        <v>CTP-China</v>
      </c>
      <c r="E75" s="130">
        <f>_xll.DBRW($B$57,E$67,$B75,$E$61,$E$62,E$68,$E$60,$E$59,$E$64,$E$63)</f>
        <v>268367.01660852582</v>
      </c>
      <c r="F75" s="130">
        <f>_xll.DBRW($B$57,F$67,$B75,$E$61,$E$62,F$68,$E$60,$E$59,$E$64,$E$63)</f>
        <v>44238.38000000007</v>
      </c>
      <c r="G75" s="130">
        <f>_xll.DBRW($B$57,G$67,$B75,$E$61,$E$62,G$68,$E$60,$E$59,$E$64,$E$63)</f>
        <v>44238.381435084688</v>
      </c>
      <c r="H75" s="130">
        <f>_xll.DBRW($B$57,H$67,$B75,$E$20,$E$62,H$68,$E$60,$E$59,$E$64,$E$63)</f>
        <v>293088.40000000008</v>
      </c>
      <c r="I75" s="130"/>
      <c r="J75" s="130">
        <f>_xll.DBRW($B$57,J$67,$B75,$E$61,$E$62,J$68,$E$60,$E$59,$E$64,$E$63)</f>
        <v>1937032.9607400224</v>
      </c>
      <c r="K75" s="130">
        <f>_xll.DBRW($B$57,K$67,$B75,$E$61,$E$62,K$68,$E$60,$E$59,$E$64,$E$63)</f>
        <v>1621639.9800000016</v>
      </c>
      <c r="L75" s="130">
        <f>_xll.DBRW($B$57,L$67,$B75,$E$61,$E$62,L$68,$E$60,$E$59,$E$64,$E$63)</f>
        <v>1197456.1772387219</v>
      </c>
      <c r="M75" s="130">
        <f>_xll.DBRW($B$57,M$67,$B75,$E$20,$E$62,M$68,$E$60,$E$59,$E$64,$E$63)</f>
        <v>2142278.3499999964</v>
      </c>
      <c r="N75" s="130"/>
      <c r="O75" s="130">
        <f>_xll.DBRW($B$57,O$67,$B75,$E$61,$O$66,O$68,$E$60,$E$59,$E$64,$E$63)</f>
        <v>1621639.9800000004</v>
      </c>
      <c r="P75" s="130">
        <f>_xll.DBRW($B$57,P$67,$B75,$E$61,$P$66,P$68,$E$60,$E$59,$E$64,$E$63)</f>
        <v>1197456.1772387216</v>
      </c>
      <c r="Q75" s="130">
        <f>_xll.DBRW($B$57,Q$67,$B75,$E$20,$Q$66,Q$68,$E$60,$E$59,$E$64,$E$63)</f>
        <v>2142278.3500000006</v>
      </c>
      <c r="R75" s="128"/>
    </row>
    <row r="76" spans="1:18" s="198" customFormat="1" ht="22.8">
      <c r="A76" s="128" t="str" cm="1">
        <f t="array" ref="A76">IF($B76="GROUP TOTAL","Group Total",IF(_xll.ELLEV("Finance:Company",$B76)&gt;0,"Total",IF($B76="CTP-China","Total",IF($B76 = "Central Costs","Spacer",IF($B76="Aylesbury","Spacer","Leaf")))))</f>
        <v>Total</v>
      </c>
      <c r="B76" s="218" t="s">
        <v>42</v>
      </c>
      <c r="C76" s="226"/>
      <c r="D76" s="128" t="str">
        <f t="shared" si="6"/>
        <v>Aerospace TOTAL</v>
      </c>
      <c r="E76" s="130">
        <f>_xll.DBRW($B$57,E$67,$B76,$E$61,$E$62,E$68,$E$60,$E$59,$E$64,$E$63)</f>
        <v>157962.2561006936</v>
      </c>
      <c r="F76" s="130">
        <f>_xll.DBRW($B$57,F$67,$B76,$E$61,$E$62,F$68,$E$60,$E$59,$E$64,$E$63)</f>
        <v>180586.60000000003</v>
      </c>
      <c r="G76" s="130">
        <f>_xll.DBRW($B$57,G$67,$B76,$E$61,$E$62,G$68,$E$60,$E$59,$E$64,$E$63)</f>
        <v>180586.58467140637</v>
      </c>
      <c r="H76" s="130">
        <f>_xll.DBRW($B$57,H$67,$B76,$E$20,$E$62,H$68,$E$60,$E$59,$E$64,$E$63)</f>
        <v>177416.98000000004</v>
      </c>
      <c r="I76" s="130"/>
      <c r="J76" s="130">
        <f>_xll.DBRW($B$57,J$67,$B76,$E$61,$E$62,J$68,$E$60,$E$59,$E$64,$E$63)</f>
        <v>1640623.9825980137</v>
      </c>
      <c r="K76" s="130">
        <f>_xll.DBRW($B$57,K$67,$B76,$E$61,$E$62,K$68,$E$60,$E$59,$E$64,$E$63)</f>
        <v>1738086.8899999997</v>
      </c>
      <c r="L76" s="130">
        <f>_xll.DBRW($B$57,L$67,$B76,$E$61,$E$62,L$68,$E$60,$E$59,$E$64,$E$63)</f>
        <v>1509757.7684411309</v>
      </c>
      <c r="M76" s="130">
        <f>_xll.DBRW($B$57,M$67,$B76,$E$20,$E$62,M$68,$E$60,$E$59,$E$64,$E$63)</f>
        <v>1420566.3699999994</v>
      </c>
      <c r="N76" s="130"/>
      <c r="O76" s="130">
        <f>_xll.DBRW($B$57,O$67,$B76,$E$61,$O$66,O$68,$E$60,$E$59,$E$64,$E$63)</f>
        <v>1738086.8899999987</v>
      </c>
      <c r="P76" s="130">
        <f>_xll.DBRW($B$57,P$67,$B76,$E$61,$P$66,P$68,$E$60,$E$59,$E$64,$E$63)</f>
        <v>1509757.7684411306</v>
      </c>
      <c r="Q76" s="130">
        <f>_xll.DBRW($B$57,Q$67,$B76,$E$20,$Q$66,Q$68,$E$60,$E$59,$E$64,$E$63)</f>
        <v>1420566.3700000006</v>
      </c>
      <c r="R76" s="128"/>
    </row>
    <row r="77" spans="1:18" s="168" customFormat="1">
      <c r="A77" s="128" t="str" cm="1">
        <f t="array" ref="A77">IF($B77="GROUP TOTAL","Group Total",IF(_xll.ELLEV("Finance:Company",$B77)&gt;0,"Total",IF($B77="CTP-China","Total",IF($B77 = "Central Costs","Spacer",IF($B77="Aylesbury","Spacer","Leaf")))))</f>
        <v>Leaf</v>
      </c>
      <c r="B77" s="219" t="s">
        <v>43</v>
      </c>
      <c r="C77" s="227"/>
      <c r="D77" s="197" t="str">
        <f t="shared" ref="D77:D82" si="7">B77</f>
        <v>Aero-Bruntons</v>
      </c>
      <c r="E77" s="166">
        <f>_xll.DBRW($B$57,E$67,$B77,$E$61,$E$62,E$68,$E$60,$E$59,$E$64,$E$63)</f>
        <v>118091</v>
      </c>
      <c r="F77" s="166">
        <f>_xll.DBRW($B$57,F$67,$B77,$E$61,$E$62,F$68,$E$60,$E$59,$E$64,$E$63)</f>
        <v>110281.4</v>
      </c>
      <c r="G77" s="166">
        <f>_xll.DBRW($B$57,G$67,$B77,$E$61,$E$62,G$68,$E$60,$E$59,$E$64,$E$63)</f>
        <v>110281.4</v>
      </c>
      <c r="H77" s="166">
        <f>_xll.DBRW($B$57,H$67,$B77,$E$20,$E$62,H$68,$E$60,$E$59,$E$64,$E$63)</f>
        <v>87065.63</v>
      </c>
      <c r="I77" s="166"/>
      <c r="J77" s="166">
        <f>_xll.DBRW($B$57,J$67,$B77,$E$61,$E$62,J$68,$E$60,$E$59,$E$64,$E$63)</f>
        <v>935696.94000000018</v>
      </c>
      <c r="K77" s="166">
        <f>_xll.DBRW($B$57,K$67,$B77,$E$61,$E$62,K$68,$E$60,$E$59,$E$64,$E$63)</f>
        <v>1008008.26</v>
      </c>
      <c r="L77" s="166">
        <f>_xll.DBRW($B$57,L$67,$B77,$E$61,$E$62,L$68,$E$60,$E$59,$E$64,$E$63)</f>
        <v>905861.8</v>
      </c>
      <c r="M77" s="166">
        <f>_xll.DBRW($B$57,M$67,$B77,$E$20,$E$62,M$68,$E$60,$E$59,$E$64,$E$63)</f>
        <v>933562.6100000001</v>
      </c>
      <c r="N77" s="166"/>
      <c r="O77" s="166">
        <f>_xll.DBRW($B$57,O$67,$B77,$E$61,$O$66,O$68,$E$60,$E$59,$E$64,$E$63)</f>
        <v>1008008.2599999999</v>
      </c>
      <c r="P77" s="166">
        <f>_xll.DBRW($B$57,P$67,$B77,$E$61,$P$66,P$68,$E$60,$E$59,$E$64,$E$63)</f>
        <v>905861.8000000004</v>
      </c>
      <c r="Q77" s="166">
        <f>_xll.DBRW($B$57,Q$67,$B77,$E$20,$Q$66,Q$68,$E$60,$E$59,$E$64,$E$63)</f>
        <v>933562.60999999987</v>
      </c>
    </row>
    <row r="78" spans="1:18" s="168" customFormat="1">
      <c r="A78" s="128" t="str" cm="1">
        <f t="array" ref="A78">IF($B78="GROUP TOTAL","Group Total",IF(_xll.ELLEV("Finance:Company",$B78)&gt;0,"Total",IF($B78="CTP-China","Total",IF($B78 = "Central Costs","Spacer",IF($B78="Aylesbury","Spacer","Leaf")))))</f>
        <v>Leaf</v>
      </c>
      <c r="B78" s="219" t="s">
        <v>44</v>
      </c>
      <c r="C78" s="227"/>
      <c r="D78" s="197" t="str">
        <f t="shared" si="7"/>
        <v>Aero-Jacottet</v>
      </c>
      <c r="E78" s="166">
        <f>_xll.DBRW($B$57,E$67,$B78,$E$61,$E$62,E$68,$E$60,$E$59,$E$64,$E$63)</f>
        <v>39871.256100693587</v>
      </c>
      <c r="F78" s="166">
        <f>_xll.DBRW($B$57,F$67,$B78,$E$61,$E$62,F$68,$E$60,$E$59,$E$64,$E$63)</f>
        <v>70305.200000000026</v>
      </c>
      <c r="G78" s="166">
        <f>_xll.DBRW($B$57,G$67,$B78,$E$61,$E$62,G$68,$E$60,$E$59,$E$64,$E$63)</f>
        <v>70305.184671406358</v>
      </c>
      <c r="H78" s="166">
        <f>_xll.DBRW($B$57,H$67,$B78,$E$20,$E$62,H$68,$E$60,$E$59,$E$64,$E$63)</f>
        <v>90351.350000000035</v>
      </c>
      <c r="I78" s="166"/>
      <c r="J78" s="166">
        <f>_xll.DBRW($B$57,J$67,$B78,$E$61,$E$62,J$68,$E$60,$E$59,$E$64,$E$63)</f>
        <v>704927.04259801365</v>
      </c>
      <c r="K78" s="166">
        <f>_xll.DBRW($B$57,K$67,$B78,$E$61,$E$62,K$68,$E$60,$E$59,$E$64,$E$63)</f>
        <v>730078.62999999954</v>
      </c>
      <c r="L78" s="166">
        <f>_xll.DBRW($B$57,L$67,$B78,$E$61,$E$62,L$68,$E$60,$E$59,$E$64,$E$63)</f>
        <v>603895.96844113083</v>
      </c>
      <c r="M78" s="166">
        <f>_xll.DBRW($B$57,M$67,$B78,$E$20,$E$62,M$68,$E$60,$E$59,$E$64,$E$63)</f>
        <v>487003.75999999937</v>
      </c>
      <c r="N78" s="166"/>
      <c r="O78" s="166">
        <f>_xll.DBRW($B$57,O$67,$B78,$E$61,$O$66,O$68,$E$60,$E$59,$E$64,$E$63)</f>
        <v>730078.62999999884</v>
      </c>
      <c r="P78" s="166">
        <f>_xll.DBRW($B$57,P$67,$B78,$E$61,$P$66,P$68,$E$60,$E$59,$E$64,$E$63)</f>
        <v>603895.96844113024</v>
      </c>
      <c r="Q78" s="166">
        <f>_xll.DBRW($B$57,Q$67,$B78,$E$20,$Q$66,Q$68,$E$60,$E$59,$E$64,$E$63)</f>
        <v>487003.76000000047</v>
      </c>
    </row>
    <row r="79" spans="1:18" s="168" customFormat="1">
      <c r="A79" s="128" t="str" cm="1">
        <f t="array" ref="A79">IF($B79="GROUP TOTAL","Group Total",IF(_xll.ELLEV("Finance:Company",$B79)&gt;0,"Total",IF($B79="CTP-China","Total",IF($B79 = "Central Costs","Spacer",IF($B79="Aylesbury","Spacer","Leaf")))))</f>
        <v>Leaf</v>
      </c>
      <c r="B79" s="219" t="s">
        <v>45</v>
      </c>
      <c r="C79" s="227"/>
      <c r="D79" s="197" t="str">
        <f t="shared" si="7"/>
        <v>Aero-Consol</v>
      </c>
      <c r="E79" s="166">
        <f>_xll.DBRW($B$57,E$67,$B79,$E$61,$E$62,E$68,$E$60,$E$59,$E$64,$E$63)</f>
        <v>0</v>
      </c>
      <c r="F79" s="166">
        <f>_xll.DBRW($B$57,F$67,$B79,$E$61,$E$62,F$68,$E$60,$E$59,$E$64,$E$63)</f>
        <v>0</v>
      </c>
      <c r="G79" s="166">
        <f>_xll.DBRW($B$57,G$67,$B79,$E$61,$E$62,G$68,$E$60,$E$59,$E$64,$E$63)</f>
        <v>0</v>
      </c>
      <c r="H79" s="166">
        <f>_xll.DBRW($B$57,H$67,$B79,$E$20,$E$62,H$68,$E$60,$E$59,$E$64,$E$63)</f>
        <v>0</v>
      </c>
      <c r="I79" s="166"/>
      <c r="J79" s="166">
        <f>_xll.DBRW($B$57,J$67,$B79,$E$61,$E$62,J$68,$E$60,$E$59,$E$64,$E$63)</f>
        <v>0</v>
      </c>
      <c r="K79" s="166">
        <f>_xll.DBRW($B$57,K$67,$B79,$E$61,$E$62,K$68,$E$60,$E$59,$E$64,$E$63)</f>
        <v>0</v>
      </c>
      <c r="L79" s="166">
        <f>_xll.DBRW($B$57,L$67,$B79,$E$61,$E$62,L$68,$E$60,$E$59,$E$64,$E$63)</f>
        <v>0</v>
      </c>
      <c r="M79" s="166">
        <f>_xll.DBRW($B$57,M$67,$B79,$E$20,$E$62,M$68,$E$60,$E$59,$E$64,$E$63)</f>
        <v>0</v>
      </c>
      <c r="N79" s="166"/>
      <c r="O79" s="166">
        <f>_xll.DBRW($B$57,O$67,$B79,$E$61,$O$66,O$68,$E$60,$E$59,$E$64,$E$63)</f>
        <v>0</v>
      </c>
      <c r="P79" s="166">
        <f>_xll.DBRW($B$57,P$67,$B79,$E$61,$P$66,P$68,$E$60,$E$59,$E$64,$E$63)</f>
        <v>0</v>
      </c>
      <c r="Q79" s="166">
        <f>_xll.DBRW($B$57,Q$67,$B79,$E$20,$Q$66,Q$68,$E$60,$E$59,$E$64,$E$63)</f>
        <v>0</v>
      </c>
    </row>
    <row r="80" spans="1:18" s="168" customFormat="1" ht="22.8">
      <c r="A80" s="128" t="str" cm="1">
        <f t="array" ref="A80">IF($B80="GROUP TOTAL","Group Total",IF(_xll.ELLEV("Finance:Company",$B80)&gt;0,"Total",IF($B80="CTP-China","Total",IF($B80 = "Central Costs","Spacer",IF($B80="Aylesbury","Spacer","Leaf")))))</f>
        <v>Spacer</v>
      </c>
      <c r="B80" s="220" t="s">
        <v>48</v>
      </c>
      <c r="C80" s="225"/>
      <c r="D80" s="168" t="str">
        <f t="shared" si="7"/>
        <v>Aylesbury</v>
      </c>
      <c r="E80" s="208">
        <f>_xll.DBRW($B$57,E$67,$B80,$E$61,$E$62,E$68,$E$60,$E$59,$E$64,$E$63)</f>
        <v>91538.709999999948</v>
      </c>
      <c r="F80" s="208">
        <f>_xll.DBRW($B$57,F$67,$B80,$E$61,$E$62,F$68,$E$60,$E$59,$E$64,$E$63)</f>
        <v>0</v>
      </c>
      <c r="G80" s="208">
        <f>_xll.DBRW($B$57,G$67,$B80,$E$61,$E$62,G$68,$E$60,$E$59,$E$64,$E$63)</f>
        <v>0</v>
      </c>
      <c r="H80" s="208">
        <f>_xll.DBRW($B$57,H$67,$B80,$E$20,$E$62,H$68,$E$60,$E$59,$E$64,$E$63)</f>
        <v>0</v>
      </c>
      <c r="I80" s="208"/>
      <c r="J80" s="208">
        <f>_xll.DBRW($B$57,J$67,$B80,$E$61,$E$62,J$68,$E$60,$E$59,$E$64,$E$63)</f>
        <v>389668.8899999999</v>
      </c>
      <c r="K80" s="208">
        <f>_xll.DBRW($B$57,K$67,$B80,$E$61,$E$62,K$68,$E$60,$E$59,$E$64,$E$63)</f>
        <v>220268.49000000011</v>
      </c>
      <c r="L80" s="208">
        <f>_xll.DBRW($B$57,L$67,$B80,$E$61,$E$62,L$68,$E$60,$E$59,$E$64,$E$63)</f>
        <v>0</v>
      </c>
      <c r="M80" s="208">
        <f>_xll.DBRW($B$57,M$67,$B80,$E$20,$E$62,M$68,$E$60,$E$59,$E$64,$E$63)</f>
        <v>0</v>
      </c>
      <c r="N80" s="208"/>
      <c r="O80" s="208">
        <f>_xll.DBRW($B$57,O$67,$B80,$E$61,$O$66,O$68,$E$60,$E$59,$E$64,$E$63)</f>
        <v>220268.49000000002</v>
      </c>
      <c r="P80" s="208">
        <f>_xll.DBRW($B$57,P$67,$B80,$E$61,$P$66,P$68,$E$60,$E$59,$E$64,$E$63)</f>
        <v>0</v>
      </c>
      <c r="Q80" s="208">
        <f>_xll.DBRW($B$57,Q$67,$B80,$E$20,$Q$66,Q$68,$E$60,$E$59,$E$64,$E$63)</f>
        <v>0</v>
      </c>
    </row>
    <row r="81" spans="1:18" s="198" customFormat="1" ht="22.8">
      <c r="A81" s="128" t="str" cm="1">
        <f t="array" ref="A81">IF($B81="GROUP TOTAL","Group Total",IF(_xll.ELLEV("Finance:Company",$B81)&gt;0,"Total",IF($B81="CTP-China","Total",IF($B81 = "Central Costs","Spacer",IF($B81="Aylesbury","Spacer","Leaf")))))</f>
        <v>Total</v>
      </c>
      <c r="B81" s="216" t="s">
        <v>70</v>
      </c>
      <c r="C81" s="226"/>
      <c r="D81" s="128" t="str">
        <f t="shared" si="7"/>
        <v>Central Costs TOTAL</v>
      </c>
      <c r="E81" s="130">
        <f>_xll.DBRW($B$57,E$67,$B81,$E$61,$E$62,E$68,$E$60,$E$59,$E$64,$E$63)</f>
        <v>-295540.58999999997</v>
      </c>
      <c r="F81" s="130">
        <f>_xll.DBRW($B$57,F$67,$B81,$E$61,$E$62,F$68,$E$60,$E$59,$E$64,$E$63)</f>
        <v>-320557.76</v>
      </c>
      <c r="G81" s="130">
        <f>_xll.DBRW($B$57,G$67,$B81,$E$61,$E$62,G$68,$E$60,$E$59,$E$64,$E$63)</f>
        <v>-344557.8</v>
      </c>
      <c r="H81" s="130">
        <f>_xll.DBRW($B$57,H$67,$B81,$E$20,$E$62,H$68,$E$60,$E$59,$E$64,$E$63)</f>
        <v>-549790.25999999989</v>
      </c>
      <c r="I81" s="130"/>
      <c r="J81" s="130">
        <f>_xll.DBRW($B$57,J$67,$B81,$E$61,$E$62,J$68,$E$60,$E$59,$E$64,$E$63)</f>
        <v>-4244614.2899999991</v>
      </c>
      <c r="K81" s="130">
        <f>_xll.DBRW($B$57,K$67,$B81,$E$61,$E$62,K$68,$E$60,$E$59,$E$64,$E$63)</f>
        <v>-4231482.46</v>
      </c>
      <c r="L81" s="130">
        <f>_xll.DBRW($B$57,L$67,$B81,$E$61,$E$62,L$68,$E$60,$E$59,$E$64,$E$63)</f>
        <v>-3995611.21</v>
      </c>
      <c r="M81" s="130">
        <f>_xll.DBRW($B$57,M$67,$B81,$E$20,$E$62,M$68,$E$60,$E$59,$E$64,$E$63)</f>
        <v>-3161610.0799999996</v>
      </c>
      <c r="N81" s="130"/>
      <c r="O81" s="130">
        <f>_xll.DBRW($B$57,O$67,$B81,$E$61,$O$66,O$68,$E$60,$E$59,$E$64,$E$63)</f>
        <v>-4231482.46</v>
      </c>
      <c r="P81" s="130">
        <f>_xll.DBRW($B$57,P$67,$B81,$E$61,$P$66,P$68,$E$60,$E$59,$E$64,$E$63)</f>
        <v>-3995611.2099999986</v>
      </c>
      <c r="Q81" s="130">
        <f>_xll.DBRW($B$57,Q$67,$B81,$E$20,$Q$66,Q$68,$E$60,$E$59,$E$64,$E$63)</f>
        <v>-3161610.0799999996</v>
      </c>
      <c r="R81" s="128"/>
    </row>
    <row r="82" spans="1:18" s="205" customFormat="1" ht="25.5" customHeight="1">
      <c r="A82" s="204" t="str" cm="1">
        <f t="array" ref="A82">IF($B82="GROUP TOTAL","Group Total",IF(_xll.ELLEV("Finance:Company",$B82)&gt;0,"Total",IF($B82="CTP-China","Total",IF($B82 = "Central Costs","Spacer",IF($B82="Aylesbury","Spacer","Leaf")))))</f>
        <v>Group Total</v>
      </c>
      <c r="B82" s="221" t="s">
        <v>46</v>
      </c>
      <c r="C82" s="223"/>
      <c r="D82" s="209" t="str">
        <f t="shared" si="7"/>
        <v>GROUP TOTAL</v>
      </c>
      <c r="E82" s="206">
        <f>_xll.DBRW($B$57,E$67,$B82,$E$61,$E$62,E$68,$E$60,$E$59,$E$64,$E$63)</f>
        <v>1995461.7087107417</v>
      </c>
      <c r="F82" s="206">
        <f>_xll.DBRW($B$57,F$67,$B82,$E$61,$E$62,F$68,$E$60,$E$59,$E$64,$E$63)</f>
        <v>823135.86999999965</v>
      </c>
      <c r="G82" s="206">
        <f>_xll.DBRW($B$57,G$67,$B82,$E$61,$E$62,G$68,$E$60,$E$59,$E$64,$E$63)</f>
        <v>930214.91276603821</v>
      </c>
      <c r="H82" s="206">
        <f>_xll.DBRW($B$57,H$67,$B82,$E$20,$E$62,H$68,$E$60,$E$59,$E$64,$E$63)</f>
        <v>1674441.2000000016</v>
      </c>
      <c r="I82" s="207"/>
      <c r="J82" s="206">
        <f>_xll.DBRW($B$57,J$67,$B82,$E$61,$E$62,J$68,$E$60,$E$59,$E$64,$E$63)</f>
        <v>5861119.0534839733</v>
      </c>
      <c r="K82" s="206">
        <f>_xll.DBRW($B$57,K$67,$B82,$E$61,$E$62,K$68,$E$60,$E$59,$E$64,$E$63)</f>
        <v>4183045.7999999924</v>
      </c>
      <c r="L82" s="206">
        <f>_xll.DBRW($B$57,L$67,$B82,$E$61,$E$62,L$68,$E$60,$E$59,$E$64,$E$63)</f>
        <v>5541330.5234111305</v>
      </c>
      <c r="M82" s="206">
        <f>_xll.DBRW($B$57,M$67,$B82,$E$20,$E$62,M$68,$E$60,$E$59,$E$64,$E$63)</f>
        <v>5359633.1099999789</v>
      </c>
      <c r="N82" s="207"/>
      <c r="O82" s="206">
        <f>_xll.DBRW($B$57,O$67,$B82,$E$61,$O$66,O$68,$E$60,$E$59,$E$64,$E$63)</f>
        <v>4183045.8</v>
      </c>
      <c r="P82" s="206">
        <f>_xll.DBRW($B$57,P$67,$B82,$E$61,$P$66,P$68,$E$60,$E$59,$E$64,$E$63)</f>
        <v>5541330.5234111445</v>
      </c>
      <c r="Q82" s="206">
        <f>_xll.DBRW($B$57,Q$67,$B82,$E$20,$Q$66,Q$68,$E$60,$E$59,$E$64,$E$63)</f>
        <v>5359633.1100000078</v>
      </c>
    </row>
    <row r="83" spans="1:18">
      <c r="D83" s="199"/>
      <c r="E83" s="200"/>
      <c r="F83" s="200"/>
      <c r="G83" s="200"/>
      <c r="H83" s="200"/>
      <c r="J83" s="200"/>
      <c r="K83" s="200"/>
      <c r="L83" s="200"/>
      <c r="M83" s="200"/>
      <c r="O83" s="200"/>
      <c r="P83" s="200"/>
      <c r="Q83" s="200"/>
    </row>
  </sheetData>
  <mergeCells count="3">
    <mergeCell ref="O32:Q32"/>
    <mergeCell ref="J32:M32"/>
    <mergeCell ref="E32:H32"/>
  </mergeCells>
  <hyperlinks>
    <hyperlink ref="B69" r:id="rId1" display="=@TM1RPTROW($B$57,&quot;Finance:Company&quot;,&quot;US SIte Split - uEBIT&quot;,,&quot;Short Name&quot;,FALSE)" xr:uid="{9E1DAC6F-45BB-49BB-8019-45B23A11A902}"/>
    <hyperlink ref="B70" r:id="rId2" display="=@TM1RPTROW($B$57,&quot;Finance:Company&quot;,&quot;US SIte Split - uEBIT&quot;,,&quot;Short Name&quot;,FALSE)" xr:uid="{0EF66AB2-C64B-4BC0-B9BC-259A1827B7FA}"/>
  </hyperlinks>
  <pageMargins left="0.70866141732283472" right="0.70866141732283472" top="0.74803149606299213" bottom="0.74803149606299213" header="0.31496062992125984" footer="0.31496062992125984"/>
  <pageSetup paperSize="9" scale="76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9F30-D2FA-4464-908C-E78CB1D00F63}">
  <dimension ref="A1:Q83"/>
  <sheetViews>
    <sheetView topLeftCell="C37" workbookViewId="0">
      <selection activeCell="O76" sqref="D76:O76"/>
    </sheetView>
  </sheetViews>
  <sheetFormatPr defaultRowHeight="14.4"/>
  <cols>
    <col min="1" max="2" width="25.6640625" hidden="1" customWidth="1"/>
    <col min="3" max="3" width="3.44140625" customWidth="1"/>
    <col min="4" max="4" width="25.6640625" style="15" customWidth="1"/>
    <col min="5" max="5" width="18.109375" customWidth="1"/>
    <col min="6" max="8" width="14.109375" customWidth="1"/>
    <col min="9" max="9" width="2.33203125" customWidth="1"/>
    <col min="10" max="11" width="14.109375" bestFit="1" customWidth="1"/>
    <col min="12" max="13" width="15.109375" bestFit="1" customWidth="1"/>
    <col min="14" max="14" width="2.33203125" customWidth="1"/>
    <col min="15" max="15" width="18.6640625" style="91" bestFit="1" customWidth="1"/>
    <col min="16" max="17" width="18.6640625" style="105" bestFit="1" customWidth="1"/>
  </cols>
  <sheetData>
    <row r="1" spans="1:17" hidden="1">
      <c r="A1" s="1" t="s">
        <v>0</v>
      </c>
      <c r="B1" s="1"/>
      <c r="C1" s="1"/>
    </row>
    <row r="2" spans="1:17" s="2" customFormat="1" hidden="1">
      <c r="A2" s="2">
        <v>0</v>
      </c>
      <c r="D2" s="24" t="s">
        <v>4</v>
      </c>
      <c r="E2" s="34">
        <v>123.456789</v>
      </c>
      <c r="F2" s="34"/>
      <c r="G2" s="34">
        <v>123.456789</v>
      </c>
      <c r="H2" s="34">
        <v>123.456789</v>
      </c>
      <c r="I2" s="34"/>
      <c r="J2" s="34">
        <v>123.456789</v>
      </c>
      <c r="K2" s="34"/>
      <c r="L2" s="34">
        <v>123.456789</v>
      </c>
      <c r="M2" s="34">
        <v>123.456789</v>
      </c>
      <c r="N2" s="42"/>
      <c r="O2" s="85">
        <v>123.456789</v>
      </c>
      <c r="P2" s="106">
        <v>123.456789</v>
      </c>
      <c r="Q2" s="106">
        <v>123.456789</v>
      </c>
    </row>
    <row r="3" spans="1:17" s="3" customFormat="1" hidden="1">
      <c r="A3" s="3">
        <v>1</v>
      </c>
      <c r="D3" s="18" t="s">
        <v>4</v>
      </c>
      <c r="E3" s="35">
        <v>123.456789</v>
      </c>
      <c r="F3" s="35"/>
      <c r="G3" s="35">
        <v>123.456789</v>
      </c>
      <c r="H3" s="35">
        <v>123.456789</v>
      </c>
      <c r="I3" s="35"/>
      <c r="J3" s="35">
        <v>123.456789</v>
      </c>
      <c r="K3" s="35"/>
      <c r="L3" s="35">
        <v>123.456789</v>
      </c>
      <c r="M3" s="35">
        <v>123.456789</v>
      </c>
      <c r="N3" s="43"/>
      <c r="O3" s="86">
        <v>123.456789</v>
      </c>
      <c r="P3" s="107">
        <v>123.456789</v>
      </c>
      <c r="Q3" s="107">
        <v>123.456789</v>
      </c>
    </row>
    <row r="4" spans="1:17" s="4" customFormat="1" hidden="1">
      <c r="A4" s="4">
        <v>2</v>
      </c>
      <c r="D4" s="19" t="s">
        <v>4</v>
      </c>
      <c r="E4" s="36">
        <v>123.456789</v>
      </c>
      <c r="F4" s="36"/>
      <c r="G4" s="36">
        <v>123.456789</v>
      </c>
      <c r="H4" s="36">
        <v>123.456789</v>
      </c>
      <c r="I4" s="36"/>
      <c r="J4" s="36">
        <v>123.456789</v>
      </c>
      <c r="K4" s="36"/>
      <c r="L4" s="36">
        <v>123.456789</v>
      </c>
      <c r="M4" s="36">
        <v>123.456789</v>
      </c>
      <c r="N4" s="44"/>
      <c r="O4" s="92">
        <v>123.456789</v>
      </c>
      <c r="P4" s="108">
        <v>123.456789</v>
      </c>
      <c r="Q4" s="108">
        <v>123.456789</v>
      </c>
    </row>
    <row r="5" spans="1:17" s="5" customFormat="1" hidden="1">
      <c r="A5" s="5">
        <v>3</v>
      </c>
      <c r="D5" s="20" t="s">
        <v>4</v>
      </c>
      <c r="E5" s="37">
        <v>123.456789</v>
      </c>
      <c r="F5" s="37"/>
      <c r="G5" s="37">
        <v>123.456789</v>
      </c>
      <c r="H5" s="37">
        <v>123.456789</v>
      </c>
      <c r="I5" s="37"/>
      <c r="J5" s="37">
        <v>123.456789</v>
      </c>
      <c r="K5" s="37"/>
      <c r="L5" s="37">
        <v>123.456789</v>
      </c>
      <c r="M5" s="37">
        <v>123.456789</v>
      </c>
      <c r="N5" s="45"/>
      <c r="O5" s="93">
        <v>123.456789</v>
      </c>
      <c r="P5" s="109">
        <v>123.456789</v>
      </c>
      <c r="Q5" s="109">
        <v>123.456789</v>
      </c>
    </row>
    <row r="6" spans="1:17" s="6" customFormat="1" hidden="1">
      <c r="A6" s="6">
        <v>4</v>
      </c>
      <c r="D6" s="21" t="s">
        <v>4</v>
      </c>
      <c r="E6" s="38">
        <v>123.456789</v>
      </c>
      <c r="F6" s="38"/>
      <c r="G6" s="38">
        <v>123.456789</v>
      </c>
      <c r="H6" s="38">
        <v>123.456789</v>
      </c>
      <c r="I6" s="38"/>
      <c r="J6" s="38">
        <v>123.456789</v>
      </c>
      <c r="K6" s="38"/>
      <c r="L6" s="38">
        <v>123.456789</v>
      </c>
      <c r="M6" s="38">
        <v>123.456789</v>
      </c>
      <c r="N6" s="46"/>
      <c r="O6" s="94">
        <v>123.456789</v>
      </c>
      <c r="P6" s="110">
        <v>123.456789</v>
      </c>
      <c r="Q6" s="110">
        <v>123.456789</v>
      </c>
    </row>
    <row r="7" spans="1:17" s="7" customFormat="1" hidden="1">
      <c r="A7" s="7">
        <v>5</v>
      </c>
      <c r="D7" s="22" t="s">
        <v>4</v>
      </c>
      <c r="E7" s="39">
        <v>123.456789</v>
      </c>
      <c r="F7" s="39"/>
      <c r="G7" s="39">
        <v>123.456789</v>
      </c>
      <c r="H7" s="39">
        <v>123.456789</v>
      </c>
      <c r="I7" s="39"/>
      <c r="J7" s="39">
        <v>123.456789</v>
      </c>
      <c r="K7" s="39"/>
      <c r="L7" s="39">
        <v>123.456789</v>
      </c>
      <c r="M7" s="39">
        <v>123.456789</v>
      </c>
      <c r="N7" s="47"/>
      <c r="O7" s="95">
        <v>123.456789</v>
      </c>
      <c r="P7" s="111">
        <v>123.456789</v>
      </c>
      <c r="Q7" s="111">
        <v>123.456789</v>
      </c>
    </row>
    <row r="8" spans="1:17" s="9" customFormat="1" hidden="1">
      <c r="A8" s="8" t="s">
        <v>1</v>
      </c>
      <c r="B8" s="8"/>
      <c r="C8" s="8"/>
      <c r="D8" s="23" t="s">
        <v>4</v>
      </c>
      <c r="E8" s="40">
        <v>123.456789</v>
      </c>
      <c r="F8" s="40"/>
      <c r="G8" s="40">
        <v>123.456789</v>
      </c>
      <c r="H8" s="40">
        <v>123.456789</v>
      </c>
      <c r="I8" s="40"/>
      <c r="J8" s="40">
        <v>123.456789</v>
      </c>
      <c r="K8" s="40"/>
      <c r="L8" s="40">
        <v>123.456789</v>
      </c>
      <c r="M8" s="40">
        <v>123.456789</v>
      </c>
      <c r="N8" s="48"/>
      <c r="O8" s="96">
        <v>123.456789</v>
      </c>
      <c r="P8" s="112">
        <v>123.456789</v>
      </c>
      <c r="Q8" s="112">
        <v>123.456789</v>
      </c>
    </row>
    <row r="9" spans="1:17" s="11" customFormat="1" hidden="1">
      <c r="A9" s="10" t="s">
        <v>2</v>
      </c>
      <c r="B9" s="10"/>
      <c r="C9" s="10"/>
      <c r="D9" s="25" t="s">
        <v>4</v>
      </c>
      <c r="E9" s="41">
        <v>123.456789</v>
      </c>
      <c r="F9" s="41"/>
      <c r="G9" s="41">
        <v>123.456789</v>
      </c>
      <c r="H9" s="41">
        <v>123.456789</v>
      </c>
      <c r="I9" s="41"/>
      <c r="J9" s="41">
        <v>123.456789</v>
      </c>
      <c r="K9" s="41"/>
      <c r="L9" s="41">
        <v>123.456789</v>
      </c>
      <c r="M9" s="41">
        <v>123.456789</v>
      </c>
      <c r="N9" s="49"/>
      <c r="O9" s="87">
        <v>123.456789</v>
      </c>
      <c r="P9" s="113">
        <v>123.456789</v>
      </c>
      <c r="Q9" s="113">
        <v>123.456789</v>
      </c>
    </row>
    <row r="10" spans="1:17" hidden="1">
      <c r="A10" s="1" t="s">
        <v>3</v>
      </c>
      <c r="B10" s="1"/>
      <c r="C10" s="1"/>
    </row>
    <row r="11" spans="1:17" hidden="1">
      <c r="D11" s="16" t="s">
        <v>5</v>
      </c>
    </row>
    <row r="12" spans="1:17" hidden="1">
      <c r="D12" s="15" t="s">
        <v>50</v>
      </c>
    </row>
    <row r="13" spans="1:17" hidden="1"/>
    <row r="14" spans="1:17" hidden="1">
      <c r="D14" s="17" t="s">
        <v>6</v>
      </c>
      <c r="E14" s="12" t="s">
        <v>51</v>
      </c>
    </row>
    <row r="15" spans="1:17" hidden="1">
      <c r="D15" s="64"/>
      <c r="E15" s="54"/>
    </row>
    <row r="16" spans="1:17" hidden="1">
      <c r="D16" s="64" t="s">
        <v>7</v>
      </c>
      <c r="E16" s="65" t="s">
        <v>52</v>
      </c>
    </row>
    <row r="17" spans="1:17" hidden="1">
      <c r="D17" s="64" t="s">
        <v>8</v>
      </c>
      <c r="E17" s="66" t="s">
        <v>53</v>
      </c>
    </row>
    <row r="18" spans="1:17" hidden="1">
      <c r="D18" s="64" t="s">
        <v>9</v>
      </c>
      <c r="E18" s="67" t="s">
        <v>54</v>
      </c>
    </row>
    <row r="19" spans="1:17" hidden="1">
      <c r="D19" s="64" t="s">
        <v>10</v>
      </c>
      <c r="E19" s="67" t="s">
        <v>55</v>
      </c>
    </row>
    <row r="20" spans="1:17" hidden="1">
      <c r="D20" s="70" t="s">
        <v>30</v>
      </c>
      <c r="E20" s="14" t="s">
        <v>56</v>
      </c>
    </row>
    <row r="21" spans="1:17" hidden="1">
      <c r="D21" s="70" t="s">
        <v>32</v>
      </c>
      <c r="E21" t="s">
        <v>57</v>
      </c>
    </row>
    <row r="22" spans="1:17" hidden="1">
      <c r="O22" s="91" t="s">
        <v>31</v>
      </c>
      <c r="P22" s="105" t="s">
        <v>31</v>
      </c>
      <c r="Q22" s="105" t="s">
        <v>31</v>
      </c>
    </row>
    <row r="23" spans="1:17" ht="15" hidden="1" thickBot="1">
      <c r="E23" s="68" t="s">
        <v>11</v>
      </c>
      <c r="F23" s="51" t="s">
        <v>57</v>
      </c>
      <c r="G23" s="13" t="s">
        <v>12</v>
      </c>
      <c r="H23" s="13" t="s">
        <v>11</v>
      </c>
      <c r="I23" s="32"/>
      <c r="J23" s="13" t="s">
        <v>11</v>
      </c>
      <c r="K23" s="51" t="s">
        <v>57</v>
      </c>
      <c r="L23" s="13" t="s">
        <v>12</v>
      </c>
      <c r="M23" s="13" t="s">
        <v>11</v>
      </c>
      <c r="O23" s="97" t="s">
        <v>57</v>
      </c>
      <c r="P23" s="114" t="s">
        <v>12</v>
      </c>
      <c r="Q23" s="114" t="s">
        <v>11</v>
      </c>
    </row>
    <row r="24" spans="1:17" hidden="1">
      <c r="E24" s="69" t="s">
        <v>13</v>
      </c>
      <c r="F24" s="51" t="s">
        <v>13</v>
      </c>
      <c r="G24" s="51" t="s">
        <v>13</v>
      </c>
      <c r="H24" s="51" t="s">
        <v>13</v>
      </c>
      <c r="I24" s="32"/>
      <c r="J24" s="51" t="s">
        <v>14</v>
      </c>
      <c r="K24" s="51" t="s">
        <v>14</v>
      </c>
      <c r="L24" s="51" t="s">
        <v>14</v>
      </c>
      <c r="M24" s="51" t="s">
        <v>14</v>
      </c>
      <c r="O24" s="97" t="s">
        <v>13</v>
      </c>
      <c r="P24" s="115" t="s">
        <v>13</v>
      </c>
      <c r="Q24" s="115" t="s">
        <v>13</v>
      </c>
    </row>
    <row r="25" spans="1:17" hidden="1">
      <c r="E25" s="50"/>
      <c r="F25" s="50"/>
      <c r="G25" s="50"/>
      <c r="H25" s="50"/>
      <c r="I25" s="50"/>
      <c r="J25" s="50"/>
      <c r="K25" s="50"/>
      <c r="L25" s="50"/>
      <c r="M25" s="50"/>
      <c r="O25" s="98"/>
      <c r="P25" s="116"/>
      <c r="Q25" s="116"/>
    </row>
    <row r="26" spans="1:17" ht="15" hidden="1" thickBot="1">
      <c r="E26" s="52"/>
      <c r="F26" s="60"/>
      <c r="G26" s="52"/>
      <c r="H26" s="52"/>
      <c r="I26" s="50"/>
      <c r="J26" s="52"/>
      <c r="K26" s="50"/>
      <c r="L26" s="52"/>
      <c r="M26" s="52"/>
      <c r="O26" s="99"/>
      <c r="P26" s="117"/>
      <c r="Q26" s="117"/>
    </row>
    <row r="27" spans="1:17" ht="15" hidden="1" thickBot="1">
      <c r="E27" s="52"/>
      <c r="F27" s="60"/>
      <c r="G27" s="52"/>
      <c r="H27" s="52"/>
      <c r="I27" s="50"/>
      <c r="J27" s="50"/>
      <c r="K27" s="50"/>
      <c r="L27" s="50"/>
      <c r="M27" s="50"/>
      <c r="O27" s="99"/>
      <c r="P27" s="117"/>
      <c r="Q27" s="117"/>
    </row>
    <row r="28" spans="1:17" ht="15" hidden="1" thickBot="1">
      <c r="E28" s="50"/>
      <c r="F28" s="50"/>
      <c r="G28" s="50"/>
      <c r="H28" s="50"/>
      <c r="I28" s="50"/>
      <c r="J28" s="58"/>
      <c r="K28" s="57"/>
      <c r="L28" s="59"/>
      <c r="M28" s="59"/>
      <c r="O28" s="99"/>
      <c r="P28" s="117"/>
      <c r="Q28" s="117"/>
    </row>
    <row r="29" spans="1:17" ht="15" thickBot="1">
      <c r="E29" s="50"/>
      <c r="F29" s="50"/>
      <c r="G29" s="50"/>
      <c r="H29" s="50"/>
      <c r="I29" s="50"/>
      <c r="J29" s="60"/>
      <c r="K29" s="60"/>
      <c r="L29" s="60"/>
      <c r="M29" s="60"/>
      <c r="O29" s="99"/>
      <c r="P29" s="117"/>
      <c r="Q29" s="117"/>
    </row>
    <row r="30" spans="1:17" ht="15" thickBot="1">
      <c r="E30" s="230" t="s">
        <v>27</v>
      </c>
      <c r="F30" s="231"/>
      <c r="G30" s="231"/>
      <c r="H30" s="232"/>
      <c r="I30" s="55"/>
      <c r="J30" s="230" t="s">
        <v>29</v>
      </c>
      <c r="K30" s="231"/>
      <c r="L30" s="231"/>
      <c r="M30" s="232"/>
      <c r="N30" s="53"/>
      <c r="O30" s="233" t="s">
        <v>58</v>
      </c>
      <c r="P30" s="234"/>
      <c r="Q30" s="235"/>
    </row>
    <row r="31" spans="1:17" ht="15" thickBot="1">
      <c r="D31" s="63"/>
      <c r="E31" s="62" t="s">
        <v>11</v>
      </c>
      <c r="F31" s="56" t="s">
        <v>57</v>
      </c>
      <c r="G31" s="56" t="s">
        <v>12</v>
      </c>
      <c r="H31" s="56" t="s">
        <v>28</v>
      </c>
      <c r="I31" s="61"/>
      <c r="J31" s="56" t="s">
        <v>11</v>
      </c>
      <c r="K31" s="56" t="s">
        <v>57</v>
      </c>
      <c r="L31" s="56" t="s">
        <v>12</v>
      </c>
      <c r="M31" s="56" t="s">
        <v>28</v>
      </c>
      <c r="N31" s="53"/>
      <c r="O31" s="100" t="s">
        <v>57</v>
      </c>
      <c r="P31" s="118" t="s">
        <v>12</v>
      </c>
      <c r="Q31" s="118" t="s">
        <v>28</v>
      </c>
    </row>
    <row r="32" spans="1:17" s="2" customFormat="1">
      <c r="A32" s="2">
        <v>0</v>
      </c>
      <c r="B32" s="28" t="s">
        <v>59</v>
      </c>
      <c r="D32" s="24" t="str">
        <f>B32</f>
        <v>Total US</v>
      </c>
      <c r="E32" s="83">
        <v>5709792.4363807719</v>
      </c>
      <c r="F32" s="83">
        <v>5193424.5429953272</v>
      </c>
      <c r="G32" s="83">
        <v>6525857.6958067985</v>
      </c>
      <c r="H32" s="83">
        <v>6092065.9890927123</v>
      </c>
      <c r="I32" s="75"/>
      <c r="J32" s="83">
        <v>47883547.927040793</v>
      </c>
      <c r="K32" s="83">
        <v>47914304.504712686</v>
      </c>
      <c r="L32" s="83">
        <v>56262643.49516169</v>
      </c>
      <c r="M32" s="83">
        <v>56449425.956899144</v>
      </c>
      <c r="N32" s="76"/>
      <c r="O32" s="83">
        <v>62880172.608655632</v>
      </c>
      <c r="P32" s="83">
        <v>75231403.399222568</v>
      </c>
      <c r="Q32" s="83">
        <v>73830565.037763432</v>
      </c>
    </row>
    <row r="33" spans="1:17" s="3" customFormat="1">
      <c r="A33" s="3">
        <v>1</v>
      </c>
      <c r="B33" s="72" t="s">
        <v>15</v>
      </c>
      <c r="D33" s="18" t="str">
        <f t="shared" ref="D33:D44" si="0">B33</f>
        <v>Pennsylvania</v>
      </c>
      <c r="E33" s="83">
        <v>3540628.8642789819</v>
      </c>
      <c r="F33" s="83">
        <v>3532691.2861709981</v>
      </c>
      <c r="G33" s="83">
        <v>4712477.5700934585</v>
      </c>
      <c r="H33" s="83">
        <v>3747792.687159148</v>
      </c>
      <c r="I33" s="75"/>
      <c r="J33" s="83">
        <v>25931552.585475873</v>
      </c>
      <c r="K33" s="83">
        <v>26279286.678734362</v>
      </c>
      <c r="L33" s="83">
        <v>37759809.139029033</v>
      </c>
      <c r="M33" s="75">
        <v>31444799.165581353</v>
      </c>
      <c r="N33" s="76"/>
      <c r="O33" s="83">
        <v>35069854.758085124</v>
      </c>
      <c r="P33" s="83">
        <v>51237445.471838556</v>
      </c>
      <c r="Q33" s="83">
        <v>41402513.032135658</v>
      </c>
    </row>
    <row r="34" spans="1:17" s="11" customFormat="1">
      <c r="A34" s="10" t="s">
        <v>2</v>
      </c>
      <c r="B34" s="29" t="s">
        <v>16</v>
      </c>
      <c r="C34" s="10"/>
      <c r="D34" s="25" t="str">
        <f t="shared" si="0"/>
        <v>Latrobe</v>
      </c>
      <c r="E34" s="84">
        <v>2527217.4520892235</v>
      </c>
      <c r="F34" s="84">
        <v>2513384.9823756046</v>
      </c>
      <c r="G34" s="84">
        <v>3780685.7249193615</v>
      </c>
      <c r="H34" s="84">
        <v>2897655.1726987278</v>
      </c>
      <c r="I34" s="77"/>
      <c r="J34" s="84">
        <v>18669311.158404261</v>
      </c>
      <c r="K34" s="84">
        <v>18835287.782020342</v>
      </c>
      <c r="L34" s="84">
        <v>30014289.479778346</v>
      </c>
      <c r="M34" s="84">
        <v>23454357.369442429</v>
      </c>
      <c r="N34" s="78"/>
      <c r="O34" s="84">
        <v>24985039.646927297</v>
      </c>
      <c r="P34" s="84">
        <v>40871261.268712267</v>
      </c>
      <c r="Q34" s="84">
        <v>31002150.285883438</v>
      </c>
    </row>
    <row r="35" spans="1:17" s="11" customFormat="1">
      <c r="A35" s="10" t="s">
        <v>2</v>
      </c>
      <c r="B35" s="29" t="s">
        <v>17</v>
      </c>
      <c r="C35" s="10"/>
      <c r="D35" s="25" t="str">
        <f t="shared" si="0"/>
        <v>Export</v>
      </c>
      <c r="E35" s="84">
        <v>925793.9365378574</v>
      </c>
      <c r="F35" s="84">
        <v>963718.76383310114</v>
      </c>
      <c r="G35" s="84">
        <v>875707.78264825069</v>
      </c>
      <c r="H35" s="84">
        <v>793632.35002478934</v>
      </c>
      <c r="I35" s="77"/>
      <c r="J35" s="84">
        <v>6821864.3475905862</v>
      </c>
      <c r="K35" s="84">
        <v>7015908.5350206802</v>
      </c>
      <c r="L35" s="84">
        <v>7279320.9163840879</v>
      </c>
      <c r="M35" s="84">
        <v>7365813.4116268903</v>
      </c>
      <c r="N35" s="78"/>
      <c r="O35" s="84">
        <v>9500384.8035672829</v>
      </c>
      <c r="P35" s="84">
        <v>9742249.0447440241</v>
      </c>
      <c r="Q35" s="84">
        <v>9654654.93611666</v>
      </c>
    </row>
    <row r="36" spans="1:17" s="11" customFormat="1">
      <c r="A36" s="10" t="s">
        <v>2</v>
      </c>
      <c r="B36" s="29" t="s">
        <v>18</v>
      </c>
      <c r="C36" s="10"/>
      <c r="D36" s="25" t="str">
        <f t="shared" si="0"/>
        <v>LED</v>
      </c>
      <c r="E36" s="84">
        <v>87617.475651900721</v>
      </c>
      <c r="F36" s="84">
        <v>55587.539962291994</v>
      </c>
      <c r="G36" s="84">
        <v>56084.062525845671</v>
      </c>
      <c r="H36" s="84">
        <v>56505.164435630482</v>
      </c>
      <c r="I36" s="77"/>
      <c r="J36" s="84">
        <v>440377.07948102313</v>
      </c>
      <c r="K36" s="84">
        <v>428090.36169334099</v>
      </c>
      <c r="L36" s="84">
        <v>466198.74286659498</v>
      </c>
      <c r="M36" s="84">
        <v>624628.38451203262</v>
      </c>
      <c r="N36" s="78"/>
      <c r="O36" s="84">
        <v>584430.30759054574</v>
      </c>
      <c r="P36" s="84">
        <v>623935.15838226781</v>
      </c>
      <c r="Q36" s="84">
        <v>745707.81013556535</v>
      </c>
    </row>
    <row r="37" spans="1:17" s="3" customFormat="1">
      <c r="A37" s="3">
        <v>1</v>
      </c>
      <c r="B37" s="72" t="s">
        <v>19</v>
      </c>
      <c r="D37" s="18" t="str">
        <f t="shared" si="0"/>
        <v>Tucson Total</v>
      </c>
      <c r="E37" s="83">
        <v>900285.68174677971</v>
      </c>
      <c r="F37" s="83">
        <v>906290.67956389871</v>
      </c>
      <c r="G37" s="83">
        <v>1308642.8583243736</v>
      </c>
      <c r="H37" s="83">
        <v>1249165.5428854735</v>
      </c>
      <c r="I37" s="75"/>
      <c r="J37" s="83">
        <v>8479869.9988012537</v>
      </c>
      <c r="K37" s="83">
        <v>8650590.1397605874</v>
      </c>
      <c r="L37" s="75">
        <v>11288058.349185342</v>
      </c>
      <c r="M37" s="75">
        <v>11551147.025309036</v>
      </c>
      <c r="N37" s="76"/>
      <c r="O37" s="83">
        <v>11290376.18779731</v>
      </c>
      <c r="P37" s="83">
        <v>15264970.118269784</v>
      </c>
      <c r="Q37" s="83">
        <v>15712037.322603015</v>
      </c>
    </row>
    <row r="38" spans="1:17" s="11" customFormat="1">
      <c r="A38" s="10" t="s">
        <v>2</v>
      </c>
      <c r="B38" s="29" t="s">
        <v>20</v>
      </c>
      <c r="C38" s="10"/>
      <c r="D38" s="25" t="str">
        <f t="shared" si="0"/>
        <v>Tucson</v>
      </c>
      <c r="E38" s="84">
        <v>900285.68174677971</v>
      </c>
      <c r="F38" s="84">
        <v>906290.67956389871</v>
      </c>
      <c r="G38" s="84">
        <v>1266701.7450996609</v>
      </c>
      <c r="H38" s="84">
        <v>1179881.07750785</v>
      </c>
      <c r="I38" s="77"/>
      <c r="J38" s="84">
        <v>8228092.1308238786</v>
      </c>
      <c r="K38" s="84">
        <v>8392382.9382124487</v>
      </c>
      <c r="L38" s="84">
        <v>10529458.225126125</v>
      </c>
      <c r="M38" s="84">
        <v>10756913.550517198</v>
      </c>
      <c r="N38" s="78"/>
      <c r="O38" s="84">
        <v>11032168.986249171</v>
      </c>
      <c r="P38" s="84">
        <v>14092056.868745346</v>
      </c>
      <c r="Q38" s="84">
        <v>14480430.081005644</v>
      </c>
    </row>
    <row r="39" spans="1:17" s="11" customFormat="1">
      <c r="A39" s="10" t="s">
        <v>2</v>
      </c>
      <c r="B39" s="29" t="s">
        <v>21</v>
      </c>
      <c r="C39" s="10"/>
      <c r="D39" s="25" t="str">
        <f t="shared" si="0"/>
        <v>Tucson D+E</v>
      </c>
      <c r="E39" s="84">
        <v>0</v>
      </c>
      <c r="F39" s="84">
        <v>0</v>
      </c>
      <c r="G39" s="84">
        <v>41941.113224712593</v>
      </c>
      <c r="H39" s="84">
        <v>69284.465377623535</v>
      </c>
      <c r="I39" s="77"/>
      <c r="J39" s="84">
        <v>251777.86797737476</v>
      </c>
      <c r="K39" s="84">
        <v>258207.20154813796</v>
      </c>
      <c r="L39" s="84">
        <v>758600.1240592174</v>
      </c>
      <c r="M39" s="84">
        <v>794233.47479183774</v>
      </c>
      <c r="N39" s="78"/>
      <c r="O39" s="84">
        <v>258207.20154813796</v>
      </c>
      <c r="P39" s="84">
        <v>1172913.2495244395</v>
      </c>
      <c r="Q39" s="84">
        <v>1231607.2415973721</v>
      </c>
    </row>
    <row r="40" spans="1:17" s="3" customFormat="1">
      <c r="A40" s="3">
        <v>1</v>
      </c>
      <c r="B40" s="72" t="s">
        <v>22</v>
      </c>
      <c r="D40" s="18" t="str">
        <f t="shared" si="0"/>
        <v>Derry Total</v>
      </c>
      <c r="E40" s="83">
        <v>253276.33521834743</v>
      </c>
      <c r="F40" s="83">
        <v>345630.37953930651</v>
      </c>
      <c r="G40" s="83">
        <v>0</v>
      </c>
      <c r="H40" s="83">
        <v>366647.23186250206</v>
      </c>
      <c r="I40" s="75"/>
      <c r="J40" s="75">
        <v>2282183.4172696201</v>
      </c>
      <c r="K40" s="83">
        <v>2348678.018895491</v>
      </c>
      <c r="L40" s="75">
        <v>1923573.8979406171</v>
      </c>
      <c r="M40" s="75">
        <v>3398802.0659748409</v>
      </c>
      <c r="N40" s="76"/>
      <c r="O40" s="83">
        <v>3071786.0605382486</v>
      </c>
      <c r="P40" s="83">
        <v>1923573.8979406171</v>
      </c>
      <c r="Q40" s="83">
        <v>4380587.6890256628</v>
      </c>
    </row>
    <row r="41" spans="1:17" s="11" customFormat="1">
      <c r="A41" s="10" t="s">
        <v>2</v>
      </c>
      <c r="B41" s="29" t="s">
        <v>23</v>
      </c>
      <c r="C41" s="10"/>
      <c r="D41" s="25" t="str">
        <f t="shared" si="0"/>
        <v>Derry</v>
      </c>
      <c r="E41" s="84">
        <v>253276.33521834743</v>
      </c>
      <c r="F41" s="84">
        <v>345630.37953930651</v>
      </c>
      <c r="G41" s="84">
        <v>0</v>
      </c>
      <c r="H41" s="84">
        <v>362229.78020161955</v>
      </c>
      <c r="I41" s="77"/>
      <c r="J41" s="84">
        <v>2274078.4821035359</v>
      </c>
      <c r="K41" s="84">
        <v>2340573.0837294068</v>
      </c>
      <c r="L41" s="84">
        <v>1887245.0665784469</v>
      </c>
      <c r="M41" s="84">
        <v>3367414.885075781</v>
      </c>
      <c r="N41" s="78"/>
      <c r="O41" s="84">
        <v>3063681.1253721644</v>
      </c>
      <c r="P41" s="84">
        <v>1887245.0665784469</v>
      </c>
      <c r="Q41" s="84">
        <v>4332967.7696948824</v>
      </c>
    </row>
    <row r="42" spans="1:17" s="11" customFormat="1">
      <c r="A42" s="10" t="s">
        <v>2</v>
      </c>
      <c r="B42" s="29" t="s">
        <v>24</v>
      </c>
      <c r="C42" s="10"/>
      <c r="D42" s="25" t="str">
        <f t="shared" si="0"/>
        <v>Derry D+E</v>
      </c>
      <c r="E42" s="84">
        <v>0</v>
      </c>
      <c r="F42" s="84">
        <v>0</v>
      </c>
      <c r="G42" s="84">
        <v>0</v>
      </c>
      <c r="H42" s="84">
        <v>4417.4516608824988</v>
      </c>
      <c r="I42" s="77"/>
      <c r="J42" s="84">
        <v>8104.9351660841785</v>
      </c>
      <c r="K42" s="84">
        <v>8104.9351660841785</v>
      </c>
      <c r="L42" s="84">
        <v>36328.831362170211</v>
      </c>
      <c r="M42" s="84">
        <v>31387.180899059731</v>
      </c>
      <c r="N42" s="78"/>
      <c r="O42" s="84">
        <v>8104.9351660841785</v>
      </c>
      <c r="P42" s="84">
        <v>36328.831362170211</v>
      </c>
      <c r="Q42" s="84">
        <v>47619.919330780642</v>
      </c>
    </row>
    <row r="43" spans="1:17" s="11" customFormat="1">
      <c r="A43" s="10" t="s">
        <v>2</v>
      </c>
      <c r="B43" s="30" t="s">
        <v>25</v>
      </c>
      <c r="C43" s="10"/>
      <c r="D43" s="25" t="str">
        <f t="shared" si="0"/>
        <v>D+E</v>
      </c>
      <c r="E43" s="84">
        <v>1015601.5551366634</v>
      </c>
      <c r="F43" s="84">
        <v>0</v>
      </c>
      <c r="G43" s="84">
        <v>504737.26738896692</v>
      </c>
      <c r="H43" s="84">
        <v>728460.52718558919</v>
      </c>
      <c r="I43" s="77"/>
      <c r="J43" s="84">
        <v>11189941.925494054</v>
      </c>
      <c r="K43" s="84">
        <v>9056684.989889672</v>
      </c>
      <c r="L43" s="84">
        <v>5291202.1090066982</v>
      </c>
      <c r="M43" s="84">
        <v>10054677.70003392</v>
      </c>
      <c r="N43" s="78"/>
      <c r="O43" s="84">
        <v>9056684.989889672</v>
      </c>
      <c r="P43" s="84">
        <v>6805413.9111735988</v>
      </c>
      <c r="Q43" s="84">
        <v>12335426.993999122</v>
      </c>
    </row>
    <row r="44" spans="1:17" s="11" customFormat="1">
      <c r="A44" s="10" t="s">
        <v>2</v>
      </c>
      <c r="B44" s="30" t="s">
        <v>26</v>
      </c>
      <c r="C44" s="10"/>
      <c r="D44" s="25" t="str">
        <f t="shared" si="0"/>
        <v>SGA</v>
      </c>
      <c r="E44" s="84">
        <v>0</v>
      </c>
      <c r="F44" s="84">
        <v>408812.19772112468</v>
      </c>
      <c r="G44" s="84">
        <v>0</v>
      </c>
      <c r="H44" s="84">
        <v>0</v>
      </c>
      <c r="I44" s="77"/>
      <c r="J44" s="77">
        <v>0</v>
      </c>
      <c r="K44" s="84">
        <v>1579064.6774325764</v>
      </c>
      <c r="L44" s="77">
        <v>0</v>
      </c>
      <c r="M44" s="77">
        <v>0</v>
      </c>
      <c r="N44" s="78"/>
      <c r="O44" s="84">
        <v>4391470.6123452745</v>
      </c>
      <c r="P44" s="84">
        <v>0</v>
      </c>
      <c r="Q44" s="84">
        <v>0</v>
      </c>
    </row>
    <row r="45" spans="1:17" hidden="1">
      <c r="B45" s="15"/>
      <c r="C45" s="15"/>
      <c r="E45" s="119"/>
      <c r="F45" s="119"/>
      <c r="G45" s="119"/>
      <c r="H45" s="119"/>
      <c r="I45" s="79"/>
      <c r="J45" s="79"/>
      <c r="K45" s="79"/>
      <c r="L45" s="79"/>
      <c r="M45" s="79"/>
      <c r="N45" s="79"/>
      <c r="O45" s="101"/>
      <c r="P45" s="119"/>
      <c r="Q45" s="119"/>
    </row>
    <row r="46" spans="1:17" hidden="1">
      <c r="B46" s="15"/>
      <c r="C46" s="15"/>
      <c r="E46" s="119"/>
      <c r="F46" s="119"/>
      <c r="G46" s="119"/>
      <c r="H46" s="119"/>
      <c r="I46" s="79"/>
      <c r="J46" s="79"/>
      <c r="K46" s="79"/>
      <c r="L46" s="79"/>
      <c r="M46" s="79"/>
      <c r="N46" s="79"/>
      <c r="O46" s="101"/>
      <c r="P46" s="119"/>
      <c r="Q46" s="119"/>
    </row>
    <row r="47" spans="1:17" hidden="1">
      <c r="A47" s="1" t="s">
        <v>0</v>
      </c>
      <c r="B47" s="15"/>
      <c r="C47" s="15"/>
      <c r="E47" s="119"/>
      <c r="F47" s="119"/>
      <c r="G47" s="119"/>
      <c r="H47" s="119"/>
      <c r="I47" s="79"/>
      <c r="J47" s="79"/>
      <c r="K47" s="79"/>
      <c r="L47" s="79"/>
      <c r="M47" s="79"/>
      <c r="N47" s="79"/>
      <c r="O47" s="101"/>
      <c r="P47" s="119"/>
      <c r="Q47" s="119"/>
    </row>
    <row r="48" spans="1:17" s="2" customFormat="1" hidden="1">
      <c r="A48" s="2">
        <v>0</v>
      </c>
      <c r="B48" s="24" t="s">
        <v>4</v>
      </c>
      <c r="C48" s="24"/>
      <c r="E48" s="83">
        <v>123.456789</v>
      </c>
      <c r="F48" s="83">
        <v>123.456789</v>
      </c>
      <c r="G48" s="83">
        <v>123.456789</v>
      </c>
      <c r="H48" s="83">
        <v>123.456789</v>
      </c>
      <c r="I48" s="75">
        <v>123.456789</v>
      </c>
      <c r="J48" s="75">
        <v>123.456789</v>
      </c>
      <c r="K48" s="75">
        <v>123.456789</v>
      </c>
      <c r="L48" s="75">
        <v>123.456789</v>
      </c>
      <c r="M48" s="75">
        <v>123.456789</v>
      </c>
      <c r="N48" s="75">
        <v>123.456789</v>
      </c>
      <c r="O48" s="88">
        <v>123.456789</v>
      </c>
      <c r="P48" s="83">
        <v>123.456789</v>
      </c>
      <c r="Q48" s="83">
        <v>123.456789</v>
      </c>
    </row>
    <row r="49" spans="1:17" s="3" customFormat="1" hidden="1">
      <c r="A49" s="3">
        <v>1</v>
      </c>
      <c r="B49" s="18" t="s">
        <v>4</v>
      </c>
      <c r="C49" s="18"/>
      <c r="E49" s="83">
        <v>123.456789</v>
      </c>
      <c r="F49" s="83">
        <v>123.456789</v>
      </c>
      <c r="G49" s="83">
        <v>123.456789</v>
      </c>
      <c r="H49" s="83">
        <v>123.456789</v>
      </c>
      <c r="I49" s="75">
        <v>123.456789</v>
      </c>
      <c r="J49" s="75">
        <v>123.456789</v>
      </c>
      <c r="K49" s="75">
        <v>123.456789</v>
      </c>
      <c r="L49" s="75">
        <v>123.456789</v>
      </c>
      <c r="M49" s="75">
        <v>123.456789</v>
      </c>
      <c r="N49" s="75">
        <v>123.456789</v>
      </c>
      <c r="O49" s="88">
        <v>123.456789</v>
      </c>
      <c r="P49" s="83">
        <v>123.456789</v>
      </c>
      <c r="Q49" s="83">
        <v>123.456789</v>
      </c>
    </row>
    <row r="50" spans="1:17" s="4" customFormat="1" hidden="1">
      <c r="A50" s="4">
        <v>2</v>
      </c>
      <c r="B50" s="19" t="s">
        <v>4</v>
      </c>
      <c r="C50" s="19"/>
      <c r="E50" s="83">
        <v>123.456789</v>
      </c>
      <c r="F50" s="83">
        <v>123.456789</v>
      </c>
      <c r="G50" s="83">
        <v>123.456789</v>
      </c>
      <c r="H50" s="83">
        <v>123.456789</v>
      </c>
      <c r="I50" s="75">
        <v>123.456789</v>
      </c>
      <c r="J50" s="75">
        <v>123.456789</v>
      </c>
      <c r="K50" s="75">
        <v>123.456789</v>
      </c>
      <c r="L50" s="75">
        <v>123.456789</v>
      </c>
      <c r="M50" s="75">
        <v>123.456789</v>
      </c>
      <c r="N50" s="75">
        <v>123.456789</v>
      </c>
      <c r="O50" s="88">
        <v>123.456789</v>
      </c>
      <c r="P50" s="83">
        <v>123.456789</v>
      </c>
      <c r="Q50" s="83">
        <v>123.456789</v>
      </c>
    </row>
    <row r="51" spans="1:17" s="5" customFormat="1" hidden="1">
      <c r="A51" s="5">
        <v>3</v>
      </c>
      <c r="B51" s="20" t="s">
        <v>4</v>
      </c>
      <c r="C51" s="20"/>
      <c r="E51" s="83">
        <v>123.456789</v>
      </c>
      <c r="F51" s="83">
        <v>123.456789</v>
      </c>
      <c r="G51" s="83">
        <v>123.456789</v>
      </c>
      <c r="H51" s="83">
        <v>123.456789</v>
      </c>
      <c r="I51" s="75">
        <v>123.456789</v>
      </c>
      <c r="J51" s="75">
        <v>123.456789</v>
      </c>
      <c r="K51" s="75">
        <v>123.456789</v>
      </c>
      <c r="L51" s="75">
        <v>123.456789</v>
      </c>
      <c r="M51" s="75">
        <v>123.456789</v>
      </c>
      <c r="N51" s="75">
        <v>123.456789</v>
      </c>
      <c r="O51" s="88">
        <v>123.456789</v>
      </c>
      <c r="P51" s="83">
        <v>123.456789</v>
      </c>
      <c r="Q51" s="83">
        <v>123.456789</v>
      </c>
    </row>
    <row r="52" spans="1:17" s="6" customFormat="1" hidden="1">
      <c r="A52" s="6">
        <v>4</v>
      </c>
      <c r="B52" s="21" t="s">
        <v>4</v>
      </c>
      <c r="C52" s="21"/>
      <c r="E52" s="83">
        <v>123.456789</v>
      </c>
      <c r="F52" s="83">
        <v>123.456789</v>
      </c>
      <c r="G52" s="83">
        <v>123.456789</v>
      </c>
      <c r="H52" s="83">
        <v>123.456789</v>
      </c>
      <c r="I52" s="75">
        <v>123.456789</v>
      </c>
      <c r="J52" s="75">
        <v>123.456789</v>
      </c>
      <c r="K52" s="75">
        <v>123.456789</v>
      </c>
      <c r="L52" s="75">
        <v>123.456789</v>
      </c>
      <c r="M52" s="75">
        <v>123.456789</v>
      </c>
      <c r="N52" s="75">
        <v>123.456789</v>
      </c>
      <c r="O52" s="88">
        <v>123.456789</v>
      </c>
      <c r="P52" s="83">
        <v>123.456789</v>
      </c>
      <c r="Q52" s="83">
        <v>123.456789</v>
      </c>
    </row>
    <row r="53" spans="1:17" s="7" customFormat="1" hidden="1">
      <c r="A53" s="7">
        <v>5</v>
      </c>
      <c r="B53" s="22" t="s">
        <v>4</v>
      </c>
      <c r="C53" s="22"/>
      <c r="E53" s="83">
        <v>123.456789</v>
      </c>
      <c r="F53" s="83">
        <v>123.456789</v>
      </c>
      <c r="G53" s="83">
        <v>123.456789</v>
      </c>
      <c r="H53" s="83">
        <v>123.456789</v>
      </c>
      <c r="I53" s="75">
        <v>123.456789</v>
      </c>
      <c r="J53" s="75">
        <v>123.456789</v>
      </c>
      <c r="K53" s="75">
        <v>123.456789</v>
      </c>
      <c r="L53" s="75">
        <v>123.456789</v>
      </c>
      <c r="M53" s="75">
        <v>123.456789</v>
      </c>
      <c r="N53" s="75">
        <v>123.456789</v>
      </c>
      <c r="O53" s="88">
        <v>123.456789</v>
      </c>
      <c r="P53" s="83">
        <v>123.456789</v>
      </c>
      <c r="Q53" s="83">
        <v>123.456789</v>
      </c>
    </row>
    <row r="54" spans="1:17" s="9" customFormat="1" hidden="1">
      <c r="A54" s="8" t="s">
        <v>1</v>
      </c>
      <c r="B54" s="23" t="s">
        <v>4</v>
      </c>
      <c r="C54" s="23"/>
      <c r="E54" s="83">
        <v>123.456789</v>
      </c>
      <c r="F54" s="83">
        <v>123.456789</v>
      </c>
      <c r="G54" s="83">
        <v>123.456789</v>
      </c>
      <c r="H54" s="83">
        <v>123.456789</v>
      </c>
      <c r="I54" s="75">
        <v>123.456789</v>
      </c>
      <c r="J54" s="75">
        <v>123.456789</v>
      </c>
      <c r="K54" s="75">
        <v>123.456789</v>
      </c>
      <c r="L54" s="75">
        <v>123.456789</v>
      </c>
      <c r="M54" s="75">
        <v>123.456789</v>
      </c>
      <c r="N54" s="75">
        <v>123.456789</v>
      </c>
      <c r="O54" s="88">
        <v>123.456789</v>
      </c>
      <c r="P54" s="83">
        <v>123.456789</v>
      </c>
      <c r="Q54" s="83">
        <v>123.456789</v>
      </c>
    </row>
    <row r="55" spans="1:17" s="11" customFormat="1" hidden="1">
      <c r="A55" s="10" t="s">
        <v>2</v>
      </c>
      <c r="B55" s="25" t="s">
        <v>4</v>
      </c>
      <c r="C55" s="25"/>
      <c r="D55" s="31"/>
      <c r="E55" s="84">
        <v>123.456789</v>
      </c>
      <c r="F55" s="84">
        <v>123.456789</v>
      </c>
      <c r="G55" s="84">
        <v>123.456789</v>
      </c>
      <c r="H55" s="84">
        <v>123.456789</v>
      </c>
      <c r="I55" s="77">
        <v>123.456789</v>
      </c>
      <c r="J55" s="77">
        <v>123.456789</v>
      </c>
      <c r="K55" s="77">
        <v>123.456789</v>
      </c>
      <c r="L55" s="77">
        <v>123.456789</v>
      </c>
      <c r="M55" s="77">
        <v>123.456789</v>
      </c>
      <c r="N55" s="77">
        <v>123.456789</v>
      </c>
      <c r="O55" s="89">
        <v>123.456789</v>
      </c>
      <c r="P55" s="84">
        <v>123.456789</v>
      </c>
      <c r="Q55" s="84">
        <v>123.456789</v>
      </c>
    </row>
    <row r="56" spans="1:17" hidden="1">
      <c r="A56" s="1" t="s">
        <v>3</v>
      </c>
      <c r="B56" s="15"/>
      <c r="C56" s="15"/>
      <c r="E56" s="119"/>
      <c r="F56" s="119"/>
      <c r="G56" s="119"/>
      <c r="H56" s="119"/>
      <c r="I56" s="79"/>
      <c r="J56" s="79"/>
      <c r="K56" s="79"/>
      <c r="L56" s="79"/>
      <c r="M56" s="79"/>
      <c r="N56" s="79"/>
      <c r="O56" s="101"/>
      <c r="P56" s="119"/>
      <c r="Q56" s="119"/>
    </row>
    <row r="57" spans="1:17" hidden="1">
      <c r="B57" s="16" t="s">
        <v>33</v>
      </c>
      <c r="C57" s="16"/>
      <c r="E57" s="119"/>
      <c r="F57" s="119"/>
      <c r="G57" s="119"/>
      <c r="H57" s="119"/>
      <c r="I57" s="79"/>
      <c r="J57" s="79"/>
      <c r="K57" s="79"/>
      <c r="L57" s="79"/>
      <c r="M57" s="79"/>
      <c r="N57" s="79"/>
      <c r="O57" s="101"/>
      <c r="P57" s="119"/>
      <c r="Q57" s="119"/>
    </row>
    <row r="58" spans="1:17" hidden="1">
      <c r="B58" s="15" t="s">
        <v>60</v>
      </c>
      <c r="C58" s="15"/>
      <c r="E58" s="119"/>
      <c r="F58" s="119"/>
      <c r="G58" s="119"/>
      <c r="H58" s="119"/>
      <c r="I58" s="79"/>
      <c r="J58" s="79"/>
      <c r="K58" s="79"/>
      <c r="L58" s="79"/>
      <c r="M58" s="79"/>
      <c r="N58" s="79"/>
      <c r="O58" s="101"/>
      <c r="P58" s="119"/>
      <c r="Q58" s="119"/>
    </row>
    <row r="59" spans="1:17" hidden="1">
      <c r="B59" s="15"/>
      <c r="C59" s="15"/>
      <c r="E59" s="119"/>
      <c r="F59" s="119"/>
      <c r="G59" s="119"/>
      <c r="H59" s="119"/>
      <c r="I59" s="79"/>
      <c r="J59" s="79"/>
      <c r="K59" s="79"/>
      <c r="L59" s="79"/>
      <c r="M59" s="79"/>
      <c r="N59" s="79"/>
      <c r="O59" s="101"/>
      <c r="P59" s="119"/>
      <c r="Q59" s="119"/>
    </row>
    <row r="60" spans="1:17" hidden="1">
      <c r="B60" s="17" t="s">
        <v>9</v>
      </c>
      <c r="C60" s="17"/>
      <c r="E60" s="83" t="s">
        <v>54</v>
      </c>
      <c r="F60" s="119"/>
      <c r="G60" s="119"/>
      <c r="H60" s="119"/>
      <c r="I60" s="79"/>
      <c r="J60" s="79"/>
      <c r="K60" s="79"/>
      <c r="L60" s="79"/>
      <c r="M60" s="79"/>
      <c r="N60" s="79"/>
      <c r="O60" s="101"/>
      <c r="P60" s="119"/>
      <c r="Q60" s="119"/>
    </row>
    <row r="61" spans="1:17" hidden="1">
      <c r="B61" s="17" t="s">
        <v>34</v>
      </c>
      <c r="C61" s="17"/>
      <c r="E61" s="83" t="s">
        <v>61</v>
      </c>
      <c r="F61" s="119"/>
      <c r="G61" s="119"/>
      <c r="H61" s="119"/>
      <c r="I61" s="79"/>
      <c r="J61" s="79"/>
      <c r="K61" s="79"/>
      <c r="L61" s="79"/>
      <c r="M61" s="79"/>
      <c r="N61" s="79"/>
      <c r="O61" s="101"/>
      <c r="P61" s="119"/>
      <c r="Q61" s="119"/>
    </row>
    <row r="62" spans="1:17" hidden="1">
      <c r="B62" s="17" t="s">
        <v>7</v>
      </c>
      <c r="C62" s="17"/>
      <c r="E62" s="83" t="s">
        <v>52</v>
      </c>
      <c r="F62" s="119"/>
      <c r="G62" s="119"/>
      <c r="H62" s="119"/>
      <c r="I62" s="79"/>
      <c r="J62" s="79"/>
      <c r="K62" s="79"/>
      <c r="L62" s="79"/>
      <c r="M62" s="79"/>
      <c r="N62" s="79"/>
      <c r="O62" s="101"/>
      <c r="P62" s="119"/>
      <c r="Q62" s="119"/>
    </row>
    <row r="63" spans="1:17" hidden="1">
      <c r="B63" s="17" t="s">
        <v>8</v>
      </c>
      <c r="C63" s="17"/>
      <c r="E63" s="83" t="s">
        <v>53</v>
      </c>
      <c r="F63" s="119"/>
      <c r="G63" s="119"/>
      <c r="H63" s="119"/>
      <c r="I63" s="79"/>
      <c r="J63" s="79"/>
      <c r="K63" s="79"/>
      <c r="L63" s="79"/>
      <c r="M63" s="79"/>
      <c r="N63" s="79"/>
      <c r="O63" s="101"/>
      <c r="P63" s="119"/>
      <c r="Q63" s="119"/>
    </row>
    <row r="64" spans="1:17" hidden="1">
      <c r="B64" s="17" t="s">
        <v>35</v>
      </c>
      <c r="C64" s="17"/>
      <c r="E64" s="83" t="s">
        <v>51</v>
      </c>
      <c r="F64" s="119"/>
      <c r="G64" s="119"/>
      <c r="H64" s="119"/>
      <c r="I64" s="79"/>
      <c r="J64" s="79"/>
      <c r="K64" s="79"/>
      <c r="L64" s="79"/>
      <c r="M64" s="79"/>
      <c r="N64" s="79"/>
      <c r="O64" s="101"/>
      <c r="P64" s="119"/>
      <c r="Q64" s="119"/>
    </row>
    <row r="65" spans="1:17" hidden="1">
      <c r="B65" s="17" t="s">
        <v>36</v>
      </c>
      <c r="C65" s="17"/>
      <c r="E65" s="83" t="s">
        <v>62</v>
      </c>
      <c r="F65" s="119"/>
      <c r="G65" s="119"/>
      <c r="H65" s="119"/>
      <c r="I65" s="79"/>
      <c r="J65" s="79"/>
      <c r="K65" s="79"/>
      <c r="L65" s="79"/>
      <c r="M65" s="79"/>
      <c r="N65" s="79"/>
      <c r="O65" s="101"/>
      <c r="P65" s="119"/>
      <c r="Q65" s="119"/>
    </row>
    <row r="66" spans="1:17" hidden="1">
      <c r="B66" s="15"/>
      <c r="C66" s="15"/>
      <c r="E66" s="119"/>
      <c r="F66" s="119"/>
      <c r="G66" s="119"/>
      <c r="H66" s="119"/>
      <c r="I66" s="79"/>
      <c r="J66" s="79"/>
      <c r="K66" s="79"/>
      <c r="L66" s="79"/>
      <c r="M66" s="79"/>
      <c r="N66" s="79"/>
      <c r="O66" s="101"/>
      <c r="P66" s="119"/>
      <c r="Q66" s="119"/>
    </row>
    <row r="67" spans="1:17" hidden="1">
      <c r="B67" s="15"/>
      <c r="C67" s="15"/>
      <c r="E67" s="119"/>
      <c r="F67" s="119"/>
      <c r="G67" s="119"/>
      <c r="H67" s="119"/>
      <c r="I67" s="79"/>
      <c r="J67" s="79"/>
      <c r="K67" s="79"/>
      <c r="L67" s="79"/>
      <c r="M67" s="79"/>
      <c r="N67" s="79"/>
      <c r="O67" s="101" t="s">
        <v>31</v>
      </c>
      <c r="P67" s="119" t="s">
        <v>31</v>
      </c>
      <c r="Q67" s="119" t="s">
        <v>31</v>
      </c>
    </row>
    <row r="68" spans="1:17" ht="15.6" hidden="1" customHeight="1">
      <c r="B68" s="15"/>
      <c r="C68" s="15"/>
      <c r="E68" s="120" t="s">
        <v>11</v>
      </c>
      <c r="F68" s="121" t="s">
        <v>57</v>
      </c>
      <c r="G68" s="120" t="s">
        <v>12</v>
      </c>
      <c r="H68" s="120" t="s">
        <v>11</v>
      </c>
      <c r="I68" s="82"/>
      <c r="J68" s="80" t="s">
        <v>11</v>
      </c>
      <c r="K68" s="81" t="s">
        <v>57</v>
      </c>
      <c r="L68" s="80" t="s">
        <v>12</v>
      </c>
      <c r="M68" s="80" t="s">
        <v>11</v>
      </c>
      <c r="N68" s="82"/>
      <c r="O68" s="102" t="s">
        <v>57</v>
      </c>
      <c r="P68" s="120" t="s">
        <v>12</v>
      </c>
      <c r="Q68" s="120" t="s">
        <v>11</v>
      </c>
    </row>
    <row r="69" spans="1:17" ht="15" hidden="1" thickBot="1">
      <c r="B69" s="15"/>
      <c r="C69" s="15"/>
      <c r="E69" s="120" t="s">
        <v>13</v>
      </c>
      <c r="F69" s="120" t="s">
        <v>13</v>
      </c>
      <c r="G69" s="120" t="s">
        <v>13</v>
      </c>
      <c r="H69" s="120" t="s">
        <v>13</v>
      </c>
      <c r="I69" s="82"/>
      <c r="J69" s="80" t="s">
        <v>14</v>
      </c>
      <c r="K69" s="80" t="s">
        <v>14</v>
      </c>
      <c r="L69" s="80" t="s">
        <v>14</v>
      </c>
      <c r="M69" s="80" t="s">
        <v>14</v>
      </c>
      <c r="N69" s="82"/>
      <c r="O69" s="103" t="s">
        <v>13</v>
      </c>
      <c r="P69" s="120" t="s">
        <v>13</v>
      </c>
      <c r="Q69" s="120" t="s">
        <v>13</v>
      </c>
    </row>
    <row r="70" spans="1:17" s="2" customFormat="1">
      <c r="A70" s="2">
        <v>0</v>
      </c>
      <c r="B70" s="71" t="s">
        <v>37</v>
      </c>
      <c r="C70" s="24"/>
      <c r="D70" s="2" t="s">
        <v>37</v>
      </c>
      <c r="E70" s="83">
        <v>3993143.5099999993</v>
      </c>
      <c r="F70" s="83">
        <v>4172210.4799999995</v>
      </c>
      <c r="G70" s="83">
        <v>4612470.8256289605</v>
      </c>
      <c r="H70" s="83">
        <v>3824415.5400000005</v>
      </c>
      <c r="I70" s="75"/>
      <c r="J70" s="75">
        <v>37113216.219999999</v>
      </c>
      <c r="K70" s="75">
        <v>37810196.839999996</v>
      </c>
      <c r="L70" s="75">
        <v>39238732.884662755</v>
      </c>
      <c r="M70" s="75">
        <v>39116514.120000005</v>
      </c>
      <c r="N70" s="75"/>
      <c r="O70" s="83">
        <v>51126038.730000004</v>
      </c>
      <c r="P70" s="83">
        <v>53144748.040421277</v>
      </c>
      <c r="Q70" s="83">
        <v>53238373.210000016</v>
      </c>
    </row>
    <row r="71" spans="1:17" s="11" customFormat="1">
      <c r="A71" s="10" t="s">
        <v>2</v>
      </c>
      <c r="B71" s="26" t="s">
        <v>49</v>
      </c>
      <c r="C71" s="25"/>
      <c r="D71" s="31" t="s">
        <v>49</v>
      </c>
      <c r="E71" s="84">
        <v>3041898.7199999997</v>
      </c>
      <c r="F71" s="84">
        <v>2982086.09</v>
      </c>
      <c r="G71" s="84">
        <v>3028662.2</v>
      </c>
      <c r="H71" s="84">
        <v>2858328.74</v>
      </c>
      <c r="I71" s="77"/>
      <c r="J71" s="77">
        <v>29449407.050000001</v>
      </c>
      <c r="K71" s="77">
        <v>29580954.769999996</v>
      </c>
      <c r="L71" s="77">
        <v>28006205.289999999</v>
      </c>
      <c r="M71" s="77">
        <v>28634619.010000002</v>
      </c>
      <c r="N71" s="77"/>
      <c r="O71" s="84">
        <v>39791461.060000002</v>
      </c>
      <c r="P71" s="84">
        <v>37157161.589999996</v>
      </c>
      <c r="Q71" s="84">
        <v>39306342.050000012</v>
      </c>
    </row>
    <row r="72" spans="1:17" s="11" customFormat="1">
      <c r="A72" s="10" t="s">
        <v>2</v>
      </c>
      <c r="B72" s="26" t="s">
        <v>47</v>
      </c>
      <c r="C72" s="25"/>
      <c r="D72" s="31" t="s">
        <v>47</v>
      </c>
      <c r="E72" s="84">
        <v>0</v>
      </c>
      <c r="F72" s="84">
        <v>0</v>
      </c>
      <c r="G72" s="84">
        <v>0</v>
      </c>
      <c r="H72" s="84">
        <v>0</v>
      </c>
      <c r="I72" s="77"/>
      <c r="J72" s="77">
        <v>0</v>
      </c>
      <c r="K72" s="77">
        <v>0</v>
      </c>
      <c r="L72" s="77">
        <v>0</v>
      </c>
      <c r="M72" s="77">
        <v>0</v>
      </c>
      <c r="N72" s="77"/>
      <c r="O72" s="84">
        <v>0</v>
      </c>
      <c r="P72" s="84">
        <v>0</v>
      </c>
      <c r="Q72" s="84">
        <v>0</v>
      </c>
    </row>
    <row r="73" spans="1:17" s="11" customFormat="1">
      <c r="A73" s="10" t="s">
        <v>2</v>
      </c>
      <c r="B73" s="26" t="s">
        <v>38</v>
      </c>
      <c r="C73" s="25"/>
      <c r="D73" s="31" t="s">
        <v>38</v>
      </c>
      <c r="E73" s="84">
        <v>452979.01</v>
      </c>
      <c r="F73" s="84">
        <v>492239.39999999997</v>
      </c>
      <c r="G73" s="84">
        <v>795403.67382531846</v>
      </c>
      <c r="H73" s="84">
        <v>460697.92000000004</v>
      </c>
      <c r="I73" s="77"/>
      <c r="J73" s="84">
        <v>4548731.28</v>
      </c>
      <c r="K73" s="84">
        <v>4636257.1500000004</v>
      </c>
      <c r="L73" s="84">
        <v>5569844.2652525883</v>
      </c>
      <c r="M73" s="84">
        <v>6536533.54</v>
      </c>
      <c r="N73" s="77"/>
      <c r="O73" s="84">
        <v>6448882.4000000041</v>
      </c>
      <c r="P73" s="84">
        <v>8241435.9198861765</v>
      </c>
      <c r="Q73" s="84">
        <v>8472010.3100000005</v>
      </c>
    </row>
    <row r="74" spans="1:17" s="11" customFormat="1">
      <c r="A74" s="10" t="s">
        <v>2</v>
      </c>
      <c r="B74" s="26" t="s">
        <v>39</v>
      </c>
      <c r="C74" s="25"/>
      <c r="D74" s="31" t="s">
        <v>39</v>
      </c>
      <c r="E74" s="84">
        <v>644474.67000000004</v>
      </c>
      <c r="F74" s="84">
        <v>824855.73</v>
      </c>
      <c r="G74" s="84">
        <v>960499.7411144129</v>
      </c>
      <c r="H74" s="84">
        <v>748235.24000000011</v>
      </c>
      <c r="I74" s="77"/>
      <c r="J74" s="84">
        <v>4830964.6999999993</v>
      </c>
      <c r="K74" s="84">
        <v>5227866.2300000004</v>
      </c>
      <c r="L74" s="84">
        <v>7091112.9988508616</v>
      </c>
      <c r="M74" s="84">
        <v>6483363.7999999998</v>
      </c>
      <c r="N74" s="77"/>
      <c r="O74" s="84">
        <v>7356375.3399999989</v>
      </c>
      <c r="P74" s="84">
        <v>9690633.8069950752</v>
      </c>
      <c r="Q74" s="84">
        <v>8752983.9000000004</v>
      </c>
    </row>
    <row r="75" spans="1:17" s="11" customFormat="1">
      <c r="A75" s="10" t="s">
        <v>2</v>
      </c>
      <c r="B75" s="26" t="s">
        <v>40</v>
      </c>
      <c r="C75" s="25"/>
      <c r="D75" s="31" t="s">
        <v>40</v>
      </c>
      <c r="E75" s="84">
        <v>671435.66</v>
      </c>
      <c r="F75" s="84">
        <v>507263.41000000003</v>
      </c>
      <c r="G75" s="84">
        <v>774907.89048432512</v>
      </c>
      <c r="H75" s="84">
        <v>686224.98</v>
      </c>
      <c r="I75" s="77"/>
      <c r="J75" s="84">
        <v>5828524.0899999999</v>
      </c>
      <c r="K75" s="84">
        <v>5642483.4899999984</v>
      </c>
      <c r="L75" s="84">
        <v>6386415.0030010603</v>
      </c>
      <c r="M75" s="84">
        <v>7290570.0199999996</v>
      </c>
      <c r="N75" s="77"/>
      <c r="O75" s="84">
        <v>7421234.7799999993</v>
      </c>
      <c r="P75" s="84">
        <v>8388340.7613463216</v>
      </c>
      <c r="Q75" s="84">
        <v>9613546.1400000006</v>
      </c>
    </row>
    <row r="76" spans="1:17" s="11" customFormat="1">
      <c r="A76" s="10" t="s">
        <v>2</v>
      </c>
      <c r="B76" s="26" t="s">
        <v>41</v>
      </c>
      <c r="C76" s="25"/>
      <c r="D76" s="31" t="s">
        <v>41</v>
      </c>
      <c r="E76" s="84">
        <v>-146208.89000000001</v>
      </c>
      <c r="F76" s="84">
        <v>-126970.74</v>
      </c>
      <c r="G76" s="84">
        <v>-172094.78931077072</v>
      </c>
      <c r="H76" s="84">
        <v>-242846.36</v>
      </c>
      <c r="I76" s="77"/>
      <c r="J76" s="84">
        <v>-1715886.81</v>
      </c>
      <c r="K76" s="84">
        <v>-1634881.31</v>
      </c>
      <c r="L76" s="84">
        <v>-1428429.6694406944</v>
      </c>
      <c r="M76" s="84">
        <v>-2538002.2299999995</v>
      </c>
      <c r="N76" s="77"/>
      <c r="O76" s="89">
        <v>-2470680.0700000003</v>
      </c>
      <c r="P76" s="84">
        <v>-1944483.2764599719</v>
      </c>
      <c r="Q76" s="84">
        <v>-3292963.0500000003</v>
      </c>
    </row>
    <row r="77" spans="1:17" s="2" customFormat="1">
      <c r="A77" s="2">
        <v>0</v>
      </c>
      <c r="B77" s="73" t="s">
        <v>42</v>
      </c>
      <c r="C77" s="24"/>
      <c r="D77" s="2" t="s">
        <v>42</v>
      </c>
      <c r="E77" s="83">
        <v>590218.39</v>
      </c>
      <c r="F77" s="83">
        <v>560348.87</v>
      </c>
      <c r="G77" s="83">
        <v>558308.93748923717</v>
      </c>
      <c r="H77" s="83">
        <v>478381.32999999996</v>
      </c>
      <c r="I77" s="75"/>
      <c r="J77" s="83">
        <v>5563365.9800000004</v>
      </c>
      <c r="K77" s="83">
        <v>5565981.5700000003</v>
      </c>
      <c r="L77" s="83">
        <v>5145212.8465644913</v>
      </c>
      <c r="M77" s="83">
        <v>4747686.67</v>
      </c>
      <c r="N77" s="75"/>
      <c r="O77" s="88">
        <v>7442546.790000001</v>
      </c>
      <c r="P77" s="83">
        <v>7074964.6977785435</v>
      </c>
      <c r="Q77" s="83">
        <v>6630626.0599999996</v>
      </c>
    </row>
    <row r="78" spans="1:17" s="11" customFormat="1">
      <c r="A78" s="10" t="s">
        <v>2</v>
      </c>
      <c r="B78" s="74" t="s">
        <v>43</v>
      </c>
      <c r="C78" s="25"/>
      <c r="D78" s="31" t="s">
        <v>43</v>
      </c>
      <c r="E78" s="84">
        <v>328511</v>
      </c>
      <c r="F78" s="84">
        <v>320000</v>
      </c>
      <c r="G78" s="84">
        <v>320000</v>
      </c>
      <c r="H78" s="84">
        <v>268458</v>
      </c>
      <c r="I78" s="77"/>
      <c r="J78" s="84">
        <v>3181676.66</v>
      </c>
      <c r="K78" s="84">
        <v>3191948.66</v>
      </c>
      <c r="L78" s="84">
        <v>2873000</v>
      </c>
      <c r="M78" s="84">
        <v>2556683</v>
      </c>
      <c r="N78" s="77"/>
      <c r="O78" s="84">
        <v>4318948.66</v>
      </c>
      <c r="P78" s="84">
        <v>4000000</v>
      </c>
      <c r="Q78" s="84">
        <v>3730320</v>
      </c>
    </row>
    <row r="79" spans="1:17" s="11" customFormat="1">
      <c r="A79" s="10" t="s">
        <v>2</v>
      </c>
      <c r="B79" s="74" t="s">
        <v>44</v>
      </c>
      <c r="C79" s="25"/>
      <c r="D79" s="31" t="s">
        <v>44</v>
      </c>
      <c r="E79" s="84">
        <v>284310.39</v>
      </c>
      <c r="F79" s="84">
        <v>260348.87</v>
      </c>
      <c r="G79" s="84">
        <v>258308.93748923714</v>
      </c>
      <c r="H79" s="84">
        <v>230146.33</v>
      </c>
      <c r="I79" s="77"/>
      <c r="J79" s="84">
        <v>2696448.98</v>
      </c>
      <c r="K79" s="84">
        <v>2678225.5700000003</v>
      </c>
      <c r="L79" s="84">
        <v>2452212.8465644913</v>
      </c>
      <c r="M79" s="84">
        <v>2366386.67</v>
      </c>
      <c r="N79" s="77"/>
      <c r="O79" s="84">
        <v>3547790.7900000005</v>
      </c>
      <c r="P79" s="84">
        <v>3314964.697778543</v>
      </c>
      <c r="Q79" s="84">
        <v>3250261.0599999996</v>
      </c>
    </row>
    <row r="80" spans="1:17" s="11" customFormat="1">
      <c r="A80" s="10" t="s">
        <v>2</v>
      </c>
      <c r="B80" s="74" t="s">
        <v>45</v>
      </c>
      <c r="C80" s="25"/>
      <c r="D80" s="31" t="s">
        <v>45</v>
      </c>
      <c r="E80" s="84">
        <v>-22603</v>
      </c>
      <c r="F80" s="84">
        <v>-20000</v>
      </c>
      <c r="G80" s="84">
        <v>-20000</v>
      </c>
      <c r="H80" s="84">
        <v>-20223</v>
      </c>
      <c r="I80" s="77"/>
      <c r="J80" s="84">
        <v>-314759.66000000003</v>
      </c>
      <c r="K80" s="84">
        <v>-304192.66000000003</v>
      </c>
      <c r="L80" s="84">
        <v>-180000</v>
      </c>
      <c r="M80" s="84">
        <v>-175383</v>
      </c>
      <c r="N80" s="77"/>
      <c r="O80" s="89">
        <v>-424192.66000000003</v>
      </c>
      <c r="P80" s="84">
        <v>-240000</v>
      </c>
      <c r="Q80" s="84">
        <v>-349955</v>
      </c>
    </row>
    <row r="81" spans="1:17" s="11" customFormat="1">
      <c r="A81" s="10" t="s">
        <v>2</v>
      </c>
      <c r="B81" s="26" t="s">
        <v>48</v>
      </c>
      <c r="C81" s="25"/>
      <c r="D81" s="31" t="s">
        <v>48</v>
      </c>
      <c r="E81" s="84">
        <v>0</v>
      </c>
      <c r="F81" s="84">
        <v>0</v>
      </c>
      <c r="G81" s="77">
        <v>0</v>
      </c>
      <c r="H81" s="84">
        <v>0</v>
      </c>
      <c r="I81" s="77"/>
      <c r="J81" s="77">
        <v>0</v>
      </c>
      <c r="K81" s="77">
        <v>0</v>
      </c>
      <c r="L81" s="84">
        <v>0</v>
      </c>
      <c r="M81" s="77">
        <v>0</v>
      </c>
      <c r="N81" s="77"/>
      <c r="O81" s="84">
        <v>0</v>
      </c>
      <c r="P81" s="84">
        <v>0</v>
      </c>
      <c r="Q81" s="84">
        <v>0</v>
      </c>
    </row>
    <row r="82" spans="1:17" s="2" customFormat="1">
      <c r="A82" s="2">
        <v>0</v>
      </c>
      <c r="B82" s="71" t="s">
        <v>46</v>
      </c>
      <c r="C82" s="24"/>
      <c r="D82" s="2" t="s">
        <v>46</v>
      </c>
      <c r="E82" s="83">
        <v>10964589.999999998</v>
      </c>
      <c r="F82" s="83">
        <v>10433247.300000001</v>
      </c>
      <c r="G82" s="83">
        <v>12471545.341138707</v>
      </c>
      <c r="H82" s="83">
        <v>11081087.83</v>
      </c>
      <c r="I82" s="75"/>
      <c r="J82" s="83">
        <v>96388982.110000014</v>
      </c>
      <c r="K82" s="83">
        <v>96933265.730000004</v>
      </c>
      <c r="L82" s="83">
        <v>107033004.22938998</v>
      </c>
      <c r="M82" s="83">
        <v>107604196.72</v>
      </c>
      <c r="N82" s="75"/>
      <c r="O82" s="88">
        <v>128870292.22000003</v>
      </c>
      <c r="P82" s="83">
        <v>143839456.91530994</v>
      </c>
      <c r="Q82" s="83">
        <v>143313110.39000008</v>
      </c>
    </row>
    <row r="83" spans="1:17">
      <c r="D83" s="27"/>
      <c r="E83" s="33"/>
      <c r="F83" s="33"/>
      <c r="G83" s="33"/>
      <c r="H83" s="90"/>
      <c r="J83" s="33"/>
      <c r="L83" s="33"/>
      <c r="M83" s="33"/>
      <c r="O83" s="104"/>
      <c r="P83" s="90"/>
      <c r="Q83" s="90"/>
    </row>
  </sheetData>
  <mergeCells count="3">
    <mergeCell ref="E30:H30"/>
    <mergeCell ref="J30:M30"/>
    <mergeCell ref="O30:Q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uEBIT</vt:lpstr>
      <vt:lpstr>Sheet1</vt:lpstr>
      <vt:lpstr>uEBIT!Print_Area</vt:lpstr>
      <vt:lpstr>uEBIT!TM1RPTDATARNG40394722</vt:lpstr>
      <vt:lpstr>uEBIT!TM1RPTDATARNG62813459</vt:lpstr>
      <vt:lpstr>uEBIT!TM1RPTFMTIDCOL40394722</vt:lpstr>
      <vt:lpstr>uEBIT!TM1RPTFMTIDCOL62813459</vt:lpstr>
      <vt:lpstr>uEBIT!TM1RPTFMTRNG40394722</vt:lpstr>
      <vt:lpstr>uEBIT!TM1RPTFMTRNG62813459</vt:lpstr>
      <vt:lpstr>uEBIT!TM1RPTQRYRNG40394722</vt:lpstr>
      <vt:lpstr>uEBIT!TM1RPTQRYRNG62813459</vt:lpstr>
      <vt:lpstr>uEBIT!TM1RPTVIEWRNG40394722</vt:lpstr>
      <vt:lpstr>uEBIT!TM1RPTVIEWRNG62813459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Steven Hutchison</cp:lastModifiedBy>
  <dcterms:created xsi:type="dcterms:W3CDTF">2024-03-07T12:58:36Z</dcterms:created>
  <dcterms:modified xsi:type="dcterms:W3CDTF">2024-04-26T11:10:30Z</dcterms:modified>
</cp:coreProperties>
</file>