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ube Diameter Calcs" sheetId="1" r:id="rId4"/>
    <sheet state="visible" name="Pump &amp; Fan" sheetId="2" r:id="rId5"/>
    <sheet state="visible" name="Inverter Radiator Area Calcs" sheetId="3" r:id="rId6"/>
    <sheet state="visible" name="Motor Radiator Area Calcs" sheetId="4" r:id="rId7"/>
    <sheet state="visible" name="V2 Motor Radiator Area Calcs" sheetId="5" r:id="rId8"/>
    <sheet state="visible" name="Flow Rate Test" sheetId="6" r:id="rId9"/>
  </sheets>
  <definedNames/>
  <calcPr/>
</workbook>
</file>

<file path=xl/sharedStrings.xml><?xml version="1.0" encoding="utf-8"?>
<sst xmlns="http://schemas.openxmlformats.org/spreadsheetml/2006/main" count="201" uniqueCount="141">
  <si>
    <t>Darcy-Weisbach Pressure head analysis to determine tube diameter</t>
  </si>
  <si>
    <t>Mass flow rate [kg/s]</t>
  </si>
  <si>
    <t>&lt;-- 24e empirical value at 24V</t>
  </si>
  <si>
    <t>Roughness coefficient [-]</t>
  </si>
  <si>
    <t>&lt;-- Polyurethanbe rubber</t>
  </si>
  <si>
    <t>Density [kg/m^3]</t>
  </si>
  <si>
    <t>&lt;-- Water</t>
  </si>
  <si>
    <t>f [-]</t>
  </si>
  <si>
    <t>&lt;-- Friction factor</t>
  </si>
  <si>
    <t>K [-]</t>
  </si>
  <si>
    <t>&lt;-- L fitting factor</t>
  </si>
  <si>
    <t>g [m/s^2]</t>
  </si>
  <si>
    <t>&lt;-- Gravitational acceleration</t>
  </si>
  <si>
    <t>Area [m^2]</t>
  </si>
  <si>
    <t>Velocity [m/s]</t>
  </si>
  <si>
    <t>Tube ID [in]</t>
  </si>
  <si>
    <t>&lt;--- Change value</t>
  </si>
  <si>
    <t>Tube ID [m]</t>
  </si>
  <si>
    <t>Tube Lengths</t>
  </si>
  <si>
    <t>Tube Headloss</t>
  </si>
  <si>
    <t>L fitting count</t>
  </si>
  <si>
    <t>L Fitting Headloss</t>
  </si>
  <si>
    <t>Sleeve count</t>
  </si>
  <si>
    <t>Sleeve Headloss</t>
  </si>
  <si>
    <t>&lt;-- 0.5 m per sleeve</t>
  </si>
  <si>
    <t>Total headloss</t>
  </si>
  <si>
    <t>7.18 (23e flow)</t>
  </si>
  <si>
    <t>ZKSJ DC56E 24-140 PWM Pump</t>
  </si>
  <si>
    <t>Total Power [W]</t>
  </si>
  <si>
    <t>Flow rate [l/min]</t>
  </si>
  <si>
    <t>&lt;-- 24e flow rate at 24 V</t>
  </si>
  <si>
    <t>Head [m]</t>
  </si>
  <si>
    <t>&lt;-- Pump curve</t>
  </si>
  <si>
    <t>Supplied Voltage [V]</t>
  </si>
  <si>
    <t>Current [A]</t>
  </si>
  <si>
    <t>Power [W]</t>
  </si>
  <si>
    <t>Qty</t>
  </si>
  <si>
    <t xml:space="preserve">Update from aero this year 2025e! </t>
  </si>
  <si>
    <t>VA22-Bp11_C-50A SPAL Fan</t>
  </si>
  <si>
    <t>from aero @10 degrees</t>
  </si>
  <si>
    <t>Static pressure [mmH2O]</t>
  </si>
  <si>
    <t>&lt;-- Radiator manufacturer</t>
  </si>
  <si>
    <t>kickplate area (m^2)</t>
  </si>
  <si>
    <t>air velocity (m/s)</t>
  </si>
  <si>
    <t>abs pressure (Pa)</t>
  </si>
  <si>
    <t>density (kg/m^3)</t>
  </si>
  <si>
    <t>Fan Airflow [m^3/h]</t>
  </si>
  <si>
    <t>&lt;-- Fan datasheet</t>
  </si>
  <si>
    <t>10 m/s</t>
  </si>
  <si>
    <t>Fan Airflow [kg/s]</t>
  </si>
  <si>
    <t>&lt;--- rho = 1.145 kg/m^3</t>
  </si>
  <si>
    <t>13.7 m/s</t>
  </si>
  <si>
    <t>Aero Airflow [kg/s]</t>
  </si>
  <si>
    <t>&lt;-- Get from Aero</t>
  </si>
  <si>
    <t>using 13.7 rn/s</t>
  </si>
  <si>
    <t>Total Airflow [kg/s]</t>
  </si>
  <si>
    <t>VA68-B101-83A</t>
  </si>
  <si>
    <t>e-NTU Crossflow Heat Exchanger Radiator Area Analysis</t>
  </si>
  <si>
    <t>Heat output per IGBT [W]</t>
  </si>
  <si>
    <t>From Slack</t>
  </si>
  <si>
    <t>Desired dT [C]</t>
  </si>
  <si>
    <t>Water inlet T [C]</t>
  </si>
  <si>
    <t>&lt;--- Inverter derating T</t>
  </si>
  <si>
    <t>Water outlet T [C]</t>
  </si>
  <si>
    <t>Water Cph [J/kg*K]</t>
  </si>
  <si>
    <t>&lt;---the heat required to raise the temperature of 1 kg of water by 1 K is 4184 joules, so the specific heat capacity of water is 4184 J⋅kg−1⋅K−1</t>
  </si>
  <si>
    <t>Water mass flow rate [kg/s]</t>
  </si>
  <si>
    <t>&lt;-- 24e flow rate test value</t>
  </si>
  <si>
    <t>Note: motor heat output = 589 W (redo the matlab script thing) with initla temp also 32.2</t>
  </si>
  <si>
    <t>Radiator U [W/m^2*K]</t>
  </si>
  <si>
    <t>&lt;-- online literature</t>
  </si>
  <si>
    <t>Air Inlet [C]</t>
  </si>
  <si>
    <t>&lt;-- Michigan Ambient temps</t>
  </si>
  <si>
    <t>Air Cpc [J/kg*K]</t>
  </si>
  <si>
    <t>&lt;--The specific heat of air at constant pressure is 1007J/kg-K</t>
  </si>
  <si>
    <t>Air mass flow rate [kg/s]</t>
  </si>
  <si>
    <t xml:space="preserve">&lt;-- Fan + Aero </t>
  </si>
  <si>
    <t>Ch</t>
  </si>
  <si>
    <t>&lt;--Cmax</t>
  </si>
  <si>
    <t>max energy transferred by water per degree</t>
  </si>
  <si>
    <t>Cc</t>
  </si>
  <si>
    <t>&lt;-- Cmin</t>
  </si>
  <si>
    <t>max energy transferred by air per degree</t>
  </si>
  <si>
    <t>q dot max</t>
  </si>
  <si>
    <t>q dot</t>
  </si>
  <si>
    <t>e</t>
  </si>
  <si>
    <r>
      <rPr/>
      <t xml:space="preserve">&lt;--heat exchange effectiveness, calc method resource: </t>
    </r>
    <r>
      <rPr>
        <color rgb="FF1155CC"/>
        <u/>
      </rPr>
      <t>https://www.mathworks.com/help/hydro/ref/entuheattransfer.html</t>
    </r>
    <r>
      <rPr/>
      <t xml:space="preserve"> </t>
    </r>
  </si>
  <si>
    <t>Cr</t>
  </si>
  <si>
    <t>&lt;--The thermal capacity ratio is defined as: Crel=CMin/CMax</t>
  </si>
  <si>
    <t>UA</t>
  </si>
  <si>
    <t xml:space="preserve">&lt;-- U: the overall heat transfer coefficient between fluid 1 and fluid 2. </t>
  </si>
  <si>
    <t>Radiator Area A [m^2]</t>
  </si>
  <si>
    <t>Heat output per Motor [W]</t>
  </si>
  <si>
    <t>From 23e Endurance Data</t>
  </si>
  <si>
    <t>Max Allowable Water inlet T [C]</t>
  </si>
  <si>
    <t>&lt;--- Motor Water inlet max temp from AMK datasheet</t>
  </si>
  <si>
    <t>Calc Confirmation using slightly differently formed equation</t>
  </si>
  <si>
    <t>NTU = ln(1+ln(1-e)*C_rel)/-C_rel*cmin = UA</t>
  </si>
  <si>
    <t>qmax</t>
  </si>
  <si>
    <t>q</t>
  </si>
  <si>
    <t>For both fluid unmixed (results are close enough)</t>
  </si>
  <si>
    <t>NTU</t>
  </si>
  <si>
    <t>Matlab code:</t>
  </si>
  <si>
    <t>Motor Heat Output (W)</t>
  </si>
  <si>
    <t>%temperature calcs</t>
  </si>
  <si>
    <t>&lt;-- from matlab calcs</t>
  </si>
  <si>
    <t>%inputs</t>
  </si>
  <si>
    <r>
      <rPr>
        <rFont val="Menlo, Monaco, Consolas, &quot;Courier New&quot;, monospace"/>
        <color theme="1"/>
      </rPr>
      <t xml:space="preserve">T0 = 32.2; </t>
    </r>
    <r>
      <rPr>
        <rFont val="Menlo, Monaco, Consolas, &quot;Courier New&quot;, monospace"/>
        <color rgb="FF008013"/>
      </rPr>
      <t>%C</t>
    </r>
  </si>
  <si>
    <r>
      <rPr>
        <rFont val="Menlo, Monaco, Consolas, &quot;Courier New&quot;, monospace"/>
        <color theme="1"/>
      </rPr>
      <t xml:space="preserve">Q =589; </t>
    </r>
    <r>
      <rPr>
        <rFont val="Menlo, Monaco, Consolas, &quot;Courier New&quot;, monospace"/>
        <color rgb="FF008013"/>
      </rPr>
      <t>%W</t>
    </r>
  </si>
  <si>
    <r>
      <rPr>
        <rFont val="Menlo, Monaco, Consolas, &quot;Courier New&quot;, monospace"/>
        <color theme="1"/>
      </rPr>
      <t xml:space="preserve">m_dot = 0.221; </t>
    </r>
    <r>
      <rPr>
        <rFont val="Menlo, Monaco, Consolas, &quot;Courier New&quot;, monospace"/>
        <color rgb="FF008013"/>
      </rPr>
      <t>%kg/s</t>
    </r>
  </si>
  <si>
    <r>
      <rPr>
        <rFont val="Menlo, Monaco, Consolas, &quot;Courier New&quot;, monospace"/>
        <color theme="1"/>
      </rPr>
      <t xml:space="preserve">cp = 4200; </t>
    </r>
    <r>
      <rPr>
        <rFont val="Menlo, Monaco, Consolas, &quot;Courier New&quot;, monospace"/>
        <color rgb="FF008013"/>
      </rPr>
      <t>%joules</t>
    </r>
  </si>
  <si>
    <t>%calcs</t>
  </si>
  <si>
    <t>dT = Q/(m_dot*cp);</t>
  </si>
  <si>
    <t>T1 = T0 + dT</t>
  </si>
  <si>
    <t>T2 = T1 + dT</t>
  </si>
  <si>
    <t xml:space="preserve">Ch (heat capacity rates, water side, hot fluid) </t>
  </si>
  <si>
    <t>T3 = T2 + dT</t>
  </si>
  <si>
    <t>Cc (Air side, cold fluid)</t>
  </si>
  <si>
    <t>T4 = T3 + dT</t>
  </si>
  <si>
    <t>&lt;--Qmax = Cmin*(Th,in - Tc,in)</t>
  </si>
  <si>
    <t>%print</t>
  </si>
  <si>
    <t>disp(dT)</t>
  </si>
  <si>
    <t>e (effectiveness)</t>
  </si>
  <si>
    <t>&lt;-- Note: The calculated effectiveness is greater than 1, which is physically impossible. This suggests that we need to revisit the assumption of the air outlet temperature or the configuration. Instead, let's assume a reasonable effectiveness for a crossflow heat exchanger.
For a typical crossflow heat exchanger, effectiveness (ε) is usually less than 1 (often between 0.5 to 0.7 depending on the design).
Let’s assume a more realistic effectiveness of ϵ=0.6.</t>
  </si>
  <si>
    <t>&lt;--</t>
  </si>
  <si>
    <t>motors Q</t>
  </si>
  <si>
    <t>500 W</t>
  </si>
  <si>
    <t>total Q</t>
  </si>
  <si>
    <t>2000 W</t>
  </si>
  <si>
    <t>23e</t>
  </si>
  <si>
    <t>l/min</t>
  </si>
  <si>
    <t>Voltage</t>
  </si>
  <si>
    <t>flow rate(L/min)</t>
  </si>
  <si>
    <t>mass flow rate(kg/s)</t>
  </si>
  <si>
    <t>22e</t>
  </si>
  <si>
    <t xml:space="preserve">23e </t>
  </si>
  <si>
    <t>24e</t>
  </si>
  <si>
    <t>kg/s (*0.017)</t>
  </si>
  <si>
    <t>flow rate (l/min)</t>
  </si>
  <si>
    <t>head loss (m)</t>
  </si>
  <si>
    <t>24e heat rejection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</si>
</sst>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9.0"/>
      <color rgb="FF000000"/>
      <name val="Arial"/>
      <scheme val="minor"/>
    </font>
    <font>
      <color rgb="FF000000"/>
      <name val="Arial"/>
    </font>
    <font>
      <sz val="11.0"/>
      <color rgb="FF000000"/>
      <name val="Arial"/>
    </font>
    <font/>
    <font>
      <u/>
      <color rgb="FF0000FF"/>
    </font>
    <font>
      <u/>
      <color rgb="FF0000FF"/>
    </font>
    <font>
      <u/>
      <color rgb="FF0000FF"/>
    </font>
    <font>
      <color rgb="FF008013"/>
      <name val="Menlo"/>
    </font>
    <font>
      <color theme="1"/>
      <name val="Menlo"/>
    </font>
    <font>
      <color theme="1"/>
      <name val="Arial"/>
    </font>
  </fonts>
  <fills count="12">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EFEFEF"/>
        <bgColor rgb="FFEFEFEF"/>
      </patternFill>
    </fill>
    <fill>
      <patternFill patternType="solid">
        <fgColor rgb="FFD9EAD3"/>
        <bgColor rgb="FFD9EAD3"/>
      </patternFill>
    </fill>
    <fill>
      <patternFill patternType="solid">
        <fgColor theme="0"/>
        <bgColor theme="0"/>
      </patternFill>
    </fill>
    <fill>
      <patternFill patternType="solid">
        <fgColor rgb="FFA4C2F4"/>
        <bgColor rgb="FFA4C2F4"/>
      </patternFill>
    </fill>
    <fill>
      <patternFill patternType="solid">
        <fgColor rgb="FFCFE2F3"/>
        <bgColor rgb="FFCFE2F3"/>
      </patternFill>
    </fill>
    <fill>
      <patternFill patternType="solid">
        <fgColor rgb="FFF3F3F3"/>
        <bgColor rgb="FFF3F3F3"/>
      </patternFill>
    </fill>
    <fill>
      <patternFill patternType="solid">
        <fgColor rgb="FFB6D7A8"/>
        <bgColor rgb="FFB6D7A8"/>
      </patternFill>
    </fill>
    <fill>
      <patternFill patternType="solid">
        <fgColor rgb="FFF4CCCC"/>
        <bgColor rgb="FFF4CCCC"/>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2" fontId="2" numFmtId="0" xfId="0" applyFont="1"/>
    <xf borderId="0" fillId="0" fontId="2" numFmtId="0" xfId="0" applyFont="1"/>
    <xf borderId="0" fillId="3" fontId="1" numFmtId="0" xfId="0" applyAlignment="1" applyFill="1" applyFont="1">
      <alignment readingOrder="0"/>
    </xf>
    <xf borderId="0" fillId="3" fontId="2" numFmtId="0" xfId="0" applyFont="1"/>
    <xf borderId="0" fillId="0" fontId="3" numFmtId="0" xfId="0" applyAlignment="1" applyFont="1">
      <alignment horizontal="left"/>
    </xf>
    <xf borderId="0" fillId="0" fontId="2" numFmtId="0" xfId="0" applyAlignment="1" applyFont="1">
      <alignment readingOrder="0"/>
    </xf>
    <xf borderId="0" fillId="0" fontId="2" numFmtId="0" xfId="0" applyFont="1"/>
    <xf borderId="0" fillId="3" fontId="2" numFmtId="0" xfId="0" applyAlignment="1" applyFont="1">
      <alignment readingOrder="0"/>
    </xf>
    <xf borderId="0" fillId="4" fontId="4" numFmtId="0" xfId="0" applyAlignment="1" applyFill="1" applyFont="1">
      <alignment horizontal="left" readingOrder="0"/>
    </xf>
    <xf borderId="0" fillId="5" fontId="1" numFmtId="0" xfId="0" applyAlignment="1" applyFill="1" applyFont="1">
      <alignment readingOrder="0"/>
    </xf>
    <xf borderId="0" fillId="5" fontId="1" numFmtId="0" xfId="0" applyFont="1"/>
    <xf borderId="0" fillId="5" fontId="2" numFmtId="0" xfId="0" applyAlignment="1" applyFont="1">
      <alignment readingOrder="0"/>
    </xf>
    <xf borderId="0" fillId="5" fontId="2" numFmtId="0" xfId="0" applyFont="1"/>
    <xf borderId="0" fillId="6" fontId="2" numFmtId="0" xfId="0" applyFill="1" applyFont="1"/>
    <xf borderId="0" fillId="0" fontId="5" numFmtId="0" xfId="0" applyFont="1"/>
    <xf borderId="0" fillId="0" fontId="1" numFmtId="0" xfId="0" applyAlignment="1" applyFont="1">
      <alignment readingOrder="0"/>
    </xf>
    <xf borderId="1" fillId="7" fontId="2" numFmtId="0" xfId="0" applyAlignment="1" applyBorder="1" applyFill="1" applyFont="1">
      <alignment horizontal="center" readingOrder="0"/>
    </xf>
    <xf borderId="2" fillId="0" fontId="6" numFmtId="0" xfId="0" applyBorder="1" applyFont="1"/>
    <xf borderId="3" fillId="0" fontId="6" numFmtId="0" xfId="0" applyBorder="1" applyFont="1"/>
    <xf borderId="4" fillId="8" fontId="2" numFmtId="0" xfId="0" applyAlignment="1" applyBorder="1" applyFill="1" applyFont="1">
      <alignment readingOrder="0"/>
    </xf>
    <xf borderId="4" fillId="9" fontId="2" numFmtId="0" xfId="0" applyAlignment="1" applyBorder="1" applyFill="1" applyFont="1">
      <alignment readingOrder="0"/>
    </xf>
    <xf borderId="0" fillId="5" fontId="2" numFmtId="0" xfId="0" applyFont="1"/>
    <xf borderId="0" fillId="0" fontId="7" numFmtId="0" xfId="0" applyAlignment="1" applyFont="1">
      <alignment readingOrder="0"/>
    </xf>
    <xf borderId="0" fillId="4" fontId="2" numFmtId="0" xfId="0" applyAlignment="1" applyFont="1">
      <alignment readingOrder="0"/>
    </xf>
    <xf borderId="0" fillId="4" fontId="2" numFmtId="0" xfId="0" applyFont="1"/>
    <xf borderId="0" fillId="0" fontId="8" numFmtId="0" xfId="0" applyAlignment="1" applyFont="1">
      <alignment readingOrder="0"/>
    </xf>
    <xf borderId="0" fillId="5" fontId="1" numFmtId="0" xfId="0" applyAlignment="1" applyFont="1">
      <alignment readingOrder="0"/>
    </xf>
    <xf borderId="0" fillId="5" fontId="9" numFmtId="0" xfId="0" applyAlignment="1" applyFont="1">
      <alignment readingOrder="0"/>
    </xf>
    <xf borderId="4" fillId="0" fontId="2" numFmtId="0" xfId="0" applyAlignment="1" applyBorder="1" applyFont="1">
      <alignment readingOrder="0"/>
    </xf>
    <xf borderId="4" fillId="5" fontId="2" numFmtId="0" xfId="0" applyBorder="1" applyFont="1"/>
    <xf borderId="4" fillId="0" fontId="2" numFmtId="0" xfId="0" applyBorder="1" applyFont="1"/>
    <xf borderId="0" fillId="0" fontId="10" numFmtId="0" xfId="0" applyAlignment="1" applyFont="1">
      <alignment readingOrder="0"/>
    </xf>
    <xf borderId="0" fillId="0" fontId="11" numFmtId="0" xfId="0" applyAlignment="1" applyFont="1">
      <alignment readingOrder="0"/>
    </xf>
    <xf borderId="0" fillId="10" fontId="2" numFmtId="0" xfId="0" applyFill="1" applyFont="1"/>
    <xf borderId="0" fillId="11" fontId="2" numFmtId="0" xfId="0" applyAlignment="1" applyFill="1" applyFont="1">
      <alignment readingOrder="0"/>
    </xf>
    <xf borderId="0" fillId="0" fontId="2" numFmtId="0" xfId="0" applyAlignment="1" applyFont="1">
      <alignment readingOrder="0" shrinkToFit="0" wrapText="0"/>
    </xf>
    <xf borderId="0" fillId="0" fontId="12" numFmtId="0" xfId="0" applyAlignment="1" applyFont="1">
      <alignment horizontal="right" vertical="bottom"/>
    </xf>
    <xf borderId="0" fillId="0" fontId="12" numFmtId="0" xfId="0" applyAlignment="1" applyFont="1">
      <alignment readingOrder="0" vertical="bottom"/>
    </xf>
    <xf borderId="0" fillId="0" fontId="12" numFmtId="0" xfId="0" applyAlignment="1" applyFont="1">
      <alignment horizontal="right" readingOrder="0"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Tube Diameter Calcs-style">
      <tableStyleElement dxfId="1" type="headerRow"/>
      <tableStyleElement dxfId="2" type="firstRowStripe"/>
      <tableStyleElement dxfId="3" type="secondRowStripe"/>
    </tableStyle>
    <tableStyle count="3" pivot="0" name="Pump &amp; Fan-style">
      <tableStyleElement dxfId="1" type="headerRow"/>
      <tableStyleElement dxfId="2" type="firstRowStripe"/>
      <tableStyleElement dxfId="3" type="secondRowStripe"/>
    </tableStyle>
    <tableStyle count="3" pivot="0" name="Pump &amp; Fan-style 2">
      <tableStyleElement dxfId="1" type="headerRow"/>
      <tableStyleElement dxfId="2" type="firstRowStripe"/>
      <tableStyleElement dxfId="3" type="secondRowStripe"/>
    </tableStyle>
    <tableStyle count="3" pivot="0" name="Inverter Radiator Area Calcs-style">
      <tableStyleElement dxfId="1" type="headerRow"/>
      <tableStyleElement dxfId="2" type="firstRowStripe"/>
      <tableStyleElement dxfId="3" type="secondRowStripe"/>
    </tableStyle>
    <tableStyle count="3" pivot="0" name="Motor Radiator Area Calcs-style">
      <tableStyleElement dxfId="1" type="headerRow"/>
      <tableStyleElement dxfId="2" type="firstRowStripe"/>
      <tableStyleElement dxfId="3" type="secondRowStripe"/>
    </tableStyle>
    <tableStyle count="3" pivot="0" name="V2 Motor Radiator Area Calc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flow rate(L/min) vs. Voltage</a:t>
            </a:r>
          </a:p>
        </c:rich>
      </c:tx>
      <c:overlay val="0"/>
    </c:title>
    <c:plotArea>
      <c:layout/>
      <c:lineChart>
        <c:varyColors val="0"/>
        <c:ser>
          <c:idx val="0"/>
          <c:order val="0"/>
          <c:tx>
            <c:strRef>
              <c:f>'Flow Rate Test'!$C$2</c:f>
            </c:strRef>
          </c:tx>
          <c:spPr>
            <a:ln cmpd="sng">
              <a:solidFill>
                <a:srgbClr val="4285F4"/>
              </a:solidFill>
            </a:ln>
          </c:spPr>
          <c:marker>
            <c:symbol val="none"/>
          </c:marker>
          <c:cat>
            <c:strRef>
              <c:f>'Flow Rate Test'!$B$3:$B$31</c:f>
            </c:strRef>
          </c:cat>
          <c:val>
            <c:numRef>
              <c:f>'Flow Rate Test'!$C$3:$C$31</c:f>
              <c:numCache/>
            </c:numRef>
          </c:val>
          <c:smooth val="0"/>
        </c:ser>
        <c:axId val="1004402668"/>
        <c:axId val="602066916"/>
      </c:lineChart>
      <c:catAx>
        <c:axId val="1004402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Voltage</a:t>
                </a:r>
              </a:p>
            </c:rich>
          </c:tx>
          <c:overlay val="0"/>
        </c:title>
        <c:numFmt formatCode="General" sourceLinked="1"/>
        <c:majorTickMark val="none"/>
        <c:minorTickMark val="none"/>
        <c:spPr/>
        <c:txPr>
          <a:bodyPr/>
          <a:lstStyle/>
          <a:p>
            <a:pPr lvl="0">
              <a:defRPr b="0">
                <a:solidFill>
                  <a:srgbClr val="000000"/>
                </a:solidFill>
                <a:latin typeface="+mn-lt"/>
              </a:defRPr>
            </a:pPr>
          </a:p>
        </c:txPr>
        <c:crossAx val="602066916"/>
      </c:catAx>
      <c:valAx>
        <c:axId val="6020669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flow rate(L/min)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440266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22e and 23e flow rate</a:t>
            </a:r>
          </a:p>
        </c:rich>
      </c:tx>
      <c:overlay val="0"/>
    </c:title>
    <c:plotArea>
      <c:layout/>
      <c:lineChart>
        <c:ser>
          <c:idx val="0"/>
          <c:order val="0"/>
          <c:tx>
            <c:strRef>
              <c:f>'Flow Rate Test'!$G$2</c:f>
            </c:strRef>
          </c:tx>
          <c:spPr>
            <a:ln cmpd="sng">
              <a:solidFill>
                <a:srgbClr val="4285F4"/>
              </a:solidFill>
            </a:ln>
          </c:spPr>
          <c:marker>
            <c:symbol val="none"/>
          </c:marker>
          <c:cat>
            <c:strRef>
              <c:f>'Flow Rate Test'!$F$3:$F$10</c:f>
            </c:strRef>
          </c:cat>
          <c:val>
            <c:numRef>
              <c:f>'Flow Rate Test'!$G$3:$G$10</c:f>
              <c:numCache/>
            </c:numRef>
          </c:val>
          <c:smooth val="0"/>
        </c:ser>
        <c:ser>
          <c:idx val="1"/>
          <c:order val="1"/>
          <c:tx>
            <c:strRef>
              <c:f>'Flow Rate Test'!$H$2</c:f>
            </c:strRef>
          </c:tx>
          <c:spPr>
            <a:ln cmpd="sng">
              <a:solidFill>
                <a:srgbClr val="EA4335"/>
              </a:solidFill>
            </a:ln>
          </c:spPr>
          <c:marker>
            <c:symbol val="none"/>
          </c:marker>
          <c:cat>
            <c:strRef>
              <c:f>'Flow Rate Test'!$F$3:$F$10</c:f>
            </c:strRef>
          </c:cat>
          <c:val>
            <c:numRef>
              <c:f>'Flow Rate Test'!$H$3:$H$10</c:f>
              <c:numCache/>
            </c:numRef>
          </c:val>
          <c:smooth val="0"/>
        </c:ser>
        <c:axId val="2043894566"/>
        <c:axId val="491620365"/>
      </c:lineChart>
      <c:catAx>
        <c:axId val="2043894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Voltage</a:t>
                </a:r>
              </a:p>
            </c:rich>
          </c:tx>
          <c:overlay val="0"/>
        </c:title>
        <c:numFmt formatCode="General" sourceLinked="1"/>
        <c:majorTickMark val="none"/>
        <c:minorTickMark val="none"/>
        <c:spPr/>
        <c:txPr>
          <a:bodyPr/>
          <a:lstStyle/>
          <a:p>
            <a:pPr lvl="0">
              <a:defRPr b="0">
                <a:solidFill>
                  <a:srgbClr val="000000"/>
                </a:solidFill>
                <a:latin typeface="+mn-lt"/>
              </a:defRPr>
            </a:pPr>
          </a:p>
        </c:txPr>
        <c:crossAx val="491620365"/>
      </c:catAx>
      <c:valAx>
        <c:axId val="491620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Flow rate(L/s)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389456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Comparison of 22e, 23e, and 24e Flow Rates
</a:t>
            </a:r>
          </a:p>
        </c:rich>
      </c:tx>
      <c:overlay val="0"/>
    </c:title>
    <c:plotArea>
      <c:layout/>
      <c:lineChart>
        <c:ser>
          <c:idx val="0"/>
          <c:order val="0"/>
          <c:tx>
            <c:strRef>
              <c:f>'Flow Rate Test'!$G$1:$G$2</c:f>
            </c:strRef>
          </c:tx>
          <c:spPr>
            <a:ln cmpd="sng">
              <a:solidFill>
                <a:srgbClr val="4285F4"/>
              </a:solidFill>
            </a:ln>
          </c:spPr>
          <c:marker>
            <c:symbol val="none"/>
          </c:marker>
          <c:cat>
            <c:strRef>
              <c:f>'Flow Rate Test'!$F$3:$F$9</c:f>
            </c:strRef>
          </c:cat>
          <c:val>
            <c:numRef>
              <c:f>'Flow Rate Test'!$G$3:$G$9</c:f>
              <c:numCache/>
            </c:numRef>
          </c:val>
          <c:smooth val="0"/>
        </c:ser>
        <c:ser>
          <c:idx val="1"/>
          <c:order val="1"/>
          <c:tx>
            <c:strRef>
              <c:f>'Flow Rate Test'!$H$1:$H$2</c:f>
            </c:strRef>
          </c:tx>
          <c:spPr>
            <a:ln cmpd="sng">
              <a:solidFill>
                <a:srgbClr val="EA4335"/>
              </a:solidFill>
            </a:ln>
          </c:spPr>
          <c:marker>
            <c:symbol val="none"/>
          </c:marker>
          <c:cat>
            <c:strRef>
              <c:f>'Flow Rate Test'!$F$3:$F$9</c:f>
            </c:strRef>
          </c:cat>
          <c:val>
            <c:numRef>
              <c:f>'Flow Rate Test'!$H$3:$H$9</c:f>
              <c:numCache/>
            </c:numRef>
          </c:val>
          <c:smooth val="0"/>
        </c:ser>
        <c:ser>
          <c:idx val="2"/>
          <c:order val="2"/>
          <c:tx>
            <c:strRef>
              <c:f>'Flow Rate Test'!$I$1:$I$2</c:f>
            </c:strRef>
          </c:tx>
          <c:spPr>
            <a:ln cmpd="sng">
              <a:solidFill>
                <a:srgbClr val="FBBC04"/>
              </a:solidFill>
            </a:ln>
          </c:spPr>
          <c:marker>
            <c:symbol val="none"/>
          </c:marker>
          <c:cat>
            <c:strRef>
              <c:f>'Flow Rate Test'!$F$3:$F$9</c:f>
            </c:strRef>
          </c:cat>
          <c:val>
            <c:numRef>
              <c:f>'Flow Rate Test'!$I$3:$I$9</c:f>
              <c:numCache/>
            </c:numRef>
          </c:val>
          <c:smooth val="0"/>
        </c:ser>
        <c:axId val="542456192"/>
        <c:axId val="1806341071"/>
      </c:lineChart>
      <c:catAx>
        <c:axId val="542456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Voltage [V]</a:t>
                </a:r>
              </a:p>
            </c:rich>
          </c:tx>
          <c:overlay val="0"/>
        </c:title>
        <c:numFmt formatCode="General" sourceLinked="1"/>
        <c:majorTickMark val="none"/>
        <c:minorTickMark val="none"/>
        <c:spPr/>
        <c:txPr>
          <a:bodyPr/>
          <a:lstStyle/>
          <a:p>
            <a:pPr lvl="0">
              <a:defRPr b="0">
                <a:solidFill>
                  <a:srgbClr val="000000"/>
                </a:solidFill>
                <a:latin typeface="+mn-lt"/>
              </a:defRPr>
            </a:pPr>
          </a:p>
        </c:txPr>
        <c:crossAx val="1806341071"/>
      </c:catAx>
      <c:valAx>
        <c:axId val="1806341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Flowrate [L/min]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245619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Comparison of 22e, 23e, and 24 Flow Rates</a:t>
            </a:r>
          </a:p>
        </c:rich>
      </c:tx>
      <c:overlay val="0"/>
    </c:title>
    <c:plotArea>
      <c:layout/>
      <c:lineChart>
        <c:ser>
          <c:idx val="0"/>
          <c:order val="0"/>
          <c:tx>
            <c:strRef>
              <c:f>'Flow Rate Test'!$G$1:$G$2</c:f>
            </c:strRef>
          </c:tx>
          <c:spPr>
            <a:ln cmpd="sng">
              <a:solidFill>
                <a:srgbClr val="4285F4"/>
              </a:solidFill>
            </a:ln>
          </c:spPr>
          <c:marker>
            <c:symbol val="none"/>
          </c:marker>
          <c:cat>
            <c:strRef>
              <c:f>'Flow Rate Test'!$F$3:$F$10</c:f>
            </c:strRef>
          </c:cat>
          <c:val>
            <c:numRef>
              <c:f>'Flow Rate Test'!$G$3:$G$10</c:f>
              <c:numCache/>
            </c:numRef>
          </c:val>
          <c:smooth val="0"/>
        </c:ser>
        <c:ser>
          <c:idx val="1"/>
          <c:order val="1"/>
          <c:tx>
            <c:strRef>
              <c:f>'Flow Rate Test'!$H$1:$H$2</c:f>
            </c:strRef>
          </c:tx>
          <c:spPr>
            <a:ln cmpd="sng">
              <a:solidFill>
                <a:srgbClr val="EA4335"/>
              </a:solidFill>
            </a:ln>
          </c:spPr>
          <c:marker>
            <c:symbol val="none"/>
          </c:marker>
          <c:cat>
            <c:strRef>
              <c:f>'Flow Rate Test'!$F$3:$F$10</c:f>
            </c:strRef>
          </c:cat>
          <c:val>
            <c:numRef>
              <c:f>'Flow Rate Test'!$H$3:$H$10</c:f>
              <c:numCache/>
            </c:numRef>
          </c:val>
          <c:smooth val="0"/>
        </c:ser>
        <c:ser>
          <c:idx val="2"/>
          <c:order val="2"/>
          <c:tx>
            <c:v>24e</c:v>
          </c:tx>
          <c:spPr>
            <a:ln cmpd="sng">
              <a:solidFill>
                <a:srgbClr val="FBBC04"/>
              </a:solidFill>
            </a:ln>
          </c:spPr>
          <c:marker>
            <c:symbol val="none"/>
          </c:marker>
          <c:cat>
            <c:strRef>
              <c:f>'Flow Rate Test'!$F$3:$F$10</c:f>
            </c:strRef>
          </c:cat>
          <c:val>
            <c:numRef>
              <c:f>'Flow Rate Test'!$I$3:$I$10</c:f>
              <c:numCache/>
            </c:numRef>
          </c:val>
          <c:smooth val="0"/>
        </c:ser>
        <c:axId val="1903147816"/>
        <c:axId val="1283306436"/>
      </c:lineChart>
      <c:catAx>
        <c:axId val="19031478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Voltage [V]</a:t>
                </a:r>
              </a:p>
            </c:rich>
          </c:tx>
          <c:overlay val="0"/>
        </c:title>
        <c:numFmt formatCode="General" sourceLinked="1"/>
        <c:majorTickMark val="none"/>
        <c:minorTickMark val="none"/>
        <c:spPr/>
        <c:txPr>
          <a:bodyPr/>
          <a:lstStyle/>
          <a:p>
            <a:pPr lvl="0">
              <a:defRPr b="0">
                <a:solidFill>
                  <a:srgbClr val="000000"/>
                </a:solidFill>
                <a:latin typeface="+mn-lt"/>
              </a:defRPr>
            </a:pPr>
          </a:p>
        </c:txPr>
        <c:crossAx val="1283306436"/>
      </c:catAx>
      <c:valAx>
        <c:axId val="12833064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Flow rate [L/min]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314781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6.png"/><Relationship Id="rId3" Type="http://schemas.openxmlformats.org/officeDocument/2006/relationships/image" Target="../media/image13.png"/><Relationship Id="rId4" Type="http://schemas.openxmlformats.org/officeDocument/2006/relationships/image" Target="../media/image8.png"/><Relationship Id="rId5"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4.png"/><Relationship Id="rId3" Type="http://schemas.openxmlformats.org/officeDocument/2006/relationships/image" Target="../media/image5.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4.png"/><Relationship Id="rId3" Type="http://schemas.openxmlformats.org/officeDocument/2006/relationships/image" Target="../media/image3.png"/><Relationship Id="rId4" Type="http://schemas.openxmlformats.org/officeDocument/2006/relationships/image" Target="../media/image7.png"/><Relationship Id="rId5" Type="http://schemas.openxmlformats.org/officeDocument/2006/relationships/image" Target="../media/image10.png"/><Relationship Id="rId6" Type="http://schemas.openxmlformats.org/officeDocument/2006/relationships/image" Target="../media/image2.png"/><Relationship Id="rId7"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609600</xdr:colOff>
      <xdr:row>2</xdr:row>
      <xdr:rowOff>19050</xdr:rowOff>
    </xdr:from>
    <xdr:ext cx="5048250" cy="322897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171450</xdr:rowOff>
    </xdr:from>
    <xdr:ext cx="3009900" cy="259080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36</xdr:row>
      <xdr:rowOff>-190500</xdr:rowOff>
    </xdr:from>
    <xdr:ext cx="5524500" cy="29527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51</xdr:row>
      <xdr:rowOff>-161925</xdr:rowOff>
    </xdr:from>
    <xdr:ext cx="6400800" cy="3876675"/>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1238250</xdr:colOff>
      <xdr:row>38</xdr:row>
      <xdr:rowOff>-190500</xdr:rowOff>
    </xdr:from>
    <xdr:ext cx="6753225" cy="279082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1238250</xdr:colOff>
      <xdr:row>53</xdr:row>
      <xdr:rowOff>-180975</xdr:rowOff>
    </xdr:from>
    <xdr:ext cx="5181600" cy="340995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0</xdr:row>
      <xdr:rowOff>0</xdr:rowOff>
    </xdr:from>
    <xdr:ext cx="6838950" cy="3000375"/>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20</xdr:row>
      <xdr:rowOff>152400</xdr:rowOff>
    </xdr:from>
    <xdr:ext cx="11506200" cy="3390900"/>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304800</xdr:colOff>
      <xdr:row>17</xdr:row>
      <xdr:rowOff>19050</xdr:rowOff>
    </xdr:from>
    <xdr:ext cx="4991100" cy="84772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66675</xdr:colOff>
      <xdr:row>9</xdr:row>
      <xdr:rowOff>190500</xdr:rowOff>
    </xdr:from>
    <xdr:ext cx="8620125" cy="30003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619125</xdr:colOff>
      <xdr:row>0</xdr:row>
      <xdr:rowOff>152400</xdr:rowOff>
    </xdr:from>
    <xdr:ext cx="6838950" cy="3000375"/>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20</xdr:row>
      <xdr:rowOff>152400</xdr:rowOff>
    </xdr:from>
    <xdr:ext cx="11506200" cy="3390900"/>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9525</xdr:colOff>
      <xdr:row>13</xdr:row>
      <xdr:rowOff>95250</xdr:rowOff>
    </xdr:from>
    <xdr:ext cx="7448550" cy="11525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828675</xdr:colOff>
      <xdr:row>1</xdr:row>
      <xdr:rowOff>190500</xdr:rowOff>
    </xdr:from>
    <xdr:ext cx="8067675" cy="63817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47625</xdr:colOff>
      <xdr:row>10</xdr:row>
      <xdr:rowOff>133350</xdr:rowOff>
    </xdr:from>
    <xdr:ext cx="8181975" cy="6858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15</xdr:col>
      <xdr:colOff>685800</xdr:colOff>
      <xdr:row>5</xdr:row>
      <xdr:rowOff>104775</xdr:rowOff>
    </xdr:from>
    <xdr:ext cx="2457450" cy="95250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15</xdr:col>
      <xdr:colOff>333375</xdr:colOff>
      <xdr:row>15</xdr:row>
      <xdr:rowOff>9525</xdr:rowOff>
    </xdr:from>
    <xdr:ext cx="5029200" cy="1743075"/>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247650</xdr:colOff>
      <xdr:row>0</xdr:row>
      <xdr:rowOff>95250</xdr:rowOff>
    </xdr:from>
    <xdr:ext cx="6191250" cy="272415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21</xdr:row>
      <xdr:rowOff>152400</xdr:rowOff>
    </xdr:from>
    <xdr:ext cx="17792700" cy="5248275"/>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523875</xdr:colOff>
      <xdr:row>40</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247650</xdr:colOff>
      <xdr:row>38</xdr:row>
      <xdr:rowOff>190500</xdr:rowOff>
    </xdr:from>
    <xdr:ext cx="7353300" cy="45529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514350</xdr:colOff>
      <xdr:row>0</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371475</xdr:colOff>
      <xdr:row>22</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933450</xdr:colOff>
      <xdr:row>28</xdr:row>
      <xdr:rowOff>104775</xdr:rowOff>
    </xdr:from>
    <xdr:ext cx="3857625" cy="3209925"/>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E25" displayName="Table_1" name="Table_1" id="1">
  <tableColumns count="5">
    <tableColumn name="Column1" id="1"/>
    <tableColumn name="Column2" id="2"/>
    <tableColumn name="Column3" id="3"/>
    <tableColumn name="Column4" id="4"/>
    <tableColumn name="Column5" id="5"/>
  </tableColumns>
  <tableStyleInfo name="Tube Diameter Calc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D9" displayName="Table_2" name="Table_2" id="2">
  <tableColumns count="4">
    <tableColumn name="Column1" id="1"/>
    <tableColumn name="Column2" id="2"/>
    <tableColumn name="Column3" id="3"/>
    <tableColumn name="Column4" id="4"/>
  </tableColumns>
  <tableStyleInfo name="Pump &amp; Fan-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5:E35" displayName="Table_3" name="Table_3" id="3">
  <tableColumns count="5">
    <tableColumn name="Column1" id="1"/>
    <tableColumn name="Column2" id="2"/>
    <tableColumn name="Column3" id="3"/>
    <tableColumn name="Column4" id="4"/>
    <tableColumn name="Column5" id="5"/>
  </tableColumns>
  <tableStyleInfo name="Pump &amp; Fan-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D20" displayName="Table_4" name="Table_4" id="4">
  <tableColumns count="4">
    <tableColumn name="Column1" id="1"/>
    <tableColumn name="Column2" id="2"/>
    <tableColumn name="Column3" id="3"/>
    <tableColumn name="Column4" id="4"/>
  </tableColumns>
  <tableStyleInfo name="Inverter Radiator Area Calc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D20" displayName="Table_5" name="Table_5" id="5">
  <tableColumns count="4">
    <tableColumn name="Column1" id="1"/>
    <tableColumn name="Column2" id="2"/>
    <tableColumn name="Column3" id="3"/>
    <tableColumn name="Column4" id="4"/>
  </tableColumns>
  <tableStyleInfo name="Motor Radiator Area Calc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D20" displayName="Table_6" name="Table_6" id="6">
  <tableColumns count="4">
    <tableColumn name="Column1" id="1"/>
    <tableColumn name="Column2" id="2"/>
    <tableColumn name="Column3" id="3"/>
    <tableColumn name="Column4" id="4"/>
  </tableColumns>
  <tableStyleInfo name="V2 Motor Radiator Area Calc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carnegiemellonracing.slack.com/archives/CFP2HU30Q/p1687644837153049?thread_ts=1687561325.256719&amp;cid=CFP2HU30Q" TargetMode="External"/><Relationship Id="rId2" Type="http://schemas.openxmlformats.org/officeDocument/2006/relationships/hyperlink" Target="https://www.engineersedge.com/thermodynamics/overall_heat_transfer-table.htm" TargetMode="External"/><Relationship Id="rId3" Type="http://schemas.openxmlformats.org/officeDocument/2006/relationships/hyperlink" Target="https://www.mathworks.com/help/hydro/ref/entuheattransfer.html" TargetMode="External"/><Relationship Id="rId4" Type="http://schemas.openxmlformats.org/officeDocument/2006/relationships/drawing" Target="../drawings/drawing3.xml"/><Relationship Id="rId6"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hyperlink" Target="https://carnegiemellonracing.slack.com/archives/CFPKE9ZS8/p1720576333366579?thread_ts=1720549027.580809&amp;cid=CFPKE9ZS8" TargetMode="External"/><Relationship Id="rId2" Type="http://schemas.openxmlformats.org/officeDocument/2006/relationships/hyperlink" Target="https://www.engineersedge.com/thermodynamics/overall_heat_transfer-table.htm" TargetMode="External"/><Relationship Id="rId3" Type="http://schemas.openxmlformats.org/officeDocument/2006/relationships/drawing" Target="../drawings/drawing4.xml"/><Relationship Id="rId5"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engineersedge.com/thermodynamics/overall_heat_transfer-table.htm" TargetMode="External"/><Relationship Id="rId2" Type="http://schemas.openxmlformats.org/officeDocument/2006/relationships/drawing" Target="../drawings/drawing5.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1" t="s">
        <v>0</v>
      </c>
      <c r="B1" s="1"/>
      <c r="C1" s="1"/>
      <c r="D1" s="1"/>
      <c r="E1" s="1"/>
    </row>
    <row r="2">
      <c r="A2" s="2" t="s">
        <v>1</v>
      </c>
      <c r="B2" s="2">
        <v>0.221</v>
      </c>
      <c r="C2" s="2" t="s">
        <v>2</v>
      </c>
    </row>
    <row r="3">
      <c r="A3" s="2" t="s">
        <v>3</v>
      </c>
      <c r="B3" s="2">
        <v>0.015</v>
      </c>
      <c r="C3" s="2" t="s">
        <v>4</v>
      </c>
    </row>
    <row r="4">
      <c r="A4" s="2" t="s">
        <v>5</v>
      </c>
      <c r="B4" s="2">
        <v>997.0</v>
      </c>
      <c r="C4" s="2" t="s">
        <v>6</v>
      </c>
    </row>
    <row r="5">
      <c r="A5" s="2" t="s">
        <v>7</v>
      </c>
      <c r="B5" s="2">
        <v>0.04</v>
      </c>
      <c r="C5" s="2" t="s">
        <v>8</v>
      </c>
    </row>
    <row r="6">
      <c r="A6" s="2" t="s">
        <v>9</v>
      </c>
      <c r="B6" s="2">
        <v>2.0</v>
      </c>
      <c r="C6" s="2" t="s">
        <v>10</v>
      </c>
    </row>
    <row r="7">
      <c r="A7" s="2" t="s">
        <v>11</v>
      </c>
      <c r="B7" s="2">
        <v>9.81</v>
      </c>
      <c r="C7" s="2" t="s">
        <v>12</v>
      </c>
    </row>
    <row r="8">
      <c r="A8" s="2" t="s">
        <v>13</v>
      </c>
      <c r="B8" s="2">
        <f>(PI()/4)*(B11)^2</f>
        <v>0.00008107352095</v>
      </c>
    </row>
    <row r="9">
      <c r="A9" s="2" t="s">
        <v>14</v>
      </c>
      <c r="B9" s="2">
        <f>B2/(B4*B8)</f>
        <v>2.734123206</v>
      </c>
    </row>
    <row r="10">
      <c r="A10" s="3" t="s">
        <v>15</v>
      </c>
      <c r="B10" s="3">
        <v>0.4</v>
      </c>
      <c r="C10" s="3" t="s">
        <v>16</v>
      </c>
      <c r="D10" s="4"/>
      <c r="E10" s="4"/>
    </row>
    <row r="11">
      <c r="A11" s="2" t="s">
        <v>17</v>
      </c>
      <c r="B11" s="5">
        <f>B10/39.37</f>
        <v>0.01016002032</v>
      </c>
    </row>
    <row r="12">
      <c r="A12" s="6" t="s">
        <v>18</v>
      </c>
      <c r="B12" s="6" t="s">
        <v>19</v>
      </c>
      <c r="C12" s="7"/>
      <c r="D12" s="7"/>
      <c r="E12" s="7"/>
    </row>
    <row r="13">
      <c r="A13" s="2">
        <v>0.285</v>
      </c>
      <c r="B13" s="5">
        <f>B5*(A13*B9^2)/(2*B7*B11)</f>
        <v>0.4275111377</v>
      </c>
    </row>
    <row r="14">
      <c r="A14" s="2">
        <v>1.796</v>
      </c>
      <c r="B14" s="8">
        <f>B5*(A14*B9^2)/(2*B7*B11)</f>
        <v>2.694070187</v>
      </c>
    </row>
    <row r="15">
      <c r="A15" s="2">
        <v>1.012</v>
      </c>
      <c r="B15" s="8">
        <f>B5*(A15*B9^2)/(2*B7*B10)</f>
        <v>0.03855828165</v>
      </c>
    </row>
    <row r="16">
      <c r="A16" s="2">
        <v>1.994</v>
      </c>
      <c r="B16" s="8">
        <f>B5*(A16*B9^2)/(2*B7*B11)</f>
        <v>2.991077925</v>
      </c>
    </row>
    <row r="17">
      <c r="A17" s="2">
        <v>0.985</v>
      </c>
      <c r="B17" s="8">
        <f>B5*(A17*B9^2)/(2*B7*B11)</f>
        <v>1.477538493</v>
      </c>
    </row>
    <row r="18">
      <c r="A18" s="6" t="s">
        <v>20</v>
      </c>
      <c r="B18" s="6" t="s">
        <v>21</v>
      </c>
      <c r="C18" s="7"/>
      <c r="D18" s="7"/>
      <c r="E18" s="7"/>
    </row>
    <row r="19">
      <c r="A19" s="9">
        <v>17.0</v>
      </c>
      <c r="B19" s="10">
        <f>A19*(B6*B9^2)/(2*B7)</f>
        <v>12.9543634</v>
      </c>
      <c r="D19" s="10"/>
      <c r="E19" s="10"/>
    </row>
    <row r="20">
      <c r="A20" s="6" t="s">
        <v>22</v>
      </c>
      <c r="B20" s="6" t="s">
        <v>23</v>
      </c>
      <c r="C20" s="11"/>
      <c r="D20" s="7"/>
      <c r="E20" s="7"/>
    </row>
    <row r="21">
      <c r="A21" s="9">
        <v>4.0</v>
      </c>
      <c r="B21" s="10">
        <f>4*0.5</f>
        <v>2</v>
      </c>
      <c r="C21" s="12" t="s">
        <v>24</v>
      </c>
      <c r="D21" s="10"/>
      <c r="E21" s="10"/>
    </row>
    <row r="22">
      <c r="A22" s="13" t="s">
        <v>25</v>
      </c>
      <c r="B22" s="14">
        <f>sum(B13:B17)+B19+B21</f>
        <v>22.58311942</v>
      </c>
      <c r="C22" s="15" t="s">
        <v>26</v>
      </c>
      <c r="D22" s="16"/>
      <c r="E22" s="16"/>
    </row>
    <row r="23">
      <c r="A23" s="17"/>
      <c r="B23" s="17"/>
      <c r="C23" s="17"/>
      <c r="D23" s="17"/>
      <c r="E23" s="17"/>
    </row>
    <row r="24">
      <c r="A24" s="17"/>
      <c r="B24" s="17"/>
      <c r="C24" s="17"/>
      <c r="D24" s="17"/>
      <c r="E24" s="17"/>
    </row>
    <row r="25">
      <c r="A25" s="17"/>
      <c r="B25" s="17"/>
      <c r="C25" s="17"/>
      <c r="D25" s="17"/>
      <c r="E25" s="17"/>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6" max="6" width="16.25"/>
    <col customWidth="1" min="8" max="8" width="14.0"/>
  </cols>
  <sheetData>
    <row r="1">
      <c r="A1" s="1" t="s">
        <v>27</v>
      </c>
      <c r="B1" s="10"/>
      <c r="C1" s="10"/>
      <c r="D1" s="10"/>
      <c r="F1" s="13" t="s">
        <v>28</v>
      </c>
      <c r="G1" s="14">
        <f>B9+B35</f>
        <v>273.6</v>
      </c>
    </row>
    <row r="2">
      <c r="A2" s="9" t="s">
        <v>29</v>
      </c>
      <c r="B2" s="9">
        <v>13.0</v>
      </c>
      <c r="C2" s="9" t="s">
        <v>30</v>
      </c>
      <c r="D2" s="10"/>
    </row>
    <row r="3">
      <c r="A3" s="13" t="s">
        <v>1</v>
      </c>
      <c r="B3" s="14">
        <f>B2*0.017</f>
        <v>0.221</v>
      </c>
      <c r="C3" s="16"/>
      <c r="D3" s="16"/>
    </row>
    <row r="4">
      <c r="A4" s="9" t="s">
        <v>31</v>
      </c>
      <c r="B4" s="9">
        <v>11.5</v>
      </c>
      <c r="C4" s="9" t="s">
        <v>32</v>
      </c>
      <c r="D4" s="10"/>
    </row>
    <row r="5">
      <c r="A5" s="9" t="s">
        <v>33</v>
      </c>
      <c r="B5" s="9">
        <v>24.0</v>
      </c>
      <c r="C5" s="10"/>
      <c r="D5" s="10"/>
    </row>
    <row r="6">
      <c r="A6" s="9" t="s">
        <v>34</v>
      </c>
      <c r="B6" s="9">
        <v>3.3</v>
      </c>
      <c r="C6" s="10"/>
      <c r="D6" s="10"/>
    </row>
    <row r="7">
      <c r="A7" s="9" t="s">
        <v>35</v>
      </c>
      <c r="B7" s="10">
        <f>B5*B6</f>
        <v>79.2</v>
      </c>
      <c r="C7" s="10"/>
      <c r="D7" s="10"/>
    </row>
    <row r="8">
      <c r="A8" s="9" t="s">
        <v>36</v>
      </c>
      <c r="B8" s="9">
        <v>2.0</v>
      </c>
      <c r="C8" s="10"/>
      <c r="D8" s="10"/>
    </row>
    <row r="9">
      <c r="A9" s="9" t="s">
        <v>28</v>
      </c>
      <c r="B9" s="10">
        <f>B7*B8</f>
        <v>158.4</v>
      </c>
      <c r="C9" s="10"/>
      <c r="D9" s="10"/>
    </row>
    <row r="11">
      <c r="A11" s="18"/>
    </row>
    <row r="12">
      <c r="A12" s="18"/>
    </row>
    <row r="14">
      <c r="A14" s="18"/>
    </row>
    <row r="24">
      <c r="F24" s="19" t="s">
        <v>37</v>
      </c>
    </row>
    <row r="25">
      <c r="A25" s="1" t="s">
        <v>38</v>
      </c>
      <c r="B25" s="10"/>
      <c r="C25" s="10"/>
      <c r="D25" s="10"/>
      <c r="E25" s="10"/>
      <c r="F25" s="20" t="s">
        <v>39</v>
      </c>
      <c r="G25" s="21"/>
      <c r="H25" s="22"/>
    </row>
    <row r="26">
      <c r="A26" s="9" t="s">
        <v>40</v>
      </c>
      <c r="B26" s="9">
        <v>9.177</v>
      </c>
      <c r="C26" s="9" t="s">
        <v>41</v>
      </c>
      <c r="D26" s="10"/>
      <c r="E26" s="10"/>
      <c r="F26" s="23" t="s">
        <v>42</v>
      </c>
      <c r="G26" s="23" t="s">
        <v>43</v>
      </c>
      <c r="H26" s="23" t="s">
        <v>44</v>
      </c>
      <c r="I26" s="23" t="s">
        <v>45</v>
      </c>
    </row>
    <row r="27">
      <c r="A27" s="9" t="s">
        <v>46</v>
      </c>
      <c r="B27" s="9">
        <v>380.0</v>
      </c>
      <c r="C27" s="9" t="s">
        <v>47</v>
      </c>
      <c r="D27" s="10"/>
      <c r="E27" s="9"/>
      <c r="F27" s="24">
        <v>0.05398379</v>
      </c>
      <c r="G27" s="24">
        <v>1.4288</v>
      </c>
      <c r="H27" s="24">
        <v>101566.155</v>
      </c>
      <c r="I27" s="24">
        <v>1.147</v>
      </c>
      <c r="J27" s="2" t="s">
        <v>48</v>
      </c>
    </row>
    <row r="28">
      <c r="A28" s="9" t="s">
        <v>49</v>
      </c>
      <c r="B28" s="9">
        <f>B27*1.145/3600</f>
        <v>0.1208611111</v>
      </c>
      <c r="C28" s="9" t="s">
        <v>50</v>
      </c>
      <c r="D28" s="10"/>
      <c r="E28" s="10"/>
      <c r="F28" s="24">
        <v>0.05398379</v>
      </c>
      <c r="G28" s="24">
        <v>5.32673695</v>
      </c>
      <c r="H28" s="24">
        <v>101251.102448</v>
      </c>
      <c r="I28" s="24">
        <v>1.147</v>
      </c>
      <c r="J28" s="2" t="s">
        <v>51</v>
      </c>
    </row>
    <row r="29">
      <c r="A29" s="9" t="s">
        <v>52</v>
      </c>
      <c r="B29" s="9">
        <f>G28*I27*F28</f>
        <v>0.3298283939</v>
      </c>
      <c r="C29" s="9" t="s">
        <v>53</v>
      </c>
      <c r="D29" s="10"/>
      <c r="E29" s="9" t="s">
        <v>54</v>
      </c>
    </row>
    <row r="30">
      <c r="A30" s="13" t="s">
        <v>55</v>
      </c>
      <c r="B30" s="13">
        <f>B29+B28</f>
        <v>0.450689505</v>
      </c>
      <c r="C30" s="16"/>
      <c r="D30" s="16"/>
      <c r="E30" s="25"/>
    </row>
    <row r="31">
      <c r="A31" s="9" t="s">
        <v>33</v>
      </c>
      <c r="B31" s="9">
        <v>24.0</v>
      </c>
      <c r="C31" s="10"/>
      <c r="D31" s="10"/>
      <c r="E31" s="10"/>
    </row>
    <row r="32">
      <c r="A32" s="9" t="s">
        <v>34</v>
      </c>
      <c r="B32" s="9">
        <v>2.4</v>
      </c>
      <c r="C32" s="9" t="s">
        <v>47</v>
      </c>
      <c r="D32" s="10"/>
      <c r="E32" s="10"/>
    </row>
    <row r="33">
      <c r="A33" s="9" t="s">
        <v>35</v>
      </c>
      <c r="B33" s="10">
        <f>B31*B32</f>
        <v>57.6</v>
      </c>
      <c r="C33" s="10"/>
      <c r="D33" s="10"/>
      <c r="E33" s="10"/>
    </row>
    <row r="34">
      <c r="A34" s="9" t="s">
        <v>36</v>
      </c>
      <c r="B34" s="9">
        <v>2.0</v>
      </c>
      <c r="C34" s="10"/>
      <c r="D34" s="10"/>
      <c r="E34" s="10"/>
    </row>
    <row r="35">
      <c r="A35" s="9" t="s">
        <v>28</v>
      </c>
      <c r="B35" s="10">
        <f>B33*B34</f>
        <v>115.2</v>
      </c>
      <c r="C35" s="10"/>
      <c r="D35" s="10"/>
      <c r="E35" s="10"/>
    </row>
    <row r="37">
      <c r="G37" s="2" t="s">
        <v>56</v>
      </c>
    </row>
  </sheetData>
  <mergeCells count="1">
    <mergeCell ref="F25:H25"/>
  </mergeCell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s>
  <sheetData>
    <row r="1">
      <c r="A1" s="1" t="s">
        <v>57</v>
      </c>
      <c r="B1" s="10"/>
      <c r="C1" s="10"/>
      <c r="D1" s="10"/>
    </row>
    <row r="2">
      <c r="A2" s="2" t="s">
        <v>58</v>
      </c>
      <c r="B2" s="2">
        <v>300.0</v>
      </c>
      <c r="C2" s="26" t="s">
        <v>59</v>
      </c>
    </row>
    <row r="3">
      <c r="A3" s="27" t="s">
        <v>60</v>
      </c>
      <c r="B3" s="27">
        <f>B2*4/(B6*B7)</f>
        <v>1.292824822</v>
      </c>
      <c r="C3" s="28"/>
      <c r="D3" s="28"/>
    </row>
    <row r="4">
      <c r="A4" s="9" t="s">
        <v>61</v>
      </c>
      <c r="B4" s="9">
        <v>50.0</v>
      </c>
      <c r="C4" s="9" t="s">
        <v>62</v>
      </c>
      <c r="D4" s="10"/>
    </row>
    <row r="5">
      <c r="A5" s="9" t="s">
        <v>63</v>
      </c>
      <c r="B5" s="9">
        <f>B4-B3</f>
        <v>48.70717518</v>
      </c>
      <c r="C5" s="10"/>
      <c r="D5" s="10"/>
    </row>
    <row r="6">
      <c r="A6" s="9" t="s">
        <v>64</v>
      </c>
      <c r="B6" s="9">
        <v>4200.0</v>
      </c>
      <c r="C6" s="2" t="s">
        <v>65</v>
      </c>
      <c r="D6" s="10"/>
    </row>
    <row r="7">
      <c r="A7" s="9" t="s">
        <v>66</v>
      </c>
      <c r="B7" s="9">
        <v>0.221</v>
      </c>
      <c r="C7" s="9" t="s">
        <v>67</v>
      </c>
      <c r="D7" s="10"/>
      <c r="M7" s="2" t="s">
        <v>68</v>
      </c>
    </row>
    <row r="8">
      <c r="A8" s="29" t="s">
        <v>69</v>
      </c>
      <c r="B8" s="9">
        <v>600.0</v>
      </c>
      <c r="C8" s="9" t="s">
        <v>70</v>
      </c>
      <c r="D8" s="10"/>
    </row>
    <row r="9">
      <c r="A9" s="9" t="s">
        <v>71</v>
      </c>
      <c r="B9" s="9">
        <v>32.2</v>
      </c>
      <c r="C9" s="9" t="s">
        <v>72</v>
      </c>
      <c r="D9" s="10"/>
    </row>
    <row r="10">
      <c r="A10" s="9" t="s">
        <v>73</v>
      </c>
      <c r="B10" s="9">
        <v>1007.0</v>
      </c>
      <c r="C10" s="9" t="s">
        <v>74</v>
      </c>
      <c r="D10" s="10"/>
    </row>
    <row r="11">
      <c r="A11" s="9" t="s">
        <v>75</v>
      </c>
      <c r="B11" s="9">
        <f>'Pump &amp; Fan'!B30</f>
        <v>0.450689505</v>
      </c>
      <c r="C11" s="9" t="s">
        <v>76</v>
      </c>
      <c r="D11" s="10"/>
    </row>
    <row r="12">
      <c r="A12" s="9" t="s">
        <v>77</v>
      </c>
      <c r="B12" s="10">
        <f>B7*B6</f>
        <v>928.2</v>
      </c>
      <c r="C12" s="9" t="s">
        <v>78</v>
      </c>
      <c r="D12" s="9" t="s">
        <v>79</v>
      </c>
    </row>
    <row r="13">
      <c r="A13" s="9" t="s">
        <v>80</v>
      </c>
      <c r="B13" s="10">
        <f>B10*B11</f>
        <v>453.8443315</v>
      </c>
      <c r="C13" s="9" t="s">
        <v>81</v>
      </c>
      <c r="D13" s="9" t="s">
        <v>82</v>
      </c>
    </row>
    <row r="14">
      <c r="A14" s="9" t="s">
        <v>83</v>
      </c>
      <c r="B14" s="10">
        <f>B13*(B4-B9)</f>
        <v>8078.429101</v>
      </c>
      <c r="C14" s="10"/>
      <c r="D14" s="10"/>
    </row>
    <row r="15">
      <c r="A15" s="9" t="s">
        <v>84</v>
      </c>
      <c r="B15" s="10">
        <f>B12*(B4-B5)</f>
        <v>1200</v>
      </c>
      <c r="C15" s="10"/>
      <c r="D15" s="10"/>
    </row>
    <row r="16">
      <c r="A16" s="9" t="s">
        <v>85</v>
      </c>
      <c r="B16" s="10">
        <f>B15/B14</f>
        <v>0.1485437311</v>
      </c>
      <c r="C16" s="29" t="s">
        <v>86</v>
      </c>
      <c r="D16" s="10"/>
    </row>
    <row r="17">
      <c r="A17" s="9" t="s">
        <v>87</v>
      </c>
      <c r="B17" s="10">
        <f>B13/B12</f>
        <v>0.4889510144</v>
      </c>
      <c r="C17" s="9" t="s">
        <v>88</v>
      </c>
      <c r="D17" s="10"/>
    </row>
    <row r="18">
      <c r="A18" s="9" t="s">
        <v>89</v>
      </c>
      <c r="B18" s="9">
        <f>(B13/(B17-1))*LN((B16-1)/(B16*B17-1))</f>
        <v>75.84408446</v>
      </c>
      <c r="C18" s="9" t="s">
        <v>90</v>
      </c>
      <c r="D18" s="10"/>
    </row>
    <row r="19">
      <c r="A19" s="13" t="s">
        <v>91</v>
      </c>
      <c r="B19" s="14">
        <f>B18/B8</f>
        <v>0.1264068074</v>
      </c>
      <c r="C19" s="16"/>
      <c r="D19" s="16"/>
    </row>
    <row r="20">
      <c r="A20" s="30">
        <v>2024.0</v>
      </c>
      <c r="B20" s="30">
        <v>0.126</v>
      </c>
      <c r="C20" s="25"/>
      <c r="D20" s="25"/>
    </row>
  </sheetData>
  <hyperlinks>
    <hyperlink r:id="rId1" ref="C2"/>
    <hyperlink r:id="rId2" location="google_vignette" ref="A8"/>
    <hyperlink r:id="rId3" ref="C16"/>
  </hyperlinks>
  <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15" max="15" width="46.38"/>
  </cols>
  <sheetData>
    <row r="1">
      <c r="A1" s="1" t="s">
        <v>57</v>
      </c>
      <c r="B1" s="10"/>
      <c r="C1" s="10"/>
      <c r="D1" s="10"/>
    </row>
    <row r="2">
      <c r="A2" s="2" t="s">
        <v>92</v>
      </c>
      <c r="B2" s="2">
        <v>589.0</v>
      </c>
      <c r="C2" s="26" t="s">
        <v>93</v>
      </c>
    </row>
    <row r="3">
      <c r="A3" s="27" t="s">
        <v>60</v>
      </c>
      <c r="B3" s="27">
        <f>B2*4/(B6*B7)</f>
        <v>2.538246068</v>
      </c>
      <c r="C3" s="28"/>
      <c r="D3" s="28"/>
    </row>
    <row r="4">
      <c r="A4" s="9" t="s">
        <v>94</v>
      </c>
      <c r="B4" s="9">
        <v>60.0</v>
      </c>
      <c r="C4" s="9" t="s">
        <v>95</v>
      </c>
      <c r="D4" s="10"/>
    </row>
    <row r="5">
      <c r="A5" s="9" t="s">
        <v>63</v>
      </c>
      <c r="B5" s="9">
        <f>B4-B3</f>
        <v>57.46175393</v>
      </c>
      <c r="C5" s="5">
        <f>589*4/(0.221*4200)</f>
        <v>2.538246068</v>
      </c>
      <c r="D5" s="10"/>
    </row>
    <row r="6">
      <c r="A6" s="9" t="s">
        <v>64</v>
      </c>
      <c r="B6" s="9">
        <v>4200.0</v>
      </c>
      <c r="C6" s="10"/>
      <c r="D6" s="10"/>
    </row>
    <row r="7">
      <c r="A7" s="9" t="s">
        <v>66</v>
      </c>
      <c r="B7" s="9">
        <v>0.221</v>
      </c>
      <c r="C7" s="9" t="s">
        <v>67</v>
      </c>
      <c r="D7" s="10"/>
    </row>
    <row r="8">
      <c r="A8" s="31" t="s">
        <v>69</v>
      </c>
      <c r="B8" s="9">
        <v>600.0</v>
      </c>
      <c r="C8" s="9" t="s">
        <v>70</v>
      </c>
      <c r="D8" s="10"/>
      <c r="O8" s="32" t="s">
        <v>96</v>
      </c>
    </row>
    <row r="9">
      <c r="A9" s="9" t="s">
        <v>71</v>
      </c>
      <c r="B9" s="9">
        <v>32.2</v>
      </c>
      <c r="C9" s="9" t="s">
        <v>72</v>
      </c>
      <c r="D9" s="10"/>
      <c r="O9" s="32" t="s">
        <v>97</v>
      </c>
    </row>
    <row r="10">
      <c r="A10" s="9" t="s">
        <v>73</v>
      </c>
      <c r="B10" s="9">
        <v>1007.0</v>
      </c>
      <c r="C10" s="10"/>
      <c r="D10" s="10"/>
      <c r="O10" s="33">
        <f>ln(1+ln(1-B16)*B17)*B13/-B17</f>
        <v>98.8944159</v>
      </c>
    </row>
    <row r="11">
      <c r="A11" s="9" t="s">
        <v>75</v>
      </c>
      <c r="B11" s="9">
        <f>'Pump &amp; Fan'!B30</f>
        <v>0.450689505</v>
      </c>
      <c r="C11" s="9" t="s">
        <v>76</v>
      </c>
      <c r="D11" s="10"/>
    </row>
    <row r="12">
      <c r="A12" s="9" t="s">
        <v>77</v>
      </c>
      <c r="B12" s="10">
        <f>B7*B6</f>
        <v>928.2</v>
      </c>
      <c r="C12" s="9" t="s">
        <v>78</v>
      </c>
      <c r="D12" s="10"/>
    </row>
    <row r="13">
      <c r="A13" s="9" t="s">
        <v>80</v>
      </c>
      <c r="B13" s="10">
        <f>B10*B11</f>
        <v>453.8443315</v>
      </c>
      <c r="C13" s="9" t="s">
        <v>81</v>
      </c>
      <c r="D13" s="10"/>
    </row>
    <row r="14">
      <c r="A14" s="9" t="s">
        <v>98</v>
      </c>
      <c r="B14" s="10">
        <f>B13*(B4-B9)</f>
        <v>12616.87242</v>
      </c>
      <c r="C14" s="10"/>
      <c r="D14" s="10"/>
    </row>
    <row r="15">
      <c r="A15" s="9" t="s">
        <v>99</v>
      </c>
      <c r="B15" s="10">
        <f>B12*(B4-B5)</f>
        <v>2356</v>
      </c>
      <c r="C15" s="10"/>
      <c r="D15" s="10"/>
    </row>
    <row r="16">
      <c r="A16" s="9" t="s">
        <v>85</v>
      </c>
      <c r="B16" s="10">
        <f>B15/B14</f>
        <v>0.186734075</v>
      </c>
      <c r="C16" s="10"/>
      <c r="D16" s="10"/>
      <c r="N16" s="34"/>
      <c r="O16" s="32" t="s">
        <v>100</v>
      </c>
    </row>
    <row r="17">
      <c r="A17" s="9" t="s">
        <v>87</v>
      </c>
      <c r="B17" s="10">
        <f>B13/B12</f>
        <v>0.4889510144</v>
      </c>
      <c r="C17" s="10"/>
      <c r="D17" s="10"/>
      <c r="N17" s="32" t="s">
        <v>101</v>
      </c>
      <c r="O17" s="32">
        <v>0.149508</v>
      </c>
    </row>
    <row r="18">
      <c r="A18" s="9" t="s">
        <v>89</v>
      </c>
      <c r="B18" s="9">
        <f>(B13/(B17-1))*LN((B16-1)/(B16*B17-1))</f>
        <v>98.53309099</v>
      </c>
      <c r="C18" s="10"/>
      <c r="D18" s="10"/>
      <c r="N18" s="32" t="s">
        <v>89</v>
      </c>
      <c r="O18" s="34">
        <f>O17*B13</f>
        <v>67.85335832</v>
      </c>
    </row>
    <row r="19">
      <c r="A19" s="13" t="s">
        <v>91</v>
      </c>
      <c r="B19" s="14">
        <f>B18/B8</f>
        <v>0.1642218183</v>
      </c>
      <c r="C19" s="16"/>
      <c r="D19" s="16"/>
    </row>
    <row r="20">
      <c r="A20" s="30">
        <v>2024.0</v>
      </c>
      <c r="B20" s="30">
        <v>0.126</v>
      </c>
      <c r="C20" s="25"/>
      <c r="D20" s="25"/>
    </row>
  </sheetData>
  <hyperlinks>
    <hyperlink r:id="rId1" ref="C2"/>
    <hyperlink r:id="rId2" location="google_vignette" ref="A8"/>
  </hyperlinks>
  <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s>
  <sheetData>
    <row r="1">
      <c r="A1" s="1" t="s">
        <v>57</v>
      </c>
      <c r="B1" s="10"/>
      <c r="C1" s="10"/>
      <c r="D1" s="10"/>
      <c r="L1" s="2" t="s">
        <v>102</v>
      </c>
    </row>
    <row r="2">
      <c r="A2" s="3" t="s">
        <v>103</v>
      </c>
      <c r="B2" s="3">
        <v>589.0</v>
      </c>
      <c r="C2" s="4"/>
      <c r="D2" s="4"/>
      <c r="L2" s="35" t="s">
        <v>104</v>
      </c>
    </row>
    <row r="3">
      <c r="A3" s="3" t="s">
        <v>60</v>
      </c>
      <c r="B3" s="3">
        <v>1.6</v>
      </c>
      <c r="C3" s="3" t="s">
        <v>105</v>
      </c>
      <c r="D3" s="4"/>
      <c r="L3" s="35" t="s">
        <v>106</v>
      </c>
    </row>
    <row r="4">
      <c r="A4" s="9" t="s">
        <v>94</v>
      </c>
      <c r="B4" s="9">
        <v>60.0</v>
      </c>
      <c r="C4" s="9" t="s">
        <v>62</v>
      </c>
      <c r="D4" s="10"/>
      <c r="L4" s="36" t="s">
        <v>107</v>
      </c>
    </row>
    <row r="5">
      <c r="A5" s="9" t="s">
        <v>63</v>
      </c>
      <c r="B5" s="9">
        <f>B4+B3</f>
        <v>61.6</v>
      </c>
      <c r="C5" s="10"/>
      <c r="D5" s="10"/>
      <c r="L5" s="36" t="s">
        <v>108</v>
      </c>
    </row>
    <row r="6">
      <c r="A6" s="9" t="s">
        <v>64</v>
      </c>
      <c r="B6" s="9">
        <v>4200.0</v>
      </c>
      <c r="C6" s="10"/>
      <c r="D6" s="10"/>
      <c r="L6" s="36" t="s">
        <v>109</v>
      </c>
    </row>
    <row r="7">
      <c r="A7" s="9" t="s">
        <v>66</v>
      </c>
      <c r="B7" s="9">
        <v>0.49</v>
      </c>
      <c r="C7" s="9" t="s">
        <v>67</v>
      </c>
      <c r="D7" s="10"/>
      <c r="L7" s="36" t="s">
        <v>110</v>
      </c>
    </row>
    <row r="8">
      <c r="A8" s="29" t="s">
        <v>69</v>
      </c>
      <c r="B8" s="9">
        <v>600.0</v>
      </c>
      <c r="C8" s="9" t="s">
        <v>70</v>
      </c>
      <c r="D8" s="10"/>
      <c r="L8" s="35" t="s">
        <v>111</v>
      </c>
    </row>
    <row r="9">
      <c r="A9" s="9" t="s">
        <v>71</v>
      </c>
      <c r="B9" s="9">
        <v>35.0</v>
      </c>
      <c r="C9" s="9" t="s">
        <v>72</v>
      </c>
      <c r="D9" s="10"/>
      <c r="L9" s="36" t="s">
        <v>112</v>
      </c>
    </row>
    <row r="10">
      <c r="A10" s="9" t="s">
        <v>73</v>
      </c>
      <c r="B10" s="9">
        <v>1007.0</v>
      </c>
      <c r="C10" s="10"/>
      <c r="D10" s="10"/>
      <c r="L10" s="36" t="s">
        <v>113</v>
      </c>
    </row>
    <row r="11">
      <c r="A11" s="9" t="s">
        <v>75</v>
      </c>
      <c r="B11" s="9">
        <v>0.171</v>
      </c>
      <c r="C11" s="9" t="s">
        <v>76</v>
      </c>
      <c r="D11" s="10"/>
      <c r="L11" s="36" t="s">
        <v>114</v>
      </c>
    </row>
    <row r="12">
      <c r="A12" s="9" t="s">
        <v>115</v>
      </c>
      <c r="B12" s="37">
        <f>B7*B6</f>
        <v>2058</v>
      </c>
      <c r="C12" s="9" t="s">
        <v>78</v>
      </c>
      <c r="D12" s="10"/>
      <c r="L12" s="36" t="s">
        <v>116</v>
      </c>
    </row>
    <row r="13">
      <c r="A13" s="9" t="s">
        <v>117</v>
      </c>
      <c r="B13" s="37">
        <f>B10*B11</f>
        <v>172.197</v>
      </c>
      <c r="C13" s="9" t="s">
        <v>81</v>
      </c>
      <c r="D13" s="10"/>
      <c r="L13" s="36" t="s">
        <v>118</v>
      </c>
    </row>
    <row r="14">
      <c r="A14" s="9" t="s">
        <v>98</v>
      </c>
      <c r="B14" s="10">
        <f>B13*(B5-B4)</f>
        <v>275.5152</v>
      </c>
      <c r="C14" s="9" t="s">
        <v>119</v>
      </c>
      <c r="D14" s="10"/>
      <c r="L14" s="35" t="s">
        <v>120</v>
      </c>
    </row>
    <row r="15">
      <c r="A15" s="9" t="s">
        <v>99</v>
      </c>
      <c r="B15" s="10">
        <f>B12*(B5-B4)</f>
        <v>3292.8</v>
      </c>
      <c r="C15" s="10"/>
      <c r="D15" s="10"/>
      <c r="L15" s="36" t="s">
        <v>121</v>
      </c>
    </row>
    <row r="16">
      <c r="A16" s="38" t="s">
        <v>122</v>
      </c>
      <c r="B16" s="38">
        <v>0.065</v>
      </c>
      <c r="C16" s="39" t="s">
        <v>123</v>
      </c>
      <c r="D16" s="10"/>
      <c r="L16" s="36"/>
    </row>
    <row r="17">
      <c r="A17" s="9" t="s">
        <v>101</v>
      </c>
      <c r="B17" s="9">
        <v>0.98</v>
      </c>
      <c r="C17" s="9" t="s">
        <v>124</v>
      </c>
      <c r="D17" s="10"/>
    </row>
    <row r="18">
      <c r="A18" s="9" t="s">
        <v>87</v>
      </c>
      <c r="B18" s="10">
        <f>B13/B12</f>
        <v>0.08367201166</v>
      </c>
      <c r="C18" s="10"/>
      <c r="D18" s="10"/>
    </row>
    <row r="19">
      <c r="A19" s="9" t="s">
        <v>89</v>
      </c>
      <c r="B19" s="9">
        <f> B13*B17</f>
        <v>168.75306</v>
      </c>
      <c r="C19" s="10"/>
      <c r="D19" s="10"/>
    </row>
    <row r="20">
      <c r="A20" s="13" t="s">
        <v>91</v>
      </c>
      <c r="B20" s="14">
        <f>B19/B8</f>
        <v>0.2812551</v>
      </c>
      <c r="C20" s="16"/>
      <c r="D20" s="16"/>
      <c r="F20" s="2" t="s">
        <v>125</v>
      </c>
      <c r="G20" s="2" t="s">
        <v>126</v>
      </c>
    </row>
    <row r="21">
      <c r="F21" s="2" t="s">
        <v>127</v>
      </c>
      <c r="G21" s="2" t="s">
        <v>128</v>
      </c>
    </row>
  </sheetData>
  <hyperlinks>
    <hyperlink r:id="rId1" location="google_vignette" ref="A8"/>
  </hyperlinks>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0"/>
  </cols>
  <sheetData>
    <row r="1">
      <c r="B1" s="2" t="s">
        <v>129</v>
      </c>
      <c r="F1" s="2" t="s">
        <v>130</v>
      </c>
    </row>
    <row r="2">
      <c r="B2" s="2" t="s">
        <v>131</v>
      </c>
      <c r="C2" s="2" t="s">
        <v>132</v>
      </c>
      <c r="D2" s="2" t="s">
        <v>133</v>
      </c>
      <c r="F2" s="2" t="s">
        <v>131</v>
      </c>
      <c r="G2" s="2" t="s">
        <v>134</v>
      </c>
      <c r="H2" s="2" t="s">
        <v>135</v>
      </c>
      <c r="I2" s="2" t="s">
        <v>136</v>
      </c>
    </row>
    <row r="3">
      <c r="B3" s="2">
        <v>10.0</v>
      </c>
      <c r="C3" s="2">
        <v>5.15</v>
      </c>
      <c r="F3" s="2">
        <v>10.0</v>
      </c>
      <c r="G3" s="2">
        <v>4.13</v>
      </c>
      <c r="H3" s="40">
        <v>5.15</v>
      </c>
      <c r="I3" s="2">
        <v>6.44</v>
      </c>
      <c r="J3" s="5">
        <f t="shared" ref="J3:J10" si="1">(H3-G3)/G3</f>
        <v>0.2469733656</v>
      </c>
    </row>
    <row r="4">
      <c r="B4" s="5">
        <f t="shared" ref="B4:B31" si="2">B3+0.5</f>
        <v>10.5</v>
      </c>
      <c r="C4" s="2">
        <v>5.33</v>
      </c>
      <c r="F4" s="2">
        <v>12.0</v>
      </c>
      <c r="G4" s="2">
        <v>4.93</v>
      </c>
      <c r="H4" s="40">
        <v>6.0</v>
      </c>
      <c r="I4" s="2">
        <v>7.77</v>
      </c>
      <c r="J4" s="5">
        <f t="shared" si="1"/>
        <v>0.2170385396</v>
      </c>
    </row>
    <row r="5">
      <c r="B5" s="5">
        <f t="shared" si="2"/>
        <v>11</v>
      </c>
      <c r="C5" s="2">
        <v>5.6</v>
      </c>
      <c r="F5" s="2">
        <v>14.0</v>
      </c>
      <c r="G5" s="2">
        <v>5.73</v>
      </c>
      <c r="H5" s="40">
        <v>6.93</v>
      </c>
      <c r="I5" s="2">
        <v>9.1</v>
      </c>
      <c r="J5" s="5">
        <f t="shared" si="1"/>
        <v>0.2094240838</v>
      </c>
    </row>
    <row r="6">
      <c r="B6" s="5">
        <f t="shared" si="2"/>
        <v>11.5</v>
      </c>
      <c r="C6" s="2">
        <v>5.73</v>
      </c>
      <c r="F6" s="2">
        <v>16.0</v>
      </c>
      <c r="G6" s="2">
        <v>6.53</v>
      </c>
      <c r="H6" s="40">
        <v>8.0</v>
      </c>
      <c r="I6" s="2">
        <v>10.21</v>
      </c>
      <c r="J6" s="5">
        <f t="shared" si="1"/>
        <v>0.2251148545</v>
      </c>
    </row>
    <row r="7">
      <c r="B7" s="5">
        <f t="shared" si="2"/>
        <v>12</v>
      </c>
      <c r="C7" s="2">
        <v>6.0</v>
      </c>
      <c r="F7" s="2">
        <v>18.0</v>
      </c>
      <c r="G7" s="2">
        <v>7.19</v>
      </c>
      <c r="H7" s="40">
        <v>8.8</v>
      </c>
      <c r="I7" s="2">
        <v>11.54</v>
      </c>
      <c r="J7" s="5">
        <f t="shared" si="1"/>
        <v>0.223922114</v>
      </c>
    </row>
    <row r="8">
      <c r="B8" s="5">
        <f t="shared" si="2"/>
        <v>12.5</v>
      </c>
      <c r="C8" s="2">
        <v>6.26</v>
      </c>
      <c r="F8" s="2">
        <v>20.0</v>
      </c>
      <c r="G8" s="2">
        <v>7.59</v>
      </c>
      <c r="H8" s="40">
        <v>9.6</v>
      </c>
      <c r="I8" s="2">
        <v>12.43</v>
      </c>
      <c r="J8" s="5">
        <f t="shared" si="1"/>
        <v>0.2648221344</v>
      </c>
    </row>
    <row r="9">
      <c r="B9" s="5">
        <f t="shared" si="2"/>
        <v>13</v>
      </c>
      <c r="C9" s="2">
        <v>6.53</v>
      </c>
      <c r="F9" s="2">
        <v>22.0</v>
      </c>
      <c r="G9" s="2">
        <v>8.0</v>
      </c>
      <c r="H9" s="40">
        <v>10.4</v>
      </c>
      <c r="I9" s="2">
        <v>12.88</v>
      </c>
      <c r="J9" s="5">
        <f t="shared" si="1"/>
        <v>0.3</v>
      </c>
    </row>
    <row r="10">
      <c r="B10" s="5">
        <f t="shared" si="2"/>
        <v>13.5</v>
      </c>
      <c r="C10" s="2">
        <v>6.8</v>
      </c>
      <c r="F10" s="2">
        <v>24.0</v>
      </c>
      <c r="G10" s="2">
        <v>8.53</v>
      </c>
      <c r="H10" s="40">
        <v>10.8</v>
      </c>
      <c r="I10" s="2">
        <v>13.0</v>
      </c>
      <c r="J10" s="5">
        <f t="shared" si="1"/>
        <v>0.266119578</v>
      </c>
    </row>
    <row r="11">
      <c r="B11" s="5">
        <f t="shared" si="2"/>
        <v>14</v>
      </c>
      <c r="C11" s="2">
        <v>6.93</v>
      </c>
    </row>
    <row r="12">
      <c r="B12" s="5">
        <f t="shared" si="2"/>
        <v>14.5</v>
      </c>
      <c r="C12" s="2">
        <v>7.19</v>
      </c>
    </row>
    <row r="13">
      <c r="B13" s="5">
        <f t="shared" si="2"/>
        <v>15</v>
      </c>
      <c r="C13" s="2">
        <v>7.33</v>
      </c>
      <c r="E13" s="2"/>
      <c r="F13" s="2" t="s">
        <v>137</v>
      </c>
    </row>
    <row r="14">
      <c r="B14" s="5">
        <f t="shared" si="2"/>
        <v>15.5</v>
      </c>
      <c r="C14" s="2">
        <v>7.73</v>
      </c>
      <c r="F14" s="2" t="s">
        <v>131</v>
      </c>
      <c r="G14" s="2" t="s">
        <v>134</v>
      </c>
      <c r="H14" s="2" t="s">
        <v>135</v>
      </c>
      <c r="I14" s="2" t="s">
        <v>136</v>
      </c>
    </row>
    <row r="15">
      <c r="B15" s="5">
        <f t="shared" si="2"/>
        <v>16</v>
      </c>
      <c r="C15" s="2">
        <v>8.0</v>
      </c>
      <c r="F15" s="2">
        <v>10.0</v>
      </c>
      <c r="G15" s="5">
        <f t="shared" ref="G15:I15" si="3">G3*0.017</f>
        <v>0.07021</v>
      </c>
      <c r="H15" s="40">
        <f t="shared" si="3"/>
        <v>0.08755</v>
      </c>
      <c r="I15" s="5">
        <f t="shared" si="3"/>
        <v>0.10948</v>
      </c>
      <c r="J15" s="5">
        <f t="shared" ref="J15:J22" si="5">(I15-H15)/H15</f>
        <v>0.2504854369</v>
      </c>
      <c r="K15" s="5">
        <f>average(J15:J22)</f>
        <v>0.2728984119</v>
      </c>
    </row>
    <row r="16">
      <c r="B16" s="5">
        <f t="shared" si="2"/>
        <v>16.5</v>
      </c>
      <c r="C16" s="2">
        <v>8.13</v>
      </c>
      <c r="F16" s="2">
        <v>12.0</v>
      </c>
      <c r="G16" s="5">
        <f t="shared" ref="G16:I16" si="4">G4*0.017</f>
        <v>0.08381</v>
      </c>
      <c r="H16" s="40">
        <f t="shared" si="4"/>
        <v>0.102</v>
      </c>
      <c r="I16" s="5">
        <f t="shared" si="4"/>
        <v>0.13209</v>
      </c>
      <c r="J16" s="5">
        <f t="shared" si="5"/>
        <v>0.295</v>
      </c>
    </row>
    <row r="17">
      <c r="B17" s="5">
        <f t="shared" si="2"/>
        <v>17</v>
      </c>
      <c r="C17" s="2">
        <v>8.4</v>
      </c>
      <c r="F17" s="2">
        <v>14.0</v>
      </c>
      <c r="G17" s="5">
        <f t="shared" ref="G17:I17" si="6">G5*0.017</f>
        <v>0.09741</v>
      </c>
      <c r="H17" s="40">
        <f t="shared" si="6"/>
        <v>0.11781</v>
      </c>
      <c r="I17" s="5">
        <f t="shared" si="6"/>
        <v>0.1547</v>
      </c>
      <c r="J17" s="5">
        <f t="shared" si="5"/>
        <v>0.3131313131</v>
      </c>
    </row>
    <row r="18">
      <c r="B18" s="5">
        <f t="shared" si="2"/>
        <v>17.5</v>
      </c>
      <c r="C18" s="2">
        <v>8.66</v>
      </c>
      <c r="F18" s="2">
        <v>16.0</v>
      </c>
      <c r="G18" s="5">
        <f t="shared" ref="G18:I18" si="7">G6*0.017</f>
        <v>0.11101</v>
      </c>
      <c r="H18" s="40">
        <f t="shared" si="7"/>
        <v>0.136</v>
      </c>
      <c r="I18" s="5">
        <f t="shared" si="7"/>
        <v>0.17357</v>
      </c>
      <c r="J18" s="5">
        <f t="shared" si="5"/>
        <v>0.27625</v>
      </c>
    </row>
    <row r="19">
      <c r="B19" s="5">
        <f t="shared" si="2"/>
        <v>18</v>
      </c>
      <c r="C19" s="2">
        <v>8.8</v>
      </c>
      <c r="F19" s="2">
        <v>18.0</v>
      </c>
      <c r="G19" s="5">
        <f t="shared" ref="G19:I19" si="8">G7*0.017</f>
        <v>0.12223</v>
      </c>
      <c r="H19" s="40">
        <f t="shared" si="8"/>
        <v>0.1496</v>
      </c>
      <c r="I19" s="5">
        <f t="shared" si="8"/>
        <v>0.19618</v>
      </c>
      <c r="J19" s="5">
        <f t="shared" si="5"/>
        <v>0.3113636364</v>
      </c>
    </row>
    <row r="20">
      <c r="B20" s="5">
        <f t="shared" si="2"/>
        <v>18.5</v>
      </c>
      <c r="C20" s="2">
        <v>9.06</v>
      </c>
      <c r="F20" s="2">
        <v>20.0</v>
      </c>
      <c r="G20" s="5">
        <f t="shared" ref="G20:I20" si="9">G8*0.017</f>
        <v>0.12903</v>
      </c>
      <c r="H20" s="40">
        <f t="shared" si="9"/>
        <v>0.1632</v>
      </c>
      <c r="I20" s="5">
        <f t="shared" si="9"/>
        <v>0.21131</v>
      </c>
      <c r="J20" s="5">
        <f t="shared" si="5"/>
        <v>0.2947916667</v>
      </c>
    </row>
    <row r="21">
      <c r="B21" s="5">
        <f t="shared" si="2"/>
        <v>19</v>
      </c>
      <c r="C21" s="2">
        <v>9.2</v>
      </c>
      <c r="F21" s="2">
        <v>22.0</v>
      </c>
      <c r="G21" s="5">
        <f t="shared" ref="G21:I21" si="10">G9*0.017</f>
        <v>0.136</v>
      </c>
      <c r="H21" s="40">
        <f t="shared" si="10"/>
        <v>0.1768</v>
      </c>
      <c r="I21" s="5">
        <f t="shared" si="10"/>
        <v>0.21896</v>
      </c>
      <c r="J21" s="5">
        <f t="shared" si="5"/>
        <v>0.2384615385</v>
      </c>
    </row>
    <row r="22">
      <c r="B22" s="5">
        <f t="shared" si="2"/>
        <v>19.5</v>
      </c>
      <c r="C22" s="2">
        <v>9.33</v>
      </c>
      <c r="F22" s="2">
        <v>24.0</v>
      </c>
      <c r="G22" s="5">
        <f t="shared" ref="G22:I22" si="11">G10*0.017</f>
        <v>0.14501</v>
      </c>
      <c r="H22" s="40">
        <f t="shared" si="11"/>
        <v>0.1836</v>
      </c>
      <c r="I22" s="5">
        <f t="shared" si="11"/>
        <v>0.221</v>
      </c>
      <c r="J22" s="5">
        <f t="shared" si="5"/>
        <v>0.2037037037</v>
      </c>
    </row>
    <row r="23">
      <c r="B23" s="5">
        <f t="shared" si="2"/>
        <v>20</v>
      </c>
      <c r="C23" s="2">
        <v>9.6</v>
      </c>
    </row>
    <row r="24">
      <c r="B24" s="5">
        <f t="shared" si="2"/>
        <v>20.5</v>
      </c>
      <c r="C24" s="2">
        <v>9.86</v>
      </c>
    </row>
    <row r="25">
      <c r="B25" s="5">
        <f t="shared" si="2"/>
        <v>21</v>
      </c>
      <c r="C25" s="2">
        <v>10.0</v>
      </c>
      <c r="G25" s="2" t="s">
        <v>138</v>
      </c>
      <c r="H25" s="2" t="s">
        <v>139</v>
      </c>
      <c r="K25" s="2" t="s">
        <v>140</v>
      </c>
      <c r="L25" s="5">
        <f>4178*2.8*0.22/1000</f>
        <v>2.573648</v>
      </c>
    </row>
    <row r="26">
      <c r="B26" s="5">
        <f t="shared" si="2"/>
        <v>21.5</v>
      </c>
      <c r="C26" s="2">
        <v>10.0</v>
      </c>
      <c r="F26" s="41" t="s">
        <v>129</v>
      </c>
      <c r="G26" s="42">
        <v>10.8</v>
      </c>
      <c r="H26" s="2">
        <v>12.1</v>
      </c>
    </row>
    <row r="27">
      <c r="B27" s="5">
        <f t="shared" si="2"/>
        <v>22</v>
      </c>
      <c r="C27" s="2">
        <v>10.4</v>
      </c>
      <c r="F27" s="41" t="s">
        <v>136</v>
      </c>
      <c r="G27" s="42">
        <v>13.0</v>
      </c>
      <c r="H27" s="2">
        <v>11.5</v>
      </c>
    </row>
    <row r="28">
      <c r="B28" s="5">
        <f t="shared" si="2"/>
        <v>22.5</v>
      </c>
      <c r="C28" s="2">
        <v>10.33</v>
      </c>
      <c r="G28" s="5">
        <f>(G27-G26)/G26*100</f>
        <v>20.37037037</v>
      </c>
      <c r="H28" s="5">
        <f>(H26-H27)/H26*100</f>
        <v>4.958677686</v>
      </c>
    </row>
    <row r="29">
      <c r="B29" s="5">
        <f t="shared" si="2"/>
        <v>23</v>
      </c>
      <c r="C29" s="2">
        <v>10.46</v>
      </c>
    </row>
    <row r="30">
      <c r="B30" s="5">
        <f t="shared" si="2"/>
        <v>23.5</v>
      </c>
      <c r="C30" s="2">
        <v>10.67</v>
      </c>
    </row>
    <row r="31">
      <c r="B31" s="5">
        <f t="shared" si="2"/>
        <v>24</v>
      </c>
      <c r="C31" s="2">
        <v>10.8</v>
      </c>
    </row>
  </sheetData>
  <mergeCells count="2">
    <mergeCell ref="B1:D1"/>
    <mergeCell ref="F1:H1"/>
  </mergeCells>
  <drawing r:id="rId1"/>
</worksheet>
</file>